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Default Extension="vml" ContentType="application/vnd.openxmlformats-officedocument.vmlDrawing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7" rupBuild="24026"/>
  <workbookPr defaultThemeVersion="124226" autoCompressPictures="0"/>
  <mc:AlternateContent xmlns:mc="http://schemas.openxmlformats.org/markup-compatibility/2006">
    <mc:Choice Requires="x15">
      <x15ac:absPath xmlns:x15ac="http://schemas.microsoft.com/office/spreadsheetml/2010/11/ac" url="S:\(PROJ)\E09-02 ENVIRONMENTAL UTILITIES Orig Cert\"/>
    </mc:Choice>
  </mc:AlternateContent>
  <bookViews>
    <workbookView xWindow="0" yWindow="0" windowWidth="23040" windowHeight="12360" firstSheet="8" activeTab="13"/>
  </bookViews>
  <sheets>
    <sheet name="Assumptions" sheetId="46" r:id="rId2"/>
    <sheet name="Cover" sheetId="41" r:id="rId3"/>
    <sheet name="Index" sheetId="13" r:id="rId4"/>
    <sheet name="Schedule 1 Rate Base" sheetId="12" r:id="rId5"/>
    <sheet name="Schedule No. 1B Wastewater" sheetId="14" r:id="rId6"/>
    <sheet name="Schedule No. 2" sheetId="6" r:id="rId7"/>
    <sheet name="Schedule No. 3 B Wastewater" sheetId="24" r:id="rId8"/>
    <sheet name="Schedule No. 4 SVC Avail- SWR" sheetId="34" r:id="rId9"/>
    <sheet name="Schedule 5 Laterals" sheetId="48" r:id="rId10"/>
    <sheet name="Schedule No. 6 Misc Svc Chrg" sheetId="10" r:id="rId11"/>
    <sheet name="Schedule No. 7 Rev Proof" sheetId="27" r:id="rId12"/>
    <sheet name="SUPPORT TO INCLUDE--&gt;" sheetId="40" r:id="rId13"/>
    <sheet name="Depreciation Schedule" sheetId="43" r:id="rId14"/>
    <sheet name="Sched 1 Coll _Trans Estimate" sheetId="20" r:id="rId15"/>
    <sheet name="Schedule 7  NOI" sheetId="17" r:id="rId16"/>
    <sheet name="Schedule No. 7 WW Support" sheetId="11" r:id="rId17"/>
    <sheet name="Cost of Capital" sheetId="42" r:id="rId18"/>
    <sheet name="NOT INCLUDED---&gt;" sheetId="39" r:id="rId19"/>
    <sheet name="GWE OH Allocation" sheetId="47" r:id="rId20"/>
    <sheet name="Factored ERC" sheetId="16" r:id="rId21"/>
    <sheet name=" Meter Install Fee _a" sheetId="36" state="hidden" r:id="rId22"/>
    <sheet name="Sched 11 Adjustments" sheetId="35" r:id="rId23"/>
    <sheet name="Sewer Rev Requirements " sheetId="21" r:id="rId24"/>
    <sheet name="TABLE-D_9-22" sheetId="38" state="hidden" r:id="rId25"/>
    <sheet name="Org Costs" sheetId="37" r:id="rId26"/>
    <sheet name="Rate Comparison" sheetId="45" r:id="rId27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\D" localSheetId="12">#REF!</definedName>
    <definedName name="\D" localSheetId="8">#REF!</definedName>
    <definedName name="\D" localSheetId="6">#REF!</definedName>
    <definedName name="\D" localSheetId="7">#REF!</definedName>
    <definedName name="\D" localSheetId="10">#REF!</definedName>
    <definedName name="\D" localSheetId="22">#REF!</definedName>
    <definedName name="\D">#REF!</definedName>
    <definedName name="\G" localSheetId="8">#REF!</definedName>
    <definedName name="\G" localSheetId="6">#REF!</definedName>
    <definedName name="\G" localSheetId="7">#REF!</definedName>
    <definedName name="\G" localSheetId="10">#REF!</definedName>
    <definedName name="\G">#REF!</definedName>
    <definedName name="\P" localSheetId="12">#REF!</definedName>
    <definedName name="\P" localSheetId="8">#REF!</definedName>
    <definedName name="\P" localSheetId="6">#REF!</definedName>
    <definedName name="\P" localSheetId="7">#REF!</definedName>
    <definedName name="\P" localSheetId="10">#REF!</definedName>
    <definedName name="\P" localSheetId="22">#REF!</definedName>
    <definedName name="\P">#REF!</definedName>
    <definedName name="\Q" localSheetId="12">#REF!</definedName>
    <definedName name="\Q" localSheetId="8">#REF!</definedName>
    <definedName name="\Q" localSheetId="6">#REF!</definedName>
    <definedName name="\Q" localSheetId="7">#REF!</definedName>
    <definedName name="\Q" localSheetId="10">#REF!</definedName>
    <definedName name="\Q" localSheetId="22">#REF!</definedName>
    <definedName name="\Q">#REF!</definedName>
    <definedName name="\S" localSheetId="8">#REF!</definedName>
    <definedName name="\S" localSheetId="6">#REF!</definedName>
    <definedName name="\S" localSheetId="7">#REF!</definedName>
    <definedName name="\S" localSheetId="10">#REF!</definedName>
    <definedName name="\S" localSheetId="22">#REF!</definedName>
    <definedName name="\S">#REF!</definedName>
    <definedName name="___________pri0061">#REF!</definedName>
    <definedName name="___________pri0062" localSheetId="8">#REF!</definedName>
    <definedName name="___________pri0062" localSheetId="6">#REF!</definedName>
    <definedName name="___________pri0062" localSheetId="7">#REF!</definedName>
    <definedName name="___________pri0062" localSheetId="10">#REF!</definedName>
    <definedName name="___________pri0062">#REF!</definedName>
    <definedName name="___________pri0065" localSheetId="8">#REF!</definedName>
    <definedName name="___________pri0065" localSheetId="6">#REF!</definedName>
    <definedName name="___________pri0065" localSheetId="7">#REF!</definedName>
    <definedName name="___________pri0065" localSheetId="10">#REF!</definedName>
    <definedName name="___________pri0065">#REF!</definedName>
    <definedName name="___________pri0066" localSheetId="8">#REF!</definedName>
    <definedName name="___________pri0066" localSheetId="6">#REF!</definedName>
    <definedName name="___________pri0066" localSheetId="7">#REF!</definedName>
    <definedName name="___________pri0066" localSheetId="10">#REF!</definedName>
    <definedName name="___________pri0066">#REF!</definedName>
    <definedName name="___________pri0067" localSheetId="8">#REF!</definedName>
    <definedName name="___________pri0067" localSheetId="6">#REF!</definedName>
    <definedName name="___________pri0067" localSheetId="7">#REF!</definedName>
    <definedName name="___________pri0067" localSheetId="10">#REF!</definedName>
    <definedName name="___________pri0067">#REF!</definedName>
    <definedName name="___________pri0068" localSheetId="8">#REF!</definedName>
    <definedName name="___________pri0068" localSheetId="6">#REF!</definedName>
    <definedName name="___________pri0068" localSheetId="7">#REF!</definedName>
    <definedName name="___________pri0068" localSheetId="10">#REF!</definedName>
    <definedName name="___________pri0068">#REF!</definedName>
    <definedName name="__________pri0061" localSheetId="12">#REF!</definedName>
    <definedName name="__________pri0061" localSheetId="8">#REF!</definedName>
    <definedName name="__________pri0061" localSheetId="6">#REF!</definedName>
    <definedName name="__________pri0061" localSheetId="7">#REF!</definedName>
    <definedName name="__________pri0061" localSheetId="10">#REF!</definedName>
    <definedName name="__________pri0061">#REF!</definedName>
    <definedName name="__________pri0062" localSheetId="8">#REF!</definedName>
    <definedName name="__________pri0062" localSheetId="6">#REF!</definedName>
    <definedName name="__________pri0062" localSheetId="7">#REF!</definedName>
    <definedName name="__________pri0062" localSheetId="10">#REF!</definedName>
    <definedName name="__________pri0062">#REF!</definedName>
    <definedName name="__________pri0065" localSheetId="8">#REF!</definedName>
    <definedName name="__________pri0065" localSheetId="6">#REF!</definedName>
    <definedName name="__________pri0065" localSheetId="7">#REF!</definedName>
    <definedName name="__________pri0065" localSheetId="10">#REF!</definedName>
    <definedName name="__________pri0065">#REF!</definedName>
    <definedName name="__________pri0066" localSheetId="8">#REF!</definedName>
    <definedName name="__________pri0066" localSheetId="6">#REF!</definedName>
    <definedName name="__________pri0066" localSheetId="7">#REF!</definedName>
    <definedName name="__________pri0066" localSheetId="10">#REF!</definedName>
    <definedName name="__________pri0066">#REF!</definedName>
    <definedName name="__________pri0067" localSheetId="8">#REF!</definedName>
    <definedName name="__________pri0067" localSheetId="6">#REF!</definedName>
    <definedName name="__________pri0067" localSheetId="7">#REF!</definedName>
    <definedName name="__________pri0067" localSheetId="10">#REF!</definedName>
    <definedName name="__________pri0067">#REF!</definedName>
    <definedName name="__________pri0068" localSheetId="8">#REF!</definedName>
    <definedName name="__________pri0068" localSheetId="6">#REF!</definedName>
    <definedName name="__________pri0068" localSheetId="7">#REF!</definedName>
    <definedName name="__________pri0068" localSheetId="10">#REF!</definedName>
    <definedName name="__________pri0068">#REF!</definedName>
    <definedName name="_____pg1">'[5]A 7'!$D$4</definedName>
    <definedName name="_____TY2" localSheetId="12">#REF!</definedName>
    <definedName name="_____TY2" localSheetId="8">#REF!</definedName>
    <definedName name="_____TY2" localSheetId="6">#REF!</definedName>
    <definedName name="_____TY2" localSheetId="7">#REF!</definedName>
    <definedName name="_____TY2" localSheetId="10">#REF!</definedName>
    <definedName name="_____TY2">#REF!</definedName>
    <definedName name="____pg1">'[6]A 7'!$D$4</definedName>
    <definedName name="____pri0004" localSheetId="12">#REF!</definedName>
    <definedName name="____pri0004" localSheetId="8">#REF!</definedName>
    <definedName name="____pri0004" localSheetId="6">#REF!</definedName>
    <definedName name="____pri0004" localSheetId="7">#REF!</definedName>
    <definedName name="____pri0004" localSheetId="10">#REF!</definedName>
    <definedName name="____pri0004">#REF!</definedName>
    <definedName name="____pri0005" localSheetId="8">#REF!</definedName>
    <definedName name="____pri0005" localSheetId="6">#REF!</definedName>
    <definedName name="____pri0005" localSheetId="7">#REF!</definedName>
    <definedName name="____pri0005" localSheetId="10">#REF!</definedName>
    <definedName name="____pri0005">#REF!</definedName>
    <definedName name="____pri0006" localSheetId="8">#REF!</definedName>
    <definedName name="____pri0006" localSheetId="6">#REF!</definedName>
    <definedName name="____pri0006" localSheetId="7">#REF!</definedName>
    <definedName name="____pri0006" localSheetId="10">#REF!</definedName>
    <definedName name="____pri0006">#REF!</definedName>
    <definedName name="____pri0007" localSheetId="8">#REF!</definedName>
    <definedName name="____pri0007" localSheetId="6">#REF!</definedName>
    <definedName name="____pri0007" localSheetId="7">#REF!</definedName>
    <definedName name="____pri0007" localSheetId="10">#REF!</definedName>
    <definedName name="____pri0007">#REF!</definedName>
    <definedName name="____pri0008" localSheetId="8">#REF!</definedName>
    <definedName name="____pri0008" localSheetId="6">#REF!</definedName>
    <definedName name="____pri0008" localSheetId="7">#REF!</definedName>
    <definedName name="____pri0008" localSheetId="10">#REF!</definedName>
    <definedName name="____pri0008">#REF!</definedName>
    <definedName name="____pri0009" localSheetId="8">#REF!</definedName>
    <definedName name="____pri0009" localSheetId="6">#REF!</definedName>
    <definedName name="____pri0009" localSheetId="7">#REF!</definedName>
    <definedName name="____pri0009" localSheetId="10">#REF!</definedName>
    <definedName name="____pri0009">#REF!</definedName>
    <definedName name="____pri0010" localSheetId="8">#REF!</definedName>
    <definedName name="____pri0010" localSheetId="6">#REF!</definedName>
    <definedName name="____pri0010" localSheetId="7">#REF!</definedName>
    <definedName name="____pri0010" localSheetId="10">#REF!</definedName>
    <definedName name="____pri0010">#REF!</definedName>
    <definedName name="____pri0011" localSheetId="8">#REF!</definedName>
    <definedName name="____pri0011" localSheetId="6">#REF!</definedName>
    <definedName name="____pri0011" localSheetId="7">#REF!</definedName>
    <definedName name="____pri0011" localSheetId="10">#REF!</definedName>
    <definedName name="____pri0011">#REF!</definedName>
    <definedName name="____pri0012" localSheetId="8">#REF!</definedName>
    <definedName name="____pri0012" localSheetId="6">#REF!</definedName>
    <definedName name="____pri0012" localSheetId="7">#REF!</definedName>
    <definedName name="____pri0012" localSheetId="10">#REF!</definedName>
    <definedName name="____pri0012">#REF!</definedName>
    <definedName name="____pri0013" localSheetId="8">#REF!</definedName>
    <definedName name="____pri0013" localSheetId="6">#REF!</definedName>
    <definedName name="____pri0013" localSheetId="7">#REF!</definedName>
    <definedName name="____pri0013" localSheetId="10">#REF!</definedName>
    <definedName name="____pri0013">#REF!</definedName>
    <definedName name="____pri0014" localSheetId="8">#REF!</definedName>
    <definedName name="____pri0014" localSheetId="6">#REF!</definedName>
    <definedName name="____pri0014" localSheetId="7">#REF!</definedName>
    <definedName name="____pri0014" localSheetId="10">#REF!</definedName>
    <definedName name="____pri0014">#REF!</definedName>
    <definedName name="____pri0015" localSheetId="8">#REF!</definedName>
    <definedName name="____pri0015" localSheetId="6">#REF!</definedName>
    <definedName name="____pri0015" localSheetId="7">#REF!</definedName>
    <definedName name="____pri0015" localSheetId="10">#REF!</definedName>
    <definedName name="____pri0015">#REF!</definedName>
    <definedName name="____pri0016" localSheetId="8">#REF!</definedName>
    <definedName name="____pri0016" localSheetId="6">#REF!</definedName>
    <definedName name="____pri0016" localSheetId="7">#REF!</definedName>
    <definedName name="____pri0016" localSheetId="10">#REF!</definedName>
    <definedName name="____pri0016">#REF!</definedName>
    <definedName name="____pri0017" localSheetId="8">#REF!</definedName>
    <definedName name="____pri0017" localSheetId="6">#REF!</definedName>
    <definedName name="____pri0017" localSheetId="7">#REF!</definedName>
    <definedName name="____pri0017" localSheetId="10">#REF!</definedName>
    <definedName name="____pri0017">#REF!</definedName>
    <definedName name="____pri0018" localSheetId="8">#REF!</definedName>
    <definedName name="____pri0018" localSheetId="6">#REF!</definedName>
    <definedName name="____pri0018" localSheetId="7">#REF!</definedName>
    <definedName name="____pri0018" localSheetId="10">#REF!</definedName>
    <definedName name="____pri0018">#REF!</definedName>
    <definedName name="____pri0019" localSheetId="8">#REF!</definedName>
    <definedName name="____pri0019" localSheetId="6">#REF!</definedName>
    <definedName name="____pri0019" localSheetId="7">#REF!</definedName>
    <definedName name="____pri0019" localSheetId="10">#REF!</definedName>
    <definedName name="____pri0019">#REF!</definedName>
    <definedName name="____pri0061" localSheetId="8">#REF!</definedName>
    <definedName name="____pri0061" localSheetId="6">#REF!</definedName>
    <definedName name="____pri0061" localSheetId="7">#REF!</definedName>
    <definedName name="____pri0061" localSheetId="10">#REF!</definedName>
    <definedName name="____pri0061">#REF!</definedName>
    <definedName name="____pri0062" localSheetId="8">#REF!</definedName>
    <definedName name="____pri0062" localSheetId="6">#REF!</definedName>
    <definedName name="____pri0062" localSheetId="7">#REF!</definedName>
    <definedName name="____pri0062" localSheetId="10">#REF!</definedName>
    <definedName name="____pri0062">#REF!</definedName>
    <definedName name="____pri0065" localSheetId="8">#REF!</definedName>
    <definedName name="____pri0065" localSheetId="6">#REF!</definedName>
    <definedName name="____pri0065" localSheetId="7">#REF!</definedName>
    <definedName name="____pri0065" localSheetId="10">#REF!</definedName>
    <definedName name="____pri0065">#REF!</definedName>
    <definedName name="____pri0066" localSheetId="8">#REF!</definedName>
    <definedName name="____pri0066" localSheetId="6">#REF!</definedName>
    <definedName name="____pri0066" localSheetId="7">#REF!</definedName>
    <definedName name="____pri0066" localSheetId="10">#REF!</definedName>
    <definedName name="____pri0066">#REF!</definedName>
    <definedName name="____pri0067" localSheetId="8">#REF!</definedName>
    <definedName name="____pri0067" localSheetId="6">#REF!</definedName>
    <definedName name="____pri0067" localSheetId="7">#REF!</definedName>
    <definedName name="____pri0067" localSheetId="10">#REF!</definedName>
    <definedName name="____pri0067">#REF!</definedName>
    <definedName name="____pri0068" localSheetId="8">#REF!</definedName>
    <definedName name="____pri0068" localSheetId="6">#REF!</definedName>
    <definedName name="____pri0068" localSheetId="7">#REF!</definedName>
    <definedName name="____pri0068" localSheetId="10">#REF!</definedName>
    <definedName name="____pri0068">#REF!</definedName>
    <definedName name="____TY2" localSheetId="8">#REF!</definedName>
    <definedName name="____TY2" localSheetId="6">#REF!</definedName>
    <definedName name="____TY2" localSheetId="7">#REF!</definedName>
    <definedName name="____TY2" localSheetId="10">#REF!</definedName>
    <definedName name="____TY2">#REF!</definedName>
    <definedName name="___pg1">'[7]A 7'!$D$4</definedName>
    <definedName name="___pri0004" localSheetId="12">#REF!</definedName>
    <definedName name="___pri0004" localSheetId="8">#REF!</definedName>
    <definedName name="___pri0004" localSheetId="6">#REF!</definedName>
    <definedName name="___pri0004" localSheetId="7">#REF!</definedName>
    <definedName name="___pri0004" localSheetId="10">#REF!</definedName>
    <definedName name="___pri0004">#REF!</definedName>
    <definedName name="___pri0005" localSheetId="8">#REF!</definedName>
    <definedName name="___pri0005" localSheetId="6">#REF!</definedName>
    <definedName name="___pri0005" localSheetId="7">#REF!</definedName>
    <definedName name="___pri0005" localSheetId="10">#REF!</definedName>
    <definedName name="___pri0005">#REF!</definedName>
    <definedName name="___pri0006" localSheetId="8">#REF!</definedName>
    <definedName name="___pri0006" localSheetId="6">#REF!</definedName>
    <definedName name="___pri0006" localSheetId="7">#REF!</definedName>
    <definedName name="___pri0006" localSheetId="10">#REF!</definedName>
    <definedName name="___pri0006">#REF!</definedName>
    <definedName name="___pri0007" localSheetId="8">#REF!</definedName>
    <definedName name="___pri0007" localSheetId="6">#REF!</definedName>
    <definedName name="___pri0007" localSheetId="7">#REF!</definedName>
    <definedName name="___pri0007" localSheetId="10">#REF!</definedName>
    <definedName name="___pri0007">#REF!</definedName>
    <definedName name="___pri0008" localSheetId="8">#REF!</definedName>
    <definedName name="___pri0008" localSheetId="6">#REF!</definedName>
    <definedName name="___pri0008" localSheetId="7">#REF!</definedName>
    <definedName name="___pri0008" localSheetId="10">#REF!</definedName>
    <definedName name="___pri0008">#REF!</definedName>
    <definedName name="___pri0009" localSheetId="8">#REF!</definedName>
    <definedName name="___pri0009" localSheetId="6">#REF!</definedName>
    <definedName name="___pri0009" localSheetId="7">#REF!</definedName>
    <definedName name="___pri0009" localSheetId="10">#REF!</definedName>
    <definedName name="___pri0009">#REF!</definedName>
    <definedName name="___pri0010" localSheetId="8">#REF!</definedName>
    <definedName name="___pri0010" localSheetId="6">#REF!</definedName>
    <definedName name="___pri0010" localSheetId="7">#REF!</definedName>
    <definedName name="___pri0010" localSheetId="10">#REF!</definedName>
    <definedName name="___pri0010">#REF!</definedName>
    <definedName name="___pri0011" localSheetId="8">#REF!</definedName>
    <definedName name="___pri0011" localSheetId="6">#REF!</definedName>
    <definedName name="___pri0011" localSheetId="7">#REF!</definedName>
    <definedName name="___pri0011" localSheetId="10">#REF!</definedName>
    <definedName name="___pri0011">#REF!</definedName>
    <definedName name="___pri0012" localSheetId="8">#REF!</definedName>
    <definedName name="___pri0012" localSheetId="6">#REF!</definedName>
    <definedName name="___pri0012" localSheetId="7">#REF!</definedName>
    <definedName name="___pri0012" localSheetId="10">#REF!</definedName>
    <definedName name="___pri0012">#REF!</definedName>
    <definedName name="___pri0013" localSheetId="8">#REF!</definedName>
    <definedName name="___pri0013" localSheetId="6">#REF!</definedName>
    <definedName name="___pri0013" localSheetId="7">#REF!</definedName>
    <definedName name="___pri0013" localSheetId="10">#REF!</definedName>
    <definedName name="___pri0013">#REF!</definedName>
    <definedName name="___pri0014" localSheetId="8">#REF!</definedName>
    <definedName name="___pri0014" localSheetId="6">#REF!</definedName>
    <definedName name="___pri0014" localSheetId="7">#REF!</definedName>
    <definedName name="___pri0014" localSheetId="10">#REF!</definedName>
    <definedName name="___pri0014">#REF!</definedName>
    <definedName name="___pri0015" localSheetId="8">#REF!</definedName>
    <definedName name="___pri0015" localSheetId="6">#REF!</definedName>
    <definedName name="___pri0015" localSheetId="7">#REF!</definedName>
    <definedName name="___pri0015" localSheetId="10">#REF!</definedName>
    <definedName name="___pri0015">#REF!</definedName>
    <definedName name="___pri0016" localSheetId="8">#REF!</definedName>
    <definedName name="___pri0016" localSheetId="6">#REF!</definedName>
    <definedName name="___pri0016" localSheetId="7">#REF!</definedName>
    <definedName name="___pri0016" localSheetId="10">#REF!</definedName>
    <definedName name="___pri0016">#REF!</definedName>
    <definedName name="___pri0017" localSheetId="8">#REF!</definedName>
    <definedName name="___pri0017" localSheetId="6">#REF!</definedName>
    <definedName name="___pri0017" localSheetId="7">#REF!</definedName>
    <definedName name="___pri0017" localSheetId="10">#REF!</definedName>
    <definedName name="___pri0017">#REF!</definedName>
    <definedName name="___pri0018" localSheetId="8">#REF!</definedName>
    <definedName name="___pri0018" localSheetId="6">#REF!</definedName>
    <definedName name="___pri0018" localSheetId="7">#REF!</definedName>
    <definedName name="___pri0018" localSheetId="10">#REF!</definedName>
    <definedName name="___pri0018">#REF!</definedName>
    <definedName name="___pri0019" localSheetId="8">#REF!</definedName>
    <definedName name="___pri0019" localSheetId="6">#REF!</definedName>
    <definedName name="___pri0019" localSheetId="7">#REF!</definedName>
    <definedName name="___pri0019" localSheetId="10">#REF!</definedName>
    <definedName name="___pri0019">#REF!</definedName>
    <definedName name="___pri0061" localSheetId="8">#REF!</definedName>
    <definedName name="___pri0061" localSheetId="6">#REF!</definedName>
    <definedName name="___pri0061" localSheetId="7">#REF!</definedName>
    <definedName name="___pri0061" localSheetId="10">#REF!</definedName>
    <definedName name="___pri0061">#REF!</definedName>
    <definedName name="___pri0062" localSheetId="8">#REF!</definedName>
    <definedName name="___pri0062" localSheetId="6">#REF!</definedName>
    <definedName name="___pri0062" localSheetId="7">#REF!</definedName>
    <definedName name="___pri0062" localSheetId="10">#REF!</definedName>
    <definedName name="___pri0062">#REF!</definedName>
    <definedName name="___pri0065" localSheetId="8">#REF!</definedName>
    <definedName name="___pri0065" localSheetId="6">#REF!</definedName>
    <definedName name="___pri0065" localSheetId="7">#REF!</definedName>
    <definedName name="___pri0065" localSheetId="10">#REF!</definedName>
    <definedName name="___pri0065">#REF!</definedName>
    <definedName name="___pri0066" localSheetId="8">#REF!</definedName>
    <definedName name="___pri0066" localSheetId="6">#REF!</definedName>
    <definedName name="___pri0066" localSheetId="7">#REF!</definedName>
    <definedName name="___pri0066" localSheetId="10">#REF!</definedName>
    <definedName name="___pri0066">#REF!</definedName>
    <definedName name="___pri0067" localSheetId="8">#REF!</definedName>
    <definedName name="___pri0067" localSheetId="6">#REF!</definedName>
    <definedName name="___pri0067" localSheetId="7">#REF!</definedName>
    <definedName name="___pri0067" localSheetId="10">#REF!</definedName>
    <definedName name="___pri0067">#REF!</definedName>
    <definedName name="___pri0068" localSheetId="8">#REF!</definedName>
    <definedName name="___pri0068" localSheetId="6">#REF!</definedName>
    <definedName name="___pri0068" localSheetId="7">#REF!</definedName>
    <definedName name="___pri0068" localSheetId="10">#REF!</definedName>
    <definedName name="___pri0068">#REF!</definedName>
    <definedName name="___TY2" localSheetId="8">#REF!</definedName>
    <definedName name="___TY2" localSheetId="6">#REF!</definedName>
    <definedName name="___TY2" localSheetId="7">#REF!</definedName>
    <definedName name="___TY2" localSheetId="10">#REF!</definedName>
    <definedName name="___TY2">#REF!</definedName>
    <definedName name="__pg1">'[6]A 7'!$D$4</definedName>
    <definedName name="__pri0004" localSheetId="12">#REF!</definedName>
    <definedName name="__pri0004" localSheetId="8">#REF!</definedName>
    <definedName name="__pri0004" localSheetId="6">#REF!</definedName>
    <definedName name="__pri0004" localSheetId="7">#REF!</definedName>
    <definedName name="__pri0004" localSheetId="10">#REF!</definedName>
    <definedName name="__pri0004">#REF!</definedName>
    <definedName name="__pri0005" localSheetId="8">#REF!</definedName>
    <definedName name="__pri0005" localSheetId="6">#REF!</definedName>
    <definedName name="__pri0005" localSheetId="7">#REF!</definedName>
    <definedName name="__pri0005" localSheetId="10">#REF!</definedName>
    <definedName name="__pri0005">#REF!</definedName>
    <definedName name="__pri0006" localSheetId="8">#REF!</definedName>
    <definedName name="__pri0006" localSheetId="6">#REF!</definedName>
    <definedName name="__pri0006" localSheetId="7">#REF!</definedName>
    <definedName name="__pri0006" localSheetId="10">#REF!</definedName>
    <definedName name="__pri0006">#REF!</definedName>
    <definedName name="__pri0007" localSheetId="8">#REF!</definedName>
    <definedName name="__pri0007" localSheetId="6">#REF!</definedName>
    <definedName name="__pri0007" localSheetId="7">#REF!</definedName>
    <definedName name="__pri0007" localSheetId="10">#REF!</definedName>
    <definedName name="__pri0007">#REF!</definedName>
    <definedName name="__pri0008" localSheetId="8">#REF!</definedName>
    <definedName name="__pri0008" localSheetId="6">#REF!</definedName>
    <definedName name="__pri0008" localSheetId="7">#REF!</definedName>
    <definedName name="__pri0008" localSheetId="10">#REF!</definedName>
    <definedName name="__pri0008">#REF!</definedName>
    <definedName name="__pri0009" localSheetId="8">#REF!</definedName>
    <definedName name="__pri0009" localSheetId="6">#REF!</definedName>
    <definedName name="__pri0009" localSheetId="7">#REF!</definedName>
    <definedName name="__pri0009" localSheetId="10">#REF!</definedName>
    <definedName name="__pri0009">#REF!</definedName>
    <definedName name="__pri0010" localSheetId="8">#REF!</definedName>
    <definedName name="__pri0010" localSheetId="6">#REF!</definedName>
    <definedName name="__pri0010" localSheetId="7">#REF!</definedName>
    <definedName name="__pri0010" localSheetId="10">#REF!</definedName>
    <definedName name="__pri0010">#REF!</definedName>
    <definedName name="__pri0011" localSheetId="8">#REF!</definedName>
    <definedName name="__pri0011" localSheetId="6">#REF!</definedName>
    <definedName name="__pri0011" localSheetId="7">#REF!</definedName>
    <definedName name="__pri0011" localSheetId="10">#REF!</definedName>
    <definedName name="__pri0011">#REF!</definedName>
    <definedName name="__pri0012" localSheetId="8">#REF!</definedName>
    <definedName name="__pri0012" localSheetId="6">#REF!</definedName>
    <definedName name="__pri0012" localSheetId="7">#REF!</definedName>
    <definedName name="__pri0012" localSheetId="10">#REF!</definedName>
    <definedName name="__pri0012">#REF!</definedName>
    <definedName name="__pri0013" localSheetId="8">#REF!</definedName>
    <definedName name="__pri0013" localSheetId="6">#REF!</definedName>
    <definedName name="__pri0013" localSheetId="7">#REF!</definedName>
    <definedName name="__pri0013" localSheetId="10">#REF!</definedName>
    <definedName name="__pri0013">#REF!</definedName>
    <definedName name="__pri0014" localSheetId="8">#REF!</definedName>
    <definedName name="__pri0014" localSheetId="6">#REF!</definedName>
    <definedName name="__pri0014" localSheetId="7">#REF!</definedName>
    <definedName name="__pri0014" localSheetId="10">#REF!</definedName>
    <definedName name="__pri0014">#REF!</definedName>
    <definedName name="__pri0015" localSheetId="8">#REF!</definedName>
    <definedName name="__pri0015" localSheetId="6">#REF!</definedName>
    <definedName name="__pri0015" localSheetId="7">#REF!</definedName>
    <definedName name="__pri0015" localSheetId="10">#REF!</definedName>
    <definedName name="__pri0015">#REF!</definedName>
    <definedName name="__pri0016" localSheetId="8">#REF!</definedName>
    <definedName name="__pri0016" localSheetId="6">#REF!</definedName>
    <definedName name="__pri0016" localSheetId="7">#REF!</definedName>
    <definedName name="__pri0016" localSheetId="10">#REF!</definedName>
    <definedName name="__pri0016">#REF!</definedName>
    <definedName name="__pri0017" localSheetId="8">#REF!</definedName>
    <definedName name="__pri0017" localSheetId="6">#REF!</definedName>
    <definedName name="__pri0017" localSheetId="7">#REF!</definedName>
    <definedName name="__pri0017" localSheetId="10">#REF!</definedName>
    <definedName name="__pri0017">#REF!</definedName>
    <definedName name="__pri0018" localSheetId="8">#REF!</definedName>
    <definedName name="__pri0018" localSheetId="6">#REF!</definedName>
    <definedName name="__pri0018" localSheetId="7">#REF!</definedName>
    <definedName name="__pri0018" localSheetId="10">#REF!</definedName>
    <definedName name="__pri0018">#REF!</definedName>
    <definedName name="__pri0019" localSheetId="8">#REF!</definedName>
    <definedName name="__pri0019" localSheetId="6">#REF!</definedName>
    <definedName name="__pri0019" localSheetId="7">#REF!</definedName>
    <definedName name="__pri0019" localSheetId="10">#REF!</definedName>
    <definedName name="__pri0019">#REF!</definedName>
    <definedName name="__pri0061" localSheetId="8">#REF!</definedName>
    <definedName name="__pri0061" localSheetId="6">#REF!</definedName>
    <definedName name="__pri0061" localSheetId="7">#REF!</definedName>
    <definedName name="__pri0061" localSheetId="10">#REF!</definedName>
    <definedName name="__pri0061">#REF!</definedName>
    <definedName name="__pri0062" localSheetId="8">#REF!</definedName>
    <definedName name="__pri0062" localSheetId="6">#REF!</definedName>
    <definedName name="__pri0062" localSheetId="7">#REF!</definedName>
    <definedName name="__pri0062" localSheetId="10">#REF!</definedName>
    <definedName name="__pri0062">#REF!</definedName>
    <definedName name="__pri0065" localSheetId="8">#REF!</definedName>
    <definedName name="__pri0065" localSheetId="6">#REF!</definedName>
    <definedName name="__pri0065" localSheetId="7">#REF!</definedName>
    <definedName name="__pri0065" localSheetId="10">#REF!</definedName>
    <definedName name="__pri0065">#REF!</definedName>
    <definedName name="__pri0066" localSheetId="8">#REF!</definedName>
    <definedName name="__pri0066" localSheetId="6">#REF!</definedName>
    <definedName name="__pri0066" localSheetId="7">#REF!</definedName>
    <definedName name="__pri0066" localSheetId="10">#REF!</definedName>
    <definedName name="__pri0066">#REF!</definedName>
    <definedName name="__pri0067" localSheetId="8">#REF!</definedName>
    <definedName name="__pri0067" localSheetId="6">#REF!</definedName>
    <definedName name="__pri0067" localSheetId="7">#REF!</definedName>
    <definedName name="__pri0067" localSheetId="10">#REF!</definedName>
    <definedName name="__pri0067">#REF!</definedName>
    <definedName name="__pri0068" localSheetId="8">#REF!</definedName>
    <definedName name="__pri0068" localSheetId="6">#REF!</definedName>
    <definedName name="__pri0068" localSheetId="7">#REF!</definedName>
    <definedName name="__pri0068" localSheetId="10">#REF!</definedName>
    <definedName name="__pri0068">#REF!</definedName>
    <definedName name="__TY2" localSheetId="8">#REF!</definedName>
    <definedName name="__TY2" localSheetId="6">#REF!</definedName>
    <definedName name="__TY2" localSheetId="7">#REF!</definedName>
    <definedName name="__TY2" localSheetId="10">#REF!</definedName>
    <definedName name="__TY2">#REF!</definedName>
    <definedName name="_1PLANT_W">'[8]Plnt'!$A$1</definedName>
    <definedName name="_2S_RATEAL" localSheetId="12">#REF!</definedName>
    <definedName name="_2S_RATEAL" localSheetId="8">#REF!</definedName>
    <definedName name="_2S_RATEAL" localSheetId="6">#REF!</definedName>
    <definedName name="_2S_RATEAL" localSheetId="7">#REF!</definedName>
    <definedName name="_2S_RATEAL" localSheetId="10">#REF!</definedName>
    <definedName name="_2S_RATEAL">#REF!</definedName>
    <definedName name="_3S_RATES" localSheetId="8">#REF!</definedName>
    <definedName name="_3S_RATES" localSheetId="6">#REF!</definedName>
    <definedName name="_3S_RATES" localSheetId="7">#REF!</definedName>
    <definedName name="_3S_RATES" localSheetId="10">#REF!</definedName>
    <definedName name="_3S_RATES">#REF!</definedName>
    <definedName name="_4W_RATEAL" localSheetId="8">#REF!</definedName>
    <definedName name="_4W_RATEAL" localSheetId="6">#REF!</definedName>
    <definedName name="_4W_RATEAL" localSheetId="7">#REF!</definedName>
    <definedName name="_4W_RATEAL" localSheetId="10">#REF!</definedName>
    <definedName name="_4W_RATEAL">#REF!</definedName>
    <definedName name="_CY2">'[9]Macros'!$E$14</definedName>
    <definedName name="_pg_1">'[10]A 7'!$C$4</definedName>
    <definedName name="_pg1" localSheetId="12">'[1]A 7'!$C$4</definedName>
    <definedName name="_pg1" localSheetId="22">'[3]A 7'!$D$4</definedName>
    <definedName name="_pg1">'[2]A 7'!$C$4</definedName>
    <definedName name="_pri0004" localSheetId="8">#REF!</definedName>
    <definedName name="_pri0004" localSheetId="6">#REF!</definedName>
    <definedName name="_pri0004" localSheetId="7">#REF!</definedName>
    <definedName name="_pri0004" localSheetId="10">#REF!</definedName>
    <definedName name="_pri0004" localSheetId="22">#REF!</definedName>
    <definedName name="_pri0004">#REF!</definedName>
    <definedName name="_pri0005" localSheetId="8">#REF!</definedName>
    <definedName name="_pri0005" localSheetId="6">#REF!</definedName>
    <definedName name="_pri0005" localSheetId="7">#REF!</definedName>
    <definedName name="_pri0005" localSheetId="10">#REF!</definedName>
    <definedName name="_pri0005">#REF!</definedName>
    <definedName name="_pri0006" localSheetId="8">#REF!</definedName>
    <definedName name="_pri0006" localSheetId="6">#REF!</definedName>
    <definedName name="_pri0006" localSheetId="7">#REF!</definedName>
    <definedName name="_pri0006" localSheetId="10">#REF!</definedName>
    <definedName name="_pri0006">#REF!</definedName>
    <definedName name="_pri0007" localSheetId="8">#REF!</definedName>
    <definedName name="_pri0007" localSheetId="6">#REF!</definedName>
    <definedName name="_pri0007" localSheetId="7">#REF!</definedName>
    <definedName name="_pri0007" localSheetId="10">#REF!</definedName>
    <definedName name="_pri0007">#REF!</definedName>
    <definedName name="_pri0008" localSheetId="8">#REF!</definedName>
    <definedName name="_pri0008" localSheetId="6">#REF!</definedName>
    <definedName name="_pri0008" localSheetId="7">#REF!</definedName>
    <definedName name="_pri0008" localSheetId="10">#REF!</definedName>
    <definedName name="_pri0008">#REF!</definedName>
    <definedName name="_pri0009" localSheetId="8">#REF!</definedName>
    <definedName name="_pri0009" localSheetId="6">#REF!</definedName>
    <definedName name="_pri0009" localSheetId="7">#REF!</definedName>
    <definedName name="_pri0009" localSheetId="10">#REF!</definedName>
    <definedName name="_pri0009">#REF!</definedName>
    <definedName name="_pri0010" localSheetId="8">#REF!</definedName>
    <definedName name="_pri0010" localSheetId="6">#REF!</definedName>
    <definedName name="_pri0010" localSheetId="7">#REF!</definedName>
    <definedName name="_pri0010" localSheetId="10">#REF!</definedName>
    <definedName name="_pri0010">#REF!</definedName>
    <definedName name="_pri0011" localSheetId="8">#REF!</definedName>
    <definedName name="_pri0011" localSheetId="6">#REF!</definedName>
    <definedName name="_pri0011" localSheetId="7">#REF!</definedName>
    <definedName name="_pri0011" localSheetId="10">#REF!</definedName>
    <definedName name="_pri0011">#REF!</definedName>
    <definedName name="_pri0012" localSheetId="8">#REF!</definedName>
    <definedName name="_pri0012" localSheetId="6">#REF!</definedName>
    <definedName name="_pri0012" localSheetId="7">#REF!</definedName>
    <definedName name="_pri0012" localSheetId="10">#REF!</definedName>
    <definedName name="_pri0012">#REF!</definedName>
    <definedName name="_pri0013" localSheetId="8">#REF!</definedName>
    <definedName name="_pri0013" localSheetId="6">#REF!</definedName>
    <definedName name="_pri0013" localSheetId="7">#REF!</definedName>
    <definedName name="_pri0013" localSheetId="10">#REF!</definedName>
    <definedName name="_pri0013">#REF!</definedName>
    <definedName name="_pri0014" localSheetId="8">#REF!</definedName>
    <definedName name="_pri0014" localSheetId="6">#REF!</definedName>
    <definedName name="_pri0014" localSheetId="7">#REF!</definedName>
    <definedName name="_pri0014" localSheetId="10">#REF!</definedName>
    <definedName name="_pri0014">#REF!</definedName>
    <definedName name="_pri0015" localSheetId="8">#REF!</definedName>
    <definedName name="_pri0015" localSheetId="6">#REF!</definedName>
    <definedName name="_pri0015" localSheetId="7">#REF!</definedName>
    <definedName name="_pri0015" localSheetId="10">#REF!</definedName>
    <definedName name="_pri0015">#REF!</definedName>
    <definedName name="_pri0016" localSheetId="8">#REF!</definedName>
    <definedName name="_pri0016" localSheetId="6">#REF!</definedName>
    <definedName name="_pri0016" localSheetId="7">#REF!</definedName>
    <definedName name="_pri0016" localSheetId="10">#REF!</definedName>
    <definedName name="_pri0016">#REF!</definedName>
    <definedName name="_pri0017" localSheetId="8">#REF!</definedName>
    <definedName name="_pri0017" localSheetId="6">#REF!</definedName>
    <definedName name="_pri0017" localSheetId="7">#REF!</definedName>
    <definedName name="_pri0017" localSheetId="10">#REF!</definedName>
    <definedName name="_pri0017">#REF!</definedName>
    <definedName name="_pri0018" localSheetId="8">#REF!</definedName>
    <definedName name="_pri0018" localSheetId="6">#REF!</definedName>
    <definedName name="_pri0018" localSheetId="7">#REF!</definedName>
    <definedName name="_pri0018" localSheetId="10">#REF!</definedName>
    <definedName name="_pri0018">#REF!</definedName>
    <definedName name="_pri0019" localSheetId="8">#REF!</definedName>
    <definedName name="_pri0019" localSheetId="6">#REF!</definedName>
    <definedName name="_pri0019" localSheetId="7">#REF!</definedName>
    <definedName name="_pri0019" localSheetId="10">#REF!</definedName>
    <definedName name="_pri0019">#REF!</definedName>
    <definedName name="_pri0061" localSheetId="8">#REF!</definedName>
    <definedName name="_pri0061" localSheetId="6">#REF!</definedName>
    <definedName name="_pri0061" localSheetId="7">#REF!</definedName>
    <definedName name="_pri0061" localSheetId="10">#REF!</definedName>
    <definedName name="_pri0061">#REF!</definedName>
    <definedName name="_pri0062" localSheetId="8">#REF!</definedName>
    <definedName name="_pri0062" localSheetId="6">#REF!</definedName>
    <definedName name="_pri0062" localSheetId="7">#REF!</definedName>
    <definedName name="_pri0062" localSheetId="10">#REF!</definedName>
    <definedName name="_pri0062">#REF!</definedName>
    <definedName name="_pri0065" localSheetId="8">#REF!</definedName>
    <definedName name="_pri0065" localSheetId="6">#REF!</definedName>
    <definedName name="_pri0065" localSheetId="7">#REF!</definedName>
    <definedName name="_pri0065" localSheetId="10">#REF!</definedName>
    <definedName name="_pri0065">#REF!</definedName>
    <definedName name="_pri0066" localSheetId="8">#REF!</definedName>
    <definedName name="_pri0066" localSheetId="6">#REF!</definedName>
    <definedName name="_pri0066" localSheetId="7">#REF!</definedName>
    <definedName name="_pri0066" localSheetId="10">#REF!</definedName>
    <definedName name="_pri0066">#REF!</definedName>
    <definedName name="_pri0067" localSheetId="8">#REF!</definedName>
    <definedName name="_pri0067" localSheetId="6">#REF!</definedName>
    <definedName name="_pri0067" localSheetId="7">#REF!</definedName>
    <definedName name="_pri0067" localSheetId="10">#REF!</definedName>
    <definedName name="_pri0067">#REF!</definedName>
    <definedName name="_pri0068" localSheetId="8">#REF!</definedName>
    <definedName name="_pri0068" localSheetId="6">#REF!</definedName>
    <definedName name="_pri0068" localSheetId="7">#REF!</definedName>
    <definedName name="_pri0068" localSheetId="10">#REF!</definedName>
    <definedName name="_pri0068">#REF!</definedName>
    <definedName name="_TY1" localSheetId="12">'[1]Macros'!$E$14</definedName>
    <definedName name="_TY1">'[2]Macros'!$E$14</definedName>
    <definedName name="_TY2" localSheetId="12">#REF!</definedName>
    <definedName name="_TY2" localSheetId="8">#REF!</definedName>
    <definedName name="_TY2" localSheetId="6">#REF!</definedName>
    <definedName name="_TY2" localSheetId="7">#REF!</definedName>
    <definedName name="_TY2" localSheetId="10">#REF!</definedName>
    <definedName name="_TY2" localSheetId="22">#REF!</definedName>
    <definedName name="_TY2">#REF!</definedName>
    <definedName name="a" localSheetId="12">#REF!</definedName>
    <definedName name="a" localSheetId="8">#REF!</definedName>
    <definedName name="a" localSheetId="6">#REF!</definedName>
    <definedName name="a" localSheetId="7">#REF!</definedName>
    <definedName name="a" localSheetId="10">#REF!</definedName>
    <definedName name="a">#REF!</definedName>
    <definedName name="A_1" localSheetId="8">#REF!</definedName>
    <definedName name="A_1" localSheetId="6">#REF!</definedName>
    <definedName name="A_1" localSheetId="7">#REF!</definedName>
    <definedName name="A_1" localSheetId="10">#REF!</definedName>
    <definedName name="A_1" localSheetId="22">#REF!</definedName>
    <definedName name="A_1">#REF!</definedName>
    <definedName name="A_17" localSheetId="8">#REF!</definedName>
    <definedName name="A_17" localSheetId="6">#REF!</definedName>
    <definedName name="A_17" localSheetId="7">#REF!</definedName>
    <definedName name="A_17" localSheetId="10">#REF!</definedName>
    <definedName name="A_17">#REF!</definedName>
    <definedName name="A_18" localSheetId="8">#REF!</definedName>
    <definedName name="A_18" localSheetId="6">#REF!</definedName>
    <definedName name="A_18" localSheetId="7">#REF!</definedName>
    <definedName name="A_18" localSheetId="10">#REF!</definedName>
    <definedName name="A_18">#REF!</definedName>
    <definedName name="A_19" localSheetId="8">#REF!</definedName>
    <definedName name="A_19" localSheetId="6">#REF!</definedName>
    <definedName name="A_19" localSheetId="7">#REF!</definedName>
    <definedName name="A_19" localSheetId="10">#REF!</definedName>
    <definedName name="A_19">#REF!</definedName>
    <definedName name="A_5" localSheetId="8">#REF!</definedName>
    <definedName name="A_5" localSheetId="6">#REF!</definedName>
    <definedName name="A_5" localSheetId="7">#REF!</definedName>
    <definedName name="A_5" localSheetId="10">#REF!</definedName>
    <definedName name="A_5">#REF!</definedName>
    <definedName name="A_9" localSheetId="8">#REF!</definedName>
    <definedName name="A_9" localSheetId="6">#REF!</definedName>
    <definedName name="A_9" localSheetId="7">#REF!</definedName>
    <definedName name="A_9" localSheetId="10">#REF!</definedName>
    <definedName name="A_9">#REF!</definedName>
    <definedName name="a10x" localSheetId="8">#REF!</definedName>
    <definedName name="a10x" localSheetId="6">#REF!</definedName>
    <definedName name="a10x" localSheetId="7">#REF!</definedName>
    <definedName name="a10x" localSheetId="10">#REF!</definedName>
    <definedName name="a10x">#REF!</definedName>
    <definedName name="a11x" localSheetId="8">#REF!</definedName>
    <definedName name="a11x" localSheetId="6">#REF!</definedName>
    <definedName name="a11x" localSheetId="7">#REF!</definedName>
    <definedName name="a11x" localSheetId="10">#REF!</definedName>
    <definedName name="a11x">#REF!</definedName>
    <definedName name="a12x" localSheetId="8">#REF!</definedName>
    <definedName name="a12x" localSheetId="6">#REF!</definedName>
    <definedName name="a12x" localSheetId="7">#REF!</definedName>
    <definedName name="a12x" localSheetId="10">#REF!</definedName>
    <definedName name="a12x">#REF!</definedName>
    <definedName name="a13x" localSheetId="8">#REF!</definedName>
    <definedName name="a13x" localSheetId="6">#REF!</definedName>
    <definedName name="a13x" localSheetId="7">#REF!</definedName>
    <definedName name="a13x" localSheetId="10">#REF!</definedName>
    <definedName name="a13x">#REF!</definedName>
    <definedName name="a14x" localSheetId="8">#REF!</definedName>
    <definedName name="a14x" localSheetId="6">#REF!</definedName>
    <definedName name="a14x" localSheetId="7">#REF!</definedName>
    <definedName name="a14x" localSheetId="10">#REF!</definedName>
    <definedName name="a14x">#REF!</definedName>
    <definedName name="a15x" localSheetId="8">#REF!</definedName>
    <definedName name="a15x" localSheetId="6">#REF!</definedName>
    <definedName name="a15x" localSheetId="7">#REF!</definedName>
    <definedName name="a15x" localSheetId="10">#REF!</definedName>
    <definedName name="a15x">#REF!</definedName>
    <definedName name="a16x" localSheetId="8">#REF!</definedName>
    <definedName name="a16x" localSheetId="6">#REF!</definedName>
    <definedName name="a16x" localSheetId="7">#REF!</definedName>
    <definedName name="a16x" localSheetId="10">#REF!</definedName>
    <definedName name="a16x">#REF!</definedName>
    <definedName name="a17x" localSheetId="8">#REF!</definedName>
    <definedName name="a17x" localSheetId="6">#REF!</definedName>
    <definedName name="a17x" localSheetId="7">#REF!</definedName>
    <definedName name="a17x" localSheetId="10">#REF!</definedName>
    <definedName name="a17x">#REF!</definedName>
    <definedName name="a18x" localSheetId="8">#REF!</definedName>
    <definedName name="a18x" localSheetId="6">#REF!</definedName>
    <definedName name="a18x" localSheetId="7">#REF!</definedName>
    <definedName name="a18x" localSheetId="10">#REF!</definedName>
    <definedName name="a18x">#REF!</definedName>
    <definedName name="a19x" localSheetId="8">#REF!</definedName>
    <definedName name="a19x" localSheetId="6">#REF!</definedName>
    <definedName name="a19x" localSheetId="7">#REF!</definedName>
    <definedName name="a19x" localSheetId="10">#REF!</definedName>
    <definedName name="a19x">#REF!</definedName>
    <definedName name="a1i" localSheetId="8">#REF!</definedName>
    <definedName name="a1i" localSheetId="6">#REF!</definedName>
    <definedName name="a1i" localSheetId="7">#REF!</definedName>
    <definedName name="a1i" localSheetId="10">#REF!</definedName>
    <definedName name="a1i">#REF!</definedName>
    <definedName name="a1x" localSheetId="8">#REF!</definedName>
    <definedName name="a1x" localSheetId="6">#REF!</definedName>
    <definedName name="a1x" localSheetId="7">#REF!</definedName>
    <definedName name="a1x" localSheetId="10">#REF!</definedName>
    <definedName name="a1x">#REF!</definedName>
    <definedName name="a2i" localSheetId="8">#REF!</definedName>
    <definedName name="a2i" localSheetId="6">#REF!</definedName>
    <definedName name="a2i" localSheetId="7">#REF!</definedName>
    <definedName name="a2i" localSheetId="10">#REF!</definedName>
    <definedName name="a2i">#REF!</definedName>
    <definedName name="a2x" localSheetId="8">#REF!</definedName>
    <definedName name="a2x" localSheetId="6">#REF!</definedName>
    <definedName name="a2x" localSheetId="7">#REF!</definedName>
    <definedName name="a2x" localSheetId="10">#REF!</definedName>
    <definedName name="a2x">#REF!</definedName>
    <definedName name="a3i" localSheetId="8">#REF!</definedName>
    <definedName name="a3i" localSheetId="6">#REF!</definedName>
    <definedName name="a3i" localSheetId="7">#REF!</definedName>
    <definedName name="a3i" localSheetId="10">#REF!</definedName>
    <definedName name="a3i">#REF!</definedName>
    <definedName name="a3x" localSheetId="8">#REF!</definedName>
    <definedName name="a3x" localSheetId="6">#REF!</definedName>
    <definedName name="a3x" localSheetId="7">#REF!</definedName>
    <definedName name="a3x" localSheetId="10">#REF!</definedName>
    <definedName name="a3x">#REF!</definedName>
    <definedName name="a4x" localSheetId="8">#REF!</definedName>
    <definedName name="a4x" localSheetId="6">#REF!</definedName>
    <definedName name="a4x" localSheetId="7">#REF!</definedName>
    <definedName name="a4x" localSheetId="10">#REF!</definedName>
    <definedName name="a4x">#REF!</definedName>
    <definedName name="a5x" localSheetId="8">#REF!</definedName>
    <definedName name="a5x" localSheetId="6">#REF!</definedName>
    <definedName name="a5x" localSheetId="7">#REF!</definedName>
    <definedName name="a5x" localSheetId="10">#REF!</definedName>
    <definedName name="a5x">#REF!</definedName>
    <definedName name="a6x" localSheetId="8">#REF!</definedName>
    <definedName name="a6x" localSheetId="6">#REF!</definedName>
    <definedName name="a6x" localSheetId="7">#REF!</definedName>
    <definedName name="a6x" localSheetId="10">#REF!</definedName>
    <definedName name="a6x">#REF!</definedName>
    <definedName name="a7x" localSheetId="8">#REF!</definedName>
    <definedName name="a7x" localSheetId="6">#REF!</definedName>
    <definedName name="a7x" localSheetId="7">#REF!</definedName>
    <definedName name="a7x" localSheetId="10">#REF!</definedName>
    <definedName name="a7x">#REF!</definedName>
    <definedName name="a8x" localSheetId="8">#REF!</definedName>
    <definedName name="a8x" localSheetId="6">#REF!</definedName>
    <definedName name="a8x" localSheetId="7">#REF!</definedName>
    <definedName name="a8x" localSheetId="10">#REF!</definedName>
    <definedName name="a8x">#REF!</definedName>
    <definedName name="a9x" localSheetId="8">#REF!</definedName>
    <definedName name="a9x" localSheetId="6">#REF!</definedName>
    <definedName name="a9x" localSheetId="7">#REF!</definedName>
    <definedName name="a9x" localSheetId="10">#REF!</definedName>
    <definedName name="a9x">#REF!</definedName>
    <definedName name="AccumDepr">'[11]Data'!$I$13:$J$131</definedName>
    <definedName name="AFUDC" localSheetId="12">#REF!</definedName>
    <definedName name="AFUDC" localSheetId="8">#REF!</definedName>
    <definedName name="AFUDC" localSheetId="6">#REF!</definedName>
    <definedName name="AFUDC" localSheetId="7">#REF!</definedName>
    <definedName name="AFUDC" localSheetId="10">#REF!</definedName>
    <definedName name="AFUDC">#REF!</definedName>
    <definedName name="AIAC">'[11]Data'!$O$13:$P$131</definedName>
    <definedName name="ANNAACIAC" localSheetId="12">#REF!</definedName>
    <definedName name="ANNAACIAC" localSheetId="8">#REF!</definedName>
    <definedName name="ANNAACIAC" localSheetId="6">#REF!</definedName>
    <definedName name="ANNAACIAC" localSheetId="7">#REF!</definedName>
    <definedName name="ANNAACIAC" localSheetId="10">#REF!</definedName>
    <definedName name="ANNAACIAC">#REF!</definedName>
    <definedName name="ANNAD" localSheetId="8">#REF!</definedName>
    <definedName name="ANNAD" localSheetId="6">#REF!</definedName>
    <definedName name="ANNAD" localSheetId="7">#REF!</definedName>
    <definedName name="ANNAD" localSheetId="10">#REF!</definedName>
    <definedName name="ANNAD">#REF!</definedName>
    <definedName name="ANNAFC" localSheetId="8">#REF!</definedName>
    <definedName name="ANNAFC" localSheetId="6">#REF!</definedName>
    <definedName name="ANNAFC" localSheetId="7">#REF!</definedName>
    <definedName name="ANNAFC" localSheetId="10">#REF!</definedName>
    <definedName name="ANNAFC">#REF!</definedName>
    <definedName name="ANNCIAC" localSheetId="8">#REF!</definedName>
    <definedName name="ANNCIAC" localSheetId="6">#REF!</definedName>
    <definedName name="ANNCIAC" localSheetId="7">#REF!</definedName>
    <definedName name="ANNCIAC" localSheetId="10">#REF!</definedName>
    <definedName name="ANNCIAC">#REF!</definedName>
    <definedName name="ANNPL" localSheetId="8">#REF!</definedName>
    <definedName name="ANNPL" localSheetId="6">#REF!</definedName>
    <definedName name="ANNPL" localSheetId="7">#REF!</definedName>
    <definedName name="ANNPL" localSheetId="10">#REF!</definedName>
    <definedName name="ANNPL">#REF!</definedName>
    <definedName name="ARB" localSheetId="8">#REF!</definedName>
    <definedName name="ARB" localSheetId="6">#REF!</definedName>
    <definedName name="ARB" localSheetId="7">#REF!</definedName>
    <definedName name="ARB" localSheetId="10">#REF!</definedName>
    <definedName name="ARB">#REF!</definedName>
    <definedName name="ASECT" localSheetId="12">#REF!</definedName>
    <definedName name="ASECT" localSheetId="8">#REF!</definedName>
    <definedName name="ASECT" localSheetId="6">#REF!</definedName>
    <definedName name="ASECT" localSheetId="7">#REF!</definedName>
    <definedName name="ASECT" localSheetId="10">#REF!</definedName>
    <definedName name="ASECT" localSheetId="22">#REF!</definedName>
    <definedName name="ASECT">#REF!</definedName>
    <definedName name="b" localSheetId="12">#REF!</definedName>
    <definedName name="b" localSheetId="8">#REF!</definedName>
    <definedName name="b" localSheetId="6">#REF!</definedName>
    <definedName name="b" localSheetId="7">#REF!</definedName>
    <definedName name="b" localSheetId="10">#REF!</definedName>
    <definedName name="b">#REF!</definedName>
    <definedName name="B_1" localSheetId="8">#REF!</definedName>
    <definedName name="B_1" localSheetId="6">#REF!</definedName>
    <definedName name="B_1" localSheetId="7">#REF!</definedName>
    <definedName name="B_1" localSheetId="10">#REF!</definedName>
    <definedName name="B_1" localSheetId="22">#REF!</definedName>
    <definedName name="B_1">#REF!</definedName>
    <definedName name="B_10" localSheetId="8">#REF!</definedName>
    <definedName name="B_10" localSheetId="6">#REF!</definedName>
    <definedName name="B_10" localSheetId="7">#REF!</definedName>
    <definedName name="B_10" localSheetId="10">#REF!</definedName>
    <definedName name="B_10">#REF!</definedName>
    <definedName name="B_11">#REF!</definedName>
    <definedName name="B_12" localSheetId="8">#REF!</definedName>
    <definedName name="B_12" localSheetId="6">#REF!</definedName>
    <definedName name="B_12" localSheetId="7">#REF!</definedName>
    <definedName name="B_12" localSheetId="10">#REF!</definedName>
    <definedName name="B_12">#REF!</definedName>
    <definedName name="B_13" localSheetId="8">#REF!</definedName>
    <definedName name="B_13" localSheetId="6">#REF!</definedName>
    <definedName name="B_13" localSheetId="7">#REF!</definedName>
    <definedName name="B_13" localSheetId="10">#REF!</definedName>
    <definedName name="B_13">#REF!</definedName>
    <definedName name="B_14">#REF!</definedName>
    <definedName name="B_3" localSheetId="8">#REF!</definedName>
    <definedName name="B_3" localSheetId="6">#REF!</definedName>
    <definedName name="B_3" localSheetId="7">#REF!</definedName>
    <definedName name="B_3" localSheetId="10">#REF!</definedName>
    <definedName name="B_3">#REF!</definedName>
    <definedName name="B_3A" localSheetId="8">#REF!</definedName>
    <definedName name="B_3A" localSheetId="6">#REF!</definedName>
    <definedName name="B_3A" localSheetId="7">#REF!</definedName>
    <definedName name="B_3A" localSheetId="10">#REF!</definedName>
    <definedName name="B_3A">#REF!</definedName>
    <definedName name="B_3B" localSheetId="8">#REF!</definedName>
    <definedName name="B_3B" localSheetId="6">#REF!</definedName>
    <definedName name="B_3B" localSheetId="7">#REF!</definedName>
    <definedName name="B_3B" localSheetId="10">#REF!</definedName>
    <definedName name="B_3B">#REF!</definedName>
    <definedName name="B_4">#REF!</definedName>
    <definedName name="B_5" localSheetId="8">#REF!</definedName>
    <definedName name="B_5" localSheetId="6">#REF!</definedName>
    <definedName name="B_5" localSheetId="7">#REF!</definedName>
    <definedName name="B_5" localSheetId="10">#REF!</definedName>
    <definedName name="B_5">#REF!</definedName>
    <definedName name="B_7" localSheetId="8">#REF!</definedName>
    <definedName name="B_7" localSheetId="6">#REF!</definedName>
    <definedName name="B_7" localSheetId="7">#REF!</definedName>
    <definedName name="B_7" localSheetId="10">#REF!</definedName>
    <definedName name="B_7">#REF!</definedName>
    <definedName name="B_8" localSheetId="8">#REF!</definedName>
    <definedName name="B_8" localSheetId="6">#REF!</definedName>
    <definedName name="B_8" localSheetId="7">#REF!</definedName>
    <definedName name="B_8" localSheetId="10">#REF!</definedName>
    <definedName name="B_8">#REF!</definedName>
    <definedName name="B_9">#REF!</definedName>
    <definedName name="b10x" localSheetId="8">#REF!</definedName>
    <definedName name="b10x" localSheetId="6">#REF!</definedName>
    <definedName name="b10x" localSheetId="7">#REF!</definedName>
    <definedName name="b10x" localSheetId="10">#REF!</definedName>
    <definedName name="b10x">#REF!</definedName>
    <definedName name="b11x" localSheetId="8">#REF!</definedName>
    <definedName name="b11x" localSheetId="6">#REF!</definedName>
    <definedName name="b11x" localSheetId="7">#REF!</definedName>
    <definedName name="b11x" localSheetId="10">#REF!</definedName>
    <definedName name="b11x">#REF!</definedName>
    <definedName name="b12x" localSheetId="8">#REF!</definedName>
    <definedName name="b12x" localSheetId="6">#REF!</definedName>
    <definedName name="b12x" localSheetId="7">#REF!</definedName>
    <definedName name="b12x" localSheetId="10">#REF!</definedName>
    <definedName name="b12x">#REF!</definedName>
    <definedName name="b13x" localSheetId="8">#REF!</definedName>
    <definedName name="b13x" localSheetId="6">#REF!</definedName>
    <definedName name="b13x" localSheetId="7">#REF!</definedName>
    <definedName name="b13x" localSheetId="10">#REF!</definedName>
    <definedName name="b13x">#REF!</definedName>
    <definedName name="B14x" localSheetId="8">#REF!</definedName>
    <definedName name="B14x" localSheetId="6">#REF!</definedName>
    <definedName name="B14x" localSheetId="7">#REF!</definedName>
    <definedName name="B14x" localSheetId="10">#REF!</definedName>
    <definedName name="B14x">#REF!</definedName>
    <definedName name="b15i" localSheetId="8">#REF!</definedName>
    <definedName name="b15i" localSheetId="6">#REF!</definedName>
    <definedName name="b15i" localSheetId="7">#REF!</definedName>
    <definedName name="b15i" localSheetId="10">#REF!</definedName>
    <definedName name="b15i">#REF!</definedName>
    <definedName name="b15x" localSheetId="8">#REF!</definedName>
    <definedName name="b15x" localSheetId="6">#REF!</definedName>
    <definedName name="b15x" localSheetId="7">#REF!</definedName>
    <definedName name="b15x" localSheetId="10">#REF!</definedName>
    <definedName name="b15x">#REF!</definedName>
    <definedName name="b1i" localSheetId="8">#REF!</definedName>
    <definedName name="b1i" localSheetId="6">#REF!</definedName>
    <definedName name="b1i" localSheetId="7">#REF!</definedName>
    <definedName name="b1i" localSheetId="10">#REF!</definedName>
    <definedName name="b1i">#REF!</definedName>
    <definedName name="b1x" localSheetId="8">#REF!</definedName>
    <definedName name="b1x" localSheetId="6">#REF!</definedName>
    <definedName name="b1x" localSheetId="7">#REF!</definedName>
    <definedName name="b1x" localSheetId="10">#REF!</definedName>
    <definedName name="b1x">#REF!</definedName>
    <definedName name="b2i" localSheetId="8">#REF!</definedName>
    <definedName name="b2i" localSheetId="6">#REF!</definedName>
    <definedName name="b2i" localSheetId="7">#REF!</definedName>
    <definedName name="b2i" localSheetId="10">#REF!</definedName>
    <definedName name="b2i">#REF!</definedName>
    <definedName name="b2x" localSheetId="8">#REF!</definedName>
    <definedName name="b2x" localSheetId="6">#REF!</definedName>
    <definedName name="b2x" localSheetId="7">#REF!</definedName>
    <definedName name="b2x" localSheetId="10">#REF!</definedName>
    <definedName name="b2x">#REF!</definedName>
    <definedName name="B3B">'[12]A1 OPERATING INCOME ADJUST'!$A$49:$P$97</definedName>
    <definedName name="b3i" localSheetId="12">#REF!</definedName>
    <definedName name="b3i" localSheetId="8">#REF!</definedName>
    <definedName name="b3i" localSheetId="6">#REF!</definedName>
    <definedName name="b3i" localSheetId="7">#REF!</definedName>
    <definedName name="b3i" localSheetId="10">#REF!</definedName>
    <definedName name="b3i">#REF!</definedName>
    <definedName name="B3R">'[12]A1 OPERATING INCOME ADJUST'!$A$1:$P$48</definedName>
    <definedName name="b3x" localSheetId="12">#REF!</definedName>
    <definedName name="b3x" localSheetId="8">#REF!</definedName>
    <definedName name="b3x" localSheetId="6">#REF!</definedName>
    <definedName name="b3x" localSheetId="7">#REF!</definedName>
    <definedName name="b3x" localSheetId="10">#REF!</definedName>
    <definedName name="b3x">#REF!</definedName>
    <definedName name="b4x" localSheetId="8">#REF!</definedName>
    <definedName name="b4x" localSheetId="6">#REF!</definedName>
    <definedName name="b4x" localSheetId="7">#REF!</definedName>
    <definedName name="b4x" localSheetId="10">#REF!</definedName>
    <definedName name="b4x">#REF!</definedName>
    <definedName name="b5x" localSheetId="8">#REF!</definedName>
    <definedName name="b5x" localSheetId="6">#REF!</definedName>
    <definedName name="b5x" localSheetId="7">#REF!</definedName>
    <definedName name="b5x" localSheetId="10">#REF!</definedName>
    <definedName name="b5x">#REF!</definedName>
    <definedName name="b6x" localSheetId="8">#REF!</definedName>
    <definedName name="b6x" localSheetId="6">#REF!</definedName>
    <definedName name="b6x" localSheetId="7">#REF!</definedName>
    <definedName name="b6x" localSheetId="10">#REF!</definedName>
    <definedName name="b6x">#REF!</definedName>
    <definedName name="b7x" localSheetId="8">#REF!</definedName>
    <definedName name="b7x" localSheetId="6">#REF!</definedName>
    <definedName name="b7x" localSheetId="7">#REF!</definedName>
    <definedName name="b7x" localSheetId="10">#REF!</definedName>
    <definedName name="b7x">#REF!</definedName>
    <definedName name="b8x" localSheetId="8">#REF!</definedName>
    <definedName name="b8x" localSheetId="6">#REF!</definedName>
    <definedName name="b8x" localSheetId="7">#REF!</definedName>
    <definedName name="b8x" localSheetId="10">#REF!</definedName>
    <definedName name="b8x">#REF!</definedName>
    <definedName name="b9x" localSheetId="8">#REF!</definedName>
    <definedName name="b9x" localSheetId="6">#REF!</definedName>
    <definedName name="b9x" localSheetId="7">#REF!</definedName>
    <definedName name="b9x" localSheetId="10">#REF!</definedName>
    <definedName name="b9x">#REF!</definedName>
    <definedName name="BALANCE" localSheetId="8">#REF!</definedName>
    <definedName name="BALANCE" localSheetId="6">#REF!</definedName>
    <definedName name="BALANCE" localSheetId="7">#REF!</definedName>
    <definedName name="BALANCE" localSheetId="10">#REF!</definedName>
    <definedName name="BALANCE">#REF!</definedName>
    <definedName name="BSECT" localSheetId="12">#REF!</definedName>
    <definedName name="BSECT" localSheetId="8">#REF!</definedName>
    <definedName name="BSECT" localSheetId="6">#REF!</definedName>
    <definedName name="BSECT" localSheetId="7">#REF!</definedName>
    <definedName name="BSECT" localSheetId="10">#REF!</definedName>
    <definedName name="BSECT" localSheetId="22">#REF!</definedName>
    <definedName name="BSECT">#REF!</definedName>
    <definedName name="C_1" localSheetId="12">#REF!</definedName>
    <definedName name="C_1" localSheetId="8">#REF!</definedName>
    <definedName name="C_1" localSheetId="6">#REF!</definedName>
    <definedName name="C_1" localSheetId="7">#REF!</definedName>
    <definedName name="C_1" localSheetId="10">#REF!</definedName>
    <definedName name="C_1">#REF!</definedName>
    <definedName name="C_10" localSheetId="8">#REF!</definedName>
    <definedName name="C_10" localSheetId="6">#REF!</definedName>
    <definedName name="C_10" localSheetId="7">#REF!</definedName>
    <definedName name="C_10" localSheetId="10">#REF!</definedName>
    <definedName name="C_10">#REF!</definedName>
    <definedName name="c_10x" localSheetId="8">#REF!</definedName>
    <definedName name="c_10x" localSheetId="6">#REF!</definedName>
    <definedName name="c_10x" localSheetId="7">#REF!</definedName>
    <definedName name="c_10x" localSheetId="10">#REF!</definedName>
    <definedName name="c_10x">#REF!</definedName>
    <definedName name="c_1i" localSheetId="8">#REF!</definedName>
    <definedName name="c_1i" localSheetId="6">#REF!</definedName>
    <definedName name="c_1i" localSheetId="7">#REF!</definedName>
    <definedName name="c_1i" localSheetId="10">#REF!</definedName>
    <definedName name="c_1i">#REF!</definedName>
    <definedName name="c_1x" localSheetId="8">#REF!</definedName>
    <definedName name="c_1x" localSheetId="6">#REF!</definedName>
    <definedName name="c_1x" localSheetId="7">#REF!</definedName>
    <definedName name="c_1x" localSheetId="10">#REF!</definedName>
    <definedName name="c_1x">#REF!</definedName>
    <definedName name="C_2" localSheetId="8">#REF!</definedName>
    <definedName name="C_2" localSheetId="6">#REF!</definedName>
    <definedName name="C_2" localSheetId="7">#REF!</definedName>
    <definedName name="C_2" localSheetId="10">#REF!</definedName>
    <definedName name="C_2">#REF!</definedName>
    <definedName name="c_2i" localSheetId="8">#REF!</definedName>
    <definedName name="c_2i" localSheetId="6">#REF!</definedName>
    <definedName name="c_2i" localSheetId="7">#REF!</definedName>
    <definedName name="c_2i" localSheetId="10">#REF!</definedName>
    <definedName name="c_2i">#REF!</definedName>
    <definedName name="c_2x" localSheetId="8">#REF!</definedName>
    <definedName name="c_2x" localSheetId="6">#REF!</definedName>
    <definedName name="c_2x" localSheetId="7">#REF!</definedName>
    <definedName name="c_2x" localSheetId="10">#REF!</definedName>
    <definedName name="c_2x">#REF!</definedName>
    <definedName name="C_3" localSheetId="8">#REF!</definedName>
    <definedName name="C_3" localSheetId="6">#REF!</definedName>
    <definedName name="C_3" localSheetId="7">#REF!</definedName>
    <definedName name="C_3" localSheetId="10">#REF!</definedName>
    <definedName name="C_3">#REF!</definedName>
    <definedName name="c_3x" localSheetId="8">#REF!</definedName>
    <definedName name="c_3x" localSheetId="6">#REF!</definedName>
    <definedName name="c_3x" localSheetId="7">#REF!</definedName>
    <definedName name="c_3x" localSheetId="10">#REF!</definedName>
    <definedName name="c_3x">#REF!</definedName>
    <definedName name="C_4" localSheetId="8">#REF!</definedName>
    <definedName name="C_4" localSheetId="6">#REF!</definedName>
    <definedName name="C_4" localSheetId="7">#REF!</definedName>
    <definedName name="C_4" localSheetId="10">#REF!</definedName>
    <definedName name="C_4">#REF!</definedName>
    <definedName name="c_4x" localSheetId="8">#REF!</definedName>
    <definedName name="c_4x" localSheetId="6">#REF!</definedName>
    <definedName name="c_4x" localSheetId="7">#REF!</definedName>
    <definedName name="c_4x" localSheetId="10">#REF!</definedName>
    <definedName name="c_4x">#REF!</definedName>
    <definedName name="C_5" localSheetId="8">#REF!</definedName>
    <definedName name="C_5" localSheetId="6">#REF!</definedName>
    <definedName name="C_5" localSheetId="7">#REF!</definedName>
    <definedName name="C_5" localSheetId="10">#REF!</definedName>
    <definedName name="C_5">#REF!</definedName>
    <definedName name="c_5i" localSheetId="8">#REF!</definedName>
    <definedName name="c_5i" localSheetId="6">#REF!</definedName>
    <definedName name="c_5i" localSheetId="7">#REF!</definedName>
    <definedName name="c_5i" localSheetId="10">#REF!</definedName>
    <definedName name="c_5i">#REF!</definedName>
    <definedName name="c_5x" localSheetId="8">#REF!</definedName>
    <definedName name="c_5x" localSheetId="6">#REF!</definedName>
    <definedName name="c_5x" localSheetId="7">#REF!</definedName>
    <definedName name="c_5x" localSheetId="10">#REF!</definedName>
    <definedName name="c_5x">#REF!</definedName>
    <definedName name="C_6" localSheetId="8">#REF!</definedName>
    <definedName name="C_6" localSheetId="6">#REF!</definedName>
    <definedName name="C_6" localSheetId="7">#REF!</definedName>
    <definedName name="C_6" localSheetId="10">#REF!</definedName>
    <definedName name="C_6" localSheetId="22">#REF!</definedName>
    <definedName name="C_6">#REF!</definedName>
    <definedName name="c_6x1" localSheetId="8">#REF!</definedName>
    <definedName name="c_6x1" localSheetId="6">#REF!</definedName>
    <definedName name="c_6x1" localSheetId="7">#REF!</definedName>
    <definedName name="c_6x1" localSheetId="10">#REF!</definedName>
    <definedName name="c_6x1">#REF!</definedName>
    <definedName name="c_6x2" localSheetId="8">#REF!</definedName>
    <definedName name="c_6x2" localSheetId="6">#REF!</definedName>
    <definedName name="c_6x2" localSheetId="7">#REF!</definedName>
    <definedName name="c_6x2" localSheetId="10">#REF!</definedName>
    <definedName name="c_6x2">#REF!</definedName>
    <definedName name="c_6x3" localSheetId="8">#REF!</definedName>
    <definedName name="c_6x3" localSheetId="6">#REF!</definedName>
    <definedName name="c_6x3" localSheetId="7">#REF!</definedName>
    <definedName name="c_6x3" localSheetId="10">#REF!</definedName>
    <definedName name="c_6x3">#REF!</definedName>
    <definedName name="C_7" localSheetId="8">#REF!</definedName>
    <definedName name="C_7" localSheetId="6">#REF!</definedName>
    <definedName name="C_7" localSheetId="7">#REF!</definedName>
    <definedName name="C_7" localSheetId="10">#REF!</definedName>
    <definedName name="C_7">#REF!</definedName>
    <definedName name="C_7A" localSheetId="8">#REF!</definedName>
    <definedName name="C_7A" localSheetId="6">#REF!</definedName>
    <definedName name="C_7A" localSheetId="7">#REF!</definedName>
    <definedName name="C_7A" localSheetId="10">#REF!</definedName>
    <definedName name="C_7A">#REF!</definedName>
    <definedName name="c_7x1" localSheetId="8">#REF!</definedName>
    <definedName name="c_7x1" localSheetId="6">#REF!</definedName>
    <definedName name="c_7x1" localSheetId="7">#REF!</definedName>
    <definedName name="c_7x1" localSheetId="10">#REF!</definedName>
    <definedName name="c_7x1">#REF!</definedName>
    <definedName name="c_7x2" localSheetId="8">#REF!</definedName>
    <definedName name="c_7x2" localSheetId="6">#REF!</definedName>
    <definedName name="c_7x2" localSheetId="7">#REF!</definedName>
    <definedName name="c_7x2" localSheetId="10">#REF!</definedName>
    <definedName name="c_7x2">#REF!</definedName>
    <definedName name="c_7x3" localSheetId="8">#REF!</definedName>
    <definedName name="c_7x3" localSheetId="6">#REF!</definedName>
    <definedName name="c_7x3" localSheetId="7">#REF!</definedName>
    <definedName name="c_7x3" localSheetId="10">#REF!</definedName>
    <definedName name="c_7x3">#REF!</definedName>
    <definedName name="c_7x4" localSheetId="8">#REF!</definedName>
    <definedName name="c_7x4" localSheetId="6">#REF!</definedName>
    <definedName name="c_7x4" localSheetId="7">#REF!</definedName>
    <definedName name="c_7x4" localSheetId="10">#REF!</definedName>
    <definedName name="c_7x4">#REF!</definedName>
    <definedName name="C_8" localSheetId="8">#REF!</definedName>
    <definedName name="C_8" localSheetId="6">#REF!</definedName>
    <definedName name="C_8" localSheetId="7">#REF!</definedName>
    <definedName name="C_8" localSheetId="10">#REF!</definedName>
    <definedName name="C_8">#REF!</definedName>
    <definedName name="c_8x" localSheetId="8">#REF!</definedName>
    <definedName name="c_8x" localSheetId="6">#REF!</definedName>
    <definedName name="c_8x" localSheetId="7">#REF!</definedName>
    <definedName name="c_8x" localSheetId="10">#REF!</definedName>
    <definedName name="c_8x">#REF!</definedName>
    <definedName name="C_9" localSheetId="8">#REF!</definedName>
    <definedName name="C_9" localSheetId="6">#REF!</definedName>
    <definedName name="C_9" localSheetId="7">#REF!</definedName>
    <definedName name="C_9" localSheetId="10">#REF!</definedName>
    <definedName name="C_9">#REF!</definedName>
    <definedName name="c_9x" localSheetId="8">#REF!</definedName>
    <definedName name="c_9x" localSheetId="6">#REF!</definedName>
    <definedName name="c_9x" localSheetId="7">#REF!</definedName>
    <definedName name="c_9x" localSheetId="10">#REF!</definedName>
    <definedName name="c_9x">#REF!</definedName>
    <definedName name="CIAC">'[11]Data'!$R$13:$S$131</definedName>
    <definedName name="CNC2.CE" localSheetId="12">#REF!</definedName>
    <definedName name="CNC2.CE" localSheetId="8">#REF!</definedName>
    <definedName name="CNC2.CE" localSheetId="6">#REF!</definedName>
    <definedName name="CNC2.CE" localSheetId="7">#REF!</definedName>
    <definedName name="CNC2.CE" localSheetId="10">#REF!</definedName>
    <definedName name="CNC2.CE">#REF!</definedName>
    <definedName name="CO__02" localSheetId="12">#REF!</definedName>
    <definedName name="CO__02" localSheetId="8">#REF!</definedName>
    <definedName name="CO__02" localSheetId="6">#REF!</definedName>
    <definedName name="CO__02" localSheetId="7">#REF!</definedName>
    <definedName name="CO__02" localSheetId="10">#REF!</definedName>
    <definedName name="CO__02">#REF!</definedName>
    <definedName name="COMPANY" localSheetId="12">'[1]Macros'!$E$4</definedName>
    <definedName name="COMPANY">'[2]Macros'!$E$4</definedName>
    <definedName name="CSECT" localSheetId="12">#REF!</definedName>
    <definedName name="CSECT" localSheetId="8">#REF!</definedName>
    <definedName name="CSECT" localSheetId="6">#REF!</definedName>
    <definedName name="CSECT" localSheetId="7">#REF!</definedName>
    <definedName name="CSECT" localSheetId="10">#REF!</definedName>
    <definedName name="CSECT" localSheetId="22">#REF!</definedName>
    <definedName name="CSECT">#REF!</definedName>
    <definedName name="CustomerDeposits">'[11]Data'!$AA$13:$AB$131</definedName>
    <definedName name="CWIP">'[11]Data'!$F$13:$G$131</definedName>
    <definedName name="CWS.CE" localSheetId="12">#REF!</definedName>
    <definedName name="CWS.CE" localSheetId="8">#REF!</definedName>
    <definedName name="CWS.CE" localSheetId="6">#REF!</definedName>
    <definedName name="CWS.CE" localSheetId="7">#REF!</definedName>
    <definedName name="CWS.CE" localSheetId="10">#REF!</definedName>
    <definedName name="CWS.CE">#REF!</definedName>
    <definedName name="D_1" localSheetId="8">#REF!</definedName>
    <definedName name="D_1" localSheetId="6">#REF!</definedName>
    <definedName name="D_1" localSheetId="7">#REF!</definedName>
    <definedName name="D_1" localSheetId="10">#REF!</definedName>
    <definedName name="D_1" localSheetId="22">#REF!</definedName>
    <definedName name="D_1">#REF!</definedName>
    <definedName name="D_2" localSheetId="8">#REF!</definedName>
    <definedName name="D_2" localSheetId="6">#REF!</definedName>
    <definedName name="D_2" localSheetId="7">#REF!</definedName>
    <definedName name="D_2" localSheetId="10">#REF!</definedName>
    <definedName name="D_2">#REF!</definedName>
    <definedName name="D_3" localSheetId="8">#REF!</definedName>
    <definedName name="D_3" localSheetId="6">#REF!</definedName>
    <definedName name="D_3" localSheetId="7">#REF!</definedName>
    <definedName name="D_3" localSheetId="10">#REF!</definedName>
    <definedName name="D_3">#REF!</definedName>
    <definedName name="D_4" localSheetId="8">#REF!</definedName>
    <definedName name="D_4" localSheetId="6">#REF!</definedName>
    <definedName name="D_4" localSheetId="7">#REF!</definedName>
    <definedName name="D_4" localSheetId="10">#REF!</definedName>
    <definedName name="D_4">#REF!</definedName>
    <definedName name="D_5" localSheetId="8">#REF!</definedName>
    <definedName name="D_5" localSheetId="6">#REF!</definedName>
    <definedName name="D_5" localSheetId="7">#REF!</definedName>
    <definedName name="D_5" localSheetId="10">#REF!</definedName>
    <definedName name="D_5">#REF!</definedName>
    <definedName name="D_6" localSheetId="8">#REF!</definedName>
    <definedName name="D_6" localSheetId="6">#REF!</definedName>
    <definedName name="D_6" localSheetId="7">#REF!</definedName>
    <definedName name="D_6" localSheetId="10">#REF!</definedName>
    <definedName name="D_6">#REF!</definedName>
    <definedName name="D_7" localSheetId="8">#REF!</definedName>
    <definedName name="D_7" localSheetId="6">#REF!</definedName>
    <definedName name="D_7" localSheetId="7">#REF!</definedName>
    <definedName name="D_7" localSheetId="10">#REF!</definedName>
    <definedName name="D_7">#REF!</definedName>
    <definedName name="D1I" localSheetId="8">#REF!</definedName>
    <definedName name="D1I" localSheetId="6">#REF!</definedName>
    <definedName name="D1I" localSheetId="7">#REF!</definedName>
    <definedName name="D1I" localSheetId="10">#REF!</definedName>
    <definedName name="D1I">#REF!</definedName>
    <definedName name="d1x" localSheetId="8">#REF!</definedName>
    <definedName name="d1x" localSheetId="6">#REF!</definedName>
    <definedName name="d1x" localSheetId="7">#REF!</definedName>
    <definedName name="d1x" localSheetId="10">#REF!</definedName>
    <definedName name="d1x">#REF!</definedName>
    <definedName name="d2i" localSheetId="8">#REF!</definedName>
    <definedName name="d2i" localSheetId="6">#REF!</definedName>
    <definedName name="d2i" localSheetId="7">#REF!</definedName>
    <definedName name="d2i" localSheetId="10">#REF!</definedName>
    <definedName name="d2i">#REF!</definedName>
    <definedName name="D2x" localSheetId="8">#REF!</definedName>
    <definedName name="D2x" localSheetId="6">#REF!</definedName>
    <definedName name="D2x" localSheetId="7">#REF!</definedName>
    <definedName name="D2x" localSheetId="10">#REF!</definedName>
    <definedName name="D2x">#REF!</definedName>
    <definedName name="D3x" localSheetId="8">#REF!</definedName>
    <definedName name="D3x" localSheetId="6">#REF!</definedName>
    <definedName name="D3x" localSheetId="7">#REF!</definedName>
    <definedName name="D3x" localSheetId="10">#REF!</definedName>
    <definedName name="D3x">#REF!</definedName>
    <definedName name="D4x" localSheetId="8">#REF!</definedName>
    <definedName name="D4x" localSheetId="6">#REF!</definedName>
    <definedName name="D4x" localSheetId="7">#REF!</definedName>
    <definedName name="D4x" localSheetId="10">#REF!</definedName>
    <definedName name="D4x">#REF!</definedName>
    <definedName name="D5x" localSheetId="8">#REF!</definedName>
    <definedName name="D5x" localSheetId="6">#REF!</definedName>
    <definedName name="D5x" localSheetId="7">#REF!</definedName>
    <definedName name="D5x" localSheetId="10">#REF!</definedName>
    <definedName name="D5x">#REF!</definedName>
    <definedName name="D6x" localSheetId="8">#REF!</definedName>
    <definedName name="D6x" localSheetId="6">#REF!</definedName>
    <definedName name="D6x" localSheetId="7">#REF!</definedName>
    <definedName name="D6x" localSheetId="10">#REF!</definedName>
    <definedName name="D6x">#REF!</definedName>
    <definedName name="D7x" localSheetId="8">#REF!</definedName>
    <definedName name="D7x" localSheetId="6">#REF!</definedName>
    <definedName name="D7x" localSheetId="7">#REF!</definedName>
    <definedName name="D7x" localSheetId="10">#REF!</definedName>
    <definedName name="D7x">#REF!</definedName>
    <definedName name="DeferredCharges">'[11]Data'!$U$13:$V$131</definedName>
    <definedName name="DeferredIncomeTaxes">'[11]Data'!$X$13:$Y$131</definedName>
    <definedName name="DIR" localSheetId="12">#REF!</definedName>
    <definedName name="DIR" localSheetId="8">#REF!</definedName>
    <definedName name="DIR" localSheetId="6">#REF!</definedName>
    <definedName name="DIR" localSheetId="7">#REF!</definedName>
    <definedName name="DIR" localSheetId="10">#REF!</definedName>
    <definedName name="DIR">#REF!</definedName>
    <definedName name="DisallowedPAA">'[11]Data'!$CF$13:$CG$131</definedName>
    <definedName name="DOCKET" localSheetId="22">'[2]Macros'!$E$6</definedName>
    <definedName name="DOCKET">'[14]INFO'!$D$15</definedName>
    <definedName name="DSECT" localSheetId="12">#REF!</definedName>
    <definedName name="DSECT" localSheetId="8">#REF!</definedName>
    <definedName name="DSECT" localSheetId="6">#REF!</definedName>
    <definedName name="DSECT" localSheetId="7">#REF!</definedName>
    <definedName name="DSECT" localSheetId="10">#REF!</definedName>
    <definedName name="DSECT" localSheetId="22">#REF!</definedName>
    <definedName name="DSECT">#REF!</definedName>
    <definedName name="E_1" localSheetId="8">#REF!</definedName>
    <definedName name="E_1" localSheetId="6">#REF!</definedName>
    <definedName name="E_1" localSheetId="7">#REF!</definedName>
    <definedName name="E_1" localSheetId="10">#REF!</definedName>
    <definedName name="E_1" localSheetId="22">#REF!</definedName>
    <definedName name="E_1">#REF!</definedName>
    <definedName name="E_10" localSheetId="8">#REF!</definedName>
    <definedName name="E_10" localSheetId="6">#REF!</definedName>
    <definedName name="E_10" localSheetId="7">#REF!</definedName>
    <definedName name="E_10" localSheetId="10">#REF!</definedName>
    <definedName name="E_10">#REF!</definedName>
    <definedName name="E_11" localSheetId="8">#REF!</definedName>
    <definedName name="E_11" localSheetId="6">#REF!</definedName>
    <definedName name="E_11" localSheetId="7">#REF!</definedName>
    <definedName name="E_11" localSheetId="10">#REF!</definedName>
    <definedName name="E_11">#REF!</definedName>
    <definedName name="E_12" localSheetId="8">#REF!</definedName>
    <definedName name="E_12" localSheetId="6">#REF!</definedName>
    <definedName name="E_12" localSheetId="7">#REF!</definedName>
    <definedName name="E_12" localSheetId="10">#REF!</definedName>
    <definedName name="E_12">#REF!</definedName>
    <definedName name="E_13" localSheetId="8">#REF!</definedName>
    <definedName name="E_13" localSheetId="6">#REF!</definedName>
    <definedName name="E_13" localSheetId="7">#REF!</definedName>
    <definedName name="E_13" localSheetId="10">#REF!</definedName>
    <definedName name="E_13">#REF!</definedName>
    <definedName name="E_14" localSheetId="8">#REF!</definedName>
    <definedName name="E_14" localSheetId="6">#REF!</definedName>
    <definedName name="E_14" localSheetId="7">#REF!</definedName>
    <definedName name="E_14" localSheetId="10">#REF!</definedName>
    <definedName name="E_14">#REF!</definedName>
    <definedName name="E_2" localSheetId="8">#REF!</definedName>
    <definedName name="E_2" localSheetId="6">#REF!</definedName>
    <definedName name="E_2" localSheetId="7">#REF!</definedName>
    <definedName name="E_2" localSheetId="10">#REF!</definedName>
    <definedName name="E_2">#REF!</definedName>
    <definedName name="E_2A" localSheetId="8">#REF!</definedName>
    <definedName name="E_2A" localSheetId="6">#REF!</definedName>
    <definedName name="E_2A" localSheetId="7">#REF!</definedName>
    <definedName name="E_2A" localSheetId="10">#REF!</definedName>
    <definedName name="E_2A" localSheetId="22">#REF!</definedName>
    <definedName name="E_2A">#REF!</definedName>
    <definedName name="E_3" localSheetId="8">#REF!</definedName>
    <definedName name="E_3" localSheetId="6">#REF!</definedName>
    <definedName name="E_3" localSheetId="7">#REF!</definedName>
    <definedName name="E_3" localSheetId="10">#REF!</definedName>
    <definedName name="E_3">#REF!</definedName>
    <definedName name="E_4" localSheetId="8">#REF!</definedName>
    <definedName name="E_4" localSheetId="6">#REF!</definedName>
    <definedName name="E_4" localSheetId="7">#REF!</definedName>
    <definedName name="E_4" localSheetId="10">#REF!</definedName>
    <definedName name="E_4">#REF!</definedName>
    <definedName name="E_5" localSheetId="8">#REF!</definedName>
    <definedName name="E_5" localSheetId="6">#REF!</definedName>
    <definedName name="E_5" localSheetId="7">#REF!</definedName>
    <definedName name="E_5" localSheetId="10">#REF!</definedName>
    <definedName name="E_5">#REF!</definedName>
    <definedName name="E_6" localSheetId="8">#REF!</definedName>
    <definedName name="E_6" localSheetId="6">#REF!</definedName>
    <definedName name="E_6" localSheetId="7">#REF!</definedName>
    <definedName name="E_6" localSheetId="10">#REF!</definedName>
    <definedName name="E_6">#REF!</definedName>
    <definedName name="E_7" localSheetId="8">#REF!</definedName>
    <definedName name="E_7" localSheetId="6">#REF!</definedName>
    <definedName name="E_7" localSheetId="7">#REF!</definedName>
    <definedName name="E_7" localSheetId="10">#REF!</definedName>
    <definedName name="E_7">#REF!</definedName>
    <definedName name="E_8" localSheetId="8">#REF!</definedName>
    <definedName name="E_8" localSheetId="6">#REF!</definedName>
    <definedName name="E_8" localSheetId="7">#REF!</definedName>
    <definedName name="E_8" localSheetId="10">#REF!</definedName>
    <definedName name="E_8">#REF!</definedName>
    <definedName name="E_9" localSheetId="8">#REF!</definedName>
    <definedName name="E_9" localSheetId="6">#REF!</definedName>
    <definedName name="E_9" localSheetId="7">#REF!</definedName>
    <definedName name="E_9" localSheetId="10">#REF!</definedName>
    <definedName name="E_9">#REF!</definedName>
    <definedName name="e10x1" localSheetId="8">#REF!</definedName>
    <definedName name="e10x1" localSheetId="6">#REF!</definedName>
    <definedName name="e10x1" localSheetId="7">#REF!</definedName>
    <definedName name="e10x1" localSheetId="10">#REF!</definedName>
    <definedName name="e10x1">#REF!</definedName>
    <definedName name="e10x2" localSheetId="8">#REF!</definedName>
    <definedName name="e10x2" localSheetId="6">#REF!</definedName>
    <definedName name="e10x2" localSheetId="7">#REF!</definedName>
    <definedName name="e10x2" localSheetId="10">#REF!</definedName>
    <definedName name="e10x2">#REF!</definedName>
    <definedName name="e11x" localSheetId="8">#REF!</definedName>
    <definedName name="e11x" localSheetId="6">#REF!</definedName>
    <definedName name="e11x" localSheetId="7">#REF!</definedName>
    <definedName name="e11x" localSheetId="10">#REF!</definedName>
    <definedName name="e11x">#REF!</definedName>
    <definedName name="e12x" localSheetId="8">#REF!</definedName>
    <definedName name="e12x" localSheetId="6">#REF!</definedName>
    <definedName name="e12x" localSheetId="7">#REF!</definedName>
    <definedName name="e12x" localSheetId="10">#REF!</definedName>
    <definedName name="e12x">#REF!</definedName>
    <definedName name="e13x" localSheetId="8">#REF!</definedName>
    <definedName name="e13x" localSheetId="6">#REF!</definedName>
    <definedName name="e13x" localSheetId="7">#REF!</definedName>
    <definedName name="e13x" localSheetId="10">#REF!</definedName>
    <definedName name="e13x">#REF!</definedName>
    <definedName name="e14x" localSheetId="8">#REF!</definedName>
    <definedName name="e14x" localSheetId="6">#REF!</definedName>
    <definedName name="e14x" localSheetId="7">#REF!</definedName>
    <definedName name="e14x" localSheetId="10">#REF!</definedName>
    <definedName name="e14x">#REF!</definedName>
    <definedName name="e1x" localSheetId="8">#REF!</definedName>
    <definedName name="e1x" localSheetId="6">#REF!</definedName>
    <definedName name="e1x" localSheetId="7">#REF!</definedName>
    <definedName name="e1x" localSheetId="10">#REF!</definedName>
    <definedName name="e1x">#REF!</definedName>
    <definedName name="e1x2" localSheetId="8">#REF!</definedName>
    <definedName name="e1x2" localSheetId="6">#REF!</definedName>
    <definedName name="e1x2" localSheetId="7">#REF!</definedName>
    <definedName name="e1x2" localSheetId="10">#REF!</definedName>
    <definedName name="e1x2">#REF!</definedName>
    <definedName name="e2i" localSheetId="8">#REF!</definedName>
    <definedName name="e2i" localSheetId="6">#REF!</definedName>
    <definedName name="e2i" localSheetId="7">#REF!</definedName>
    <definedName name="e2i" localSheetId="10">#REF!</definedName>
    <definedName name="e2i">#REF!</definedName>
    <definedName name="e2i2" localSheetId="8">#REF!</definedName>
    <definedName name="e2i2" localSheetId="6">#REF!</definedName>
    <definedName name="e2i2" localSheetId="7">#REF!</definedName>
    <definedName name="e2i2" localSheetId="10">#REF!</definedName>
    <definedName name="e2i2">#REF!</definedName>
    <definedName name="e2x" localSheetId="8">#REF!</definedName>
    <definedName name="e2x" localSheetId="6">#REF!</definedName>
    <definedName name="e2x" localSheetId="7">#REF!</definedName>
    <definedName name="e2x" localSheetId="10">#REF!</definedName>
    <definedName name="e2x">#REF!</definedName>
    <definedName name="e2x2" localSheetId="8">#REF!</definedName>
    <definedName name="e2x2" localSheetId="6">#REF!</definedName>
    <definedName name="e2x2" localSheetId="7">#REF!</definedName>
    <definedName name="e2x2" localSheetId="10">#REF!</definedName>
    <definedName name="e2x2">#REF!</definedName>
    <definedName name="E3s" localSheetId="8">#REF!</definedName>
    <definedName name="E3s" localSheetId="6">#REF!</definedName>
    <definedName name="E3s" localSheetId="7">#REF!</definedName>
    <definedName name="E3s" localSheetId="10">#REF!</definedName>
    <definedName name="E3s">#REF!</definedName>
    <definedName name="E3w" localSheetId="8">#REF!</definedName>
    <definedName name="E3w" localSheetId="6">#REF!</definedName>
    <definedName name="E3w" localSheetId="7">#REF!</definedName>
    <definedName name="E3w" localSheetId="10">#REF!</definedName>
    <definedName name="E3w">#REF!</definedName>
    <definedName name="e3x" localSheetId="8">#REF!</definedName>
    <definedName name="e3x" localSheetId="6">#REF!</definedName>
    <definedName name="e3x" localSheetId="7">#REF!</definedName>
    <definedName name="e3x" localSheetId="10">#REF!</definedName>
    <definedName name="e3x">#REF!</definedName>
    <definedName name="e4x" localSheetId="8">#REF!</definedName>
    <definedName name="e4x" localSheetId="6">#REF!</definedName>
    <definedName name="e4x" localSheetId="7">#REF!</definedName>
    <definedName name="e4x" localSheetId="10">#REF!</definedName>
    <definedName name="e4x">#REF!</definedName>
    <definedName name="e5x" localSheetId="8">#REF!</definedName>
    <definedName name="e5x" localSheetId="6">#REF!</definedName>
    <definedName name="e5x" localSheetId="7">#REF!</definedName>
    <definedName name="e5x" localSheetId="10">#REF!</definedName>
    <definedName name="e5x">#REF!</definedName>
    <definedName name="e6x" localSheetId="8">#REF!</definedName>
    <definedName name="e6x" localSheetId="6">#REF!</definedName>
    <definedName name="e6x" localSheetId="7">#REF!</definedName>
    <definedName name="e6x" localSheetId="10">#REF!</definedName>
    <definedName name="e6x">#REF!</definedName>
    <definedName name="e7x" localSheetId="8">#REF!</definedName>
    <definedName name="e7x" localSheetId="6">#REF!</definedName>
    <definedName name="e7x" localSheetId="7">#REF!</definedName>
    <definedName name="e7x" localSheetId="10">#REF!</definedName>
    <definedName name="e7x">#REF!</definedName>
    <definedName name="e8x" localSheetId="8">#REF!</definedName>
    <definedName name="e8x" localSheetId="6">#REF!</definedName>
    <definedName name="e8x" localSheetId="7">#REF!</definedName>
    <definedName name="e8x" localSheetId="10">#REF!</definedName>
    <definedName name="e8x">#REF!</definedName>
    <definedName name="e9x" localSheetId="8">#REF!</definedName>
    <definedName name="e9x" localSheetId="6">#REF!</definedName>
    <definedName name="e9x" localSheetId="7">#REF!</definedName>
    <definedName name="e9x" localSheetId="10">#REF!</definedName>
    <definedName name="e9x">#REF!</definedName>
    <definedName name="ERC_S" localSheetId="8">#REF!</definedName>
    <definedName name="ERC_S" localSheetId="6">#REF!</definedName>
    <definedName name="ERC_S" localSheetId="7">#REF!</definedName>
    <definedName name="ERC_S" localSheetId="10">#REF!</definedName>
    <definedName name="ERC_S">#REF!</definedName>
    <definedName name="ERC_W" localSheetId="8">#REF!</definedName>
    <definedName name="ERC_W" localSheetId="6">#REF!</definedName>
    <definedName name="ERC_W" localSheetId="7">#REF!</definedName>
    <definedName name="ERC_W" localSheetId="10">#REF!</definedName>
    <definedName name="ERC_W">#REF!</definedName>
    <definedName name="ESECT" localSheetId="12">#REF!</definedName>
    <definedName name="ESECT" localSheetId="8">#REF!</definedName>
    <definedName name="ESECT" localSheetId="6">#REF!</definedName>
    <definedName name="ESECT" localSheetId="7">#REF!</definedName>
    <definedName name="ESECT" localSheetId="10">#REF!</definedName>
    <definedName name="ESECT" localSheetId="22">#REF!</definedName>
    <definedName name="ESECT">#REF!</definedName>
    <definedName name="F_1" localSheetId="8">#REF!</definedName>
    <definedName name="F_1" localSheetId="6">#REF!</definedName>
    <definedName name="F_1" localSheetId="7">#REF!</definedName>
    <definedName name="F_1" localSheetId="10">#REF!</definedName>
    <definedName name="F_1" localSheetId="22">#REF!</definedName>
    <definedName name="F_1">#REF!</definedName>
    <definedName name="F_10" localSheetId="8">#REF!</definedName>
    <definedName name="F_10" localSheetId="6">#REF!</definedName>
    <definedName name="F_10" localSheetId="7">#REF!</definedName>
    <definedName name="F_10" localSheetId="10">#REF!</definedName>
    <definedName name="F_10">#REF!</definedName>
    <definedName name="F_1A" localSheetId="8">#REF!</definedName>
    <definedName name="F_1A" localSheetId="6">#REF!</definedName>
    <definedName name="F_1A" localSheetId="7">#REF!</definedName>
    <definedName name="F_1A" localSheetId="10">#REF!</definedName>
    <definedName name="F_1A">#REF!</definedName>
    <definedName name="F_2" localSheetId="8">#REF!</definedName>
    <definedName name="F_2" localSheetId="6">#REF!</definedName>
    <definedName name="F_2" localSheetId="7">#REF!</definedName>
    <definedName name="F_2" localSheetId="10">#REF!</definedName>
    <definedName name="F_2">#REF!</definedName>
    <definedName name="F_3" localSheetId="8">#REF!</definedName>
    <definedName name="F_3" localSheetId="6">#REF!</definedName>
    <definedName name="F_3" localSheetId="7">#REF!</definedName>
    <definedName name="F_3" localSheetId="10">#REF!</definedName>
    <definedName name="F_3">#REF!</definedName>
    <definedName name="F_4" localSheetId="8">#REF!</definedName>
    <definedName name="F_4" localSheetId="6">#REF!</definedName>
    <definedName name="F_4" localSheetId="7">#REF!</definedName>
    <definedName name="F_4" localSheetId="10">#REF!</definedName>
    <definedName name="F_4">#REF!</definedName>
    <definedName name="F_5" localSheetId="8">#REF!</definedName>
    <definedName name="F_5" localSheetId="6">#REF!</definedName>
    <definedName name="F_5" localSheetId="7">#REF!</definedName>
    <definedName name="F_5" localSheetId="10">#REF!</definedName>
    <definedName name="F_5">#REF!</definedName>
    <definedName name="F_6" localSheetId="8">#REF!</definedName>
    <definedName name="F_6" localSheetId="6">#REF!</definedName>
    <definedName name="F_6" localSheetId="7">#REF!</definedName>
    <definedName name="F_6" localSheetId="10">#REF!</definedName>
    <definedName name="F_6">#REF!</definedName>
    <definedName name="F_7" localSheetId="8">#REF!</definedName>
    <definedName name="F_7" localSheetId="6">#REF!</definedName>
    <definedName name="F_7" localSheetId="7">#REF!</definedName>
    <definedName name="F_7" localSheetId="10">#REF!</definedName>
    <definedName name="F_7">#REF!</definedName>
    <definedName name="F_8" localSheetId="8">#REF!</definedName>
    <definedName name="F_8" localSheetId="6">#REF!</definedName>
    <definedName name="F_8" localSheetId="7">#REF!</definedName>
    <definedName name="F_8" localSheetId="10">#REF!</definedName>
    <definedName name="F_8">#REF!</definedName>
    <definedName name="F_9" localSheetId="8">#REF!</definedName>
    <definedName name="F_9" localSheetId="6">#REF!</definedName>
    <definedName name="F_9" localSheetId="7">#REF!</definedName>
    <definedName name="F_9" localSheetId="10">#REF!</definedName>
    <definedName name="F_9">#REF!</definedName>
    <definedName name="f10x" localSheetId="8">#REF!</definedName>
    <definedName name="f10x" localSheetId="6">#REF!</definedName>
    <definedName name="f10x" localSheetId="7">#REF!</definedName>
    <definedName name="f10x" localSheetId="10">#REF!</definedName>
    <definedName name="f10x">#REF!</definedName>
    <definedName name="f1x" localSheetId="8">#REF!</definedName>
    <definedName name="f1x" localSheetId="6">#REF!</definedName>
    <definedName name="f1x" localSheetId="7">#REF!</definedName>
    <definedName name="f1x" localSheetId="10">#REF!</definedName>
    <definedName name="f1x">#REF!</definedName>
    <definedName name="f2x" localSheetId="8">#REF!</definedName>
    <definedName name="f2x" localSheetId="6">#REF!</definedName>
    <definedName name="f2x" localSheetId="7">#REF!</definedName>
    <definedName name="f2x" localSheetId="10">#REF!</definedName>
    <definedName name="f2x">#REF!</definedName>
    <definedName name="f3x" localSheetId="8">#REF!</definedName>
    <definedName name="f3x" localSheetId="6">#REF!</definedName>
    <definedName name="f3x" localSheetId="7">#REF!</definedName>
    <definedName name="f3x" localSheetId="10">#REF!</definedName>
    <definedName name="f3x">#REF!</definedName>
    <definedName name="f4x" localSheetId="8">#REF!</definedName>
    <definedName name="f4x" localSheetId="6">#REF!</definedName>
    <definedName name="f4x" localSheetId="7">#REF!</definedName>
    <definedName name="f4x" localSheetId="10">#REF!</definedName>
    <definedName name="f4x">#REF!</definedName>
    <definedName name="f5x" localSheetId="8">#REF!</definedName>
    <definedName name="f5x" localSheetId="6">#REF!</definedName>
    <definedName name="f5x" localSheetId="7">#REF!</definedName>
    <definedName name="f5x" localSheetId="10">#REF!</definedName>
    <definedName name="f5x">#REF!</definedName>
    <definedName name="f6x" localSheetId="8">#REF!</definedName>
    <definedName name="f6x" localSheetId="6">#REF!</definedName>
    <definedName name="f6x" localSheetId="7">#REF!</definedName>
    <definedName name="f6x" localSheetId="10">#REF!</definedName>
    <definedName name="f6x">#REF!</definedName>
    <definedName name="f7x" localSheetId="8">#REF!</definedName>
    <definedName name="f7x" localSheetId="6">#REF!</definedName>
    <definedName name="f7x" localSheetId="7">#REF!</definedName>
    <definedName name="f7x" localSheetId="10">#REF!</definedName>
    <definedName name="f7x">#REF!</definedName>
    <definedName name="f8x" localSheetId="8">#REF!</definedName>
    <definedName name="f8x" localSheetId="6">#REF!</definedName>
    <definedName name="f8x" localSheetId="7">#REF!</definedName>
    <definedName name="f8x" localSheetId="10">#REF!</definedName>
    <definedName name="f8x">#REF!</definedName>
    <definedName name="f9x" localSheetId="8">#REF!</definedName>
    <definedName name="f9x" localSheetId="6">#REF!</definedName>
    <definedName name="f9x" localSheetId="7">#REF!</definedName>
    <definedName name="f9x" localSheetId="10">#REF!</definedName>
    <definedName name="f9x">#REF!</definedName>
    <definedName name="Finance__WSC.Work.Papers.WSC.Other.Prepayments" localSheetId="8">#REF!</definedName>
    <definedName name="Finance__WSC.Work.Papers.WSC.Other.Prepayments" localSheetId="6">#REF!</definedName>
    <definedName name="Finance__WSC.Work.Papers.WSC.Other.Prepayments" localSheetId="7">#REF!</definedName>
    <definedName name="Finance__WSC.Work.Papers.WSC.Other.Prepayments" localSheetId="10">#REF!</definedName>
    <definedName name="Finance__WSC.Work.Papers.WSC.Other.Prepayments">#REF!</definedName>
    <definedName name="FL.1" localSheetId="8">#REF!</definedName>
    <definedName name="FL.1" localSheetId="6">#REF!</definedName>
    <definedName name="FL.1" localSheetId="7">#REF!</definedName>
    <definedName name="FL.1" localSheetId="10">#REF!</definedName>
    <definedName name="FL.1">#REF!</definedName>
    <definedName name="FL.3" localSheetId="8">#REF!</definedName>
    <definedName name="FL.3" localSheetId="6">#REF!</definedName>
    <definedName name="FL.3" localSheetId="7">#REF!</definedName>
    <definedName name="FL.3" localSheetId="10">#REF!</definedName>
    <definedName name="FL.3">#REF!</definedName>
    <definedName name="FL.5" localSheetId="8">#REF!</definedName>
    <definedName name="FL.5" localSheetId="6">#REF!</definedName>
    <definedName name="FL.5" localSheetId="7">#REF!</definedName>
    <definedName name="FL.5" localSheetId="10">#REF!</definedName>
    <definedName name="FL.5">#REF!</definedName>
    <definedName name="FSECT" localSheetId="12">#REF!</definedName>
    <definedName name="FSECT" localSheetId="8">#REF!</definedName>
    <definedName name="FSECT" localSheetId="6">#REF!</definedName>
    <definedName name="FSECT" localSheetId="7">#REF!</definedName>
    <definedName name="FSECT" localSheetId="10">#REF!</definedName>
    <definedName name="FSECT" localSheetId="22">#REF!</definedName>
    <definedName name="FSECT">#REF!</definedName>
    <definedName name="GA.1" localSheetId="12">#REF!</definedName>
    <definedName name="GA.1" localSheetId="8">#REF!</definedName>
    <definedName name="GA.1" localSheetId="6">#REF!</definedName>
    <definedName name="GA.1" localSheetId="7">#REF!</definedName>
    <definedName name="GA.1" localSheetId="10">#REF!</definedName>
    <definedName name="GA.1">#REF!</definedName>
    <definedName name="GA.3" localSheetId="8">#REF!</definedName>
    <definedName name="GA.3" localSheetId="6">#REF!</definedName>
    <definedName name="GA.3" localSheetId="7">#REF!</definedName>
    <definedName name="GA.3" localSheetId="10">#REF!</definedName>
    <definedName name="GA.3">#REF!</definedName>
    <definedName name="GA.5" localSheetId="8">#REF!</definedName>
    <definedName name="GA.5" localSheetId="6">#REF!</definedName>
    <definedName name="GA.5" localSheetId="7">#REF!</definedName>
    <definedName name="GA.5" localSheetId="10">#REF!</definedName>
    <definedName name="GA.5">#REF!</definedName>
    <definedName name="GEN" localSheetId="12">#REF!</definedName>
    <definedName name="GEN" localSheetId="8">#REF!</definedName>
    <definedName name="GEN" localSheetId="6">#REF!</definedName>
    <definedName name="GEN" localSheetId="7">#REF!</definedName>
    <definedName name="GEN" localSheetId="10">#REF!</definedName>
    <definedName name="GEN" localSheetId="22">#REF!</definedName>
    <definedName name="GEN">#REF!</definedName>
    <definedName name="i" localSheetId="12">#REF!</definedName>
    <definedName name="i" localSheetId="8">#REF!</definedName>
    <definedName name="i" localSheetId="6">#REF!</definedName>
    <definedName name="i" localSheetId="7">#REF!</definedName>
    <definedName name="i" localSheetId="10">#REF!</definedName>
    <definedName name="i">#REF!</definedName>
    <definedName name="ii" localSheetId="8">#REF!</definedName>
    <definedName name="ii" localSheetId="6">#REF!</definedName>
    <definedName name="ii" localSheetId="7">#REF!</definedName>
    <definedName name="ii" localSheetId="10">#REF!</definedName>
    <definedName name="ii">#REF!</definedName>
    <definedName name="iii" localSheetId="8">#REF!</definedName>
    <definedName name="iii" localSheetId="6">#REF!</definedName>
    <definedName name="iii" localSheetId="7">#REF!</definedName>
    <definedName name="iii" localSheetId="10">#REF!</definedName>
    <definedName name="iii">#REF!</definedName>
    <definedName name="iiii" localSheetId="8">#REF!</definedName>
    <definedName name="iiii" localSheetId="6">#REF!</definedName>
    <definedName name="iiii" localSheetId="7">#REF!</definedName>
    <definedName name="iiii" localSheetId="10">#REF!</definedName>
    <definedName name="iiii">#REF!</definedName>
    <definedName name="IL.1" localSheetId="8">#REF!</definedName>
    <definedName name="IL.1" localSheetId="6">#REF!</definedName>
    <definedName name="IL.1" localSheetId="7">#REF!</definedName>
    <definedName name="IL.1" localSheetId="10">#REF!</definedName>
    <definedName name="IL.1">#REF!</definedName>
    <definedName name="IL.3" localSheetId="8">#REF!</definedName>
    <definedName name="IL.3" localSheetId="6">#REF!</definedName>
    <definedName name="IL.3" localSheetId="7">#REF!</definedName>
    <definedName name="IL.3" localSheetId="10">#REF!</definedName>
    <definedName name="IL.3">#REF!</definedName>
    <definedName name="IL.5" localSheetId="8">#REF!</definedName>
    <definedName name="IL.5" localSheetId="6">#REF!</definedName>
    <definedName name="IL.5" localSheetId="7">#REF!</definedName>
    <definedName name="IL.5" localSheetId="10">#REF!</definedName>
    <definedName name="IL.5">#REF!</definedName>
    <definedName name="IN.3" localSheetId="8">#REF!</definedName>
    <definedName name="IN.3" localSheetId="6">#REF!</definedName>
    <definedName name="IN.3" localSheetId="7">#REF!</definedName>
    <definedName name="IN.3" localSheetId="10">#REF!</definedName>
    <definedName name="IN.3">#REF!</definedName>
    <definedName name="IN.5" localSheetId="8">#REF!</definedName>
    <definedName name="IN.5" localSheetId="6">#REF!</definedName>
    <definedName name="IN.5" localSheetId="7">#REF!</definedName>
    <definedName name="IN.5" localSheetId="10">#REF!</definedName>
    <definedName name="IN.5">#REF!</definedName>
    <definedName name="INST" localSheetId="8">#REF!</definedName>
    <definedName name="INST" localSheetId="6">#REF!</definedName>
    <definedName name="INST" localSheetId="7">#REF!</definedName>
    <definedName name="INST" localSheetId="10">#REF!</definedName>
    <definedName name="INST" localSheetId="22">#REF!</definedName>
    <definedName name="INST">#REF!</definedName>
    <definedName name="kdsjdfh">'[15]Macros'!$E$6</definedName>
    <definedName name="LA.1" localSheetId="8">#REF!</definedName>
    <definedName name="LA.1" localSheetId="6">#REF!</definedName>
    <definedName name="LA.1" localSheetId="7">#REF!</definedName>
    <definedName name="LA.1" localSheetId="10">#REF!</definedName>
    <definedName name="LA.1">#REF!</definedName>
    <definedName name="LA.3" localSheetId="8">#REF!</definedName>
    <definedName name="LA.3" localSheetId="6">#REF!</definedName>
    <definedName name="LA.3" localSheetId="7">#REF!</definedName>
    <definedName name="LA.3" localSheetId="10">#REF!</definedName>
    <definedName name="LA.3">#REF!</definedName>
    <definedName name="LA.5" localSheetId="8">#REF!</definedName>
    <definedName name="LA.5" localSheetId="6">#REF!</definedName>
    <definedName name="LA.5" localSheetId="7">#REF!</definedName>
    <definedName name="LA.5" localSheetId="10">#REF!</definedName>
    <definedName name="LA.5">#REF!</definedName>
    <definedName name="LEXINGTON" localSheetId="8">#REF!</definedName>
    <definedName name="LEXINGTON" localSheetId="6">#REF!</definedName>
    <definedName name="LEXINGTON" localSheetId="7">#REF!</definedName>
    <definedName name="LEXINGTON" localSheetId="10">#REF!</definedName>
    <definedName name="LEXINGTON">#REF!</definedName>
    <definedName name="MARGIN" localSheetId="8">#REF!</definedName>
    <definedName name="MARGIN" localSheetId="6">#REF!</definedName>
    <definedName name="MARGIN" localSheetId="7">#REF!</definedName>
    <definedName name="MARGIN" localSheetId="10">#REF!</definedName>
    <definedName name="MARGIN">#REF!</definedName>
    <definedName name="MD.1" localSheetId="8">#REF!</definedName>
    <definedName name="MD.1" localSheetId="6">#REF!</definedName>
    <definedName name="MD.1" localSheetId="7">#REF!</definedName>
    <definedName name="MD.1" localSheetId="10">#REF!</definedName>
    <definedName name="MD.1">#REF!</definedName>
    <definedName name="MD.3" localSheetId="8">#REF!</definedName>
    <definedName name="MD.3" localSheetId="6">#REF!</definedName>
    <definedName name="MD.3" localSheetId="7">#REF!</definedName>
    <definedName name="MD.3" localSheetId="10">#REF!</definedName>
    <definedName name="MD.3">#REF!</definedName>
    <definedName name="MD.5" localSheetId="8">#REF!</definedName>
    <definedName name="MD.5" localSheetId="6">#REF!</definedName>
    <definedName name="MD.5" localSheetId="7">#REF!</definedName>
    <definedName name="MD.5" localSheetId="10">#REF!</definedName>
    <definedName name="MD.5">#REF!</definedName>
    <definedName name="MS.1" localSheetId="8">#REF!</definedName>
    <definedName name="MS.1" localSheetId="6">#REF!</definedName>
    <definedName name="MS.1" localSheetId="7">#REF!</definedName>
    <definedName name="MS.1" localSheetId="10">#REF!</definedName>
    <definedName name="MS.1">#REF!</definedName>
    <definedName name="MS.3" localSheetId="8">#REF!</definedName>
    <definedName name="MS.3" localSheetId="6">#REF!</definedName>
    <definedName name="MS.3" localSheetId="7">#REF!</definedName>
    <definedName name="MS.3" localSheetId="10">#REF!</definedName>
    <definedName name="MS.3">#REF!</definedName>
    <definedName name="MS.5" localSheetId="8">#REF!</definedName>
    <definedName name="MS.5" localSheetId="6">#REF!</definedName>
    <definedName name="MS.5" localSheetId="7">#REF!</definedName>
    <definedName name="MS.5" localSheetId="10">#REF!</definedName>
    <definedName name="MS.5">#REF!</definedName>
    <definedName name="NAME" localSheetId="22">'[8]INFO'!$D$14</definedName>
    <definedName name="NAME">'[14]INFO'!$D$14</definedName>
    <definedName name="NC.1" localSheetId="12">#REF!</definedName>
    <definedName name="NC.1" localSheetId="8">#REF!</definedName>
    <definedName name="NC.1" localSheetId="6">#REF!</definedName>
    <definedName name="NC.1" localSheetId="7">#REF!</definedName>
    <definedName name="NC.1" localSheetId="10">#REF!</definedName>
    <definedName name="NC.1">#REF!</definedName>
    <definedName name="NC.3" localSheetId="8">#REF!</definedName>
    <definedName name="NC.3" localSheetId="6">#REF!</definedName>
    <definedName name="NC.3" localSheetId="7">#REF!</definedName>
    <definedName name="NC.3" localSheetId="10">#REF!</definedName>
    <definedName name="NC.3">#REF!</definedName>
    <definedName name="NC.5" localSheetId="8">#REF!</definedName>
    <definedName name="NC.5" localSheetId="6">#REF!</definedName>
    <definedName name="NC.5" localSheetId="7">#REF!</definedName>
    <definedName name="NC.5" localSheetId="10">#REF!</definedName>
    <definedName name="NC.5">#REF!</definedName>
    <definedName name="OCC.CE" localSheetId="8">#REF!</definedName>
    <definedName name="OCC.CE" localSheetId="6">#REF!</definedName>
    <definedName name="OCC.CE" localSheetId="7">#REF!</definedName>
    <definedName name="OCC.CE" localSheetId="10">#REF!</definedName>
    <definedName name="OCC.CE">#REF!</definedName>
    <definedName name="OH.1" localSheetId="12">#REF!</definedName>
    <definedName name="OH.1" localSheetId="8">#REF!</definedName>
    <definedName name="OH.1" localSheetId="6">#REF!</definedName>
    <definedName name="OH.1" localSheetId="7">#REF!</definedName>
    <definedName name="OH.1" localSheetId="10">#REF!</definedName>
    <definedName name="OH.1">#REF!</definedName>
    <definedName name="OH.3" localSheetId="8">#REF!</definedName>
    <definedName name="OH.3" localSheetId="6">#REF!</definedName>
    <definedName name="OH.3" localSheetId="7">#REF!</definedName>
    <definedName name="OH.3" localSheetId="10">#REF!</definedName>
    <definedName name="OH.3">#REF!</definedName>
    <definedName name="OH.5" localSheetId="8">#REF!</definedName>
    <definedName name="OH.5" localSheetId="6">#REF!</definedName>
    <definedName name="OH.5" localSheetId="7">#REF!</definedName>
    <definedName name="OH.5" localSheetId="10">#REF!</definedName>
    <definedName name="OH.5">#REF!</definedName>
    <definedName name="OH.CE" localSheetId="8">#REF!</definedName>
    <definedName name="OH.CE" localSheetId="6">#REF!</definedName>
    <definedName name="OH.CE" localSheetId="7">#REF!</definedName>
    <definedName name="OH.CE" localSheetId="10">#REF!</definedName>
    <definedName name="OH.CE">#REF!</definedName>
    <definedName name="OH.CEP" localSheetId="8">#REF!</definedName>
    <definedName name="OH.CEP" localSheetId="6">#REF!</definedName>
    <definedName name="OH.CEP" localSheetId="7">#REF!</definedName>
    <definedName name="OH.CEP" localSheetId="10">#REF!</definedName>
    <definedName name="OH.CEP">#REF!</definedName>
    <definedName name="PAA">'[11]Data'!$L$13:$M$131</definedName>
    <definedName name="Plant">'[11]Data'!$C$13:$D$131</definedName>
    <definedName name="PREP">'[16]Macros'!$E$10</definedName>
    <definedName name="prep2" localSheetId="12">'[1]Macros'!$E$11</definedName>
    <definedName name="prep2" localSheetId="22">'[3]Macros'!$E$11</definedName>
    <definedName name="prep2">'[2]Macros'!$E$11</definedName>
    <definedName name="prep3" localSheetId="22">#REF!</definedName>
    <definedName name="_xlnm.Print_Area" localSheetId="20">' Meter Install Fee _a'!$A$1:$G$21</definedName>
    <definedName name="_xlnm.Print_Area" localSheetId="0">Assumptions!$A$1:$D$78</definedName>
    <definedName name="_xlnm.Print_Area" localSheetId="16">'Cost of Capital'!$A$1:$K$33</definedName>
    <definedName name="_xlnm.Print_Area" localSheetId="12">'Depreciation Schedule'!$A$1:$AI$107</definedName>
    <definedName name="_xlnm.Print_Area" localSheetId="19">'Factored ERC'!$A$1:$W$17</definedName>
    <definedName name="_xlnm.Print_Area" localSheetId="2">Index!$A$1:$E$25</definedName>
    <definedName name="_xlnm.Print_Area" localSheetId="24">'Org Costs'!$A$1:$F$20</definedName>
    <definedName name="_xlnm.Print_Area" localSheetId="25">'Rate Comparison'!$B$1:$C$14</definedName>
    <definedName name="_xlnm.Print_Area" localSheetId="13">'Sched 1 Coll _Trans Estimate'!$A$1:$AD$47</definedName>
    <definedName name="_xlnm.Print_Area" localSheetId="21">'Sched 11 Adjustments'!$A$1:$D$28</definedName>
    <definedName name="_xlnm.Print_Area" localSheetId="3">'Schedule 1 Rate Base'!$A$1:$G$18</definedName>
    <definedName name="_xlnm.Print_Area" localSheetId="8">'Schedule 5 Laterals'!$B$1:$I$15</definedName>
    <definedName name="_xlnm.Print_Area" localSheetId="14">'Schedule 7  NOI'!$A$1:$I$25</definedName>
    <definedName name="_xlnm.Print_Area" localSheetId="4">'Schedule No. 1B Wastewater'!$A$1:$F$41</definedName>
    <definedName name="_xlnm.Print_Area" localSheetId="5">'Schedule No. 2'!$A$1:$E$54</definedName>
    <definedName name="_xlnm.Print_Area" localSheetId="6">'Schedule No. 3 B Wastewater'!$A$1:$E$50</definedName>
    <definedName name="_xlnm.Print_Area" localSheetId="7">'Schedule No. 4 SVC Avail- SWR'!$B$1:$G$36</definedName>
    <definedName name="_xlnm.Print_Area" localSheetId="9">'Schedule No. 6 Misc Svc Chrg'!$A$1:$D$37</definedName>
    <definedName name="_xlnm.Print_Area" localSheetId="10">'Schedule No. 7 Rev Proof'!$A$1:$I$32</definedName>
    <definedName name="_xlnm.Print_Area" localSheetId="15">'Schedule No. 7 WW Support'!$A$1:$J$83</definedName>
    <definedName name="_xlnm.Print_Area" localSheetId="22">'Sewer Rev Requirements '!$B$21:$D$52</definedName>
    <definedName name="_xlnm.Print_Titles" localSheetId="12">'Depreciation Schedule'!$A:$D,'Depreciation Schedule'!$1:$4</definedName>
    <definedName name="_xlnm.Print_Titles" localSheetId="13">'Sched 1 Coll _Trans Estimate'!$A:$A,'Sched 1 Coll _Trans Estimate'!$1:$29</definedName>
    <definedName name="_xlnm.Print_Titles" localSheetId="5">'Schedule No. 2'!$1:$8</definedName>
    <definedName name="PUMPED" localSheetId="8">#REF!</definedName>
    <definedName name="PUMPED" localSheetId="6">#REF!</definedName>
    <definedName name="PUMPED" localSheetId="7">#REF!</definedName>
    <definedName name="PUMPED" localSheetId="10">#REF!</definedName>
    <definedName name="PUMPED" localSheetId="22">#REF!</definedName>
    <definedName name="PUMPED">#REF!</definedName>
    <definedName name="S_STATS" localSheetId="8">#REF!</definedName>
    <definedName name="S_STATS" localSheetId="6">#REF!</definedName>
    <definedName name="S_STATS" localSheetId="7">#REF!</definedName>
    <definedName name="S_STATS" localSheetId="10">#REF!</definedName>
    <definedName name="S_STATS">#REF!</definedName>
    <definedName name="SADPRIM" localSheetId="8">#REF!</definedName>
    <definedName name="SADPRIM" localSheetId="6">#REF!</definedName>
    <definedName name="SADPRIM" localSheetId="7">#REF!</definedName>
    <definedName name="SADPRIM" localSheetId="10">#REF!</definedName>
    <definedName name="SADPRIM">#REF!</definedName>
    <definedName name="SC.1" localSheetId="8">#REF!</definedName>
    <definedName name="SC.1" localSheetId="6">#REF!</definedName>
    <definedName name="SC.1" localSheetId="7">#REF!</definedName>
    <definedName name="SC.1" localSheetId="10">#REF!</definedName>
    <definedName name="SC.1">#REF!</definedName>
    <definedName name="SC.3" localSheetId="8">#REF!</definedName>
    <definedName name="SC.3" localSheetId="6">#REF!</definedName>
    <definedName name="SC.3" localSheetId="7">#REF!</definedName>
    <definedName name="SC.3" localSheetId="10">#REF!</definedName>
    <definedName name="SC.3">#REF!</definedName>
    <definedName name="SC.5" localSheetId="8">#REF!</definedName>
    <definedName name="SC.5" localSheetId="6">#REF!</definedName>
    <definedName name="SC.5" localSheetId="7">#REF!</definedName>
    <definedName name="SC.5" localSheetId="10">#REF!</definedName>
    <definedName name="SC.5">#REF!</definedName>
    <definedName name="SCU.CE" localSheetId="12">#REF!</definedName>
    <definedName name="SCU.CE" localSheetId="8">#REF!</definedName>
    <definedName name="SCU.CE" localSheetId="6">#REF!</definedName>
    <definedName name="SCU.CE" localSheetId="7">#REF!</definedName>
    <definedName name="SCU.CE" localSheetId="10">#REF!</definedName>
    <definedName name="SCU.CE">#REF!</definedName>
    <definedName name="SE.SE60D.ALLOC." localSheetId="12">#REF!</definedName>
    <definedName name="SE.SE60D.ALLOC." localSheetId="8">#REF!</definedName>
    <definedName name="SE.SE60D.ALLOC." localSheetId="6">#REF!</definedName>
    <definedName name="SE.SE60D.ALLOC." localSheetId="7">#REF!</definedName>
    <definedName name="SE.SE60D.ALLOC." localSheetId="10">#REF!</definedName>
    <definedName name="SE.SE60D.ALLOC.">#REF!</definedName>
    <definedName name="SPPRIM" localSheetId="8">#REF!</definedName>
    <definedName name="SPPRIM" localSheetId="6">#REF!</definedName>
    <definedName name="SPPRIM" localSheetId="7">#REF!</definedName>
    <definedName name="SPPRIM" localSheetId="10">#REF!</definedName>
    <definedName name="SPPRIM">#REF!</definedName>
    <definedName name="SRB" localSheetId="8">#REF!</definedName>
    <definedName name="SRB" localSheetId="6">#REF!</definedName>
    <definedName name="SRB" localSheetId="7">#REF!</definedName>
    <definedName name="SRB" localSheetId="10">#REF!</definedName>
    <definedName name="SRB">#REF!</definedName>
    <definedName name="SUMU_U" localSheetId="8">#REF!</definedName>
    <definedName name="SUMU_U" localSheetId="6">#REF!</definedName>
    <definedName name="SUMU_U" localSheetId="7">#REF!</definedName>
    <definedName name="SUMU_U" localSheetId="10">#REF!</definedName>
    <definedName name="SUMU_U">#REF!</definedName>
    <definedName name="test" localSheetId="8">#REF!</definedName>
    <definedName name="test" localSheetId="6">#REF!</definedName>
    <definedName name="test" localSheetId="7">#REF!</definedName>
    <definedName name="test" localSheetId="10">#REF!</definedName>
    <definedName name="test">#REF!</definedName>
    <definedName name="TN.1" localSheetId="8">#REF!</definedName>
    <definedName name="TN.1" localSheetId="6">#REF!</definedName>
    <definedName name="TN.1" localSheetId="7">#REF!</definedName>
    <definedName name="TN.1" localSheetId="10">#REF!</definedName>
    <definedName name="TN.1">#REF!</definedName>
    <definedName name="TN.3" localSheetId="8">#REF!</definedName>
    <definedName name="TN.3" localSheetId="6">#REF!</definedName>
    <definedName name="TN.3" localSheetId="7">#REF!</definedName>
    <definedName name="TN.3" localSheetId="10">#REF!</definedName>
    <definedName name="TN.3">#REF!</definedName>
    <definedName name="TN.5" localSheetId="8">#REF!</definedName>
    <definedName name="TN.5" localSheetId="6">#REF!</definedName>
    <definedName name="TN.5" localSheetId="7">#REF!</definedName>
    <definedName name="TN.5" localSheetId="10">#REF!</definedName>
    <definedName name="TN.5">#REF!</definedName>
    <definedName name="TOT.CNC.CE" localSheetId="12">#REF!</definedName>
    <definedName name="TOT.CNC.CE" localSheetId="8">#REF!</definedName>
    <definedName name="TOT.CNC.CE" localSheetId="6">#REF!</definedName>
    <definedName name="TOT.CNC.CE" localSheetId="7">#REF!</definedName>
    <definedName name="TOT.CNC.CE" localSheetId="10">#REF!</definedName>
    <definedName name="TOT.CNC.CE">#REF!</definedName>
    <definedName name="TREATED" localSheetId="12">#REF!</definedName>
    <definedName name="TREATED" localSheetId="8">#REF!</definedName>
    <definedName name="TREATED" localSheetId="6">#REF!</definedName>
    <definedName name="TREATED" localSheetId="7">#REF!</definedName>
    <definedName name="TREATED" localSheetId="10">#REF!</definedName>
    <definedName name="TREATED">#REF!</definedName>
    <definedName name="U_U_MAINS" localSheetId="8">#REF!</definedName>
    <definedName name="U_U_MAINS" localSheetId="6">#REF!</definedName>
    <definedName name="U_U_MAINS" localSheetId="7">#REF!</definedName>
    <definedName name="U_U_MAINS" localSheetId="10">#REF!</definedName>
    <definedName name="U_U_MAINS">#REF!</definedName>
    <definedName name="U_U_SEWER" localSheetId="8">#REF!</definedName>
    <definedName name="U_U_SEWER" localSheetId="6">#REF!</definedName>
    <definedName name="U_U_SEWER" localSheetId="7">#REF!</definedName>
    <definedName name="U_U_SEWER" localSheetId="10">#REF!</definedName>
    <definedName name="U_U_SEWER">#REF!</definedName>
    <definedName name="U_U_WATER" localSheetId="8">#REF!</definedName>
    <definedName name="U_U_WATER" localSheetId="6">#REF!</definedName>
    <definedName name="U_U_WATER" localSheetId="7">#REF!</definedName>
    <definedName name="U_U_WATER" localSheetId="10">#REF!</definedName>
    <definedName name="U_U_WATER">#REF!</definedName>
    <definedName name="VA.1" localSheetId="8">#REF!</definedName>
    <definedName name="VA.1" localSheetId="6">#REF!</definedName>
    <definedName name="VA.1" localSheetId="7">#REF!</definedName>
    <definedName name="VA.1" localSheetId="10">#REF!</definedName>
    <definedName name="VA.1">#REF!</definedName>
    <definedName name="VA.3" localSheetId="8">#REF!</definedName>
    <definedName name="VA.3" localSheetId="6">#REF!</definedName>
    <definedName name="VA.3" localSheetId="7">#REF!</definedName>
    <definedName name="VA.3" localSheetId="10">#REF!</definedName>
    <definedName name="VA.3">#REF!</definedName>
    <definedName name="VA.5" localSheetId="8">#REF!</definedName>
    <definedName name="VA.5" localSheetId="6">#REF!</definedName>
    <definedName name="VA.5" localSheetId="7">#REF!</definedName>
    <definedName name="VA.5" localSheetId="10">#REF!</definedName>
    <definedName name="VA.5">#REF!</definedName>
    <definedName name="W_STATS" localSheetId="8">#REF!</definedName>
    <definedName name="W_STATS" localSheetId="6">#REF!</definedName>
    <definedName name="W_STATS" localSheetId="7">#REF!</definedName>
    <definedName name="W_STATS" localSheetId="10">#REF!</definedName>
    <definedName name="W_STATS">#REF!</definedName>
    <definedName name="WADPRIM" localSheetId="8">#REF!</definedName>
    <definedName name="WADPRIM" localSheetId="6">#REF!</definedName>
    <definedName name="WADPRIM" localSheetId="7">#REF!</definedName>
    <definedName name="WADPRIM" localSheetId="10">#REF!</definedName>
    <definedName name="WADPRIM">#REF!</definedName>
    <definedName name="WastewaterAccumulatedDepreciation">'[17]Plant Inputs'!$A$149:$N$192</definedName>
    <definedName name="WaterPlantInService">'[17]Plant Inputs'!$A$4:$N$48</definedName>
    <definedName name="WCA" localSheetId="12">#REF!</definedName>
    <definedName name="WCA" localSheetId="8">#REF!</definedName>
    <definedName name="WCA" localSheetId="6">#REF!</definedName>
    <definedName name="WCA" localSheetId="7">#REF!</definedName>
    <definedName name="WCA" localSheetId="10">#REF!</definedName>
    <definedName name="WCA">#REF!</definedName>
    <definedName name="WD.CE" localSheetId="12">#REF!</definedName>
    <definedName name="WD.CE" localSheetId="8">#REF!</definedName>
    <definedName name="WD.CE" localSheetId="6">#REF!</definedName>
    <definedName name="WD.CE" localSheetId="7">#REF!</definedName>
    <definedName name="WD.CE" localSheetId="10">#REF!</definedName>
    <definedName name="WD.CE">#REF!</definedName>
    <definedName name="WPPRIM" localSheetId="12">#REF!</definedName>
    <definedName name="WPPRIM" localSheetId="8">#REF!</definedName>
    <definedName name="WPPRIM" localSheetId="6">#REF!</definedName>
    <definedName name="WPPRIM" localSheetId="7">#REF!</definedName>
    <definedName name="WPPRIM" localSheetId="10">#REF!</definedName>
    <definedName name="WPPRIM">#REF!</definedName>
    <definedName name="WRB" localSheetId="8">#REF!</definedName>
    <definedName name="WRB" localSheetId="6">#REF!</definedName>
    <definedName name="WRB" localSheetId="7">#REF!</definedName>
    <definedName name="WRB" localSheetId="10">#REF!</definedName>
    <definedName name="WRB">#REF!</definedName>
    <definedName name="WSCBSAllocation">'[11]Data'!$BE$13:$BF$131</definedName>
    <definedName name="x">'[18]Macros'!$E$12</definedName>
    <definedName name="YEAR" localSheetId="22">'[8]INFO'!$D$16</definedName>
    <definedName name="YEAR">'[14]INFO'!$D$16</definedName>
    <definedName name="Year_End_Results_for_1997__1996____1995" localSheetId="12">#REF!</definedName>
    <definedName name="Year_End_Results_for_1997__1996____1995" localSheetId="8">#REF!</definedName>
    <definedName name="Year_End_Results_for_1997__1996____1995" localSheetId="6">#REF!</definedName>
    <definedName name="Year_End_Results_for_1997__1996____1995" localSheetId="7">#REF!</definedName>
    <definedName name="Year_End_Results_for_1997__1996____1995" localSheetId="10">#REF!</definedName>
    <definedName name="Year_End_Results_for_1997__1996____1995">#REF!</definedName>
    <definedName name="z" localSheetId="12">#REF!</definedName>
    <definedName name="z" localSheetId="8">#REF!</definedName>
    <definedName name="z" localSheetId="6">#REF!</definedName>
    <definedName name="z" localSheetId="7">#REF!</definedName>
    <definedName name="z" localSheetId="10">#REF!</definedName>
    <definedName name="z">#REF!</definedName>
  </definedNames>
  <calcPr fullCalcOnLoad="1"/>
</workbook>
</file>

<file path=xl/sharedStrings.xml><?xml version="1.0" encoding="utf-8"?>
<sst xmlns="http://schemas.openxmlformats.org/spreadsheetml/2006/main" count="1023" uniqueCount="705">
  <si>
    <t>No.</t>
  </si>
  <si>
    <t>Description</t>
  </si>
  <si>
    <t>NARUC</t>
  </si>
  <si>
    <t>Acct. No.</t>
  </si>
  <si>
    <t>Purchased Power</t>
  </si>
  <si>
    <t>Chemicals</t>
  </si>
  <si>
    <t>Bad Debt Expense</t>
  </si>
  <si>
    <t>Wastewater System</t>
  </si>
  <si>
    <t>Plant Sewers</t>
  </si>
  <si>
    <t/>
  </si>
  <si>
    <t>Index</t>
  </si>
  <si>
    <t>Schedule No.</t>
  </si>
  <si>
    <t>1B</t>
  </si>
  <si>
    <t>Pro Forma Balance Sheet based on projections at 100% Design Capacity</t>
  </si>
  <si>
    <t>3B</t>
  </si>
  <si>
    <t>Cost Justification for Miscellaneous Service Charges</t>
  </si>
  <si>
    <t>Initial Rates and Charges</t>
  </si>
  <si>
    <t>Pro Forma Expenses for Wastewater Utility based on projections at 80% Design Capacity</t>
  </si>
  <si>
    <t>Acct.</t>
  </si>
  <si>
    <t>Franchises</t>
  </si>
  <si>
    <t>Land and Land Rights</t>
  </si>
  <si>
    <t>Other Plant and Miscellaneous Equipment</t>
  </si>
  <si>
    <t>Office Furniture and Equipment</t>
  </si>
  <si>
    <t xml:space="preserve">Transportation Equipment </t>
  </si>
  <si>
    <t>Tools, Shop and Garage Equipment</t>
  </si>
  <si>
    <t xml:space="preserve">Power Operated Equipment </t>
  </si>
  <si>
    <t>ERCs</t>
  </si>
  <si>
    <t>GPD</t>
  </si>
  <si>
    <t>Pro Forma Wastewater Utility Plant</t>
  </si>
  <si>
    <t>Collecting Wastewater - Force</t>
  </si>
  <si>
    <t>Collecting Wastewater - Gravity</t>
  </si>
  <si>
    <t>Special Collecting Structures</t>
  </si>
  <si>
    <t>Services to Customers</t>
  </si>
  <si>
    <t>Flow Measuring Devices</t>
  </si>
  <si>
    <t>Structures and Improvements</t>
  </si>
  <si>
    <t>Flor Measuring Installations</t>
  </si>
  <si>
    <t>Receiving Wells</t>
  </si>
  <si>
    <t>Treatment and Disposal Equipment</t>
  </si>
  <si>
    <t>Outfall Wastewater Lines</t>
  </si>
  <si>
    <t>Assets and Other Debits</t>
  </si>
  <si>
    <t>Total Assets and Other Debits</t>
  </si>
  <si>
    <t>Cash</t>
  </si>
  <si>
    <t xml:space="preserve">Utility Plant In Service </t>
  </si>
  <si>
    <t>Property Held For Future Use</t>
  </si>
  <si>
    <t>Utility Plant Purchased or Sold</t>
  </si>
  <si>
    <t xml:space="preserve">Construction Work in Progress </t>
  </si>
  <si>
    <t>Accumulated Depreciation and Amortization of UPIS</t>
  </si>
  <si>
    <t>Utility Plant Acquisition Adjustments</t>
  </si>
  <si>
    <t>Accumulated Amortization of Utility Plant Acquisition Adjustments</t>
  </si>
  <si>
    <t xml:space="preserve">Nonutility Property </t>
  </si>
  <si>
    <t>Accumulated Depreciation and Amortization of Nonutility Property</t>
  </si>
  <si>
    <t>Utility Investments</t>
  </si>
  <si>
    <t>Special Deposits</t>
  </si>
  <si>
    <t xml:space="preserve">Customer Accounts Receivable </t>
  </si>
  <si>
    <t>Accumulated Provision of Uncollectible Accounts - CR</t>
  </si>
  <si>
    <t xml:space="preserve">Plant Material and Supplies </t>
  </si>
  <si>
    <t>Miscellaneous Current and Accrued Assets</t>
  </si>
  <si>
    <t>Miscellaneous Deferred Debits</t>
  </si>
  <si>
    <t xml:space="preserve"> Accumulated Deferred Income Taxes</t>
  </si>
  <si>
    <t>Equity Capital</t>
  </si>
  <si>
    <t>Liabilities and Other Credits</t>
  </si>
  <si>
    <t>Common Stock Issued</t>
  </si>
  <si>
    <t>Other Paid In Capital</t>
  </si>
  <si>
    <t xml:space="preserve"> Retained Earnings</t>
  </si>
  <si>
    <t>Preferred Stock Issued</t>
  </si>
  <si>
    <t>Proprietary Capital</t>
  </si>
  <si>
    <t>Long Term Debt</t>
  </si>
  <si>
    <t>Notes Payable</t>
  </si>
  <si>
    <t xml:space="preserve">Customer Deposits </t>
  </si>
  <si>
    <t xml:space="preserve">Accrued Taxes </t>
  </si>
  <si>
    <t>Miscellaneous Current and Accrued Liab.</t>
  </si>
  <si>
    <t xml:space="preserve">Advances for Construction </t>
  </si>
  <si>
    <t>Accrued Interest</t>
  </si>
  <si>
    <t>Other Deferred Credits</t>
  </si>
  <si>
    <t>Accumulated Deferred Investment Tax Credits</t>
  </si>
  <si>
    <t>Contributions in Aid of Construction (CIAC)</t>
  </si>
  <si>
    <t>Accumulated Amortization of CIAC</t>
  </si>
  <si>
    <t xml:space="preserve">Accumulated Deferred Income Taxes -Accelerated Amortization </t>
  </si>
  <si>
    <t>Accumulated Deferred Income Taxes -Liberalized Depreciation</t>
  </si>
  <si>
    <t>Accumulated Deferred Income Taxes - Other</t>
  </si>
  <si>
    <t>Total Equity, Liabilities and Other Credits</t>
  </si>
  <si>
    <t xml:space="preserve">Salaries and Wages - Other </t>
  </si>
  <si>
    <t>Salaries and Wages - Employees</t>
  </si>
  <si>
    <t>Employees Pensions and Benefits</t>
  </si>
  <si>
    <t xml:space="preserve">Transportation Expense </t>
  </si>
  <si>
    <t xml:space="preserve"> Materials and Supplies</t>
  </si>
  <si>
    <t xml:space="preserve"> Miscellaneous Expense </t>
  </si>
  <si>
    <t>Fuel for Power Production</t>
  </si>
  <si>
    <t>Rents</t>
  </si>
  <si>
    <t>Regulatory Commission Expense</t>
  </si>
  <si>
    <t>Violation Reconnection</t>
  </si>
  <si>
    <t>Pumping Equipment</t>
  </si>
  <si>
    <t>Sludge Removal Expense</t>
  </si>
  <si>
    <t>Total Revenue</t>
  </si>
  <si>
    <t>Requirement</t>
  </si>
  <si>
    <t>Charge</t>
  </si>
  <si>
    <t>Gallonage</t>
  </si>
  <si>
    <t>Allocation Percentage</t>
  </si>
  <si>
    <t xml:space="preserve">Base Facility </t>
  </si>
  <si>
    <t>Allocation Amount</t>
  </si>
  <si>
    <t>Operations &amp; Maintenance Expenses</t>
  </si>
  <si>
    <t>Total Operations &amp; Maintenance Expenses</t>
  </si>
  <si>
    <t>Depreciation - Net of CIAC Amortization</t>
  </si>
  <si>
    <t>Base Facility Charge</t>
  </si>
  <si>
    <t>Amortization Expense - Org Cost</t>
  </si>
  <si>
    <t>Bills</t>
  </si>
  <si>
    <t>Factored</t>
  </si>
  <si>
    <t>Total Revenue Requirement from Rates</t>
  </si>
  <si>
    <t>General Service Gallons</t>
  </si>
  <si>
    <t>Factor</t>
  </si>
  <si>
    <t>Net Operating Income</t>
  </si>
  <si>
    <t>3/4"</t>
  </si>
  <si>
    <t>1"</t>
  </si>
  <si>
    <t>1-1/2"</t>
  </si>
  <si>
    <t>2"</t>
  </si>
  <si>
    <t>3"</t>
  </si>
  <si>
    <t>Meter Size</t>
  </si>
  <si>
    <t>Cumulative</t>
  </si>
  <si>
    <t>TOTAL</t>
  </si>
  <si>
    <t>Depreciation</t>
  </si>
  <si>
    <t>Accumulated Depreciation</t>
  </si>
  <si>
    <t>Depreciation Expense</t>
  </si>
  <si>
    <t>Life</t>
  </si>
  <si>
    <r>
      <t>Type</t>
    </r>
  </si>
  <si>
    <t>Cumm. Homes</t>
  </si>
  <si>
    <r>
      <t>TOTAL</t>
    </r>
  </si>
  <si>
    <t>CIAC Table</t>
  </si>
  <si>
    <t>Schedule 1B</t>
  </si>
  <si>
    <t>Year</t>
  </si>
  <si>
    <t>Amortization</t>
  </si>
  <si>
    <t>Factored ERCs</t>
  </si>
  <si>
    <t>Annual CIAC</t>
  </si>
  <si>
    <t>Utility Plant in Service</t>
  </si>
  <si>
    <t>Contributions in Aid of Construction</t>
  </si>
  <si>
    <t xml:space="preserve">Accumulated Amortization of CIAC </t>
  </si>
  <si>
    <t>Wastewater Rate Base</t>
  </si>
  <si>
    <t>Water</t>
  </si>
  <si>
    <t>Operating Revenue</t>
  </si>
  <si>
    <t>Operating Expenses</t>
  </si>
  <si>
    <t>Operation &amp; Maintenance Expenses</t>
  </si>
  <si>
    <t>Total Operating Expenses</t>
  </si>
  <si>
    <t>Net Operating Income (Loss)</t>
  </si>
  <si>
    <t>Rate Base</t>
  </si>
  <si>
    <t>Rate of Return</t>
  </si>
  <si>
    <t>Projected Costs</t>
  </si>
  <si>
    <t>Wastewater</t>
  </si>
  <si>
    <t>Depreciation net of CIAC Amortization</t>
  </si>
  <si>
    <t>Sewer Revenue Requirement (FINAL)</t>
  </si>
  <si>
    <t>Sewer Rate Base</t>
  </si>
  <si>
    <t>Utility Operating Income</t>
  </si>
  <si>
    <t>Earned Utility Income</t>
  </si>
  <si>
    <t>Utility Operating Income Deficiency</t>
  </si>
  <si>
    <t xml:space="preserve">Revenue Tax </t>
  </si>
  <si>
    <t>Additional Revenue Required (excl. Income Tax Expansion)</t>
  </si>
  <si>
    <t>Income Tax</t>
  </si>
  <si>
    <t xml:space="preserve">Additional Revenue Required </t>
  </si>
  <si>
    <t>% Increase requested</t>
  </si>
  <si>
    <t>Additional Revenue Required</t>
  </si>
  <si>
    <t>Balance Subject to Income Tax</t>
  </si>
  <si>
    <t>Pretax</t>
  </si>
  <si>
    <t>Pre Tax Rate of Return</t>
  </si>
  <si>
    <t>Weighted</t>
  </si>
  <si>
    <t>Utility Operating Income Required</t>
  </si>
  <si>
    <t>Proforma</t>
  </si>
  <si>
    <t>Equity cost</t>
  </si>
  <si>
    <t>Weight</t>
  </si>
  <si>
    <t>cost</t>
  </si>
  <si>
    <t>All other</t>
  </si>
  <si>
    <t>O &amp; M Expense</t>
  </si>
  <si>
    <t>PRETAX</t>
  </si>
  <si>
    <t>AFTER TAX</t>
  </si>
  <si>
    <t>Revenue Requirements Before RAF</t>
  </si>
  <si>
    <t>Additional Revenue Required (Incl. Income Tax Expansion)</t>
  </si>
  <si>
    <t>Adjusted Test Year Before Increase</t>
  </si>
  <si>
    <t>Additional Revenues Proposed</t>
  </si>
  <si>
    <t>Miscellaneous and other revenues</t>
  </si>
  <si>
    <t>% Rate Increase</t>
  </si>
  <si>
    <t>Revenues</t>
  </si>
  <si>
    <t>Interest Expense</t>
  </si>
  <si>
    <t>Net Income Before Taxes</t>
  </si>
  <si>
    <t xml:space="preserve">Net Income </t>
  </si>
  <si>
    <t>Net Operating Income (Before Interest)</t>
  </si>
  <si>
    <t>ROR</t>
  </si>
  <si>
    <t>Total Factored ERCs</t>
  </si>
  <si>
    <t>Capacity</t>
  </si>
  <si>
    <t>Schedule 1 B</t>
  </si>
  <si>
    <t>Schedule 2</t>
  </si>
  <si>
    <t>Total Expenses</t>
  </si>
  <si>
    <t>Schedule 3 B</t>
  </si>
  <si>
    <t>Average cost per customer per month</t>
  </si>
  <si>
    <t>Schedule 6</t>
  </si>
  <si>
    <t>Schedule 7 (Support)</t>
  </si>
  <si>
    <t>Schedule 7</t>
  </si>
  <si>
    <t>Requested Rates - Residential - Monthly</t>
  </si>
  <si>
    <t>Charge per 1,000 gallons</t>
  </si>
  <si>
    <t>Total ERCs</t>
  </si>
  <si>
    <t>Total Gallons</t>
  </si>
  <si>
    <t>Revenue Proof For Wastewater</t>
  </si>
  <si>
    <t>Total Wastewater Revenue at 80% Design Capacity</t>
  </si>
  <si>
    <t>Taxes Other Than Income</t>
  </si>
  <si>
    <t xml:space="preserve">Taxes Other Than Income </t>
  </si>
  <si>
    <t xml:space="preserve">Taxes Other Than Income  </t>
  </si>
  <si>
    <t>RAF + Franchise</t>
  </si>
  <si>
    <t>Annual</t>
  </si>
  <si>
    <t>Land</t>
  </si>
  <si>
    <t>Depreciable Plant</t>
  </si>
  <si>
    <t>Accumulated Depreciation  at Design Capacity</t>
  </si>
  <si>
    <t>Minimum Level of C.I.A.C.</t>
  </si>
  <si>
    <t>Accumulated Amortization of C.I.A.C. at Design Capacity</t>
  </si>
  <si>
    <t>Future Customers (ERC) to be Connected</t>
  </si>
  <si>
    <t>Composite Depreciation Rate</t>
  </si>
  <si>
    <t>Number of Years to Design Capacity</t>
  </si>
  <si>
    <t>Existing Service Availability Charge Per ERC</t>
  </si>
  <si>
    <t>Level of C.I.A.C. at Design Capacity</t>
  </si>
  <si>
    <t>Requested Service Availability Charge Per ERC</t>
  </si>
  <si>
    <t>Minimum Service Availability Charge Per ERC</t>
  </si>
  <si>
    <t>Maximum Service Availability Charge Per ERC</t>
  </si>
  <si>
    <t xml:space="preserve">Gross Book Value  </t>
  </si>
  <si>
    <t>C.I.A.C. to Date</t>
  </si>
  <si>
    <t>Accumulated Depreciation to Date</t>
  </si>
  <si>
    <t>Accumulated Amortization of C.I.A.C. to Date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</si>
  <si>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</si>
  <si>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</si>
  <si>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</si>
  <si>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</si>
  <si>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</si>
  <si>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</si>
  <si>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</si>
  <si>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</si>
  <si>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</si>
  <si>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</si>
  <si>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</si>
  <si>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</si>
  <si>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</si>
  <si>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</si>
  <si>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</si>
  <si>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</si>
  <si>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</si>
  <si>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</si>
  <si>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</si>
  <si>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</si>
  <si>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</si>
  <si>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Net Plant at Design Capacity (includes land)</t>
  </si>
  <si>
    <t>Adjustments to Proforma Statements of Operations</t>
  </si>
  <si>
    <t>(A)</t>
  </si>
  <si>
    <t>(B)</t>
  </si>
  <si>
    <t>Millage rate</t>
  </si>
  <si>
    <t>Total increase in ad valorem taxes</t>
  </si>
  <si>
    <t xml:space="preserve">(1)Total Net Plant Additions </t>
  </si>
  <si>
    <t>RAF rate</t>
  </si>
  <si>
    <t>(2)Regulatory Assessment Fee</t>
  </si>
  <si>
    <t>Total Revenue Increase Requested</t>
  </si>
  <si>
    <t xml:space="preserve">Total increase in RAF </t>
  </si>
  <si>
    <t>Total Taxes Other Than Income</t>
  </si>
  <si>
    <t>Line</t>
  </si>
  <si>
    <t>Line No.</t>
  </si>
  <si>
    <t>Service Availability Charge Analysis for Wastewater</t>
  </si>
  <si>
    <r>
      <t xml:space="preserve"> </t>
    </r>
    <r>
      <rPr>
        <b/>
        <sz val="10"/>
        <color indexed="8"/>
        <rFont val="Calibri"/>
        <family val="2"/>
      </rPr>
      <t xml:space="preserve">Charge During Regular Business Hours </t>
    </r>
    <r>
      <rPr>
        <b/>
        <sz val="10"/>
        <color theme="1"/>
        <rFont val="Calibri"/>
        <family val="2"/>
      </rPr>
      <t xml:space="preserve"> </t>
    </r>
  </si>
  <si>
    <r>
      <t xml:space="preserve"> </t>
    </r>
    <r>
      <rPr>
        <b/>
        <sz val="10"/>
        <color indexed="8"/>
        <rFont val="Calibri"/>
        <family val="2"/>
      </rPr>
      <t xml:space="preserve">Charge After Regular Business Hours </t>
    </r>
    <r>
      <rPr>
        <b/>
        <sz val="10"/>
        <rFont val="Calibri"/>
        <family val="2"/>
      </rPr>
      <t xml:space="preserve"> </t>
    </r>
  </si>
  <si>
    <t>Line No</t>
  </si>
  <si>
    <t>Proof of Revenue</t>
  </si>
  <si>
    <t xml:space="preserve">Line </t>
  </si>
  <si>
    <t>No</t>
  </si>
  <si>
    <t xml:space="preserve">Description </t>
  </si>
  <si>
    <t>Referenced</t>
  </si>
  <si>
    <t>1 B</t>
  </si>
  <si>
    <t>Projected Net Operating Income</t>
  </si>
  <si>
    <t>Schedule 11</t>
  </si>
  <si>
    <t>Pro Forma Expense for Wastewater System When Plants are Operating at 80% of Design Capacity</t>
  </si>
  <si>
    <t>(b) Infrastructure cost for commercial meters is covered by the commercial site developer.</t>
  </si>
  <si>
    <t>residential infrastructure, so it might not need to be included here.</t>
  </si>
  <si>
    <t>(a) Includes curb stop, meter box, line setter and labor. These costs are included in the cost for constructing the</t>
  </si>
  <si>
    <t>NA (b)</t>
  </si>
  <si>
    <t>Turbine</t>
  </si>
  <si>
    <t>Commercial</t>
  </si>
  <si>
    <t>8"</t>
  </si>
  <si>
    <t>6"</t>
  </si>
  <si>
    <t>4"</t>
  </si>
  <si>
    <t>Positive Displacement</t>
  </si>
  <si>
    <t>3/4x3/4</t>
  </si>
  <si>
    <t>5/8x3/4</t>
  </si>
  <si>
    <t>Residential</t>
  </si>
  <si>
    <t>Total</t>
  </si>
  <si>
    <t>Labor to Install</t>
  </si>
  <si>
    <t>Meter Cost</t>
  </si>
  <si>
    <t>Infrastructure Cost (a)</t>
  </si>
  <si>
    <t>Meter Type</t>
  </si>
  <si>
    <t>Service Type</t>
  </si>
  <si>
    <t>Meter Installation Costs (Current Year)</t>
  </si>
  <si>
    <t>Milian Swain &amp; Associates, Inc.</t>
  </si>
  <si>
    <t>Filing Fee</t>
  </si>
  <si>
    <t>Expenses</t>
  </si>
  <si>
    <t>Expense</t>
  </si>
  <si>
    <t>Distribution Mains</t>
  </si>
  <si>
    <t>Service Lines</t>
  </si>
  <si>
    <t>Fire Hydrants</t>
  </si>
  <si>
    <t>Total Subdivision Cost</t>
  </si>
  <si>
    <t>Transmision Mains</t>
  </si>
  <si>
    <t>Total Cost</t>
  </si>
  <si>
    <r>
      <t xml:space="preserve">No. of </t>
    </r>
    <r>
      <rPr>
        <u val="single"/>
        <sz val="12"/>
        <color theme="1"/>
        <rFont val="Calibri"/>
        <family val="2"/>
      </rPr>
      <t>Lots</t>
    </r>
  </si>
  <si>
    <t>Actual Cost</t>
  </si>
  <si>
    <t>N/A</t>
  </si>
  <si>
    <t>Initial Connection (1)</t>
  </si>
  <si>
    <t>Normal Reconnection (1)</t>
  </si>
  <si>
    <t>Premise Visit Charge (1)</t>
  </si>
  <si>
    <t>Notes:</t>
  </si>
  <si>
    <t>Sewer Laterals</t>
  </si>
  <si>
    <t>Purchased Wastewater Treatment</t>
  </si>
  <si>
    <t>Regulatory Assessment Fees</t>
  </si>
  <si>
    <t>Projected Rate Base at 100% and 80% of Designed Capacity</t>
  </si>
  <si>
    <t xml:space="preserve">ERC = </t>
  </si>
  <si>
    <t>Treatment Capacity (gpd)</t>
  </si>
  <si>
    <t>Pro Forma Balance Sheet at 100% Design</t>
  </si>
  <si>
    <t>Power Generation Equipment</t>
  </si>
  <si>
    <t>Annual billable gallons</t>
  </si>
  <si>
    <t>ADD</t>
  </si>
  <si>
    <t>TOTI excluding RAF&amp;franchise</t>
  </si>
  <si>
    <t>Factored Bills (Monthly factored bills X 12)</t>
  </si>
  <si>
    <t>Monthly factored bills</t>
  </si>
  <si>
    <t>Annual Billable Gallons</t>
  </si>
  <si>
    <t>Less: Revenues from Miscellaneous Charges</t>
  </si>
  <si>
    <t>Average 15 days of annual billing</t>
  </si>
  <si>
    <t>Cost of original construction minus amount to balance</t>
  </si>
  <si>
    <t>Cost of Capital</t>
  </si>
  <si>
    <t>Customer Dep</t>
  </si>
  <si>
    <t>Equity</t>
  </si>
  <si>
    <t>Average 45 days of O&amp;M expense</t>
  </si>
  <si>
    <t>average 15 day payable O&amp;M</t>
  </si>
  <si>
    <t>Accounts Payable</t>
  </si>
  <si>
    <t>Working Capital Allowance</t>
  </si>
  <si>
    <t>Accounts Receivable</t>
  </si>
  <si>
    <t>Sewer</t>
  </si>
  <si>
    <t>Cost</t>
  </si>
  <si>
    <t>Schedule 4B</t>
  </si>
  <si>
    <t>Pro Forma Wastewater Plant  (NARUC Accounts 351-398)</t>
  </si>
  <si>
    <t>Supporting Schedules</t>
  </si>
  <si>
    <t>Wastewater Plant, Depreciation, CIAC and Amortization</t>
  </si>
  <si>
    <t>Projected Net Operating Income When Plants Operating at 80% Capacity</t>
  </si>
  <si>
    <t>7 Support (p1)</t>
  </si>
  <si>
    <t>Calculation of Rates for Wastewater Utility based on projections at 80% Design Capacity</t>
  </si>
  <si>
    <t>5/8" C</t>
  </si>
  <si>
    <t>5/8" (Res)</t>
  </si>
  <si>
    <t>5/8" (Comm)</t>
  </si>
  <si>
    <t>Pro Forma Rate Base</t>
  </si>
  <si>
    <t>1 B Support</t>
  </si>
  <si>
    <t>Requested Service Availability Charge Gallon Per Day</t>
  </si>
  <si>
    <t>1-1/2"  Turbine</t>
  </si>
  <si>
    <t>2"  Turbine</t>
  </si>
  <si>
    <t>3"  Turbine</t>
  </si>
  <si>
    <t>1-1/2" Turbine</t>
  </si>
  <si>
    <t>2" Turbine</t>
  </si>
  <si>
    <t>3" Turbine</t>
  </si>
  <si>
    <t>Less: Revenue Tax @ 4.5%</t>
  </si>
  <si>
    <t>Average Residential Bill</t>
  </si>
  <si>
    <t>Average General Service Bill</t>
  </si>
  <si>
    <t>Total Residential Revenues</t>
  </si>
  <si>
    <t>Total General Service Revenues</t>
  </si>
  <si>
    <t>Requested Rates - General  Service</t>
  </si>
  <si>
    <t>Adjusted</t>
  </si>
  <si>
    <t>Unadjusted kgal charge</t>
  </si>
  <si>
    <t>Residential Unit Cost per Kgal:</t>
  </si>
  <si>
    <t>Gen Service Unit Cost per Kgal:</t>
  </si>
  <si>
    <t>Gallonage Charge (per 1,000) - Residential</t>
  </si>
  <si>
    <t>Gallonage Charge (per 1,000) - General Service</t>
  </si>
  <si>
    <t>Revenue Required Annual Revenue</t>
  </si>
  <si>
    <t>Rates Requested Annual Revenue</t>
  </si>
  <si>
    <t>Reqested Rates</t>
  </si>
  <si>
    <t>Rates for Revenue Requirement</t>
  </si>
  <si>
    <t>Requested Rates</t>
  </si>
  <si>
    <t>Required Revenues</t>
  </si>
  <si>
    <t>Requested Revenues</t>
  </si>
  <si>
    <t>Additional Revenues and RAFs</t>
  </si>
  <si>
    <t>Application for Original Certificate</t>
  </si>
  <si>
    <t>Accounting Information</t>
  </si>
  <si>
    <t>Page No.</t>
  </si>
  <si>
    <t>5/8" x 3/4"</t>
  </si>
  <si>
    <t>Service Availability Charge Analysis - Wastewater</t>
  </si>
  <si>
    <t>4B</t>
  </si>
  <si>
    <t>Reconciled to</t>
  </si>
  <si>
    <t>Class of Capital</t>
  </si>
  <si>
    <t>Ratio</t>
  </si>
  <si>
    <t>Cost Rate</t>
  </si>
  <si>
    <t>Weighted Cost</t>
  </si>
  <si>
    <t>Short Term Debt</t>
  </si>
  <si>
    <t>Preferred Stock</t>
  </si>
  <si>
    <t>Tax Credits - Zero Cost</t>
  </si>
  <si>
    <t>Tax Credits - Weighted Cost</t>
  </si>
  <si>
    <t>Accumulated Deferred Income Tax</t>
  </si>
  <si>
    <t>Other (Explain)</t>
  </si>
  <si>
    <t>Rate Base (Schedule 1)</t>
  </si>
  <si>
    <t>Outstanding Customer Deposit Balance</t>
  </si>
  <si>
    <t>Projected Capital Structure When Utility Reaches 80% Capacity</t>
  </si>
  <si>
    <t>General</t>
  </si>
  <si>
    <t>Service</t>
  </si>
  <si>
    <t xml:space="preserve">Docket No. </t>
  </si>
  <si>
    <t>Federal / State Income Tax @ 25.345</t>
  </si>
  <si>
    <t>Income Taxes</t>
  </si>
  <si>
    <t xml:space="preserve">Regulatory </t>
  </si>
  <si>
    <t>Date In</t>
  </si>
  <si>
    <t xml:space="preserve">Asset </t>
  </si>
  <si>
    <t xml:space="preserve">Depr </t>
  </si>
  <si>
    <t>Accumulated</t>
  </si>
  <si>
    <t>NBV</t>
  </si>
  <si>
    <t>UTILITY PLANT IN SERVICE</t>
  </si>
  <si>
    <t>WASTEWATER</t>
  </si>
  <si>
    <t xml:space="preserve">353 LAND </t>
  </si>
  <si>
    <t>351 ORGANIZATION</t>
  </si>
  <si>
    <t>TOTAL UPIS - WASTEWATER</t>
  </si>
  <si>
    <t>354 STRUCTURE &amp; IMPROVEMENTS</t>
  </si>
  <si>
    <t>Total 354 Structures &amp; Improvements</t>
  </si>
  <si>
    <t>Total 353 Land</t>
  </si>
  <si>
    <t>Total 371 Pumping Equipment</t>
  </si>
  <si>
    <t>Total 397 Miscellaneous Equipment</t>
  </si>
  <si>
    <t xml:space="preserve"> </t>
  </si>
  <si>
    <t>360 FORCE MAIN</t>
  </si>
  <si>
    <t>361 GRAVITY MAIN</t>
  </si>
  <si>
    <t>Total 361 Gravity Main</t>
  </si>
  <si>
    <t>361 MANHOLES</t>
  </si>
  <si>
    <t>Total 361 Manholes</t>
  </si>
  <si>
    <t>Manholes</t>
  </si>
  <si>
    <t>Reuse Distribution Reservoirs</t>
  </si>
  <si>
    <t>Reuse T &amp; D</t>
  </si>
  <si>
    <t>Miscellaneous</t>
  </si>
  <si>
    <t xml:space="preserve">Common Equity </t>
  </si>
  <si>
    <t xml:space="preserve">Rate of Return </t>
  </si>
  <si>
    <t>Contractual Services - Engineering</t>
  </si>
  <si>
    <t>Contractual Services - Accounting</t>
  </si>
  <si>
    <t>Contractual Services - Legal</t>
  </si>
  <si>
    <t>Contractual Services - Mgmt. Fees</t>
  </si>
  <si>
    <t>Contractual Services - Testing</t>
  </si>
  <si>
    <t>Insurance - Vehicle</t>
  </si>
  <si>
    <t>Insurance - General Liability</t>
  </si>
  <si>
    <t>Insurance - Workers Comp</t>
  </si>
  <si>
    <t>Insurance - Other</t>
  </si>
  <si>
    <t>Advertising Expense</t>
  </si>
  <si>
    <t>Miscellaneous Expense</t>
  </si>
  <si>
    <t>Total 341 Transportation</t>
  </si>
  <si>
    <t>391 TRANSPORTATION EQUIPMENT</t>
  </si>
  <si>
    <t>Avg Residential Bill</t>
  </si>
  <si>
    <t>Contract Services - Engineering</t>
  </si>
  <si>
    <t>Contract Services - Accounting</t>
  </si>
  <si>
    <t>Contract Services - Legal</t>
  </si>
  <si>
    <t>Contract Services - Mgmt. Fees</t>
  </si>
  <si>
    <t>Contract Services - Testing</t>
  </si>
  <si>
    <t>Rental of Building/Real Property</t>
  </si>
  <si>
    <t>Rental of Equipment</t>
  </si>
  <si>
    <t>Regulatory Commission Expense - Other</t>
  </si>
  <si>
    <t>Amortization of Rate Case Expense</t>
  </si>
  <si>
    <t>Regulatory Commission Expense- Other</t>
  </si>
  <si>
    <t>(1) Taxes other than Income</t>
  </si>
  <si>
    <t>Taxes Other Than Income (1)</t>
  </si>
  <si>
    <t xml:space="preserve">Purchased Wastewater Treatment </t>
  </si>
  <si>
    <t>(1) Increase in revenue required by the Utility to realize a  rate of return</t>
  </si>
  <si>
    <t>Taxes Other Than Income not incl RAF</t>
  </si>
  <si>
    <t>Rounding</t>
  </si>
  <si>
    <t>Total 351 Organization</t>
  </si>
  <si>
    <t>Projected</t>
  </si>
  <si>
    <t>Financial</t>
  </si>
  <si>
    <t>Engineering</t>
  </si>
  <si>
    <t>Legal</t>
  </si>
  <si>
    <t xml:space="preserve">Working Capital Allowance </t>
  </si>
  <si>
    <t>Requested Rates - Reclaimed Water</t>
  </si>
  <si>
    <t>Plant</t>
  </si>
  <si>
    <t>Main</t>
  </si>
  <si>
    <t>Pursuant to 68.065 (2), Florida Statutes</t>
  </si>
  <si>
    <t>Bad check Charge</t>
  </si>
  <si>
    <t>(1) Cost Justification</t>
  </si>
  <si>
    <t>Late Payment Fee (2)</t>
  </si>
  <si>
    <t>Postage ($.50)</t>
  </si>
  <si>
    <t>Printing Supplies ($.10)</t>
  </si>
  <si>
    <t>Labor ($20 * 1.33) = $26.60</t>
  </si>
  <si>
    <t>Vehicle (6 miles x $.58 per mile) = $3.48</t>
  </si>
  <si>
    <t>Total = $30.08, rounded to $30.00</t>
  </si>
  <si>
    <t>Clerical Labor ($20 * .25) = $5.00</t>
  </si>
  <si>
    <t>Supervisor Labor ($25 * .08) = $2.00</t>
  </si>
  <si>
    <t>Total = $7.60, round to $7.50</t>
  </si>
  <si>
    <t>Average monthly bill</t>
  </si>
  <si>
    <t>Deposit requested</t>
  </si>
  <si>
    <t>Line Capacity</t>
  </si>
  <si>
    <t>average 1.5 month bill for 2 yrs customers</t>
  </si>
  <si>
    <t>Year 4 Rate Base</t>
  </si>
  <si>
    <t>Additional Support</t>
  </si>
  <si>
    <t>(2) Cost Justification</t>
  </si>
  <si>
    <t>Initial Rates and Charges - Comparison</t>
  </si>
  <si>
    <t>Location</t>
  </si>
  <si>
    <t>The rate comparison chart below is based on a residential account with a 5/8" meter and 6 kgals of monthly usage</t>
  </si>
  <si>
    <t>Gallonage Charge, 10,000 gallons cap</t>
  </si>
  <si>
    <t>Schedule 1 Summary</t>
  </si>
  <si>
    <t>1 Summary</t>
  </si>
  <si>
    <t>Environmental Utilities, LLC</t>
  </si>
  <si>
    <t>Calculation of Proposed Rates and Revenue Proof  - Wastewater</t>
  </si>
  <si>
    <t xml:space="preserve">Environmental Utilities </t>
  </si>
  <si>
    <t>4" LP Sewer Main PVC - 9,494 LF</t>
  </si>
  <si>
    <t>3" LP Sewer Main PVC - 34,096 LF</t>
  </si>
  <si>
    <t>6" Sewer Main PVC - 9,020 LF</t>
  </si>
  <si>
    <t>8" LP Sewer Main PVC - 15,325 LF</t>
  </si>
  <si>
    <t>10" LP Sewer Main PVC - 3,677 LF</t>
  </si>
  <si>
    <t>12" LP Sewer Main PVC 4,250 LF</t>
  </si>
  <si>
    <t>10" Directional Drill for Water Crossings HDPE 1,171 LF</t>
  </si>
  <si>
    <t>16" Directional Drill for Water Crossings HDPE 700 LF</t>
  </si>
  <si>
    <t>Main Line Road Crossings PVC  45 LF</t>
  </si>
  <si>
    <t>Asphalt Roads</t>
  </si>
  <si>
    <t>Concrete Driveways</t>
  </si>
  <si>
    <t>LPS Tank Package</t>
  </si>
  <si>
    <t>On Site Lateral Connection</t>
  </si>
  <si>
    <t>Miscellaneous (Mobilization / MOT/ Bonds/Permits</t>
  </si>
  <si>
    <t>Leverage Formula [6/29/2020] Docket 20200006 WS]</t>
  </si>
  <si>
    <t>ROE =6.05%+(1.80/Equity ratio)</t>
  </si>
  <si>
    <t>Range: 7.85% at 100% equity to 10.55% at 40% equity</t>
  </si>
  <si>
    <t xml:space="preserve">Miscellaneous Revenues </t>
  </si>
  <si>
    <t>Revenues from Miscellaneous Charges</t>
  </si>
  <si>
    <t>Grinder Pump (Crush and Fill Existing Septics)</t>
  </si>
  <si>
    <t>LGI Building</t>
  </si>
  <si>
    <t xml:space="preserve">LGI Property </t>
  </si>
  <si>
    <t>Legal for zoning / Other</t>
  </si>
  <si>
    <t xml:space="preserve"> 2 Service Trucks </t>
  </si>
  <si>
    <t>Service boat</t>
  </si>
  <si>
    <t>395 POWER OPERATED EQUIPMENT</t>
  </si>
  <si>
    <t>Dump Trailer</t>
  </si>
  <si>
    <t>2 Trackhoes</t>
  </si>
  <si>
    <t>393 TOOLS, SHOP &amp; GARAGE EQUIPMENT</t>
  </si>
  <si>
    <t>Tools</t>
  </si>
  <si>
    <t>390 OFFICE FURNITURE AND EQUIPMENT</t>
  </si>
  <si>
    <t>2 Computers</t>
  </si>
  <si>
    <t>Other office furniture</t>
  </si>
  <si>
    <t>Cost from engineering report- LPS</t>
  </si>
  <si>
    <t>Admin Costs Boyer email 4/6/2021</t>
  </si>
  <si>
    <t>Inventory</t>
  </si>
  <si>
    <t>2 Side by side</t>
  </si>
  <si>
    <t>Dean Mead</t>
  </si>
  <si>
    <t>Filing Fees, mail outs, other</t>
  </si>
  <si>
    <t>Contractual Services - Billing</t>
  </si>
  <si>
    <t>Existing 5/8" R</t>
  </si>
  <si>
    <t>New 5/8" R</t>
  </si>
  <si>
    <t xml:space="preserve">Residential Gallons  </t>
  </si>
  <si>
    <t>GWE</t>
  </si>
  <si>
    <t>DP / KI Building</t>
  </si>
  <si>
    <t>Organization Cost _Boyer 4/5/2021</t>
  </si>
  <si>
    <t>Total 341  Office Furniture &amp; Equipment</t>
  </si>
  <si>
    <t>6.05% + (1.80 ÷ Equity Ratio)</t>
  </si>
  <si>
    <t>Existing Customers</t>
  </si>
  <si>
    <t>Future Customers</t>
  </si>
  <si>
    <t xml:space="preserve">Charlotte County Impact Fee </t>
  </si>
  <si>
    <t>Total cost Year 2047</t>
  </si>
  <si>
    <t>2% inflation rate</t>
  </si>
  <si>
    <t>Payroll Taxes</t>
  </si>
  <si>
    <t xml:space="preserve">Salary </t>
  </si>
  <si>
    <t>Field Labor</t>
  </si>
  <si>
    <t>Bookeeping</t>
  </si>
  <si>
    <t>CEO Licensed Operator</t>
  </si>
  <si>
    <t xml:space="preserve"> Field Manager</t>
  </si>
  <si>
    <t>Florida Avg.</t>
  </si>
  <si>
    <t xml:space="preserve">Rate per </t>
  </si>
  <si>
    <t>Billing Cost  998 customers @$2/monthly</t>
  </si>
  <si>
    <t xml:space="preserve">Employees Pensions and Benefits </t>
  </si>
  <si>
    <t>Amortization Billing Software (6yrs)</t>
  </si>
  <si>
    <t>Amortization Expense - Billing Software</t>
  </si>
  <si>
    <t>Amortization Expense - Billing Software Update</t>
  </si>
  <si>
    <t>Holidays</t>
  </si>
  <si>
    <t>Vacation</t>
  </si>
  <si>
    <t>Personal</t>
  </si>
  <si>
    <t>Health insurance</t>
  </si>
  <si>
    <t>annual cost</t>
  </si>
  <si>
    <t>Employee Pension - Benefits</t>
  </si>
  <si>
    <t>Benefits (1)</t>
  </si>
  <si>
    <t>(1) Benefits</t>
  </si>
  <si>
    <t>Annual hrs</t>
  </si>
  <si>
    <t>Total benefits</t>
  </si>
  <si>
    <t>Total Paid days/hours</t>
  </si>
  <si>
    <t>Leave time % / $</t>
  </si>
  <si>
    <t>$750/mo/employee</t>
  </si>
  <si>
    <t>SEP: 5% salary</t>
  </si>
  <si>
    <t>Assumptions</t>
  </si>
  <si>
    <t xml:space="preserve">Customer connections </t>
  </si>
  <si>
    <t>80%</t>
  </si>
  <si>
    <t>Wastewater Low Pressure Collection System serving LGI, Don Pedro, and Knight Island</t>
  </si>
  <si>
    <t xml:space="preserve">Return on Equity </t>
  </si>
  <si>
    <t xml:space="preserve">Inflation of 2% per year through 2033 </t>
  </si>
  <si>
    <t>Contract Services - Billing</t>
  </si>
  <si>
    <t>Total Expenses provided are 2023 $.</t>
  </si>
  <si>
    <t>407 Amortization Expense - Billing Software Update</t>
  </si>
  <si>
    <t>Projected cost of $25,000 amortized over 6 years</t>
  </si>
  <si>
    <t>758 Insurance - Workers Comp</t>
  </si>
  <si>
    <t>Payroll Taxes 7.65%</t>
  </si>
  <si>
    <t>704 Employee Pension - Benefits</t>
  </si>
  <si>
    <t xml:space="preserve">736 Contract Services - Billing </t>
  </si>
  <si>
    <t xml:space="preserve">Construction projected completion 2023 </t>
  </si>
  <si>
    <t>Operations &amp; Maintenance Expenses at 80% Year 2033</t>
  </si>
  <si>
    <t>Regulatory Assessment Fee</t>
  </si>
  <si>
    <t>County Wide millages</t>
  </si>
  <si>
    <t>Overlapping: CC School Board</t>
  </si>
  <si>
    <t>Don Pedro &amp; Knight Island direct rates</t>
  </si>
  <si>
    <t>Collection Sewers - Force Main</t>
  </si>
  <si>
    <t>Collec. Sys Gravity</t>
  </si>
  <si>
    <t>Collec. Sys - Force Main</t>
  </si>
  <si>
    <t>Transmission &amp; Distribution  / Collection  Systems</t>
  </si>
  <si>
    <t>Collection Sewers</t>
  </si>
  <si>
    <t xml:space="preserve">Charlotte County </t>
  </si>
  <si>
    <t>CIAC Annual Additions</t>
  </si>
  <si>
    <t>CIAC Amortization</t>
  </si>
  <si>
    <t>Collection System Accumulated Amortization</t>
  </si>
  <si>
    <t>Collection System Annual Amortization</t>
  </si>
  <si>
    <t xml:space="preserve">Property Taxes - millage rate </t>
  </si>
  <si>
    <t>Property Taxes (net tangible plant X 2019 millage 14.2897)</t>
  </si>
  <si>
    <t>Sewer Lateral Cost</t>
  </si>
  <si>
    <t>Easements - Legal/Surveying</t>
  </si>
  <si>
    <t>DP/KI Land</t>
  </si>
  <si>
    <t>Total CIAC</t>
  </si>
  <si>
    <t>Annual CIAC by Year</t>
  </si>
  <si>
    <t>Annual Gls Billed</t>
  </si>
  <si>
    <t># Residential Customers</t>
  </si>
  <si>
    <t>GPD/ERC</t>
  </si>
  <si>
    <t>Little Gasparilla</t>
  </si>
  <si>
    <t>Bocilla</t>
  </si>
  <si>
    <t>GWE Overhead Allocation</t>
  </si>
  <si>
    <t>GWE Overhead Cost</t>
  </si>
  <si>
    <t>Average gallons per day per ERC</t>
  </si>
  <si>
    <t>10% Rpression</t>
  </si>
  <si>
    <t>Repression</t>
  </si>
  <si>
    <t>Schedule 5</t>
  </si>
  <si>
    <t>Cost Justification for Service Installation Fees</t>
  </si>
  <si>
    <t>Sewer Lateral Installation Fee</t>
  </si>
  <si>
    <t>Income Taxes*</t>
  </si>
  <si>
    <t xml:space="preserve">Income Tax Rate </t>
  </si>
  <si>
    <t>Gross CIAC</t>
  </si>
  <si>
    <t>*For Income Tax purposes, the Utility opted to be taxed as a C Corporation.</t>
  </si>
  <si>
    <t>Engineering GWE*</t>
  </si>
  <si>
    <t>Milian, Swain &amp; Associates*</t>
  </si>
  <si>
    <t>Dean Mead*</t>
  </si>
  <si>
    <t>*Include cost  to attend/prepare for Hearing if contested.</t>
  </si>
  <si>
    <t>Organization*</t>
  </si>
  <si>
    <t>Page 1</t>
  </si>
  <si>
    <t>Page 2</t>
  </si>
  <si>
    <t>7 Support (p2)</t>
  </si>
  <si>
    <t>Requested Sewer Lateral Installation Fee</t>
  </si>
  <si>
    <t>Gross-up Sewer Lateral Installation Fee</t>
  </si>
  <si>
    <t>Tax Impact Sewer Lateral Installation Fee</t>
  </si>
  <si>
    <t>Tax Impact</t>
  </si>
  <si>
    <t>Deferred Income Tax</t>
  </si>
  <si>
    <t>Service Availability Charge</t>
  </si>
  <si>
    <t>Total Deferred Income Tax</t>
  </si>
  <si>
    <t>Sewer Lateral Connection Fee</t>
  </si>
  <si>
    <t>Annual Amortization Deferred Income Tax</t>
  </si>
  <si>
    <t>Annual - Service Availability (not incl CC)</t>
  </si>
  <si>
    <t>Org Cost Hearing</t>
  </si>
  <si>
    <t>added per 5/25 conference call</t>
  </si>
  <si>
    <t>Composite Rate</t>
  </si>
  <si>
    <t>Total 360Force Main</t>
  </si>
  <si>
    <t xml:space="preserve">adjusted per 5/25 conference call </t>
  </si>
  <si>
    <t>UPIS Composite Depreciation  Rate</t>
  </si>
  <si>
    <t>Fee</t>
  </si>
  <si>
    <t>original calc</t>
  </si>
  <si>
    <t>using FPSC formula</t>
  </si>
  <si>
    <t>avg bill</t>
  </si>
  <si>
    <t>explanation</t>
  </si>
  <si>
    <t>50% mains only</t>
  </si>
  <si>
    <t>75% mains only</t>
  </si>
  <si>
    <t>Org Costs</t>
  </si>
  <si>
    <t>General Plant</t>
  </si>
  <si>
    <t>Laterals</t>
  </si>
  <si>
    <t>Collection system</t>
  </si>
  <si>
    <t>Annual Lateral Installation Fee</t>
  </si>
  <si>
    <t>75% Collection System</t>
  </si>
  <si>
    <t>Overhead / Miscellaneous Giffels Webster Engineers</t>
  </si>
  <si>
    <t>Projected December 2033</t>
  </si>
  <si>
    <t>2047</t>
  </si>
  <si>
    <t>2033</t>
  </si>
  <si>
    <t>Projected December 2047</t>
  </si>
  <si>
    <t>Projected 2033</t>
  </si>
  <si>
    <t>Projected December, 2033</t>
  </si>
  <si>
    <t>Projected Year 2033</t>
  </si>
  <si>
    <t>Year 2033 - 80%</t>
  </si>
  <si>
    <t>Rate Summary</t>
  </si>
  <si>
    <t>Impact Fee</t>
  </si>
  <si>
    <t>Lateral</t>
  </si>
  <si>
    <t>June, 2021</t>
  </si>
  <si>
    <t>*Includes additional cost of $275,000 to attend/prepare for Hearing if contested.</t>
  </si>
  <si>
    <t>CIAC Fee</t>
  </si>
  <si>
    <t xml:space="preserve"> Lateral Installation Fee </t>
  </si>
  <si>
    <t xml:space="preserve">Proforma Replacement: 2 Service Trucks </t>
  </si>
  <si>
    <t>Proforma Replacement: Service boat</t>
  </si>
  <si>
    <t>Proforma Replacement: Dump Trailer</t>
  </si>
  <si>
    <t>Proforma Replacement: 2 Side by side</t>
  </si>
  <si>
    <t xml:space="preserve">Proforma Replacement: 2 Computers </t>
  </si>
  <si>
    <t>998  ERC @$26.89</t>
  </si>
  <si>
    <t>Usage @4.59</t>
  </si>
  <si>
    <t>PROFORMA RETIREMENT</t>
  </si>
  <si>
    <t>354 PUMPING STRUCTURES</t>
  </si>
  <si>
    <t>Total 396 Power Operated Equipment</t>
  </si>
  <si>
    <t xml:space="preserve">354 PUMPING STRUCTURES </t>
  </si>
  <si>
    <t>Average Monthly bill</t>
  </si>
  <si>
    <t>Contribution in Aid of Construction (Net to EU)</t>
  </si>
  <si>
    <t>Grossed-up Contribution in Aid of Construction paid by customer</t>
  </si>
  <si>
    <t>Charlotte County Fee</t>
  </si>
  <si>
    <t>Docket No. 20210006-WS</t>
  </si>
  <si>
    <t>Note:  The cost of equity is based on the leverage formula per Docket No. 20210006-WS</t>
  </si>
  <si>
    <t>Total new connections 2033</t>
  </si>
  <si>
    <t>Deposit balance 2033 from new customers</t>
  </si>
  <si>
    <t>New Customers connected 2032 and 2033</t>
  </si>
  <si>
    <t>Wastewater Plant and Depreciation</t>
  </si>
  <si>
    <t>CIAC and Amortization</t>
  </si>
  <si>
    <t>1B Support (Schedule C )</t>
  </si>
  <si>
    <t>1B Support (Schedule D )</t>
  </si>
  <si>
    <t>Schedule 1B Support (Schedule C)</t>
  </si>
  <si>
    <t>Schedule 1B Support (Schedule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</si>
</sst>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_(&quot;$&quot;* #,##0_);_(&quot;$&quot;* \(#,##0\);_(&quot;$&quot;* &quot;-&quot;??_);_(@_)"/>
    <numFmt numFmtId="168" formatCode="#,##0.000_);\(#,##0.000\)"/>
    <numFmt numFmtId="169" formatCode="0.000%"/>
    <numFmt numFmtId="170" formatCode="#########"/>
    <numFmt numFmtId="171" formatCode="##"/>
    <numFmt numFmtId="172" formatCode="mm/yy"/>
    <numFmt numFmtId="173" formatCode="_([$€-2]* #,##0.00_);_([$€-2]* \(#,##0.00\);_([$€-2]* &quot;-&quot;??_)"/>
    <numFmt numFmtId="174" formatCode="0.0000%"/>
    <numFmt numFmtId="175" formatCode="0.0%"/>
    <numFmt numFmtId="176" formatCode="0_);\(0\)"/>
  </numFmts>
  <fonts count="72">
    <font>
      <sz val="12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10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.5"/>
      <name val="Times New Roman"/>
      <family val="1"/>
    </font>
    <font>
      <b/>
      <u val="single"/>
      <sz val="10"/>
      <name val="Calibri"/>
      <family val="2"/>
      <scheme val="minor"/>
    </font>
    <font>
      <sz val="10"/>
      <name val="Garmond (W1)"/>
      <family val="2"/>
    </font>
    <font>
      <b/>
      <sz val="10"/>
      <name val="Calibri"/>
      <family val="2"/>
      <scheme val="minor"/>
    </font>
    <font>
      <sz val="10"/>
      <name val="Bookman Old Style"/>
      <family val="1"/>
    </font>
    <font>
      <sz val="9"/>
      <color theme="1"/>
      <name val="Georgia"/>
      <family val="2"/>
    </font>
    <font>
      <sz val="9"/>
      <color theme="0"/>
      <name val="Georgia"/>
      <family val="2"/>
    </font>
    <font>
      <sz val="9"/>
      <color rgb="FF9C0006"/>
      <name val="Georgia"/>
      <family val="2"/>
    </font>
    <font>
      <b/>
      <sz val="9"/>
      <color rgb="FFFA7D00"/>
      <name val="Georgia"/>
      <family val="2"/>
    </font>
    <font>
      <b/>
      <sz val="9"/>
      <color theme="0"/>
      <name val="Georgia"/>
      <family val="2"/>
    </font>
    <font>
      <sz val="10"/>
      <name val="Genev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Georgia"/>
      <family val="2"/>
    </font>
    <font>
      <sz val="10"/>
      <name val="Courier"/>
      <family val="3"/>
    </font>
    <font>
      <b/>
      <sz val="10"/>
      <name val="Garmond (W1)"/>
      <family val="1"/>
    </font>
    <font>
      <i/>
      <sz val="9"/>
      <color rgb="FF7F7F7F"/>
      <name val="Georgia"/>
      <family val="2"/>
    </font>
    <font>
      <sz val="9"/>
      <color rgb="FF006100"/>
      <name val="Georgia"/>
      <family val="2"/>
    </font>
    <font>
      <b/>
      <sz val="15"/>
      <color theme="3"/>
      <name val="Georgia"/>
      <family val="2"/>
    </font>
    <font>
      <b/>
      <sz val="13"/>
      <color theme="3"/>
      <name val="Georgia"/>
      <family val="2"/>
    </font>
    <font>
      <b/>
      <sz val="11"/>
      <color theme="3"/>
      <name val="Georgia"/>
      <family val="2"/>
    </font>
    <font>
      <sz val="9"/>
      <color rgb="FF3F3F76"/>
      <name val="Georgia"/>
      <family val="2"/>
    </font>
    <font>
      <sz val="9"/>
      <color rgb="FFFA7D00"/>
      <name val="Georgia"/>
      <family val="2"/>
    </font>
    <font>
      <sz val="9"/>
      <color rgb="FF9C6500"/>
      <name val="Georgia"/>
      <family val="2"/>
    </font>
    <font>
      <b/>
      <sz val="9"/>
      <color rgb="FF3F3F3F"/>
      <name val="Georgia"/>
      <family val="2"/>
    </font>
    <font>
      <b/>
      <sz val="9"/>
      <color theme="1"/>
      <name val="Georgia"/>
      <family val="2"/>
    </font>
    <font>
      <sz val="9"/>
      <color rgb="FFFF0000"/>
      <name val="Georgia"/>
      <family val="2"/>
    </font>
    <font>
      <u val="single"/>
      <sz val="12"/>
      <color theme="1"/>
      <name val="Calibri"/>
      <family val="2"/>
    </font>
    <font>
      <b/>
      <sz val="12"/>
      <color theme="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 val="single"/>
      <sz val="10"/>
      <name val="Calibri"/>
      <family val="2"/>
    </font>
    <font>
      <b/>
      <sz val="10"/>
      <name val="Calibri"/>
      <family val="2"/>
    </font>
    <font>
      <u val="single"/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u val="singleAccounting"/>
      <sz val="10"/>
      <color theme="1"/>
      <name val="Calibri"/>
      <family val="2"/>
    </font>
    <font>
      <b/>
      <u val="single"/>
      <sz val="10"/>
      <color theme="1"/>
      <name val="Calibri"/>
      <family val="2"/>
    </font>
    <font>
      <b/>
      <u val="single"/>
      <sz val="10"/>
      <name val="Calibri"/>
      <family val="2"/>
    </font>
    <font>
      <b/>
      <sz val="14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name val="Times New Roman"/>
      <family val="1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sz val="10"/>
      <name val="Cambria"/>
      <family val="1"/>
    </font>
    <font>
      <u val="doubleAccounting"/>
      <sz val="10"/>
      <name val="Calibri"/>
      <family val="2"/>
    </font>
    <font>
      <u val="single"/>
      <sz val="10"/>
      <name val="Calibri"/>
      <family val="2"/>
      <scheme val="minor"/>
    </font>
    <font>
      <u val="doubleAccounting"/>
      <sz val="10"/>
      <name val="Calibri"/>
      <family val="2"/>
      <scheme val="minor"/>
    </font>
    <font>
      <sz val="10"/>
      <color rgb="FF5B5B5B"/>
      <name val="Calibri"/>
      <family val="2"/>
      <scheme val="minor"/>
    </font>
    <font>
      <b/>
      <sz val="10"/>
      <color rgb="FF5B5B5B"/>
      <name val="Calibri"/>
      <family val="2"/>
      <scheme val="minor"/>
    </font>
    <font>
      <b/>
      <u val="singleAccounting"/>
      <sz val="10"/>
      <color theme="1"/>
      <name val="Calibri"/>
      <family val="2"/>
    </font>
    <font>
      <b/>
      <u val="single"/>
      <sz val="11"/>
      <color theme="1"/>
      <name val="Calibri"/>
      <family val="2"/>
    </font>
    <font>
      <u val="single"/>
      <sz val="11"/>
      <color theme="1"/>
      <name val="Calibri"/>
      <family val="2"/>
    </font>
    <font>
      <b/>
      <u val="single"/>
      <sz val="14"/>
      <color theme="1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</font>
  </fonts>
  <fills count="39">
    <fill>
      <patternFill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FEA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"/>
        <bgColor indexed="64"/>
      </patternFill>
    </fill>
  </fills>
  <borders count="7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98"/>
      </bottom>
    </border>
    <border>
      <left/>
      <right/>
      <top/>
      <bottom style="medium">
        <color theme="4" tint="0.39998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auto="1"/>
      </top>
      <bottom style="double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/>
      <bottom style="double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/>
      <top style="thin">
        <color theme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indexed="8"/>
      </top>
      <bottom style="thin">
        <color indexed="8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medium">
        <color auto="1"/>
      </top>
      <bottom/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 style="thin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/>
      <right/>
      <top style="double">
        <color auto="1"/>
      </top>
      <bottom/>
    </border>
    <border>
      <left/>
      <right/>
      <top style="medium">
        <color auto="1"/>
      </top>
      <bottom/>
    </border>
    <border>
      <left style="thin">
        <color rgb="FF9D9D9D"/>
      </left>
      <right style="thin">
        <color rgb="FF9D9D9D"/>
      </right>
      <top style="thin">
        <color rgb="FF9D9D9D"/>
      </top>
      <bottom style="thin">
        <color rgb="FF9D9D9D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double">
        <color auto="1"/>
      </bottom>
    </border>
  </borders>
  <cellStyleXfs count="36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>
      <alignment/>
      <protection/>
    </xf>
    <xf numFmtId="0" fontId="11" fillId="0" borderId="0">
      <alignment/>
      <protection/>
    </xf>
    <xf numFmtId="43" fontId="8" fillId="0" borderId="0" applyFont="0" applyFill="0" applyBorder="0" applyAlignment="0" applyProtection="0"/>
    <xf numFmtId="0" fontId="8" fillId="0" borderId="0">
      <alignment/>
      <protection/>
    </xf>
    <xf numFmtId="44" fontId="8" fillId="0" borderId="0" applyFont="0" applyFill="0" applyBorder="0" applyAlignment="0" applyProtection="0"/>
    <xf numFmtId="0" fontId="8" fillId="0" borderId="0">
      <alignment/>
      <protection/>
    </xf>
    <xf numFmtId="0" fontId="15" fillId="0" borderId="0">
      <alignment/>
      <protection/>
    </xf>
    <xf numFmtId="0" fontId="8" fillId="0" borderId="0">
      <alignment/>
      <protection/>
    </xf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7" fillId="0" borderId="0">
      <alignment/>
      <protection/>
    </xf>
    <xf numFmtId="170" fontId="17" fillId="0" borderId="0">
      <alignment/>
      <protection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1" applyNumberFormat="0" applyAlignment="0" applyProtection="0"/>
    <xf numFmtId="0" fontId="22" fillId="28" borderId="2" applyNumberFormat="0" applyAlignment="0" applyProtection="0"/>
    <xf numFmtId="171" fontId="23" fillId="0" borderId="0" applyFont="0">
      <alignment/>
      <protection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28" fillId="0" borderId="0" applyFont="0">
      <alignment/>
      <protection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8" fillId="0" borderId="0" applyFont="0">
      <alignment/>
      <protection/>
    </xf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28" fillId="0" borderId="0" applyFont="0">
      <alignment/>
      <protection/>
    </xf>
    <xf numFmtId="43" fontId="3" fillId="0" borderId="0" applyFont="0" applyFill="0" applyBorder="0" applyAlignment="0" applyProtection="0"/>
    <xf numFmtId="41" fontId="28" fillId="0" borderId="0" applyFont="0">
      <alignment/>
      <protection/>
    </xf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8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28" fillId="0" borderId="0" applyFont="0">
      <alignment/>
      <protection/>
    </xf>
    <xf numFmtId="44" fontId="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28" fillId="0" borderId="0" applyFont="0">
      <alignment/>
      <protection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28" fillId="0" borderId="0" applyFont="0">
      <alignment/>
      <protection/>
    </xf>
    <xf numFmtId="42" fontId="28" fillId="0" borderId="0" applyFont="0">
      <alignment/>
      <protection/>
    </xf>
    <xf numFmtId="8" fontId="23" fillId="0" borderId="0" applyFont="0" applyFill="0" applyBorder="0" applyAlignment="0" applyProtection="0"/>
    <xf numFmtId="42" fontId="28" fillId="0" borderId="0" applyFont="0">
      <alignment/>
      <protection/>
    </xf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23" fillId="0" borderId="0" applyFont="0" applyFill="0" applyBorder="0" applyAlignment="0" applyProtection="0"/>
    <xf numFmtId="14" fontId="23" fillId="0" borderId="0">
      <alignment/>
      <protection/>
    </xf>
    <xf numFmtId="14" fontId="23" fillId="0" borderId="0">
      <alignment/>
      <protection/>
    </xf>
    <xf numFmtId="172" fontId="17" fillId="0" borderId="0" applyFont="0" applyAlignment="0">
      <protection/>
    </xf>
    <xf numFmtId="173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0" borderId="1" applyNumberFormat="0" applyAlignment="0" applyProtection="0"/>
    <xf numFmtId="0" fontId="35" fillId="0" borderId="6" applyNumberFormat="0" applyFill="0" applyAlignment="0" applyProtection="0"/>
    <xf numFmtId="0" fontId="36" fillId="31" borderId="0" applyNumberFormat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1" fillId="0" borderId="0">
      <alignment/>
      <protection/>
    </xf>
    <xf numFmtId="0" fontId="1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1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11" fillId="0" borderId="0">
      <alignment/>
      <protection/>
    </xf>
    <xf numFmtId="0" fontId="8" fillId="0" borderId="0">
      <alignment/>
      <protection/>
    </xf>
    <xf numFmtId="0" fontId="3" fillId="0" borderId="0">
      <alignment/>
      <protection/>
    </xf>
    <xf numFmtId="0" fontId="15" fillId="0" borderId="0" applyProtection="0">
      <alignment/>
    </xf>
    <xf numFmtId="0" fontId="26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18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11" fillId="0" borderId="0">
      <alignment/>
      <protection/>
    </xf>
    <xf numFmtId="0" fontId="1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8" fillId="0" borderId="0">
      <alignment/>
      <protection/>
    </xf>
    <xf numFmtId="0" fontId="1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3" fillId="0" borderId="0">
      <alignment/>
      <protection/>
    </xf>
    <xf numFmtId="0" fontId="24" fillId="0" borderId="0">
      <alignment vertical="top"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1" fillId="0" borderId="0">
      <alignment/>
      <protection/>
    </xf>
    <xf numFmtId="0" fontId="11" fillId="0" borderId="0">
      <alignment/>
      <protection/>
    </xf>
    <xf numFmtId="0" fontId="15" fillId="0" borderId="0">
      <alignment/>
      <protection/>
    </xf>
    <xf numFmtId="0" fontId="3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8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8" fillId="0" borderId="0">
      <alignment/>
      <protection/>
    </xf>
    <xf numFmtId="0" fontId="3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8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11" fillId="0" borderId="0">
      <alignment/>
      <protection/>
    </xf>
    <xf numFmtId="0" fontId="8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1" fillId="0" borderId="0">
      <alignment/>
      <protection/>
    </xf>
    <xf numFmtId="0" fontId="15" fillId="0" borderId="0">
      <alignment/>
      <protection/>
    </xf>
    <xf numFmtId="0" fontId="3" fillId="0" borderId="0">
      <alignment/>
      <protection/>
    </xf>
    <xf numFmtId="0" fontId="8" fillId="0" borderId="0">
      <alignment/>
      <protection/>
    </xf>
    <xf numFmtId="0" fontId="3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15" fillId="0" borderId="0">
      <alignment/>
      <protection/>
    </xf>
    <xf numFmtId="0" fontId="23" fillId="0" borderId="0">
      <alignment/>
      <protection/>
    </xf>
    <xf numFmtId="0" fontId="3" fillId="0" borderId="0">
      <alignment/>
      <protection/>
    </xf>
    <xf numFmtId="0" fontId="15" fillId="0" borderId="0">
      <alignment/>
      <protection/>
    </xf>
    <xf numFmtId="0" fontId="3" fillId="0" borderId="0">
      <alignment/>
      <protection/>
    </xf>
    <xf numFmtId="0" fontId="15" fillId="0" borderId="0">
      <alignment/>
      <protection/>
    </xf>
    <xf numFmtId="0" fontId="3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18" fillId="32" borderId="7" applyNumberFormat="0" applyFont="0" applyAlignment="0" applyProtection="0"/>
    <xf numFmtId="0" fontId="3" fillId="32" borderId="7" applyNumberFormat="0" applyFont="0" applyAlignment="0" applyProtection="0"/>
    <xf numFmtId="0" fontId="37" fillId="27" borderId="8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3" fillId="0" borderId="0">
      <alignment/>
      <protection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32" borderId="7" applyNumberFormat="0" applyFont="0" applyAlignment="0" applyProtection="0"/>
    <xf numFmtId="9" fontId="3" fillId="0" borderId="0" applyFont="0" applyFill="0" applyBorder="0" applyAlignment="0" applyProtection="0"/>
    <xf numFmtId="0" fontId="3" fillId="0" borderId="0">
      <alignment/>
      <protection/>
    </xf>
    <xf numFmtId="0" fontId="8" fillId="0" borderId="0">
      <alignment/>
      <protection/>
    </xf>
    <xf numFmtId="43" fontId="8" fillId="0" borderId="0" applyFont="0" applyFill="0" applyBorder="0" applyAlignment="0" applyProtection="0"/>
  </cellStyleXfs>
  <cellXfs count="65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41" fontId="4" fillId="0" borderId="0" xfId="0" applyNumberFormat="1" applyFont="1"/>
    <xf numFmtId="42" fontId="4" fillId="0" borderId="0" xfId="0" applyNumberFormat="1" applyFont="1"/>
    <xf numFmtId="41" fontId="4" fillId="0" borderId="0" xfId="0" applyNumberFormat="1" applyFont="1" applyAlignment="1">
      <alignment horizontal="center"/>
    </xf>
    <xf numFmtId="42" fontId="4" fillId="0" borderId="10" xfId="0" applyNumberFormat="1" applyFont="1" applyBorder="1"/>
    <xf numFmtId="3" fontId="4" fillId="0" borderId="0" xfId="0" applyNumberFormat="1" applyFont="1"/>
    <xf numFmtId="42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Continuous"/>
    </xf>
    <xf numFmtId="42" fontId="5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4" fillId="0" borderId="0" xfId="0" applyNumberFormat="1" applyFont="1"/>
    <xf numFmtId="165" fontId="4" fillId="0" borderId="0" xfId="18" applyNumberFormat="1" applyFont="1"/>
    <xf numFmtId="41" fontId="9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42" fontId="4" fillId="0" borderId="11" xfId="0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41" fontId="4" fillId="0" borderId="12" xfId="0" applyNumberFormat="1" applyFont="1" applyBorder="1"/>
    <xf numFmtId="42" fontId="4" fillId="0" borderId="13" xfId="0" applyNumberFormat="1" applyFont="1" applyBorder="1"/>
    <xf numFmtId="9" fontId="4" fillId="0" borderId="0" xfId="0" applyNumberFormat="1" applyFont="1" applyAlignment="1">
      <alignment horizontal="center"/>
    </xf>
    <xf numFmtId="9" fontId="4" fillId="0" borderId="0" xfId="0" applyNumberFormat="1" applyFont="1"/>
    <xf numFmtId="0" fontId="10" fillId="0" borderId="0" xfId="0" applyFont="1"/>
    <xf numFmtId="3" fontId="10" fillId="0" borderId="0" xfId="0" applyNumberFormat="1" applyFont="1"/>
    <xf numFmtId="3" fontId="10" fillId="0" borderId="11" xfId="0" applyNumberFormat="1" applyFont="1" applyBorder="1"/>
    <xf numFmtId="44" fontId="4" fillId="0" borderId="0" xfId="0" applyNumberFormat="1" applyFont="1"/>
    <xf numFmtId="3" fontId="4" fillId="0" borderId="10" xfId="0" applyNumberFormat="1" applyFont="1" applyBorder="1"/>
    <xf numFmtId="44" fontId="5" fillId="0" borderId="0" xfId="0" applyNumberFormat="1" applyFont="1"/>
    <xf numFmtId="0" fontId="2" fillId="0" borderId="0" xfId="0" applyFont="1"/>
    <xf numFmtId="3" fontId="12" fillId="0" borderId="11" xfId="0" applyNumberFormat="1" applyFont="1" applyBorder="1"/>
    <xf numFmtId="0" fontId="12" fillId="0" borderId="0" xfId="0" applyFont="1" applyAlignment="1">
      <alignment horizontal="center"/>
    </xf>
    <xf numFmtId="0" fontId="4" fillId="0" borderId="0" xfId="0" applyFont="1" applyAlignment="1" quotePrefix="1">
      <alignment horizontal="left"/>
    </xf>
    <xf numFmtId="3" fontId="10" fillId="0" borderId="0" xfId="0" applyNumberFormat="1" applyFont="1" applyAlignment="1" quotePrefix="1">
      <alignment horizontal="left"/>
    </xf>
    <xf numFmtId="0" fontId="2" fillId="0" borderId="0" xfId="0" applyFont="1" applyAlignment="1">
      <alignment horizontal="center"/>
    </xf>
    <xf numFmtId="0" fontId="12" fillId="0" borderId="14" xfId="0" applyFont="1" applyBorder="1" applyAlignment="1">
      <alignment horizontal="center"/>
    </xf>
    <xf numFmtId="3" fontId="12" fillId="0" borderId="0" xfId="0" applyNumberFormat="1" applyFont="1"/>
    <xf numFmtId="3" fontId="12" fillId="0" borderId="14" xfId="0" applyNumberFormat="1" applyFont="1" applyBorder="1"/>
    <xf numFmtId="3" fontId="12" fillId="0" borderId="12" xfId="0" applyNumberFormat="1" applyFont="1" applyBorder="1"/>
    <xf numFmtId="3" fontId="12" fillId="0" borderId="15" xfId="0" applyNumberFormat="1" applyFont="1" applyBorder="1"/>
    <xf numFmtId="0" fontId="12" fillId="0" borderId="16" xfId="0" applyFont="1" applyBorder="1" applyAlignment="1">
      <alignment horizontal="center"/>
    </xf>
    <xf numFmtId="3" fontId="12" fillId="0" borderId="16" xfId="0" applyNumberFormat="1" applyFont="1" applyBorder="1"/>
    <xf numFmtId="3" fontId="12" fillId="0" borderId="17" xfId="0" applyNumberFormat="1" applyFont="1" applyBorder="1"/>
    <xf numFmtId="0" fontId="2" fillId="33" borderId="18" xfId="0" applyFont="1" applyFill="1" applyBorder="1" applyAlignment="1">
      <alignment horizontal="centerContinuous"/>
    </xf>
    <xf numFmtId="3" fontId="12" fillId="0" borderId="19" xfId="0" applyNumberFormat="1" applyFont="1" applyBorder="1"/>
    <xf numFmtId="3" fontId="12" fillId="0" borderId="20" xfId="0" applyNumberFormat="1" applyFont="1" applyBorder="1"/>
    <xf numFmtId="3" fontId="2" fillId="0" borderId="0" xfId="0" applyNumberFormat="1" applyFont="1"/>
    <xf numFmtId="0" fontId="4" fillId="0" borderId="12" xfId="0" applyFont="1" applyBorder="1"/>
    <xf numFmtId="10" fontId="4" fillId="0" borderId="13" xfId="0" applyNumberFormat="1" applyFont="1" applyBorder="1"/>
    <xf numFmtId="10" fontId="4" fillId="0" borderId="0" xfId="0" applyNumberFormat="1" applyFont="1"/>
    <xf numFmtId="0" fontId="14" fillId="0" borderId="0" xfId="25" applyFont="1" applyAlignment="1">
      <alignment horizontal="center"/>
      <protection/>
    </xf>
    <xf numFmtId="0" fontId="10" fillId="0" borderId="0" xfId="25" applyFont="1">
      <alignment/>
      <protection/>
    </xf>
    <xf numFmtId="0" fontId="10" fillId="0" borderId="0" xfId="26" applyFont="1">
      <alignment/>
      <protection/>
    </xf>
    <xf numFmtId="42" fontId="10" fillId="0" borderId="0" xfId="25" applyNumberFormat="1" applyFont="1">
      <alignment/>
      <protection/>
    </xf>
    <xf numFmtId="41" fontId="10" fillId="0" borderId="0" xfId="25" applyNumberFormat="1" applyFont="1">
      <alignment/>
      <protection/>
    </xf>
    <xf numFmtId="10" fontId="10" fillId="0" borderId="0" xfId="25" applyNumberFormat="1" applyFont="1">
      <alignment/>
      <protection/>
    </xf>
    <xf numFmtId="0" fontId="10" fillId="0" borderId="0" xfId="26" applyFont="1" applyAlignment="1">
      <alignment horizontal="center"/>
      <protection/>
    </xf>
    <xf numFmtId="42" fontId="10" fillId="0" borderId="0" xfId="26" applyNumberFormat="1" applyFont="1">
      <alignment/>
      <protection/>
    </xf>
    <xf numFmtId="0" fontId="16" fillId="0" borderId="0" xfId="25" applyFont="1">
      <alignment/>
      <protection/>
    </xf>
    <xf numFmtId="10" fontId="16" fillId="0" borderId="0" xfId="25" applyNumberFormat="1" applyFont="1">
      <alignment/>
      <protection/>
    </xf>
    <xf numFmtId="42" fontId="10" fillId="0" borderId="21" xfId="26" applyNumberFormat="1" applyFont="1" applyBorder="1">
      <alignment/>
      <protection/>
    </xf>
    <xf numFmtId="10" fontId="8" fillId="0" borderId="22" xfId="30" applyNumberFormat="1" applyFont="1" applyBorder="1"/>
    <xf numFmtId="10" fontId="8" fillId="0" borderId="22" xfId="27" applyNumberFormat="1" applyBorder="1">
      <alignment/>
      <protection/>
    </xf>
    <xf numFmtId="10" fontId="8" fillId="0" borderId="18" xfId="27" applyNumberFormat="1" applyBorder="1">
      <alignment/>
      <protection/>
    </xf>
    <xf numFmtId="41" fontId="10" fillId="0" borderId="23" xfId="25" applyNumberFormat="1" applyFont="1" applyBorder="1">
      <alignment/>
      <protection/>
    </xf>
    <xf numFmtId="41" fontId="10" fillId="0" borderId="0" xfId="26" applyNumberFormat="1" applyFont="1">
      <alignment/>
      <protection/>
    </xf>
    <xf numFmtId="5" fontId="10" fillId="0" borderId="0" xfId="25" applyNumberFormat="1" applyFont="1">
      <alignment/>
      <protection/>
    </xf>
    <xf numFmtId="0" fontId="10" fillId="0" borderId="0" xfId="25" applyFont="1" applyAlignment="1" quotePrefix="1">
      <alignment horizontal="right"/>
      <protection/>
    </xf>
    <xf numFmtId="42" fontId="4" fillId="0" borderId="12" xfId="0" applyNumberFormat="1" applyFont="1" applyBorder="1"/>
    <xf numFmtId="0" fontId="41" fillId="0" borderId="0" xfId="0" applyFont="1"/>
    <xf numFmtId="0" fontId="2" fillId="0" borderId="0" xfId="0" applyFont="1"/>
    <xf numFmtId="41" fontId="4" fillId="0" borderId="10" xfId="0" applyNumberFormat="1" applyFont="1" applyBorder="1"/>
    <xf numFmtId="44" fontId="4" fillId="0" borderId="12" xfId="0" applyNumberFormat="1" applyFont="1" applyBorder="1"/>
    <xf numFmtId="43" fontId="4" fillId="0" borderId="0" xfId="0" applyNumberFormat="1" applyFont="1"/>
    <xf numFmtId="3" fontId="16" fillId="0" borderId="0" xfId="0" applyNumberFormat="1" applyFont="1"/>
    <xf numFmtId="44" fontId="5" fillId="0" borderId="10" xfId="0" applyNumberFormat="1" applyFont="1" applyBorder="1"/>
    <xf numFmtId="0" fontId="10" fillId="0" borderId="0" xfId="0" applyFont="1" applyAlignment="1">
      <alignment horizontal="center"/>
    </xf>
    <xf numFmtId="0" fontId="2" fillId="0" borderId="0" xfId="0" applyFont="1"/>
    <xf numFmtId="0" fontId="10" fillId="0" borderId="0" xfId="27" applyFont="1">
      <alignment/>
      <protection/>
    </xf>
    <xf numFmtId="167" fontId="10" fillId="0" borderId="0" xfId="28" applyNumberFormat="1" applyFont="1"/>
    <xf numFmtId="167" fontId="10" fillId="0" borderId="0" xfId="27" applyNumberFormat="1" applyFont="1">
      <alignment/>
      <protection/>
    </xf>
    <xf numFmtId="10" fontId="10" fillId="0" borderId="24" xfId="29" applyNumberFormat="1" applyFont="1" applyBorder="1" applyAlignment="1">
      <alignment horizontal="right"/>
    </xf>
    <xf numFmtId="10" fontId="10" fillId="0" borderId="22" xfId="30" applyNumberFormat="1" applyFont="1" applyBorder="1"/>
    <xf numFmtId="10" fontId="10" fillId="0" borderId="22" xfId="27" applyNumberFormat="1" applyFont="1" applyBorder="1">
      <alignment/>
      <protection/>
    </xf>
    <xf numFmtId="10" fontId="10" fillId="0" borderId="18" xfId="27" applyNumberFormat="1" applyFont="1" applyBorder="1">
      <alignment/>
      <protection/>
    </xf>
    <xf numFmtId="0" fontId="10" fillId="0" borderId="17" xfId="27" applyFont="1" applyBorder="1">
      <alignment/>
      <protection/>
    </xf>
    <xf numFmtId="0" fontId="10" fillId="0" borderId="12" xfId="27" applyFont="1" applyBorder="1">
      <alignment/>
      <protection/>
    </xf>
    <xf numFmtId="165" fontId="10" fillId="0" borderId="12" xfId="31" applyNumberFormat="1" applyFont="1" applyBorder="1"/>
    <xf numFmtId="165" fontId="10" fillId="0" borderId="15" xfId="27" applyNumberFormat="1" applyFont="1" applyBorder="1">
      <alignment/>
      <protection/>
    </xf>
    <xf numFmtId="37" fontId="10" fillId="0" borderId="24" xfId="28" applyNumberFormat="1" applyFont="1" applyBorder="1" applyAlignment="1">
      <alignment horizontal="right"/>
    </xf>
    <xf numFmtId="0" fontId="10" fillId="0" borderId="22" xfId="27" applyFont="1" applyBorder="1">
      <alignment/>
      <protection/>
    </xf>
    <xf numFmtId="37" fontId="10" fillId="0" borderId="17" xfId="28" applyNumberFormat="1" applyFont="1" applyBorder="1" applyAlignment="1">
      <alignment horizontal="right"/>
    </xf>
    <xf numFmtId="37" fontId="10" fillId="0" borderId="0" xfId="28" applyNumberFormat="1" applyFont="1" applyAlignment="1">
      <alignment horizontal="right"/>
    </xf>
    <xf numFmtId="37" fontId="16" fillId="0" borderId="0" xfId="28" applyNumberFormat="1" applyFont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left" indent="2"/>
    </xf>
    <xf numFmtId="0" fontId="44" fillId="0" borderId="0" xfId="0" applyFont="1" applyProtection="1">
      <protection hidden="1" locked="0"/>
    </xf>
    <xf numFmtId="0" fontId="45" fillId="0" borderId="0" xfId="0" applyFont="1" applyProtection="1">
      <protection hidden="1" locked="0"/>
    </xf>
    <xf numFmtId="0" fontId="45" fillId="0" borderId="0" xfId="0" applyFont="1" applyAlignment="1" applyProtection="1">
      <alignment horizontal="center"/>
      <protection hidden="1" locked="0"/>
    </xf>
    <xf numFmtId="42" fontId="46" fillId="0" borderId="0" xfId="0" applyNumberFormat="1" applyFont="1" applyAlignment="1" applyProtection="1">
      <alignment horizontal="left"/>
      <protection locked="0"/>
    </xf>
    <xf numFmtId="42" fontId="46" fillId="0" borderId="0" xfId="0" applyNumberFormat="1" applyFont="1" applyAlignment="1">
      <alignment horizontal="left"/>
    </xf>
    <xf numFmtId="10" fontId="46" fillId="0" borderId="0" xfId="0" applyNumberFormat="1" applyFont="1" applyAlignment="1">
      <alignment horizontal="right"/>
    </xf>
    <xf numFmtId="10" fontId="46" fillId="0" borderId="0" xfId="0" applyNumberFormat="1" applyFont="1" applyAlignment="1" applyProtection="1">
      <alignment horizontal="right"/>
      <protection locked="0"/>
    </xf>
    <xf numFmtId="44" fontId="46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10" fontId="6" fillId="0" borderId="0" xfId="0" applyNumberFormat="1" applyFont="1" applyAlignment="1">
      <alignment horizontal="left" indent="2"/>
    </xf>
    <xf numFmtId="0" fontId="4" fillId="0" borderId="0" xfId="0" applyFont="1" quotePrefix="1"/>
    <xf numFmtId="0" fontId="4" fillId="0" borderId="0" xfId="0" applyFont="1" applyAlignment="1" quotePrefix="1">
      <alignment horizontal="center"/>
    </xf>
    <xf numFmtId="41" fontId="6" fillId="0" borderId="0" xfId="0" applyNumberFormat="1" applyFont="1"/>
    <xf numFmtId="0" fontId="6" fillId="0" borderId="0" xfId="0" applyFont="1" applyAlignment="1" quotePrefix="1">
      <alignment horizontal="left"/>
    </xf>
    <xf numFmtId="175" fontId="4" fillId="0" borderId="0" xfId="0" applyNumberFormat="1" applyFont="1"/>
    <xf numFmtId="0" fontId="47" fillId="0" borderId="0" xfId="0" applyFont="1" applyAlignment="1" quotePrefix="1">
      <alignment horizontal="left"/>
    </xf>
    <xf numFmtId="42" fontId="6" fillId="0" borderId="25" xfId="0" applyNumberFormat="1" applyFont="1" applyBorder="1"/>
    <xf numFmtId="0" fontId="5" fillId="0" borderId="1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12" xfId="0" applyNumberFormat="1" applyFont="1" applyBorder="1" applyAlignment="1">
      <alignment horizontal="center"/>
    </xf>
    <xf numFmtId="0" fontId="5" fillId="0" borderId="0" xfId="0" applyFont="1" applyAlignment="1" quotePrefix="1">
      <alignment horizontal="centerContinuous"/>
    </xf>
    <xf numFmtId="0" fontId="5" fillId="0" borderId="12" xfId="0" applyFont="1" applyBorder="1" applyAlignment="1">
      <alignment horizontal="centerContinuous"/>
    </xf>
    <xf numFmtId="0" fontId="44" fillId="0" borderId="0" xfId="0" applyFont="1" applyAlignment="1" applyProtection="1">
      <alignment horizontal="center"/>
      <protection hidden="1" locked="0"/>
    </xf>
    <xf numFmtId="0" fontId="44" fillId="0" borderId="12" xfId="0" applyFont="1" applyBorder="1" applyAlignment="1" applyProtection="1">
      <alignment horizontal="center"/>
      <protection hidden="1" locked="0"/>
    </xf>
    <xf numFmtId="0" fontId="5" fillId="0" borderId="0" xfId="0" applyFont="1" applyAlignment="1">
      <alignment wrapText="1"/>
    </xf>
    <xf numFmtId="0" fontId="48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/>
    <xf numFmtId="49" fontId="4" fillId="0" borderId="0" xfId="0" applyNumberFormat="1" applyFont="1" applyAlignment="1">
      <alignment horizontal="center"/>
    </xf>
    <xf numFmtId="41" fontId="5" fillId="0" borderId="12" xfId="0" applyNumberFormat="1" applyFont="1" applyBorder="1" applyAlignment="1">
      <alignment horizontal="center"/>
    </xf>
    <xf numFmtId="0" fontId="40" fillId="0" borderId="0" xfId="0" applyFont="1"/>
    <xf numFmtId="167" fontId="0" fillId="0" borderId="0" xfId="16" applyNumberFormat="1" applyFont="1"/>
    <xf numFmtId="167" fontId="40" fillId="0" borderId="0" xfId="16" applyNumberFormat="1" applyFont="1"/>
    <xf numFmtId="167" fontId="0" fillId="0" borderId="0" xfId="16" applyNumberFormat="1"/>
    <xf numFmtId="164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9" fillId="0" borderId="0" xfId="0" applyNumberFormat="1" applyFont="1"/>
    <xf numFmtId="0" fontId="10" fillId="33" borderId="0" xfId="25" applyFont="1" applyFill="1">
      <alignment/>
      <protection/>
    </xf>
    <xf numFmtId="41" fontId="10" fillId="33" borderId="0" xfId="25" applyNumberFormat="1" applyFont="1" applyFill="1">
      <alignment/>
      <protection/>
    </xf>
    <xf numFmtId="5" fontId="10" fillId="33" borderId="0" xfId="25" applyNumberFormat="1" applyFont="1" applyFill="1">
      <alignment/>
      <protection/>
    </xf>
    <xf numFmtId="0" fontId="10" fillId="33" borderId="0" xfId="26" applyFont="1" applyFill="1">
      <alignment/>
      <protection/>
    </xf>
    <xf numFmtId="41" fontId="10" fillId="33" borderId="0" xfId="26" applyNumberFormat="1" applyFont="1" applyFill="1">
      <alignment/>
      <protection/>
    </xf>
    <xf numFmtId="0" fontId="49" fillId="0" borderId="0" xfId="0" applyFont="1"/>
    <xf numFmtId="0" fontId="4" fillId="0" borderId="0" xfId="0" applyFont="1" applyAlignment="1" quotePrefix="1">
      <alignment horizontal="right"/>
    </xf>
    <xf numFmtId="3" fontId="10" fillId="0" borderId="0" xfId="0" applyNumberFormat="1" applyFont="1" applyAlignment="1" quotePrefix="1">
      <alignment horizontal="right"/>
    </xf>
    <xf numFmtId="0" fontId="52" fillId="0" borderId="0" xfId="0" applyFont="1"/>
    <xf numFmtId="0" fontId="52" fillId="0" borderId="0" xfId="0" applyFont="1" applyAlignment="1">
      <alignment horizontal="right"/>
    </xf>
    <xf numFmtId="44" fontId="5" fillId="0" borderId="13" xfId="0" applyNumberFormat="1" applyFont="1" applyBorder="1"/>
    <xf numFmtId="0" fontId="6" fillId="0" borderId="0" xfId="0" applyFont="1" applyAlignment="1">
      <alignment horizontal="left" indent="1"/>
    </xf>
    <xf numFmtId="43" fontId="5" fillId="0" borderId="0" xfId="0" applyNumberFormat="1" applyFont="1"/>
    <xf numFmtId="10" fontId="4" fillId="0" borderId="0" xfId="15" applyNumberFormat="1" applyFont="1"/>
    <xf numFmtId="41" fontId="51" fillId="0" borderId="0" xfId="0" applyNumberFormat="1" applyFont="1"/>
    <xf numFmtId="10" fontId="49" fillId="0" borderId="0" xfId="15" applyNumberFormat="1" applyFont="1"/>
    <xf numFmtId="41" fontId="51" fillId="0" borderId="0" xfId="0" applyNumberFormat="1" applyFont="1" applyAlignment="1">
      <alignment horizontal="center"/>
    </xf>
    <xf numFmtId="0" fontId="51" fillId="0" borderId="0" xfId="0" applyFont="1"/>
    <xf numFmtId="9" fontId="4" fillId="0" borderId="0" xfId="15" applyFont="1"/>
    <xf numFmtId="4" fontId="4" fillId="0" borderId="0" xfId="0" applyNumberFormat="1" applyFont="1"/>
    <xf numFmtId="0" fontId="49" fillId="0" borderId="0" xfId="0" applyFont="1" applyAlignment="1">
      <alignment horizontal="center"/>
    </xf>
    <xf numFmtId="0" fontId="16" fillId="0" borderId="0" xfId="20" applyFont="1" applyAlignment="1">
      <alignment horizontal="right" vertical="center"/>
      <protection/>
    </xf>
    <xf numFmtId="0" fontId="5" fillId="0" borderId="12" xfId="0" applyFont="1" applyBorder="1" applyAlignment="1">
      <alignment horizontal="centerContinuous" wrapText="1"/>
    </xf>
    <xf numFmtId="10" fontId="5" fillId="0" borderId="26" xfId="15" applyNumberFormat="1" applyFont="1" applyBorder="1"/>
    <xf numFmtId="44" fontId="5" fillId="0" borderId="27" xfId="0" applyNumberFormat="1" applyFont="1" applyBorder="1" applyAlignment="1">
      <alignment horizontal="right"/>
    </xf>
    <xf numFmtId="44" fontId="5" fillId="0" borderId="28" xfId="0" applyNumberFormat="1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54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15" fontId="41" fillId="0" borderId="0" xfId="0" applyNumberFormat="1" applyFont="1" applyAlignment="1" quotePrefix="1">
      <alignment horizontal="center"/>
    </xf>
    <xf numFmtId="0" fontId="55" fillId="0" borderId="0" xfId="365" applyFont="1">
      <alignment/>
      <protection/>
    </xf>
    <xf numFmtId="0" fontId="56" fillId="0" borderId="0" xfId="365" applyFont="1">
      <alignment/>
      <protection/>
    </xf>
    <xf numFmtId="0" fontId="57" fillId="0" borderId="0" xfId="365" applyFont="1">
      <alignment/>
      <protection/>
    </xf>
    <xf numFmtId="0" fontId="45" fillId="0" borderId="0" xfId="0" applyFont="1"/>
    <xf numFmtId="10" fontId="45" fillId="0" borderId="0" xfId="0" applyNumberFormat="1" applyFont="1"/>
    <xf numFmtId="41" fontId="5" fillId="0" borderId="0" xfId="0" applyNumberFormat="1" applyFont="1"/>
    <xf numFmtId="0" fontId="2" fillId="0" borderId="0" xfId="0" applyFont="1" applyFill="1" applyAlignment="1">
      <alignment horizontal="left"/>
    </xf>
    <xf numFmtId="169" fontId="10" fillId="0" borderId="0" xfId="25" applyNumberFormat="1" applyFont="1">
      <alignment/>
      <protection/>
    </xf>
    <xf numFmtId="41" fontId="45" fillId="0" borderId="0" xfId="0" applyNumberFormat="1" applyFont="1"/>
    <xf numFmtId="10" fontId="10" fillId="0" borderId="0" xfId="25" applyNumberFormat="1" applyFont="1" applyFill="1">
      <alignment/>
      <protection/>
    </xf>
    <xf numFmtId="41" fontId="6" fillId="0" borderId="0" xfId="0" applyNumberFormat="1" applyFont="1" applyAlignment="1">
      <alignment horizontal="center"/>
    </xf>
    <xf numFmtId="41" fontId="4" fillId="0" borderId="0" xfId="0" applyNumberFormat="1" applyFont="1" applyFill="1" applyAlignment="1">
      <alignment horizontal="center"/>
    </xf>
    <xf numFmtId="0" fontId="4" fillId="0" borderId="0" xfId="0" applyFont="1" applyFill="1"/>
    <xf numFmtId="9" fontId="2" fillId="0" borderId="0" xfId="0" applyNumberFormat="1" applyFont="1"/>
    <xf numFmtId="0" fontId="10" fillId="0" borderId="0" xfId="20" applyFont="1" applyFill="1" applyAlignment="1">
      <alignment vertical="center"/>
      <protection/>
    </xf>
    <xf numFmtId="0" fontId="10" fillId="0" borderId="0" xfId="20" applyFont="1" applyFill="1">
      <alignment/>
      <protection/>
    </xf>
    <xf numFmtId="0" fontId="58" fillId="0" borderId="0" xfId="0" applyFont="1" applyFill="1"/>
    <xf numFmtId="0" fontId="56" fillId="0" borderId="0" xfId="365" applyFont="1" applyFill="1">
      <alignment/>
      <protection/>
    </xf>
    <xf numFmtId="0" fontId="58" fillId="0" borderId="0" xfId="0" applyFont="1" applyFill="1" applyAlignment="1">
      <alignment horizontal="left" indent="1"/>
    </xf>
    <xf numFmtId="44" fontId="57" fillId="0" borderId="0" xfId="365" applyNumberFormat="1" applyFont="1">
      <alignment/>
      <protection/>
    </xf>
    <xf numFmtId="10" fontId="10" fillId="0" borderId="12" xfId="25" applyNumberFormat="1" applyFont="1" applyFill="1" applyBorder="1">
      <alignment/>
      <protection/>
    </xf>
    <xf numFmtId="10" fontId="1" fillId="0" borderId="0" xfId="0" applyNumberFormat="1" applyFont="1"/>
    <xf numFmtId="0" fontId="0" fillId="0" borderId="0" xfId="0" applyAlignment="1">
      <alignment horizontal="center" wrapText="1"/>
    </xf>
    <xf numFmtId="0" fontId="6" fillId="0" borderId="0" xfId="0" applyFont="1" applyFill="1" applyAlignment="1" quotePrefix="1">
      <alignment wrapText="1"/>
    </xf>
    <xf numFmtId="43" fontId="10" fillId="0" borderId="0" xfId="26" applyNumberFormat="1" applyFont="1">
      <alignment/>
      <protection/>
    </xf>
    <xf numFmtId="0" fontId="0" fillId="0" borderId="0" xfId="0" applyAlignment="1">
      <alignment wrapText="1"/>
    </xf>
    <xf numFmtId="0" fontId="40" fillId="0" borderId="0" xfId="0" applyFont="1" applyAlignment="1">
      <alignment horizontal="center" wrapText="1"/>
    </xf>
    <xf numFmtId="0" fontId="10" fillId="0" borderId="0" xfId="25" applyFont="1" applyFill="1">
      <alignment/>
      <protection/>
    </xf>
    <xf numFmtId="44" fontId="10" fillId="0" borderId="0" xfId="26" applyNumberFormat="1" applyFont="1">
      <alignment/>
      <protection/>
    </xf>
    <xf numFmtId="169" fontId="4" fillId="0" borderId="13" xfId="0" applyNumberFormat="1" applyFont="1" applyBorder="1"/>
    <xf numFmtId="41" fontId="10" fillId="0" borderId="0" xfId="25" applyNumberFormat="1" applyFont="1" applyFill="1">
      <alignment/>
      <protection/>
    </xf>
    <xf numFmtId="0" fontId="2" fillId="0" borderId="0" xfId="0" applyFont="1"/>
    <xf numFmtId="41" fontId="2" fillId="0" borderId="0" xfId="0" applyNumberFormat="1" applyFont="1"/>
    <xf numFmtId="0" fontId="2" fillId="0" borderId="0" xfId="0" applyFont="1" applyAlignment="1">
      <alignment horizontal="left" indent="1"/>
    </xf>
    <xf numFmtId="41" fontId="2" fillId="0" borderId="0" xfId="18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41" fontId="2" fillId="0" borderId="10" xfId="18" applyNumberFormat="1" applyFont="1" applyBorder="1"/>
    <xf numFmtId="0" fontId="2" fillId="0" borderId="0" xfId="0" applyFont="1" applyAlignment="1">
      <alignment horizontal="center"/>
    </xf>
    <xf numFmtId="10" fontId="4" fillId="0" borderId="0" xfId="15" applyNumberFormat="1" applyFont="1" applyFill="1"/>
    <xf numFmtId="41" fontId="4" fillId="0" borderId="22" xfId="0" applyNumberFormat="1" applyFont="1" applyBorder="1" applyAlignment="1">
      <alignment horizontal="center"/>
    </xf>
    <xf numFmtId="0" fontId="60" fillId="0" borderId="0" xfId="365" applyFont="1">
      <alignment/>
      <protection/>
    </xf>
    <xf numFmtId="0" fontId="5" fillId="0" borderId="0" xfId="0" applyFont="1" applyBorder="1" applyAlignment="1">
      <alignment horizontal="center" wrapText="1"/>
    </xf>
    <xf numFmtId="41" fontId="4" fillId="0" borderId="0" xfId="0" applyNumberFormat="1" applyFont="1" applyBorder="1"/>
    <xf numFmtId="42" fontId="4" fillId="0" borderId="0" xfId="0" applyNumberFormat="1" applyFont="1" applyBorder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 quotePrefix="1">
      <alignment horizontal="centerContinuous"/>
    </xf>
    <xf numFmtId="0" fontId="5" fillId="0" borderId="0" xfId="0" applyFont="1" applyBorder="1"/>
    <xf numFmtId="10" fontId="10" fillId="33" borderId="0" xfId="26" applyNumberFormat="1" applyFont="1" applyFill="1">
      <alignment/>
      <protection/>
    </xf>
    <xf numFmtId="14" fontId="5" fillId="0" borderId="0" xfId="0" applyNumberFormat="1" applyFont="1" applyFill="1" applyAlignment="1" quotePrefix="1">
      <alignment horizontal="center"/>
    </xf>
    <xf numFmtId="164" fontId="4" fillId="0" borderId="0" xfId="0" applyNumberFormat="1" applyFont="1" applyFill="1" applyAlignment="1">
      <alignment horizontal="center"/>
    </xf>
    <xf numFmtId="0" fontId="16" fillId="0" borderId="0" xfId="20" applyFont="1" applyFill="1" applyAlignment="1">
      <alignment vertical="center"/>
      <protection/>
    </xf>
    <xf numFmtId="0" fontId="10" fillId="0" borderId="0" xfId="20" applyFont="1" applyFill="1" applyAlignment="1">
      <alignment horizontal="left" vertical="center"/>
      <protection/>
    </xf>
    <xf numFmtId="0" fontId="16" fillId="0" borderId="0" xfId="20" applyFont="1" applyFill="1" applyAlignment="1">
      <alignment horizontal="left" vertical="center"/>
      <protection/>
    </xf>
    <xf numFmtId="0" fontId="10" fillId="0" borderId="0" xfId="20" applyFont="1" applyFill="1" applyAlignment="1">
      <alignment vertical="center" wrapText="1"/>
      <protection/>
    </xf>
    <xf numFmtId="0" fontId="16" fillId="0" borderId="29" xfId="20" applyFont="1" applyFill="1" applyBorder="1" applyAlignment="1">
      <alignment horizontal="left" vertical="center" wrapText="1"/>
      <protection/>
    </xf>
    <xf numFmtId="0" fontId="16" fillId="0" borderId="30" xfId="20" applyFont="1" applyFill="1" applyBorder="1" applyAlignment="1">
      <alignment horizontal="center" vertical="center"/>
      <protection/>
    </xf>
    <xf numFmtId="0" fontId="16" fillId="0" borderId="31" xfId="20" applyFont="1" applyFill="1" applyBorder="1" applyAlignment="1">
      <alignment horizontal="center" vertical="center"/>
      <protection/>
    </xf>
    <xf numFmtId="0" fontId="16" fillId="0" borderId="32" xfId="20" applyFont="1" applyFill="1" applyBorder="1" applyAlignment="1">
      <alignment horizontal="center" vertical="center" wrapText="1"/>
      <protection/>
    </xf>
    <xf numFmtId="0" fontId="10" fillId="0" borderId="0" xfId="20" applyFont="1" applyFill="1" applyAlignment="1">
      <alignment horizontal="center" vertical="center" wrapText="1"/>
      <protection/>
    </xf>
    <xf numFmtId="0" fontId="16" fillId="0" borderId="21" xfId="20" applyFont="1" applyFill="1" applyBorder="1" applyAlignment="1">
      <alignment horizontal="left" vertical="center" wrapText="1"/>
      <protection/>
    </xf>
    <xf numFmtId="0" fontId="16" fillId="0" borderId="0" xfId="20" applyFont="1" applyFill="1" applyAlignment="1">
      <alignment horizontal="center" vertical="center"/>
      <protection/>
    </xf>
    <xf numFmtId="0" fontId="16" fillId="0" borderId="33" xfId="20" applyFont="1" applyFill="1" applyBorder="1" applyAlignment="1">
      <alignment horizontal="left" vertical="center" wrapText="1"/>
      <protection/>
    </xf>
    <xf numFmtId="0" fontId="16" fillId="0" borderId="34" xfId="20" applyFont="1" applyFill="1" applyBorder="1" applyAlignment="1">
      <alignment horizontal="center" vertical="center"/>
      <protection/>
    </xf>
    <xf numFmtId="0" fontId="16" fillId="0" borderId="35" xfId="20" applyFont="1" applyFill="1" applyBorder="1" applyAlignment="1">
      <alignment horizontal="center" vertical="center" wrapText="1"/>
      <protection/>
    </xf>
    <xf numFmtId="166" fontId="16" fillId="0" borderId="33" xfId="20" applyNumberFormat="1" applyFont="1" applyFill="1" applyBorder="1" applyAlignment="1">
      <alignment horizontal="center" vertical="center"/>
      <protection/>
    </xf>
    <xf numFmtId="166" fontId="16" fillId="0" borderId="36" xfId="20" applyNumberFormat="1" applyFont="1" applyFill="1" applyBorder="1" applyAlignment="1">
      <alignment horizontal="center" vertical="center"/>
      <protection/>
    </xf>
    <xf numFmtId="166" fontId="16" fillId="0" borderId="0" xfId="20" applyNumberFormat="1" applyFont="1" applyFill="1" applyAlignment="1">
      <alignment horizontal="center" vertical="center"/>
      <protection/>
    </xf>
    <xf numFmtId="0" fontId="16" fillId="0" borderId="0" xfId="20" applyFont="1" applyFill="1" applyAlignment="1">
      <alignment horizontal="left" vertical="center" wrapText="1"/>
      <protection/>
    </xf>
    <xf numFmtId="168" fontId="10" fillId="0" borderId="0" xfId="20" applyNumberFormat="1" applyFont="1" applyFill="1" applyAlignment="1">
      <alignment vertical="center"/>
      <protection/>
    </xf>
    <xf numFmtId="0" fontId="16" fillId="0" borderId="37" xfId="20" applyFont="1" applyFill="1" applyBorder="1" applyAlignment="1">
      <alignment horizontal="left" vertical="center" wrapText="1"/>
      <protection/>
    </xf>
    <xf numFmtId="167" fontId="10" fillId="0" borderId="0" xfId="20" applyNumberFormat="1" applyFont="1" applyFill="1" applyAlignment="1">
      <alignment vertical="center"/>
      <protection/>
    </xf>
    <xf numFmtId="0" fontId="16" fillId="0" borderId="21" xfId="20" applyFont="1" applyFill="1" applyBorder="1" applyAlignment="1">
      <alignment vertical="center"/>
      <protection/>
    </xf>
    <xf numFmtId="0" fontId="10" fillId="0" borderId="21" xfId="20" applyFont="1" applyFill="1" applyBorder="1" applyAlignment="1">
      <alignment vertical="center"/>
      <protection/>
    </xf>
    <xf numFmtId="3" fontId="10" fillId="0" borderId="19" xfId="20" applyNumberFormat="1" applyFont="1" applyFill="1" applyBorder="1" applyAlignment="1">
      <alignment vertical="center"/>
      <protection/>
    </xf>
    <xf numFmtId="0" fontId="10" fillId="0" borderId="19" xfId="20" applyFont="1" applyFill="1" applyBorder="1" applyAlignment="1">
      <alignment vertical="center"/>
      <protection/>
    </xf>
    <xf numFmtId="0" fontId="16" fillId="0" borderId="29" xfId="20" applyFont="1" applyFill="1" applyBorder="1" applyAlignment="1">
      <alignment vertical="center"/>
      <protection/>
    </xf>
    <xf numFmtId="0" fontId="10" fillId="0" borderId="38" xfId="20" applyFont="1" applyFill="1" applyBorder="1" applyAlignment="1">
      <alignment vertical="center"/>
      <protection/>
    </xf>
    <xf numFmtId="0" fontId="16" fillId="0" borderId="39" xfId="20" applyFont="1" applyFill="1" applyBorder="1" applyAlignment="1">
      <alignment horizontal="center" vertical="center"/>
      <protection/>
    </xf>
    <xf numFmtId="3" fontId="16" fillId="0" borderId="40" xfId="20" applyNumberFormat="1" applyFont="1" applyFill="1" applyBorder="1" applyAlignment="1">
      <alignment horizontal="center" vertical="center"/>
      <protection/>
    </xf>
    <xf numFmtId="3" fontId="16" fillId="0" borderId="34" xfId="20" applyNumberFormat="1" applyFont="1" applyFill="1" applyBorder="1" applyAlignment="1">
      <alignment horizontal="center" vertical="center"/>
      <protection/>
    </xf>
    <xf numFmtId="3" fontId="16" fillId="0" borderId="0" xfId="20" applyNumberFormat="1" applyFont="1" applyFill="1" applyAlignment="1">
      <alignment horizontal="center" vertical="center"/>
      <protection/>
    </xf>
    <xf numFmtId="0" fontId="10" fillId="0" borderId="41" xfId="20" applyFont="1" applyFill="1" applyBorder="1" applyAlignment="1">
      <alignment vertical="center"/>
      <protection/>
    </xf>
    <xf numFmtId="167" fontId="45" fillId="0" borderId="34" xfId="24" applyNumberFormat="1" applyFont="1" applyFill="1" applyBorder="1" applyAlignment="1">
      <alignment horizontal="center" vertical="center" wrapText="1"/>
    </xf>
    <xf numFmtId="167" fontId="10" fillId="0" borderId="34" xfId="20" applyNumberFormat="1" applyFont="1" applyFill="1" applyBorder="1" applyAlignment="1">
      <alignment vertical="center" wrapText="1"/>
      <protection/>
    </xf>
    <xf numFmtId="167" fontId="10" fillId="0" borderId="42" xfId="20" applyNumberFormat="1" applyFont="1" applyFill="1" applyBorder="1" applyAlignment="1">
      <alignment vertical="center" wrapText="1"/>
      <protection/>
    </xf>
    <xf numFmtId="167" fontId="10" fillId="0" borderId="43" xfId="20" applyNumberFormat="1" applyFont="1" applyFill="1" applyBorder="1" applyAlignment="1">
      <alignment vertical="center" wrapText="1"/>
      <protection/>
    </xf>
    <xf numFmtId="167" fontId="10" fillId="0" borderId="40" xfId="20" applyNumberFormat="1" applyFont="1" applyFill="1" applyBorder="1" applyAlignment="1">
      <alignment vertical="center" wrapText="1"/>
      <protection/>
    </xf>
    <xf numFmtId="167" fontId="10" fillId="0" borderId="35" xfId="20" applyNumberFormat="1" applyFont="1" applyFill="1" applyBorder="1" applyAlignment="1">
      <alignment vertical="center" wrapText="1"/>
      <protection/>
    </xf>
    <xf numFmtId="166" fontId="10" fillId="0" borderId="0" xfId="20" applyNumberFormat="1" applyFont="1" applyFill="1" applyAlignment="1">
      <alignment vertical="center"/>
      <protection/>
    </xf>
    <xf numFmtId="0" fontId="16" fillId="0" borderId="44" xfId="20" applyFont="1" applyFill="1" applyBorder="1" applyAlignment="1">
      <alignment vertical="center"/>
      <protection/>
    </xf>
    <xf numFmtId="167" fontId="45" fillId="0" borderId="45" xfId="24" applyNumberFormat="1" applyFont="1" applyFill="1" applyBorder="1" applyAlignment="1">
      <alignment horizontal="center" vertical="center" wrapText="1"/>
    </xf>
    <xf numFmtId="167" fontId="10" fillId="0" borderId="45" xfId="20" applyNumberFormat="1" applyFont="1" applyFill="1" applyBorder="1" applyAlignment="1">
      <alignment vertical="center" wrapText="1"/>
      <protection/>
    </xf>
    <xf numFmtId="166" fontId="16" fillId="0" borderId="32" xfId="20" applyNumberFormat="1" applyFont="1" applyFill="1" applyBorder="1" applyAlignment="1">
      <alignment horizontal="center" vertical="center"/>
      <protection/>
    </xf>
    <xf numFmtId="167" fontId="10" fillId="0" borderId="46" xfId="20" applyNumberFormat="1" applyFont="1" applyFill="1" applyBorder="1" applyAlignment="1">
      <alignment vertical="center" wrapText="1"/>
      <protection/>
    </xf>
    <xf numFmtId="167" fontId="10" fillId="0" borderId="47" xfId="16" applyNumberFormat="1" applyFont="1" applyFill="1" applyBorder="1" applyAlignment="1">
      <alignment vertical="center"/>
    </xf>
    <xf numFmtId="167" fontId="10" fillId="0" borderId="48" xfId="16" applyNumberFormat="1" applyFont="1" applyFill="1" applyBorder="1" applyAlignment="1">
      <alignment vertical="center"/>
    </xf>
    <xf numFmtId="42" fontId="10" fillId="0" borderId="0" xfId="20" applyNumberFormat="1" applyFont="1" applyFill="1" applyAlignment="1">
      <alignment vertical="center"/>
      <protection/>
    </xf>
    <xf numFmtId="166" fontId="10" fillId="0" borderId="0" xfId="20" applyNumberFormat="1" applyFont="1" applyFill="1" applyAlignment="1">
      <alignment horizontal="center" vertical="center"/>
      <protection/>
    </xf>
    <xf numFmtId="166" fontId="10" fillId="0" borderId="0" xfId="20" applyNumberFormat="1" applyFont="1" applyFill="1" applyAlignment="1">
      <alignment vertical="center" wrapText="1"/>
      <protection/>
    </xf>
    <xf numFmtId="166" fontId="16" fillId="0" borderId="21" xfId="20" applyNumberFormat="1" applyFont="1" applyFill="1" applyBorder="1" applyAlignment="1">
      <alignment horizontal="center" vertical="center"/>
      <protection/>
    </xf>
    <xf numFmtId="0" fontId="16" fillId="0" borderId="49" xfId="20" applyFont="1" applyFill="1" applyBorder="1" applyAlignment="1">
      <alignment horizontal="left" vertical="center" wrapText="1"/>
      <protection/>
    </xf>
    <xf numFmtId="166" fontId="16" fillId="0" borderId="31" xfId="20" applyNumberFormat="1" applyFont="1" applyFill="1" applyBorder="1" applyAlignment="1">
      <alignment horizontal="center" vertical="center"/>
      <protection/>
    </xf>
    <xf numFmtId="0" fontId="10" fillId="0" borderId="27" xfId="20" applyFont="1" applyFill="1" applyBorder="1" applyAlignment="1">
      <alignment vertical="center"/>
      <protection/>
    </xf>
    <xf numFmtId="0" fontId="10" fillId="0" borderId="50" xfId="20" applyFont="1" applyFill="1" applyBorder="1" applyAlignment="1">
      <alignment vertical="center"/>
      <protection/>
    </xf>
    <xf numFmtId="39" fontId="10" fillId="0" borderId="0" xfId="20" applyNumberFormat="1" applyFont="1" applyFill="1" applyAlignment="1">
      <alignment vertical="center"/>
      <protection/>
    </xf>
    <xf numFmtId="5" fontId="10" fillId="0" borderId="0" xfId="20" applyNumberFormat="1" applyFont="1" applyFill="1" applyAlignment="1">
      <alignment vertical="center"/>
      <protection/>
    </xf>
    <xf numFmtId="0" fontId="50" fillId="0" borderId="0" xfId="303" applyFont="1" applyFill="1">
      <alignment/>
      <protection/>
    </xf>
    <xf numFmtId="0" fontId="3" fillId="0" borderId="0" xfId="303" applyFill="1">
      <alignment/>
      <protection/>
    </xf>
    <xf numFmtId="0" fontId="3" fillId="0" borderId="49" xfId="303" applyFill="1" applyBorder="1">
      <alignment/>
      <protection/>
    </xf>
    <xf numFmtId="0" fontId="3" fillId="0" borderId="30" xfId="303" applyFill="1" applyBorder="1" applyAlignment="1">
      <alignment horizontal="center"/>
      <protection/>
    </xf>
    <xf numFmtId="0" fontId="3" fillId="0" borderId="31" xfId="303" applyFill="1" applyBorder="1" applyAlignment="1">
      <alignment horizontal="center"/>
      <protection/>
    </xf>
    <xf numFmtId="0" fontId="3" fillId="0" borderId="32" xfId="303" applyFill="1" applyBorder="1" applyAlignment="1">
      <alignment horizontal="center"/>
      <protection/>
    </xf>
    <xf numFmtId="0" fontId="3" fillId="0" borderId="51" xfId="303" applyFill="1" applyBorder="1">
      <alignment/>
      <protection/>
    </xf>
    <xf numFmtId="0" fontId="3" fillId="0" borderId="15" xfId="303" applyFill="1" applyBorder="1" applyAlignment="1">
      <alignment horizontal="center"/>
      <protection/>
    </xf>
    <xf numFmtId="0" fontId="3" fillId="0" borderId="33" xfId="303" applyFill="1" applyBorder="1" applyAlignment="1">
      <alignment horizontal="center"/>
      <protection/>
    </xf>
    <xf numFmtId="0" fontId="3" fillId="0" borderId="36" xfId="303" applyFill="1" applyBorder="1" applyAlignment="1">
      <alignment horizontal="center"/>
      <protection/>
    </xf>
    <xf numFmtId="164" fontId="3" fillId="0" borderId="33" xfId="303" applyNumberFormat="1" applyFill="1" applyBorder="1" applyAlignment="1">
      <alignment horizontal="center"/>
      <protection/>
    </xf>
    <xf numFmtId="164" fontId="3" fillId="0" borderId="33" xfId="303" applyNumberFormat="1" applyFont="1" applyFill="1" applyBorder="1" applyAlignment="1">
      <alignment horizontal="center"/>
      <protection/>
    </xf>
    <xf numFmtId="164" fontId="3" fillId="0" borderId="36" xfId="303" applyNumberFormat="1" applyFill="1" applyBorder="1" applyAlignment="1">
      <alignment horizontal="center"/>
      <protection/>
    </xf>
    <xf numFmtId="0" fontId="3" fillId="0" borderId="52" xfId="303" applyFill="1" applyBorder="1">
      <alignment/>
      <protection/>
    </xf>
    <xf numFmtId="0" fontId="3" fillId="0" borderId="21" xfId="303" applyFill="1" applyBorder="1" applyAlignment="1">
      <alignment horizontal="center"/>
      <protection/>
    </xf>
    <xf numFmtId="164" fontId="3" fillId="0" borderId="21" xfId="303" applyNumberFormat="1" applyFill="1" applyBorder="1" applyAlignment="1">
      <alignment horizontal="center"/>
      <protection/>
    </xf>
    <xf numFmtId="164" fontId="3" fillId="0" borderId="53" xfId="303" applyNumberFormat="1" applyFill="1" applyBorder="1" applyAlignment="1">
      <alignment horizontal="center"/>
      <protection/>
    </xf>
    <xf numFmtId="0" fontId="3" fillId="0" borderId="54" xfId="303" applyFill="1" applyBorder="1">
      <alignment/>
      <protection/>
    </xf>
    <xf numFmtId="0" fontId="3" fillId="0" borderId="22" xfId="303" applyFill="1" applyBorder="1">
      <alignment/>
      <protection/>
    </xf>
    <xf numFmtId="0" fontId="3" fillId="0" borderId="55" xfId="303" applyFill="1" applyBorder="1">
      <alignment/>
      <protection/>
    </xf>
    <xf numFmtId="0" fontId="3" fillId="0" borderId="54" xfId="303" applyFill="1" applyBorder="1" quotePrefix="1">
      <alignment/>
      <protection/>
    </xf>
    <xf numFmtId="0" fontId="3" fillId="0" borderId="0" xfId="303" applyFill="1" quotePrefix="1">
      <alignment/>
      <protection/>
    </xf>
    <xf numFmtId="0" fontId="3" fillId="0" borderId="56" xfId="303" applyFill="1" applyBorder="1">
      <alignment/>
      <protection/>
    </xf>
    <xf numFmtId="0" fontId="3" fillId="0" borderId="57" xfId="303" applyFill="1" applyBorder="1" quotePrefix="1">
      <alignment/>
      <protection/>
    </xf>
    <xf numFmtId="0" fontId="3" fillId="0" borderId="58" xfId="303" applyFill="1" applyBorder="1" quotePrefix="1">
      <alignment/>
      <protection/>
    </xf>
    <xf numFmtId="0" fontId="3" fillId="0" borderId="58" xfId="303" applyFill="1" applyBorder="1">
      <alignment/>
      <protection/>
    </xf>
    <xf numFmtId="0" fontId="3" fillId="0" borderId="59" xfId="303" applyFill="1" applyBorder="1">
      <alignment/>
      <protection/>
    </xf>
    <xf numFmtId="41" fontId="2" fillId="0" borderId="0" xfId="0" applyNumberFormat="1" applyFont="1" applyFill="1" applyAlignment="1">
      <alignment horizontal="center"/>
    </xf>
    <xf numFmtId="41" fontId="2" fillId="0" borderId="22" xfId="0" applyNumberFormat="1" applyFont="1" applyFill="1" applyBorder="1"/>
    <xf numFmtId="41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/>
    <xf numFmtId="41" fontId="2" fillId="0" borderId="22" xfId="0" applyNumberFormat="1" applyFont="1" applyFill="1" applyBorder="1" applyAlignment="1">
      <alignment horizontal="center"/>
    </xf>
    <xf numFmtId="41" fontId="59" fillId="0" borderId="10" xfId="0" applyNumberFormat="1" applyFont="1" applyFill="1" applyBorder="1"/>
    <xf numFmtId="14" fontId="2" fillId="0" borderId="0" xfId="0" applyNumberFormat="1" applyFont="1" applyFill="1" quotePrefix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41" fontId="2" fillId="0" borderId="0" xfId="0" applyNumberFormat="1" applyFont="1" applyFill="1"/>
    <xf numFmtId="41" fontId="2" fillId="0" borderId="0" xfId="0" applyNumberFormat="1" applyFont="1" applyFill="1" applyAlignment="1">
      <alignment horizontal="left" indent="1"/>
    </xf>
    <xf numFmtId="0" fontId="2" fillId="0" borderId="0" xfId="0" applyFont="1" applyFill="1" applyAlignment="1" quotePrefix="1">
      <alignment horizontal="right"/>
    </xf>
    <xf numFmtId="0" fontId="2" fillId="0" borderId="0" xfId="0" applyFont="1" applyFill="1" applyAlignment="1" quotePrefix="1">
      <alignment horizontal="left"/>
    </xf>
    <xf numFmtId="0" fontId="2" fillId="0" borderId="0" xfId="0" applyFont="1" applyFill="1" applyAlignment="1" quotePrefix="1">
      <alignment horizontal="right"/>
    </xf>
    <xf numFmtId="14" fontId="2" fillId="0" borderId="0" xfId="0" applyNumberFormat="1" applyFont="1" applyFill="1"/>
    <xf numFmtId="43" fontId="59" fillId="0" borderId="0" xfId="0" applyNumberFormat="1" applyFont="1" applyFill="1" applyAlignment="1">
      <alignment horizontal="right"/>
    </xf>
    <xf numFmtId="43" fontId="59" fillId="0" borderId="0" xfId="0" applyNumberFormat="1" applyFont="1" applyFill="1"/>
    <xf numFmtId="0" fontId="59" fillId="0" borderId="0" xfId="0" applyFont="1" applyFill="1" applyAlignment="1">
      <alignment horizontal="right"/>
    </xf>
    <xf numFmtId="0" fontId="59" fillId="0" borderId="0" xfId="0" applyFont="1" applyFill="1"/>
    <xf numFmtId="41" fontId="59" fillId="0" borderId="0" xfId="0" applyNumberFormat="1" applyFont="1" applyFill="1"/>
    <xf numFmtId="44" fontId="4" fillId="0" borderId="13" xfId="0" applyNumberFormat="1" applyFont="1" applyBorder="1"/>
    <xf numFmtId="44" fontId="5" fillId="0" borderId="60" xfId="0" applyNumberFormat="1" applyFont="1" applyBorder="1"/>
    <xf numFmtId="43" fontId="4" fillId="0" borderId="0" xfId="18" applyFont="1"/>
    <xf numFmtId="3" fontId="4" fillId="0" borderId="0" xfId="0" applyNumberFormat="1" applyFont="1" applyFill="1"/>
    <xf numFmtId="44" fontId="4" fillId="0" borderId="0" xfId="0" applyNumberFormat="1" applyFont="1" applyFill="1"/>
    <xf numFmtId="0" fontId="10" fillId="0" borderId="0" xfId="0" applyFont="1" applyProtection="1">
      <protection hidden="1" locked="0"/>
    </xf>
    <xf numFmtId="0" fontId="6" fillId="0" borderId="0" xfId="0" applyFont="1" applyFill="1"/>
    <xf numFmtId="10" fontId="10" fillId="0" borderId="0" xfId="0" applyNumberFormat="1" applyFont="1" applyFill="1" applyAlignment="1">
      <alignment horizontal="right"/>
    </xf>
    <xf numFmtId="44" fontId="10" fillId="0" borderId="0" xfId="0" applyNumberFormat="1" applyFont="1" applyFill="1"/>
    <xf numFmtId="44" fontId="61" fillId="0" borderId="0" xfId="0" applyNumberFormat="1" applyFont="1" applyFill="1"/>
    <xf numFmtId="0" fontId="4" fillId="0" borderId="0" xfId="0" applyFont="1" applyFill="1" applyAlignment="1">
      <alignment horizontal="left" indent="1"/>
    </xf>
    <xf numFmtId="0" fontId="59" fillId="0" borderId="0" xfId="0" applyFont="1" applyFill="1" applyAlignment="1">
      <alignment horizontal="left" indent="1"/>
    </xf>
    <xf numFmtId="0" fontId="59" fillId="0" borderId="0" xfId="0" applyFont="1" applyFill="1" applyAlignment="1">
      <alignment horizontal="left"/>
    </xf>
    <xf numFmtId="0" fontId="3" fillId="0" borderId="0" xfId="0" applyFont="1" applyFill="1"/>
    <xf numFmtId="41" fontId="3" fillId="0" borderId="0" xfId="0" applyNumberFormat="1" applyFont="1" applyFill="1"/>
    <xf numFmtId="0" fontId="3" fillId="0" borderId="24" xfId="0" applyFont="1" applyFill="1" applyBorder="1" applyAlignment="1">
      <alignment horizontal="centerContinuous"/>
    </xf>
    <xf numFmtId="41" fontId="3" fillId="0" borderId="18" xfId="0" applyNumberFormat="1" applyFont="1" applyFill="1" applyBorder="1" applyAlignment="1">
      <alignment horizontal="centerContinuous"/>
    </xf>
    <xf numFmtId="0" fontId="3" fillId="0" borderId="0" xfId="0" applyFont="1" applyFill="1" applyAlignment="1" quotePrefix="1">
      <alignment horizontal="center"/>
    </xf>
    <xf numFmtId="41" fontId="3" fillId="0" borderId="0" xfId="0" applyNumberFormat="1" applyFont="1" applyFill="1" applyAlignment="1" quotePrefix="1">
      <alignment horizontal="center"/>
    </xf>
    <xf numFmtId="0" fontId="3" fillId="0" borderId="24" xfId="0" applyFont="1" applyFill="1" applyBorder="1" applyAlignment="1">
      <alignment horizontal="center"/>
    </xf>
    <xf numFmtId="41" fontId="3" fillId="0" borderId="61" xfId="0" applyNumberFormat="1" applyFont="1" applyFill="1" applyBorder="1" applyAlignment="1">
      <alignment horizontal="center"/>
    </xf>
    <xf numFmtId="41" fontId="3" fillId="0" borderId="0" xfId="0" applyNumberFormat="1" applyFont="1" applyFill="1" applyAlignment="1" quotePrefix="1">
      <alignment horizontal="right"/>
    </xf>
    <xf numFmtId="41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2" xfId="0" applyFont="1" applyFill="1" applyBorder="1" applyAlignment="1" quotePrefix="1">
      <alignment horizontal="center"/>
    </xf>
    <xf numFmtId="41" fontId="3" fillId="0" borderId="12" xfId="0" applyNumberFormat="1" applyFont="1" applyFill="1" applyBorder="1" applyAlignment="1" quotePrefix="1">
      <alignment horizontal="center"/>
    </xf>
    <xf numFmtId="0" fontId="3" fillId="0" borderId="17" xfId="0" applyFont="1" applyFill="1" applyBorder="1" applyAlignment="1">
      <alignment horizontal="center"/>
    </xf>
    <xf numFmtId="41" fontId="3" fillId="0" borderId="33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" fillId="0" borderId="12" xfId="0" applyFont="1" applyFill="1" applyBorder="1"/>
    <xf numFmtId="0" fontId="59" fillId="0" borderId="12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41" fontId="2" fillId="0" borderId="61" xfId="0" applyNumberFormat="1" applyFont="1" applyFill="1" applyBorder="1"/>
    <xf numFmtId="41" fontId="2" fillId="0" borderId="62" xfId="0" applyNumberFormat="1" applyFont="1" applyFill="1" applyBorder="1"/>
    <xf numFmtId="41" fontId="4" fillId="0" borderId="62" xfId="0" applyNumberFormat="1" applyFont="1" applyFill="1" applyBorder="1"/>
    <xf numFmtId="0" fontId="59" fillId="0" borderId="0" xfId="0" applyFont="1" applyFill="1" applyAlignment="1" quotePrefix="1">
      <alignment horizontal="left" indent="1"/>
    </xf>
    <xf numFmtId="41" fontId="2" fillId="0" borderId="61" xfId="0" applyNumberFormat="1" applyFont="1" applyFill="1" applyBorder="1" applyAlignment="1">
      <alignment horizontal="center"/>
    </xf>
    <xf numFmtId="41" fontId="2" fillId="0" borderId="62" xfId="0" applyNumberFormat="1" applyFont="1" applyFill="1" applyBorder="1" applyAlignment="1">
      <alignment horizontal="center"/>
    </xf>
    <xf numFmtId="41" fontId="2" fillId="0" borderId="24" xfId="0" applyNumberFormat="1" applyFont="1" applyFill="1" applyBorder="1"/>
    <xf numFmtId="43" fontId="59" fillId="0" borderId="0" xfId="0" applyNumberFormat="1" applyFont="1" applyFill="1" applyAlignment="1">
      <alignment horizontal="left" indent="1"/>
    </xf>
    <xf numFmtId="43" fontId="59" fillId="0" borderId="16" xfId="0" applyNumberFormat="1" applyFont="1" applyFill="1" applyBorder="1"/>
    <xf numFmtId="174" fontId="59" fillId="0" borderId="0" xfId="0" applyNumberFormat="1" applyFont="1" applyFill="1"/>
    <xf numFmtId="0" fontId="59" fillId="0" borderId="16" xfId="0" applyFont="1" applyFill="1" applyBorder="1"/>
    <xf numFmtId="41" fontId="59" fillId="0" borderId="0" xfId="0" applyNumberFormat="1" applyFont="1" applyFill="1" applyBorder="1"/>
    <xf numFmtId="14" fontId="2" fillId="0" borderId="0" xfId="0" applyNumberFormat="1" applyFont="1" applyFill="1" quotePrefix="1"/>
    <xf numFmtId="0" fontId="2" fillId="0" borderId="16" xfId="0" applyFont="1" applyFill="1" applyBorder="1"/>
    <xf numFmtId="0" fontId="2" fillId="0" borderId="0" xfId="0" applyFont="1" applyFill="1" applyAlignment="1">
      <alignment horizontal="right"/>
    </xf>
    <xf numFmtId="41" fontId="2" fillId="0" borderId="24" xfId="0" applyNumberFormat="1" applyFont="1" applyFill="1" applyBorder="1" applyAlignment="1">
      <alignment horizontal="center"/>
    </xf>
    <xf numFmtId="41" fontId="2" fillId="0" borderId="16" xfId="0" applyNumberFormat="1" applyFont="1" applyFill="1" applyBorder="1"/>
    <xf numFmtId="41" fontId="59" fillId="0" borderId="63" xfId="0" applyNumberFormat="1" applyFont="1" applyFill="1" applyBorder="1"/>
    <xf numFmtId="41" fontId="59" fillId="0" borderId="64" xfId="0" applyNumberFormat="1" applyFont="1" applyFill="1" applyBorder="1"/>
    <xf numFmtId="44" fontId="4" fillId="34" borderId="0" xfId="0" applyNumberFormat="1" applyFont="1" applyFill="1"/>
    <xf numFmtId="43" fontId="51" fillId="0" borderId="0" xfId="18" applyFont="1"/>
    <xf numFmtId="0" fontId="44" fillId="0" borderId="0" xfId="0" applyFont="1" applyAlignment="1">
      <alignment horizontal="center"/>
    </xf>
    <xf numFmtId="0" fontId="10" fillId="0" borderId="0" xfId="365" applyFont="1">
      <alignment/>
      <protection/>
    </xf>
    <xf numFmtId="0" fontId="16" fillId="0" borderId="0" xfId="365" applyFont="1">
      <alignment/>
      <protection/>
    </xf>
    <xf numFmtId="0" fontId="16" fillId="0" borderId="65" xfId="365" applyFont="1" applyBorder="1">
      <alignment/>
      <protection/>
    </xf>
    <xf numFmtId="176" fontId="16" fillId="0" borderId="65" xfId="365" applyNumberFormat="1" applyFont="1" applyBorder="1" applyAlignment="1">
      <alignment horizontal="center"/>
      <protection/>
    </xf>
    <xf numFmtId="176" fontId="16" fillId="0" borderId="0" xfId="365" applyNumberFormat="1" applyFont="1" applyBorder="1" applyAlignment="1">
      <alignment horizontal="center"/>
      <protection/>
    </xf>
    <xf numFmtId="0" fontId="16" fillId="0" borderId="0" xfId="365" applyFont="1" applyAlignment="1">
      <alignment horizontal="center"/>
      <protection/>
    </xf>
    <xf numFmtId="0" fontId="16" fillId="0" borderId="58" xfId="365" applyFont="1" applyBorder="1" applyAlignment="1">
      <alignment horizontal="center"/>
      <protection/>
    </xf>
    <xf numFmtId="0" fontId="16" fillId="0" borderId="58" xfId="365" applyFont="1" applyBorder="1">
      <alignment/>
      <protection/>
    </xf>
    <xf numFmtId="0" fontId="16" fillId="0" borderId="0" xfId="365" applyFont="1" applyBorder="1" applyAlignment="1">
      <alignment horizontal="center"/>
      <protection/>
    </xf>
    <xf numFmtId="0" fontId="10" fillId="0" borderId="0" xfId="365" applyFont="1" applyAlignment="1">
      <alignment horizontal="center"/>
      <protection/>
    </xf>
    <xf numFmtId="42" fontId="10" fillId="0" borderId="0" xfId="366" applyNumberFormat="1" applyFont="1"/>
    <xf numFmtId="9" fontId="10" fillId="0" borderId="0" xfId="280" applyNumberFormat="1" applyFont="1" applyFill="1"/>
    <xf numFmtId="10" fontId="10" fillId="0" borderId="0" xfId="280" applyNumberFormat="1" applyFont="1"/>
    <xf numFmtId="41" fontId="10" fillId="0" borderId="0" xfId="0" applyNumberFormat="1" applyFont="1"/>
    <xf numFmtId="41" fontId="10" fillId="0" borderId="0" xfId="366" applyNumberFormat="1" applyFont="1"/>
    <xf numFmtId="10" fontId="10" fillId="0" borderId="0" xfId="280" applyNumberFormat="1" applyFont="1" applyFill="1"/>
    <xf numFmtId="41" fontId="10" fillId="0" borderId="22" xfId="365" applyNumberFormat="1" applyFont="1" applyBorder="1">
      <alignment/>
      <protection/>
    </xf>
    <xf numFmtId="10" fontId="10" fillId="0" borderId="22" xfId="280" applyNumberFormat="1" applyFont="1" applyBorder="1"/>
    <xf numFmtId="10" fontId="10" fillId="0" borderId="0" xfId="280" applyNumberFormat="1" applyFont="1" applyBorder="1"/>
    <xf numFmtId="42" fontId="10" fillId="0" borderId="13" xfId="365" applyNumberFormat="1" applyFont="1" applyBorder="1">
      <alignment/>
      <protection/>
    </xf>
    <xf numFmtId="10" fontId="10" fillId="0" borderId="13" xfId="280" applyNumberFormat="1" applyFont="1" applyBorder="1"/>
    <xf numFmtId="41" fontId="10" fillId="0" borderId="0" xfId="365" applyNumberFormat="1" applyFont="1">
      <alignment/>
      <protection/>
    </xf>
    <xf numFmtId="0" fontId="10" fillId="0" borderId="0" xfId="365" applyFont="1" applyAlignment="1">
      <alignment horizontal="left"/>
      <protection/>
    </xf>
    <xf numFmtId="0" fontId="62" fillId="0" borderId="0" xfId="365" applyFont="1">
      <alignment/>
      <protection/>
    </xf>
    <xf numFmtId="0" fontId="10" fillId="0" borderId="12" xfId="365" applyFont="1" applyBorder="1" applyAlignment="1">
      <alignment horizontal="center"/>
      <protection/>
    </xf>
    <xf numFmtId="0" fontId="10" fillId="0" borderId="12" xfId="365" applyFont="1" applyBorder="1" applyAlignment="1">
      <alignment horizontal="center" wrapText="1"/>
      <protection/>
    </xf>
    <xf numFmtId="0" fontId="10" fillId="0" borderId="0" xfId="365" applyFont="1" applyFill="1">
      <alignment/>
      <protection/>
    </xf>
    <xf numFmtId="165" fontId="10" fillId="0" borderId="0" xfId="18" applyNumberFormat="1" applyFont="1"/>
    <xf numFmtId="44" fontId="10" fillId="0" borderId="0" xfId="365" applyNumberFormat="1" applyFont="1" applyAlignment="1">
      <alignment horizontal="left"/>
      <protection/>
    </xf>
    <xf numFmtId="0" fontId="10" fillId="0" borderId="0" xfId="0" applyFont="1" applyAlignment="1">
      <alignment horizontal="centerContinuous" wrapText="1"/>
    </xf>
    <xf numFmtId="41" fontId="63" fillId="0" borderId="0" xfId="74" applyFont="1" applyAlignment="1">
      <alignment/>
      <protection/>
    </xf>
    <xf numFmtId="0" fontId="10" fillId="0" borderId="0" xfId="365" applyFont="1" applyAlignment="1">
      <alignment horizontal="left" indent="1"/>
      <protection/>
    </xf>
    <xf numFmtId="42" fontId="10" fillId="0" borderId="0" xfId="365" applyNumberFormat="1" applyFont="1" applyAlignment="1">
      <alignment horizontal="left"/>
      <protection/>
    </xf>
    <xf numFmtId="0" fontId="16" fillId="0" borderId="0" xfId="20" applyFont="1" applyFill="1" applyAlignment="1">
      <alignment horizontal="right" vertical="center"/>
      <protection/>
    </xf>
    <xf numFmtId="41" fontId="4" fillId="34" borderId="0" xfId="0" applyNumberFormat="1" applyFont="1" applyFill="1"/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65" xfId="365" applyFont="1" applyBorder="1" applyAlignment="1">
      <alignment horizontal="center"/>
      <protection/>
    </xf>
    <xf numFmtId="0" fontId="10" fillId="0" borderId="0" xfId="20" applyFont="1" applyFill="1" applyBorder="1" applyAlignment="1">
      <alignment horizontal="left" vertical="center"/>
      <protection/>
    </xf>
    <xf numFmtId="0" fontId="10" fillId="0" borderId="0" xfId="20" applyFont="1" applyFill="1" applyBorder="1" applyAlignment="1">
      <alignment vertical="center" wrapText="1"/>
      <protection/>
    </xf>
    <xf numFmtId="0" fontId="10" fillId="0" borderId="0" xfId="20" applyFont="1" applyFill="1" applyBorder="1" applyAlignment="1">
      <alignment vertical="center"/>
      <protection/>
    </xf>
    <xf numFmtId="0" fontId="16" fillId="0" borderId="14" xfId="20" applyFont="1" applyFill="1" applyBorder="1" applyAlignment="1">
      <alignment horizontal="center" vertical="center"/>
      <protection/>
    </xf>
    <xf numFmtId="0" fontId="16" fillId="0" borderId="0" xfId="20" applyFont="1" applyFill="1" applyBorder="1" applyAlignment="1">
      <alignment horizontal="center" vertical="center"/>
      <protection/>
    </xf>
    <xf numFmtId="167" fontId="10" fillId="0" borderId="0" xfId="20" applyNumberFormat="1" applyFont="1" applyFill="1" applyBorder="1" applyAlignment="1">
      <alignment vertical="center" wrapText="1"/>
      <protection/>
    </xf>
    <xf numFmtId="167" fontId="10" fillId="0" borderId="0" xfId="20" applyNumberFormat="1" applyFont="1" applyFill="1" applyBorder="1" applyAlignment="1">
      <alignment vertical="center"/>
      <protection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Continuous"/>
    </xf>
    <xf numFmtId="0" fontId="65" fillId="35" borderId="66" xfId="0" applyFont="1" applyFill="1" applyBorder="1" applyAlignment="1">
      <alignment horizontal="center" vertical="center" wrapText="1"/>
    </xf>
    <xf numFmtId="0" fontId="64" fillId="0" borderId="66" xfId="0" applyFont="1" applyFill="1" applyBorder="1" applyAlignment="1">
      <alignment horizontal="left" vertical="center" wrapText="1"/>
    </xf>
    <xf numFmtId="8" fontId="64" fillId="0" borderId="66" xfId="0" applyNumberFormat="1" applyFont="1" applyFill="1" applyBorder="1" applyAlignment="1">
      <alignment horizontal="center" vertical="center"/>
    </xf>
    <xf numFmtId="0" fontId="64" fillId="36" borderId="66" xfId="0" applyFont="1" applyFill="1" applyBorder="1" applyAlignment="1">
      <alignment horizontal="left" vertical="center" wrapText="1"/>
    </xf>
    <xf numFmtId="8" fontId="64" fillId="36" borderId="6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Border="1"/>
    <xf numFmtId="0" fontId="2" fillId="0" borderId="0" xfId="0" applyFont="1"/>
    <xf numFmtId="0" fontId="2" fillId="0" borderId="0" xfId="0" applyFont="1" applyFill="1" quotePrefix="1"/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10" fontId="10" fillId="0" borderId="0" xfId="28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 quotePrefix="1">
      <alignment horizontal="left"/>
    </xf>
    <xf numFmtId="0" fontId="2" fillId="0" borderId="0" xfId="0" applyFont="1" applyFill="1" applyAlignment="1">
      <alignment horizontal="right"/>
    </xf>
    <xf numFmtId="41" fontId="2" fillId="0" borderId="10" xfId="0" applyNumberFormat="1" applyFont="1" applyFill="1" applyBorder="1"/>
    <xf numFmtId="0" fontId="4" fillId="37" borderId="0" xfId="0" applyFont="1" applyFill="1"/>
    <xf numFmtId="10" fontId="4" fillId="0" borderId="0" xfId="0" applyNumberFormat="1" applyFont="1" applyFill="1" applyAlignment="1">
      <alignment horizontal="center"/>
    </xf>
    <xf numFmtId="44" fontId="5" fillId="0" borderId="64" xfId="0" applyNumberFormat="1" applyFont="1" applyBorder="1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Fill="1" applyAlignment="1">
      <alignment horizontal="left"/>
    </xf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/>
    <xf numFmtId="0" fontId="2" fillId="33" borderId="18" xfId="0" applyFont="1" applyFill="1" applyBorder="1" applyAlignment="1">
      <alignment horizontal="centerContinuous"/>
    </xf>
    <xf numFmtId="0" fontId="2" fillId="33" borderId="61" xfId="0" applyFont="1" applyFill="1" applyBorder="1" applyAlignment="1">
      <alignment horizontal="centerContinuous"/>
    </xf>
    <xf numFmtId="0" fontId="2" fillId="0" borderId="0" xfId="0" applyFont="1" applyFill="1" applyBorder="1" applyAlignment="1" quotePrefix="1">
      <alignment horizontal="centerContinuous"/>
    </xf>
    <xf numFmtId="167" fontId="10" fillId="0" borderId="67" xfId="20" applyNumberFormat="1" applyFont="1" applyFill="1" applyBorder="1" applyAlignment="1">
      <alignment vertical="center" wrapText="1"/>
      <protection/>
    </xf>
    <xf numFmtId="167" fontId="10" fillId="0" borderId="68" xfId="20" applyNumberFormat="1" applyFont="1" applyFill="1" applyBorder="1" applyAlignment="1">
      <alignment vertical="center" wrapText="1"/>
      <protection/>
    </xf>
    <xf numFmtId="43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 quotePrefix="1">
      <alignment horizontal="right"/>
    </xf>
    <xf numFmtId="0" fontId="2" fillId="0" borderId="0" xfId="0" applyFont="1"/>
    <xf numFmtId="41" fontId="4" fillId="0" borderId="0" xfId="0" applyNumberFormat="1" applyFont="1" applyFill="1"/>
    <xf numFmtId="166" fontId="16" fillId="0" borderId="0" xfId="20" applyNumberFormat="1" applyFont="1" applyFill="1" applyAlignment="1">
      <alignment vertical="center"/>
      <protection/>
    </xf>
    <xf numFmtId="166" fontId="10" fillId="0" borderId="29" xfId="20" applyNumberFormat="1" applyFont="1" applyFill="1" applyBorder="1" applyAlignment="1">
      <alignment horizontal="center" vertical="center"/>
      <protection/>
    </xf>
    <xf numFmtId="0" fontId="4" fillId="0" borderId="0" xfId="0" applyFont="1" applyAlignment="1">
      <alignment horizontal="right" indent="1"/>
    </xf>
    <xf numFmtId="0" fontId="6" fillId="0" borderId="0" xfId="0" applyFont="1" applyAlignment="1">
      <alignment horizontal="right" indent="1"/>
    </xf>
    <xf numFmtId="41" fontId="6" fillId="0" borderId="0" xfId="0" applyNumberFormat="1" applyFont="1" applyAlignment="1">
      <alignment horizontal="right"/>
    </xf>
    <xf numFmtId="41" fontId="6" fillId="0" borderId="0" xfId="0" applyNumberFormat="1" applyFont="1" applyFill="1"/>
    <xf numFmtId="41" fontId="4" fillId="0" borderId="46" xfId="0" applyNumberFormat="1" applyFont="1" applyBorder="1"/>
    <xf numFmtId="37" fontId="46" fillId="0" borderId="0" xfId="0" applyNumberFormat="1" applyFont="1" applyFill="1" applyAlignment="1">
      <alignment horizontal="right"/>
    </xf>
    <xf numFmtId="1" fontId="46" fillId="0" borderId="0" xfId="0" applyNumberFormat="1" applyFont="1" applyFill="1" applyAlignment="1">
      <alignment horizontal="right"/>
    </xf>
    <xf numFmtId="44" fontId="10" fillId="0" borderId="19" xfId="20" applyNumberFormat="1" applyFont="1" applyFill="1" applyBorder="1" applyAlignment="1">
      <alignment vertical="center"/>
      <protection/>
    </xf>
    <xf numFmtId="165" fontId="45" fillId="0" borderId="19" xfId="22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9" fontId="10" fillId="0" borderId="0" xfId="26" applyNumberFormat="1" applyFont="1">
      <alignment/>
      <protection/>
    </xf>
    <xf numFmtId="41" fontId="4" fillId="0" borderId="0" xfId="0" applyNumberFormat="1" applyFont="1" applyAlignment="1">
      <alignment horizontal="left" indent="1"/>
    </xf>
    <xf numFmtId="41" fontId="4" fillId="0" borderId="0" xfId="0" applyNumberFormat="1" applyFont="1" applyAlignment="1">
      <alignment/>
    </xf>
    <xf numFmtId="41" fontId="4" fillId="0" borderId="11" xfId="0" applyNumberFormat="1" applyFont="1" applyBorder="1"/>
    <xf numFmtId="41" fontId="5" fillId="0" borderId="0" xfId="0" applyNumberFormat="1" applyFont="1" applyAlignment="1">
      <alignment horizontal="center"/>
    </xf>
    <xf numFmtId="6" fontId="52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41" fontId="66" fillId="0" borderId="0" xfId="0" applyNumberFormat="1" applyFont="1" applyAlignment="1">
      <alignment/>
    </xf>
    <xf numFmtId="41" fontId="66" fillId="0" borderId="0" xfId="0" applyNumberFormat="1" applyFont="1"/>
    <xf numFmtId="0" fontId="2" fillId="0" borderId="0" xfId="0" applyFont="1" applyFill="1"/>
    <xf numFmtId="165" fontId="4" fillId="0" borderId="0" xfId="0" applyNumberFormat="1" applyFont="1"/>
    <xf numFmtId="9" fontId="4" fillId="0" borderId="0" xfId="15" applyFont="1" applyAlignment="1">
      <alignment horizontal="right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center"/>
    </xf>
    <xf numFmtId="0" fontId="67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 indent="2"/>
    </xf>
    <xf numFmtId="10" fontId="2" fillId="0" borderId="0" xfId="0" applyNumberFormat="1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3"/>
    </xf>
    <xf numFmtId="41" fontId="4" fillId="0" borderId="0" xfId="0" applyNumberFormat="1" applyFont="1" applyAlignment="1">
      <alignment horizontal="left" indent="3"/>
    </xf>
    <xf numFmtId="0" fontId="4" fillId="0" borderId="0" xfId="0" applyFont="1" applyAlignment="1">
      <alignment horizontal="left" indent="3"/>
    </xf>
    <xf numFmtId="41" fontId="4" fillId="0" borderId="0" xfId="0" applyNumberFormat="1" applyFont="1" applyAlignment="1">
      <alignment horizontal="left" indent="5"/>
    </xf>
    <xf numFmtId="0" fontId="4" fillId="0" borderId="0" xfId="0" applyFont="1" applyAlignment="1">
      <alignment horizontal="left" indent="5"/>
    </xf>
    <xf numFmtId="0" fontId="59" fillId="0" borderId="0" xfId="0" applyFont="1" applyAlignment="1" quotePrefix="1">
      <alignment horizontal="center"/>
    </xf>
    <xf numFmtId="9" fontId="59" fillId="0" borderId="0" xfId="0" applyNumberFormat="1" applyFont="1" applyAlignment="1">
      <alignment horizontal="center"/>
    </xf>
    <xf numFmtId="0" fontId="68" fillId="0" borderId="0" xfId="0" applyFont="1" applyAlignment="1">
      <alignment horizontal="center"/>
    </xf>
    <xf numFmtId="0" fontId="59" fillId="0" borderId="0" xfId="0" applyFont="1" applyAlignment="1">
      <alignment horizontal="left"/>
    </xf>
    <xf numFmtId="41" fontId="5" fillId="0" borderId="0" xfId="0" applyNumberFormat="1" applyFont="1" applyAlignment="1">
      <alignment horizontal="left" indent="2"/>
    </xf>
    <xf numFmtId="0" fontId="59" fillId="0" borderId="0" xfId="0" applyFont="1" applyAlignment="1">
      <alignment horizontal="left" indent="2"/>
    </xf>
    <xf numFmtId="0" fontId="5" fillId="0" borderId="0" xfId="0" applyFont="1" applyAlignment="1">
      <alignment horizontal="left" indent="3"/>
    </xf>
    <xf numFmtId="41" fontId="5" fillId="0" borderId="0" xfId="0" applyNumberFormat="1" applyFont="1" applyAlignment="1">
      <alignment horizontal="left" indent="4"/>
    </xf>
    <xf numFmtId="0" fontId="5" fillId="0" borderId="0" xfId="0" applyFont="1" applyAlignment="1">
      <alignment horizontal="left" indent="4"/>
    </xf>
    <xf numFmtId="0" fontId="4" fillId="0" borderId="0" xfId="0" applyFont="1" applyAlignment="1">
      <alignment horizontal="left" wrapText="1" indent="4"/>
    </xf>
    <xf numFmtId="0" fontId="0" fillId="0" borderId="0" xfId="0" applyAlignment="1">
      <alignment horizontal="left" wrapText="1" indent="2"/>
    </xf>
    <xf numFmtId="165" fontId="4" fillId="0" borderId="10" xfId="0" applyNumberFormat="1" applyFont="1" applyBorder="1"/>
    <xf numFmtId="41" fontId="5" fillId="0" borderId="0" xfId="0" applyNumberFormat="1" applyFont="1" applyAlignment="1">
      <alignment horizontal="left" wrapText="1" indent="3"/>
    </xf>
    <xf numFmtId="0" fontId="0" fillId="0" borderId="0" xfId="0" applyAlignment="1">
      <alignment horizontal="left" wrapText="1" indent="3"/>
    </xf>
    <xf numFmtId="0" fontId="4" fillId="0" borderId="0" xfId="0" applyFont="1" applyAlignment="1" quotePrefix="1">
      <alignment wrapText="1"/>
    </xf>
    <xf numFmtId="41" fontId="5" fillId="0" borderId="0" xfId="0" applyNumberFormat="1" applyFont="1" applyAlignment="1">
      <alignment horizontal="left" wrapText="1" indent="2"/>
    </xf>
    <xf numFmtId="43" fontId="2" fillId="0" borderId="0" xfId="0" applyNumberFormat="1" applyFont="1"/>
    <xf numFmtId="41" fontId="5" fillId="0" borderId="0" xfId="0" applyNumberFormat="1" applyFont="1" applyAlignment="1" quotePrefix="1">
      <alignment horizontal="left" wrapText="1" indent="5"/>
    </xf>
    <xf numFmtId="0" fontId="4" fillId="0" borderId="0" xfId="0" applyFont="1" applyAlignment="1">
      <alignment horizontal="left" indent="7"/>
    </xf>
    <xf numFmtId="9" fontId="4" fillId="0" borderId="0" xfId="15" applyFont="1" applyAlignment="1">
      <alignment horizontal="left" indent="7"/>
    </xf>
    <xf numFmtId="0" fontId="4" fillId="0" borderId="10" xfId="0" applyFont="1" applyBorder="1"/>
    <xf numFmtId="0" fontId="69" fillId="0" borderId="0" xfId="0" applyFont="1"/>
    <xf numFmtId="0" fontId="48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41" fontId="2" fillId="0" borderId="0" xfId="0" applyNumberFormat="1" applyFont="1" applyFill="1" applyAlignment="1">
      <alignment horizontal="center"/>
    </xf>
    <xf numFmtId="1" fontId="4" fillId="0" borderId="0" xfId="0" applyNumberFormat="1" applyFont="1" applyFill="1"/>
    <xf numFmtId="0" fontId="16" fillId="0" borderId="20" xfId="20" applyFont="1" applyFill="1" applyBorder="1" applyAlignment="1">
      <alignment horizontal="left" vertical="center" wrapText="1"/>
      <protection/>
    </xf>
    <xf numFmtId="0" fontId="16" fillId="0" borderId="0" xfId="20" applyFont="1" applyFill="1" applyBorder="1" applyAlignment="1">
      <alignment horizontal="left" vertical="center"/>
      <protection/>
    </xf>
    <xf numFmtId="0" fontId="16" fillId="0" borderId="0" xfId="20" applyFont="1" applyFill="1" applyBorder="1" applyAlignment="1">
      <alignment horizontal="left" vertical="center" wrapText="1"/>
      <protection/>
    </xf>
    <xf numFmtId="166" fontId="16" fillId="0" borderId="0" xfId="20" applyNumberFormat="1" applyFont="1" applyFill="1" applyBorder="1" applyAlignment="1">
      <alignment horizontal="center" vertical="center"/>
      <protection/>
    </xf>
    <xf numFmtId="0" fontId="16" fillId="0" borderId="0" xfId="20" applyFont="1" applyFill="1" applyBorder="1" applyAlignment="1">
      <alignment vertical="center"/>
      <protection/>
    </xf>
    <xf numFmtId="0" fontId="10" fillId="0" borderId="14" xfId="20" applyFont="1" applyFill="1" applyBorder="1" applyAlignment="1">
      <alignment horizontal="right" vertical="center"/>
      <protection/>
    </xf>
    <xf numFmtId="0" fontId="2" fillId="0" borderId="0" xfId="0" applyFont="1" applyAlignment="1">
      <alignment horizontal="left" indent="3"/>
    </xf>
    <xf numFmtId="0" fontId="2" fillId="0" borderId="0" xfId="0" applyFont="1" applyFill="1" applyAlignment="1">
      <alignment horizontal="left"/>
    </xf>
    <xf numFmtId="10" fontId="2" fillId="0" borderId="0" xfId="0" applyNumberFormat="1" applyFont="1" applyFill="1"/>
    <xf numFmtId="167" fontId="10" fillId="0" borderId="0" xfId="16" applyNumberFormat="1" applyFont="1" applyFill="1" applyBorder="1" applyAlignment="1">
      <alignment vertical="center"/>
    </xf>
    <xf numFmtId="166" fontId="10" fillId="0" borderId="0" xfId="20" applyNumberFormat="1" applyFont="1" applyFill="1" applyBorder="1" applyAlignment="1">
      <alignment horizontal="center" vertical="center"/>
      <protection/>
    </xf>
    <xf numFmtId="0" fontId="16" fillId="0" borderId="0" xfId="20" applyFont="1" applyFill="1" applyBorder="1" applyAlignment="1">
      <alignment horizontal="right" vertical="center"/>
      <protection/>
    </xf>
    <xf numFmtId="0" fontId="16" fillId="0" borderId="21" xfId="20" applyFont="1" applyFill="1" applyBorder="1" applyAlignment="1">
      <alignment horizontal="right" vertical="center"/>
      <protection/>
    </xf>
    <xf numFmtId="166" fontId="16" fillId="0" borderId="69" xfId="20" applyNumberFormat="1" applyFont="1" applyFill="1" applyBorder="1" applyAlignment="1">
      <alignment horizontal="right" vertical="center"/>
      <protection/>
    </xf>
    <xf numFmtId="166" fontId="16" fillId="0" borderId="45" xfId="20" applyNumberFormat="1" applyFont="1" applyFill="1" applyBorder="1" applyAlignment="1">
      <alignment horizontal="right" vertical="center"/>
      <protection/>
    </xf>
    <xf numFmtId="166" fontId="16" fillId="0" borderId="0" xfId="20" applyNumberFormat="1" applyFont="1" applyFill="1" applyBorder="1" applyAlignment="1">
      <alignment horizontal="right" vertical="center"/>
      <protection/>
    </xf>
    <xf numFmtId="166" fontId="10" fillId="0" borderId="70" xfId="20" applyNumberFormat="1" applyFont="1" applyFill="1" applyBorder="1" applyAlignment="1">
      <alignment vertical="center"/>
      <protection/>
    </xf>
    <xf numFmtId="166" fontId="16" fillId="0" borderId="46" xfId="20" applyNumberFormat="1" applyFont="1" applyFill="1" applyBorder="1" applyAlignment="1">
      <alignment vertical="center"/>
      <protection/>
    </xf>
    <xf numFmtId="1" fontId="4" fillId="0" borderId="0" xfId="0" applyNumberFormat="1" applyFont="1"/>
    <xf numFmtId="41" fontId="0" fillId="0" borderId="0" xfId="0" applyNumberFormat="1"/>
    <xf numFmtId="41" fontId="0" fillId="0" borderId="11" xfId="0" applyNumberFormat="1" applyBorder="1"/>
    <xf numFmtId="10" fontId="0" fillId="0" borderId="0" xfId="0" applyNumberFormat="1"/>
    <xf numFmtId="10" fontId="2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41" fontId="2" fillId="0" borderId="0" xfId="0" applyNumberFormat="1" applyFont="1" applyFill="1"/>
    <xf numFmtId="0" fontId="2" fillId="0" borderId="0" xfId="0" applyFont="1" applyFill="1" applyAlignment="1">
      <alignment horizontal="left"/>
    </xf>
    <xf numFmtId="42" fontId="0" fillId="0" borderId="11" xfId="0" applyNumberFormat="1" applyBorder="1"/>
    <xf numFmtId="0" fontId="5" fillId="0" borderId="0" xfId="0" applyFont="1" applyAlignment="1">
      <alignment horizontal="right" wrapText="1"/>
    </xf>
    <xf numFmtId="0" fontId="4" fillId="0" borderId="0" xfId="0" applyFont="1" applyBorder="1" quotePrefix="1"/>
    <xf numFmtId="3" fontId="4" fillId="0" borderId="0" xfId="0" applyNumberFormat="1" applyFont="1" applyBorder="1"/>
    <xf numFmtId="0" fontId="49" fillId="0" borderId="0" xfId="0" applyFont="1" quotePrefix="1"/>
    <xf numFmtId="0" fontId="5" fillId="0" borderId="0" xfId="0" applyFont="1" applyAlignment="1">
      <alignment horizontal="center"/>
    </xf>
    <xf numFmtId="0" fontId="2" fillId="0" borderId="0" xfId="0" applyFont="1"/>
    <xf numFmtId="9" fontId="2" fillId="0" borderId="0" xfId="0" applyNumberFormat="1" applyFont="1"/>
    <xf numFmtId="44" fontId="4" fillId="0" borderId="0" xfId="0" applyNumberFormat="1" applyFont="1" applyBorder="1"/>
    <xf numFmtId="37" fontId="46" fillId="0" borderId="12" xfId="0" applyNumberFormat="1" applyFont="1" applyFill="1" applyBorder="1" applyAlignment="1">
      <alignment horizontal="right"/>
    </xf>
    <xf numFmtId="37" fontId="46" fillId="0" borderId="0" xfId="0" applyNumberFormat="1" applyFont="1" applyFill="1" applyBorder="1" applyAlignment="1">
      <alignment horizontal="right"/>
    </xf>
    <xf numFmtId="0" fontId="45" fillId="0" borderId="0" xfId="0" applyFont="1" applyAlignment="1" applyProtection="1">
      <alignment horizontal="left" indent="1"/>
      <protection hidden="1" locked="0"/>
    </xf>
    <xf numFmtId="0" fontId="2" fillId="0" borderId="0" xfId="0" applyFont="1" applyFill="1" applyAlignment="1">
      <alignment horizontal="left"/>
    </xf>
    <xf numFmtId="41" fontId="2" fillId="0" borderId="0" xfId="0" applyNumberFormat="1" applyFont="1" applyFill="1"/>
    <xf numFmtId="0" fontId="2" fillId="0" borderId="0" xfId="0" applyFont="1" applyFill="1" applyAlignment="1" quotePrefix="1">
      <alignment horizontal="left"/>
    </xf>
    <xf numFmtId="0" fontId="5" fillId="0" borderId="0" xfId="0" applyFont="1" applyAlignment="1">
      <alignment horizontal="right" indent="1"/>
    </xf>
    <xf numFmtId="44" fontId="4" fillId="0" borderId="10" xfId="0" applyNumberFormat="1" applyFont="1" applyBorder="1"/>
    <xf numFmtId="42" fontId="4" fillId="0" borderId="60" xfId="0" applyNumberFormat="1" applyFont="1" applyBorder="1"/>
    <xf numFmtId="5" fontId="16" fillId="0" borderId="0" xfId="20" applyNumberFormat="1" applyFont="1" applyFill="1" applyAlignment="1">
      <alignment vertical="center"/>
      <protection/>
    </xf>
    <xf numFmtId="168" fontId="16" fillId="0" borderId="0" xfId="20" applyNumberFormat="1" applyFont="1" applyFill="1" applyAlignment="1">
      <alignment vertical="center"/>
      <protection/>
    </xf>
    <xf numFmtId="0" fontId="16" fillId="0" borderId="0" xfId="20" applyFont="1" applyFill="1">
      <alignment/>
      <protection/>
    </xf>
    <xf numFmtId="0" fontId="16" fillId="0" borderId="0" xfId="20" applyFont="1" applyFill="1" applyAlignment="1">
      <alignment horizontal="left" vertical="center" indent="1"/>
      <protection/>
    </xf>
    <xf numFmtId="0" fontId="16" fillId="0" borderId="0" xfId="20" applyFont="1" applyFill="1" applyAlignment="1">
      <alignment horizontal="left" vertical="center" indent="3"/>
      <protection/>
    </xf>
    <xf numFmtId="0" fontId="10" fillId="0" borderId="10" xfId="20" applyFont="1" applyFill="1" applyBorder="1" applyAlignment="1">
      <alignment vertical="center"/>
      <protection/>
    </xf>
    <xf numFmtId="166" fontId="16" fillId="0" borderId="10" xfId="20" applyNumberFormat="1" applyFont="1" applyFill="1" applyBorder="1" applyAlignment="1">
      <alignment horizontal="right" vertical="center"/>
      <protection/>
    </xf>
    <xf numFmtId="168" fontId="16" fillId="0" borderId="0" xfId="20" applyNumberFormat="1" applyFont="1" applyFill="1" applyBorder="1" applyAlignment="1">
      <alignment vertical="center"/>
      <protection/>
    </xf>
    <xf numFmtId="168" fontId="10" fillId="0" borderId="0" xfId="20" applyNumberFormat="1" applyFont="1" applyFill="1" applyBorder="1" applyAlignment="1">
      <alignment vertical="center"/>
      <protection/>
    </xf>
    <xf numFmtId="166" fontId="10" fillId="0" borderId="0" xfId="20" applyNumberFormat="1" applyFont="1" applyFill="1" applyBorder="1" applyAlignment="1">
      <alignment vertical="center"/>
      <protection/>
    </xf>
    <xf numFmtId="166" fontId="10" fillId="0" borderId="0" xfId="20" applyNumberFormat="1" applyFont="1" applyFill="1" applyAlignment="1">
      <alignment horizontal="right" vertical="center"/>
      <protection/>
    </xf>
    <xf numFmtId="0" fontId="10" fillId="0" borderId="0" xfId="20" applyFont="1" applyFill="1" applyAlignment="1">
      <alignment horizontal="right" vertical="center"/>
      <protection/>
    </xf>
    <xf numFmtId="0" fontId="10" fillId="0" borderId="0" xfId="20" applyFont="1" applyFill="1" applyBorder="1" applyAlignment="1">
      <alignment horizontal="right" vertical="center"/>
      <protection/>
    </xf>
    <xf numFmtId="0" fontId="10" fillId="0" borderId="0" xfId="20" applyFont="1" applyFill="1" applyAlignment="1">
      <alignment horizontal="right"/>
      <protection/>
    </xf>
    <xf numFmtId="166" fontId="16" fillId="0" borderId="0" xfId="20" applyNumberFormat="1" applyFont="1" applyFill="1" applyBorder="1" applyAlignment="1">
      <alignment vertical="center"/>
      <protection/>
    </xf>
    <xf numFmtId="169" fontId="2" fillId="0" borderId="0" xfId="0" applyNumberFormat="1" applyFont="1" applyFill="1"/>
    <xf numFmtId="13" fontId="10" fillId="0" borderId="0" xfId="20" applyNumberFormat="1" applyFont="1" applyFill="1" applyBorder="1" applyAlignment="1">
      <alignment vertical="center"/>
      <protection/>
    </xf>
    <xf numFmtId="0" fontId="2" fillId="0" borderId="0" xfId="0" applyFont="1" applyFill="1" applyAlignment="1">
      <alignment horizontal="right"/>
    </xf>
    <xf numFmtId="41" fontId="2" fillId="0" borderId="0" xfId="0" applyNumberFormat="1" applyFont="1" applyFill="1"/>
    <xf numFmtId="0" fontId="2" fillId="0" borderId="0" xfId="0" applyFont="1" applyFill="1"/>
    <xf numFmtId="10" fontId="10" fillId="0" borderId="14" xfId="20" applyNumberFormat="1" applyFont="1" applyFill="1" applyBorder="1" applyAlignment="1">
      <alignment vertical="center"/>
      <protection/>
    </xf>
    <xf numFmtId="4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/>
    <xf numFmtId="0" fontId="2" fillId="33" borderId="24" xfId="0" applyFont="1" applyFill="1" applyBorder="1" applyAlignment="1">
      <alignment horizontal="centerContinuous"/>
    </xf>
    <xf numFmtId="0" fontId="2" fillId="38" borderId="24" xfId="0" applyFont="1" applyFill="1" applyBorder="1" applyAlignment="1">
      <alignment horizontal="centerContinuous"/>
    </xf>
    <xf numFmtId="0" fontId="2" fillId="38" borderId="18" xfId="0" applyFont="1" applyFill="1" applyBorder="1" applyAlignment="1">
      <alignment horizontal="centerContinuous"/>
    </xf>
    <xf numFmtId="0" fontId="2" fillId="0" borderId="0" xfId="0" applyFont="1" applyFill="1" applyAlignment="1">
      <alignment horizontal="left"/>
    </xf>
    <xf numFmtId="41" fontId="2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/>
    <xf numFmtId="41" fontId="10" fillId="0" borderId="0" xfId="366" applyNumberFormat="1" applyFont="1" applyFill="1"/>
    <xf numFmtId="10" fontId="10" fillId="0" borderId="13" xfId="280" applyNumberFormat="1" applyFont="1" applyFill="1" applyBorder="1"/>
    <xf numFmtId="42" fontId="4" fillId="37" borderId="0" xfId="0" applyNumberFormat="1" applyFont="1" applyFill="1"/>
    <xf numFmtId="41" fontId="4" fillId="37" borderId="0" xfId="0" applyNumberFormat="1" applyFont="1" applyFill="1"/>
    <xf numFmtId="42" fontId="4" fillId="37" borderId="22" xfId="0" applyNumberFormat="1" applyFont="1" applyFill="1" applyBorder="1"/>
    <xf numFmtId="44" fontId="6" fillId="0" borderId="0" xfId="0" applyNumberFormat="1" applyFont="1"/>
    <xf numFmtId="9" fontId="4" fillId="37" borderId="0" xfId="0" applyNumberFormat="1" applyFont="1" applyFill="1" quotePrefix="1"/>
    <xf numFmtId="42" fontId="61" fillId="0" borderId="0" xfId="0" applyNumberFormat="1" applyFont="1" applyFill="1"/>
    <xf numFmtId="42" fontId="6" fillId="0" borderId="0" xfId="0" applyNumberFormat="1" applyFont="1" applyFill="1"/>
    <xf numFmtId="42" fontId="0" fillId="0" borderId="0" xfId="0" applyNumberFormat="1"/>
    <xf numFmtId="0" fontId="0" fillId="0" borderId="0" xfId="0" applyAlignment="1">
      <alignment horizontal="right"/>
    </xf>
    <xf numFmtId="42" fontId="0" fillId="0" borderId="10" xfId="0" applyNumberFormat="1" applyBorder="1"/>
    <xf numFmtId="0" fontId="2" fillId="0" borderId="0" xfId="0" applyFont="1" applyFill="1" applyAlignment="1">
      <alignment horizontal="left"/>
    </xf>
    <xf numFmtId="0" fontId="2" fillId="0" borderId="24" xfId="0" applyFont="1" applyFill="1" applyBorder="1" applyAlignment="1">
      <alignment horizontal="centerContinuous"/>
    </xf>
    <xf numFmtId="0" fontId="2" fillId="0" borderId="18" xfId="0" applyFont="1" applyFill="1" applyBorder="1" applyAlignment="1">
      <alignment horizontal="centerContinuous"/>
    </xf>
    <xf numFmtId="44" fontId="10" fillId="0" borderId="0" xfId="20" applyNumberFormat="1" applyFont="1" applyFill="1" applyAlignment="1">
      <alignment vertical="center"/>
      <protection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5"/>
    </xf>
    <xf numFmtId="42" fontId="2" fillId="0" borderId="0" xfId="0" applyNumberFormat="1" applyFont="1"/>
    <xf numFmtId="0" fontId="69" fillId="0" borderId="0" xfId="0" applyFont="1" applyBorder="1"/>
    <xf numFmtId="0" fontId="71" fillId="0" borderId="0" xfId="0" applyFont="1"/>
    <xf numFmtId="0" fontId="2" fillId="0" borderId="0" xfId="0" applyFont="1" applyFill="1" applyAlignment="1" quotePrefix="1">
      <alignment horizontal="left"/>
    </xf>
    <xf numFmtId="0" fontId="2" fillId="0" borderId="0" xfId="0" applyFont="1" applyFill="1" applyAlignment="1" quotePrefix="1">
      <alignment horizontal="left" indent="2"/>
    </xf>
    <xf numFmtId="0" fontId="2" fillId="0" borderId="0" xfId="0" applyFont="1" applyFill="1" applyAlignment="1">
      <alignment horizontal="left" indent="2"/>
    </xf>
    <xf numFmtId="41" fontId="4" fillId="0" borderId="70" xfId="0" applyNumberFormat="1" applyFont="1" applyBorder="1"/>
    <xf numFmtId="44" fontId="2" fillId="0" borderId="0" xfId="0" applyNumberFormat="1" applyFont="1"/>
    <xf numFmtId="0" fontId="4" fillId="0" borderId="0" xfId="0" applyFont="1" applyFill="1" applyAlignment="1">
      <alignment horizontal="left"/>
    </xf>
    <xf numFmtId="0" fontId="2" fillId="0" borderId="0" xfId="0" applyFont="1" applyAlignment="1">
      <alignment horizontal="left" indent="2"/>
    </xf>
    <xf numFmtId="0" fontId="70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9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42" fontId="2" fillId="0" borderId="0" xfId="0" applyNumberFormat="1" applyFont="1"/>
    <xf numFmtId="0" fontId="10" fillId="0" borderId="0" xfId="20" applyFont="1" applyFill="1" applyBorder="1" applyAlignment="1">
      <alignment horizontal="center" vertical="center"/>
      <protection/>
    </xf>
    <xf numFmtId="7" fontId="4" fillId="0" borderId="0" xfId="0" applyNumberFormat="1" applyFont="1"/>
    <xf numFmtId="9" fontId="5" fillId="0" borderId="12" xfId="0" applyNumberFormat="1" applyFont="1" applyBorder="1" applyAlignment="1">
      <alignment horizontal="center"/>
    </xf>
    <xf numFmtId="41" fontId="4" fillId="0" borderId="33" xfId="0" applyNumberFormat="1" applyFont="1" applyFill="1" applyBorder="1"/>
    <xf numFmtId="0" fontId="2" fillId="0" borderId="6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0" fillId="0" borderId="0" xfId="0" applyAlignment="1">
      <alignment/>
    </xf>
    <xf numFmtId="0" fontId="10" fillId="0" borderId="0" xfId="20" applyFont="1" applyFill="1" applyBorder="1" applyAlignment="1">
      <alignment horizontal="center" vertical="center"/>
      <protection/>
    </xf>
    <xf numFmtId="9" fontId="52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41" fillId="0" borderId="0" xfId="0" applyFont="1" applyAlignment="1">
      <alignment wrapText="1"/>
    </xf>
    <xf numFmtId="41" fontId="5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41" fontId="5" fillId="0" borderId="0" xfId="0" applyNumberFormat="1" applyFont="1" applyAlignment="1" quotePrefix="1">
      <alignment horizontal="left" wrapText="1"/>
    </xf>
    <xf numFmtId="0" fontId="4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4" fillId="0" borderId="0" xfId="0" applyFont="1" applyAlignment="1">
      <alignment wrapText="1"/>
    </xf>
  </cellXfs>
  <cellStyles count="35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" xfId="20"/>
    <cellStyle name="Normal 3" xfId="21"/>
    <cellStyle name="Comma 2 2 2" xfId="22"/>
    <cellStyle name="Normal 50" xfId="23"/>
    <cellStyle name="Currency 2" xfId="24"/>
    <cellStyle name="Normal_Sheet1_1" xfId="25"/>
    <cellStyle name="Normal 4" xfId="26"/>
    <cellStyle name="Normal 2 2 2 2" xfId="27"/>
    <cellStyle name="Currency 2 2 2" xfId="28"/>
    <cellStyle name="Percent 2 2 2" xfId="29"/>
    <cellStyle name="Percent 3 2 2" xfId="30"/>
    <cellStyle name="Comma 11 2" xfId="31"/>
    <cellStyle name="########" xfId="32"/>
    <cellStyle name="######## 2" xfId="33"/>
    <cellStyle name="20% - Accent1 2" xfId="34"/>
    <cellStyle name="20% - Accent2 2" xfId="35"/>
    <cellStyle name="20% - Accent3 2" xfId="36"/>
    <cellStyle name="20% - Accent4 2" xfId="37"/>
    <cellStyle name="20% - Accent5 2" xfId="38"/>
    <cellStyle name="20% - Accent6 2" xfId="39"/>
    <cellStyle name="40% - Accent1 2" xfId="40"/>
    <cellStyle name="40% - Accent2 2" xfId="41"/>
    <cellStyle name="40% - Accent3 2" xfId="42"/>
    <cellStyle name="40% - Accent4 2" xfId="43"/>
    <cellStyle name="40% - Accent5 2" xfId="44"/>
    <cellStyle name="40% - Accent6 2" xfId="45"/>
    <cellStyle name="60% - Accent1 2" xfId="46"/>
    <cellStyle name="60% - Accent2 2" xfId="47"/>
    <cellStyle name="60% - Accent3 2" xfId="48"/>
    <cellStyle name="60% - Accent4 2" xfId="49"/>
    <cellStyle name="60% - Accent5 2" xfId="50"/>
    <cellStyle name="60% - Accent6 2" xfId="51"/>
    <cellStyle name="Accent1 2" xfId="52"/>
    <cellStyle name="Accent2 2" xfId="53"/>
    <cellStyle name="Accent3 2" xfId="54"/>
    <cellStyle name="Accent4 2" xfId="55"/>
    <cellStyle name="Accent5 2" xfId="56"/>
    <cellStyle name="Accent6 2" xfId="57"/>
    <cellStyle name="Bad 2" xfId="58"/>
    <cellStyle name="Calculation 2" xfId="59"/>
    <cellStyle name="Check Cell 2" xfId="60"/>
    <cellStyle name="Co #" xfId="61"/>
    <cellStyle name="Comma 10" xfId="62"/>
    <cellStyle name="Comma 10 2" xfId="63"/>
    <cellStyle name="Comma 10 3" xfId="64"/>
    <cellStyle name="Comma 10 4" xfId="65"/>
    <cellStyle name="Comma 11" xfId="66"/>
    <cellStyle name="Comma 11 2 2" xfId="67"/>
    <cellStyle name="Comma 11 2 3" xfId="68"/>
    <cellStyle name="Comma 11 3" xfId="69"/>
    <cellStyle name="Comma 11 4" xfId="70"/>
    <cellStyle name="Comma 12" xfId="71"/>
    <cellStyle name="Comma 13" xfId="72"/>
    <cellStyle name="Comma 14" xfId="73"/>
    <cellStyle name="Comma 15" xfId="74"/>
    <cellStyle name="Comma 2" xfId="75"/>
    <cellStyle name="Comma 2 2" xfId="76"/>
    <cellStyle name="Comma 2 2 3" xfId="77"/>
    <cellStyle name="Comma 2 2 4" xfId="78"/>
    <cellStyle name="Comma 2 3" xfId="79"/>
    <cellStyle name="Comma 2 3 2" xfId="80"/>
    <cellStyle name="Comma 2 3 3" xfId="81"/>
    <cellStyle name="Comma 2 3 4" xfId="82"/>
    <cellStyle name="Comma 2 4" xfId="83"/>
    <cellStyle name="Comma 2 5" xfId="84"/>
    <cellStyle name="Comma 2 6" xfId="85"/>
    <cellStyle name="Comma 2 7" xfId="86"/>
    <cellStyle name="Comma 2 8" xfId="87"/>
    <cellStyle name="Comma 3" xfId="88"/>
    <cellStyle name="Comma 3 2" xfId="89"/>
    <cellStyle name="Comma 3 3" xfId="90"/>
    <cellStyle name="Comma 3 4" xfId="91"/>
    <cellStyle name="Comma 3 5" xfId="92"/>
    <cellStyle name="Comma 4" xfId="93"/>
    <cellStyle name="Comma 4 2" xfId="94"/>
    <cellStyle name="Comma 4 2 2" xfId="95"/>
    <cellStyle name="Comma 4 3" xfId="96"/>
    <cellStyle name="Comma 4 4" xfId="97"/>
    <cellStyle name="Comma 5" xfId="98"/>
    <cellStyle name="Comma 5 2" xfId="99"/>
    <cellStyle name="Comma 5 2 2" xfId="100"/>
    <cellStyle name="Comma 5 2 3" xfId="101"/>
    <cellStyle name="Comma 5 3" xfId="102"/>
    <cellStyle name="Comma 5 4" xfId="103"/>
    <cellStyle name="Comma 5 5" xfId="104"/>
    <cellStyle name="Comma 6" xfId="105"/>
    <cellStyle name="Comma 6 2" xfId="106"/>
    <cellStyle name="Comma 7" xfId="107"/>
    <cellStyle name="Comma 8" xfId="108"/>
    <cellStyle name="Comma 9" xfId="109"/>
    <cellStyle name="Comma 9 2" xfId="110"/>
    <cellStyle name="Comma 9 3" xfId="111"/>
    <cellStyle name="Currency 10" xfId="112"/>
    <cellStyle name="Currency 11" xfId="113"/>
    <cellStyle name="Currency 2 2" xfId="114"/>
    <cellStyle name="Currency 2 2 3" xfId="115"/>
    <cellStyle name="Currency 2 2 4" xfId="116"/>
    <cellStyle name="Currency 2 3" xfId="117"/>
    <cellStyle name="Currency 2 4" xfId="118"/>
    <cellStyle name="Currency 2 5" xfId="119"/>
    <cellStyle name="Currency 2 6" xfId="120"/>
    <cellStyle name="Currency 3" xfId="121"/>
    <cellStyle name="Currency 3 2" xfId="122"/>
    <cellStyle name="Currency 3 3" xfId="123"/>
    <cellStyle name="Currency 3 4" xfId="124"/>
    <cellStyle name="Currency 4" xfId="125"/>
    <cellStyle name="Currency 4 2" xfId="126"/>
    <cellStyle name="Currency 4 3" xfId="127"/>
    <cellStyle name="Currency 4 4" xfId="128"/>
    <cellStyle name="Currency 4 5" xfId="129"/>
    <cellStyle name="Currency 5" xfId="130"/>
    <cellStyle name="Currency 5 2" xfId="131"/>
    <cellStyle name="Currency 6" xfId="132"/>
    <cellStyle name="Currency 7" xfId="133"/>
    <cellStyle name="Currency 8" xfId="134"/>
    <cellStyle name="Currency 9" xfId="135"/>
    <cellStyle name="Date" xfId="136"/>
    <cellStyle name="Date 2" xfId="137"/>
    <cellStyle name="Date-Regulatory" xfId="138"/>
    <cellStyle name="Euro" xfId="139"/>
    <cellStyle name="Explanatory Text 2" xfId="140"/>
    <cellStyle name="Good 2" xfId="141"/>
    <cellStyle name="Heading 1 2" xfId="142"/>
    <cellStyle name="Heading 2 2" xfId="143"/>
    <cellStyle name="Heading 3 2" xfId="144"/>
    <cellStyle name="Heading 4 2" xfId="145"/>
    <cellStyle name="Input 2" xfId="146"/>
    <cellStyle name="Linked Cell 2" xfId="147"/>
    <cellStyle name="Neutral 2" xfId="148"/>
    <cellStyle name="Normal 10" xfId="149"/>
    <cellStyle name="Normal 10 2" xfId="150"/>
    <cellStyle name="Normal 10 2 2" xfId="151"/>
    <cellStyle name="Normal 10 2 3" xfId="152"/>
    <cellStyle name="Normal 10 2 4" xfId="153"/>
    <cellStyle name="Normal 10 3" xfId="154"/>
    <cellStyle name="Normal 10 3 2" xfId="155"/>
    <cellStyle name="Normal 10 3 3" xfId="156"/>
    <cellStyle name="Normal 10 4" xfId="157"/>
    <cellStyle name="Normal 10 5" xfId="158"/>
    <cellStyle name="Normal 11" xfId="159"/>
    <cellStyle name="Normal 11 2" xfId="160"/>
    <cellStyle name="Normal 11 3" xfId="161"/>
    <cellStyle name="Normal 12" xfId="162"/>
    <cellStyle name="Normal 12 2" xfId="163"/>
    <cellStyle name="Normal 12 3" xfId="164"/>
    <cellStyle name="Normal 13" xfId="165"/>
    <cellStyle name="Normal 13 2" xfId="166"/>
    <cellStyle name="Normal 13 3" xfId="167"/>
    <cellStyle name="Normal 14" xfId="168"/>
    <cellStyle name="Normal 15" xfId="169"/>
    <cellStyle name="Normal 15 2" xfId="170"/>
    <cellStyle name="Normal 15 3" xfId="171"/>
    <cellStyle name="Normal 16" xfId="172"/>
    <cellStyle name="Normal 16 2" xfId="173"/>
    <cellStyle name="Normal 16 3" xfId="174"/>
    <cellStyle name="Normal 17" xfId="175"/>
    <cellStyle name="Normal 18" xfId="176"/>
    <cellStyle name="Normal 19" xfId="177"/>
    <cellStyle name="Normal 2 10" xfId="178"/>
    <cellStyle name="Normal 2 11" xfId="179"/>
    <cellStyle name="Normal 2 12" xfId="180"/>
    <cellStyle name="Normal 2 13" xfId="181"/>
    <cellStyle name="Normal 2 14" xfId="182"/>
    <cellStyle name="Normal 2 2" xfId="183"/>
    <cellStyle name="Normal 2 2 2" xfId="184"/>
    <cellStyle name="Normal 2 2 3" xfId="185"/>
    <cellStyle name="Normal 2 2 4" xfId="186"/>
    <cellStyle name="Normal 2 2 5" xfId="187"/>
    <cellStyle name="Normal 2 3" xfId="188"/>
    <cellStyle name="Normal 2 3 2" xfId="189"/>
    <cellStyle name="Normal 2 36" xfId="190"/>
    <cellStyle name="Normal 2 4" xfId="191"/>
    <cellStyle name="Normal 2 5" xfId="192"/>
    <cellStyle name="Normal 2 6" xfId="193"/>
    <cellStyle name="Normal 2 7" xfId="194"/>
    <cellStyle name="Normal 2 8" xfId="195"/>
    <cellStyle name="Normal 2 9" xfId="196"/>
    <cellStyle name="Normal 2_LUSIMFR22" xfId="197"/>
    <cellStyle name="Normal 20" xfId="198"/>
    <cellStyle name="Normal 21" xfId="199"/>
    <cellStyle name="Normal 22" xfId="200"/>
    <cellStyle name="Normal 23" xfId="201"/>
    <cellStyle name="Normal 24" xfId="202"/>
    <cellStyle name="Normal 25" xfId="203"/>
    <cellStyle name="Normal 25 2" xfId="204"/>
    <cellStyle name="Normal 26" xfId="205"/>
    <cellStyle name="Normal 26 2" xfId="206"/>
    <cellStyle name="Normal 27" xfId="207"/>
    <cellStyle name="Normal 28" xfId="208"/>
    <cellStyle name="Normal 29" xfId="209"/>
    <cellStyle name="Normal 3 10" xfId="210"/>
    <cellStyle name="Normal 3 11" xfId="211"/>
    <cellStyle name="Normal 3 12" xfId="212"/>
    <cellStyle name="Normal 3 13" xfId="213"/>
    <cellStyle name="Normal 3 14" xfId="214"/>
    <cellStyle name="Normal 3 2" xfId="215"/>
    <cellStyle name="Normal 3 2 2" xfId="216"/>
    <cellStyle name="Normal 3 2 3" xfId="217"/>
    <cellStyle name="Normal 3 3" xfId="218"/>
    <cellStyle name="Normal 3 3 2" xfId="219"/>
    <cellStyle name="Normal 3 4" xfId="220"/>
    <cellStyle name="Normal 3 5" xfId="221"/>
    <cellStyle name="Normal 3 6" xfId="222"/>
    <cellStyle name="Normal 3 7" xfId="223"/>
    <cellStyle name="Normal 3 8" xfId="224"/>
    <cellStyle name="Normal 3 9" xfId="225"/>
    <cellStyle name="Normal 30" xfId="226"/>
    <cellStyle name="Normal 31" xfId="227"/>
    <cellStyle name="Normal 32" xfId="228"/>
    <cellStyle name="Normal 33" xfId="229"/>
    <cellStyle name="Normal 34" xfId="230"/>
    <cellStyle name="Normal 35" xfId="231"/>
    <cellStyle name="Normal 36" xfId="232"/>
    <cellStyle name="Normal 37" xfId="233"/>
    <cellStyle name="Normal 38" xfId="234"/>
    <cellStyle name="Normal 39" xfId="235"/>
    <cellStyle name="Normal 4 2" xfId="236"/>
    <cellStyle name="Normal 4 2 2" xfId="237"/>
    <cellStyle name="Normal 4 2 2 2" xfId="238"/>
    <cellStyle name="Normal 4 2 3" xfId="239"/>
    <cellStyle name="Normal 4 3" xfId="240"/>
    <cellStyle name="Normal 4 3 2" xfId="241"/>
    <cellStyle name="Normal 4 4" xfId="242"/>
    <cellStyle name="Normal 4 5" xfId="243"/>
    <cellStyle name="Normal 40" xfId="244"/>
    <cellStyle name="Normal 41" xfId="245"/>
    <cellStyle name="Normal 42" xfId="246"/>
    <cellStyle name="Normal 43" xfId="247"/>
    <cellStyle name="Normal 44" xfId="248"/>
    <cellStyle name="Normal 45" xfId="249"/>
    <cellStyle name="Normal 46" xfId="250"/>
    <cellStyle name="Normal 47" xfId="251"/>
    <cellStyle name="Normal 48" xfId="252"/>
    <cellStyle name="Normal 49" xfId="253"/>
    <cellStyle name="Normal 5" xfId="254"/>
    <cellStyle name="Normal 5 2" xfId="255"/>
    <cellStyle name="Normal 5 2 2" xfId="256"/>
    <cellStyle name="Normal 5 3" xfId="257"/>
    <cellStyle name="Normal 5 4" xfId="258"/>
    <cellStyle name="Normal 6" xfId="259"/>
    <cellStyle name="Normal 6 2" xfId="260"/>
    <cellStyle name="Normal 6 2 2" xfId="261"/>
    <cellStyle name="Normal 6 2 3" xfId="262"/>
    <cellStyle name="Normal 6 3" xfId="263"/>
    <cellStyle name="Normal 6 4" xfId="264"/>
    <cellStyle name="Normal 6 5" xfId="265"/>
    <cellStyle name="Normal 62" xfId="266"/>
    <cellStyle name="Normal 7" xfId="267"/>
    <cellStyle name="Normal 7 2" xfId="268"/>
    <cellStyle name="Normal 8" xfId="269"/>
    <cellStyle name="Normal 8 2" xfId="270"/>
    <cellStyle name="Normal 9" xfId="271"/>
    <cellStyle name="Normal 9 2" xfId="272"/>
    <cellStyle name="Normal 9 2 2" xfId="273"/>
    <cellStyle name="Normal 9 2 3" xfId="274"/>
    <cellStyle name="Normal 9 2 4" xfId="275"/>
    <cellStyle name="Note 2" xfId="276"/>
    <cellStyle name="Note 3" xfId="277"/>
    <cellStyle name="Output 2" xfId="278"/>
    <cellStyle name="Percent 2" xfId="279"/>
    <cellStyle name="Percent 2 2" xfId="280"/>
    <cellStyle name="Percent 2 2 3" xfId="281"/>
    <cellStyle name="Percent 2 2 4" xfId="282"/>
    <cellStyle name="Percent 2 3" xfId="283"/>
    <cellStyle name="Percent 2 4" xfId="284"/>
    <cellStyle name="Percent 2 5" xfId="285"/>
    <cellStyle name="Percent 2 6" xfId="286"/>
    <cellStyle name="Percent 3" xfId="287"/>
    <cellStyle name="Percent 3 2" xfId="288"/>
    <cellStyle name="Percent 3 2 3" xfId="289"/>
    <cellStyle name="Percent 3 3" xfId="290"/>
    <cellStyle name="Percent 3 4" xfId="291"/>
    <cellStyle name="Percent 3 5" xfId="292"/>
    <cellStyle name="Percent 4" xfId="293"/>
    <cellStyle name="Percent 5" xfId="294"/>
    <cellStyle name="Percent 5 2" xfId="295"/>
    <cellStyle name="Percent 5 3" xfId="296"/>
    <cellStyle name="Percent 6" xfId="297"/>
    <cellStyle name="Percent 7" xfId="298"/>
    <cellStyle name="Percent 8" xfId="299"/>
    <cellStyle name="Percent 9" xfId="300"/>
    <cellStyle name="Total 2" xfId="301"/>
    <cellStyle name="Warning Text 2" xfId="302"/>
    <cellStyle name="Normal 51" xfId="303"/>
    <cellStyle name="Percent 3 2 2 2" xfId="304"/>
    <cellStyle name="Comma 11 2 4" xfId="305"/>
    <cellStyle name="Comma 11 4 2" xfId="306"/>
    <cellStyle name="Comma 2 3 5" xfId="307"/>
    <cellStyle name="Comma 2 3 3 2" xfId="308"/>
    <cellStyle name="Comma 2 3 4 2" xfId="309"/>
    <cellStyle name="Comma 2 5 2" xfId="310"/>
    <cellStyle name="Comma 2 8 2" xfId="311"/>
    <cellStyle name="Comma 3 6" xfId="312"/>
    <cellStyle name="Comma 3 5 2" xfId="313"/>
    <cellStyle name="Comma 4 2 3" xfId="314"/>
    <cellStyle name="Comma 5 2 2 2" xfId="315"/>
    <cellStyle name="Comma 5 2 3 2" xfId="316"/>
    <cellStyle name="Comma 6 3" xfId="317"/>
    <cellStyle name="Comma 7 2" xfId="318"/>
    <cellStyle name="Currency 11 2" xfId="319"/>
    <cellStyle name="Normal 10 6" xfId="320"/>
    <cellStyle name="Normal 10 2 5" xfId="321"/>
    <cellStyle name="Normal 10 2 2 2" xfId="322"/>
    <cellStyle name="Normal 10 2 3 2" xfId="323"/>
    <cellStyle name="Normal 10 2 4 2" xfId="324"/>
    <cellStyle name="Normal 10 3 2 2" xfId="325"/>
    <cellStyle name="Normal 10 3 3 2" xfId="326"/>
    <cellStyle name="Normal 10 4 2" xfId="327"/>
    <cellStyle name="Normal 11 2 2" xfId="328"/>
    <cellStyle name="Normal 11 3 2" xfId="329"/>
    <cellStyle name="Normal 12 2 2" xfId="330"/>
    <cellStyle name="Normal 12 3 2" xfId="331"/>
    <cellStyle name="Normal 13 3 2" xfId="332"/>
    <cellStyle name="Normal 15 2 2" xfId="333"/>
    <cellStyle name="Normal 15 3 2" xfId="334"/>
    <cellStyle name="Normal 16 2 2" xfId="335"/>
    <cellStyle name="Normal 16 3 2" xfId="336"/>
    <cellStyle name="Normal 2 11 2" xfId="337"/>
    <cellStyle name="Normal 2 12 2" xfId="338"/>
    <cellStyle name="Normal 2 13 2" xfId="339"/>
    <cellStyle name="Normal 2 14 2" xfId="340"/>
    <cellStyle name="Normal 2 2 5 2" xfId="341"/>
    <cellStyle name="Normal 24 2" xfId="342"/>
    <cellStyle name="Normal 3 11 2" xfId="343"/>
    <cellStyle name="Normal 3 12 2" xfId="344"/>
    <cellStyle name="Normal 3 13 2" xfId="345"/>
    <cellStyle name="Normal 3 14 2" xfId="346"/>
    <cellStyle name="Normal 3 2 4" xfId="347"/>
    <cellStyle name="Normal 3 2 2 2" xfId="348"/>
    <cellStyle name="Normal 3 3 3" xfId="349"/>
    <cellStyle name="Normal 4 2 4" xfId="350"/>
    <cellStyle name="Normal 4 2 2 3" xfId="351"/>
    <cellStyle name="Normal 4 2 2 2 2" xfId="352"/>
    <cellStyle name="Normal 4 2 3 2" xfId="353"/>
    <cellStyle name="Normal 4 3 3" xfId="354"/>
    <cellStyle name="Normal 4 3 2 2" xfId="355"/>
    <cellStyle name="Normal 4 4 2" xfId="356"/>
    <cellStyle name="Normal 6 2 4" xfId="357"/>
    <cellStyle name="Normal 6 2 3 2" xfId="358"/>
    <cellStyle name="Normal 7 3" xfId="359"/>
    <cellStyle name="Normal 8 3" xfId="360"/>
    <cellStyle name="Normal 9 3" xfId="361"/>
    <cellStyle name="Note 3 2" xfId="362"/>
    <cellStyle name="Percent 3 2 3 2" xfId="363"/>
    <cellStyle name="Normal 51 2" xfId="364"/>
    <cellStyle name="Normal_090 - Orange County D Schedules" xfId="365"/>
    <cellStyle name="Comma_090 - Orange County D Schedules" xfId="36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34" Type="http://schemas.openxmlformats.org/officeDocument/2006/relationships/externalLink" Target="externalLinks/externalLink5.xml" /><Relationship Id="rId35" Type="http://schemas.openxmlformats.org/officeDocument/2006/relationships/externalLink" Target="externalLinks/externalLink6.xml" /><Relationship Id="rId36" Type="http://schemas.openxmlformats.org/officeDocument/2006/relationships/externalLink" Target="externalLinks/externalLink7.xml" /><Relationship Id="rId37" Type="http://schemas.openxmlformats.org/officeDocument/2006/relationships/externalLink" Target="externalLinks/externalLink8.xml" /><Relationship Id="rId30" Type="http://schemas.openxmlformats.org/officeDocument/2006/relationships/externalLink" Target="externalLinks/externalLink1.xml" /><Relationship Id="rId31" Type="http://schemas.openxmlformats.org/officeDocument/2006/relationships/externalLink" Target="externalLinks/externalLink2.xml" /><Relationship Id="rId32" Type="http://schemas.openxmlformats.org/officeDocument/2006/relationships/externalLink" Target="externalLinks/externalLink3.xml" /><Relationship Id="rId33" Type="http://schemas.openxmlformats.org/officeDocument/2006/relationships/externalLink" Target="externalLinks/externalLink4.xml" /><Relationship Id="rId5" Type="http://schemas.openxmlformats.org/officeDocument/2006/relationships/worksheet" Target="worksheets/sheet4.xml" /><Relationship Id="rId38" Type="http://schemas.openxmlformats.org/officeDocument/2006/relationships/externalLink" Target="externalLinks/externalLink9.xml" /><Relationship Id="rId39" Type="http://schemas.openxmlformats.org/officeDocument/2006/relationships/externalLink" Target="externalLinks/externalLink10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Relationship Id="rId44" Type="http://schemas.openxmlformats.org/officeDocument/2006/relationships/externalLink" Target="externalLinks/externalLink15.xml" /><Relationship Id="rId45" Type="http://schemas.openxmlformats.org/officeDocument/2006/relationships/externalLink" Target="externalLinks/externalLink16.xml" /><Relationship Id="rId46" Type="http://schemas.openxmlformats.org/officeDocument/2006/relationships/externalLink" Target="externalLinks/externalLink17.xml" /><Relationship Id="rId47" Type="http://schemas.openxmlformats.org/officeDocument/2006/relationships/externalLink" Target="externalLinks/externalLink18.xml" /><Relationship Id="rId40" Type="http://schemas.openxmlformats.org/officeDocument/2006/relationships/externalLink" Target="externalLinks/externalLink11.xml" /><Relationship Id="rId41" Type="http://schemas.openxmlformats.org/officeDocument/2006/relationships/externalLink" Target="externalLinks/externalLink12.xml" /><Relationship Id="rId42" Type="http://schemas.openxmlformats.org/officeDocument/2006/relationships/externalLink" Target="externalLinks/externalLink13.xml" /><Relationship Id="rId43" Type="http://schemas.openxmlformats.org/officeDocument/2006/relationships/externalLink" Target="externalLinks/externalLink1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erver\shared\(PROJ)\K08-03%20KWRU%20RATE%20CASE%202014\2014%20KWRU%20RATE%20CASE%20MFR'S\SUBMITTED%20FOR%20FILING\KWRU%20MFRs%20TY%2012-31-14__cy_6-29-15_100Equity.xlsx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(PROJ)\U02-39%20UTILITIES%20INC%20CONSOLIDATED%20RATE%20CASE%20FILING\MFR's\LABRADOR%20-%20DS\LABRADOR%20MFRs%20TY%2012-31-15_Class%20A_v6.xlsx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100.0.1.157\Financial\FINANCIAL%20DEPT\FPA\ROE%20Schedules\2005%2012%20December\123105%20ROE%202-3v3.xls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ocuments%20and%20Settings\MARIA%20ELENA%20BRAVO\Local%20Settings\Temporary%20Internet%20Files\Content.IE5\URWN6DU1\Documents%20and%20Settings\mbravo\My%20Documents\RATE%20CASES%20-%20UTILITIES,%20INC\SOUTH%20GATE\SCHEDULES\SOUTHGATE%20MFRs.xls" TargetMode="External" /></Relationships>
</file>

<file path=xl/externalLinks/_rels/externalLink1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100.0.1.157\Financial\Documents%20and%20Settings\Phyllis%20Dobbs\Desktop\SE50%20063006.xls" TargetMode="External" /></Relationships>
</file>

<file path=xl/externalLinks/_rels/externalLink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cyapp\AppData\Local\Microsoft\Windows\Temporary%20Internet%20Files\Content.Outlook\9H6EJUU6\Sandalhaven%20Final%20Revenue%20Requirement%20worksheets.xls" TargetMode="External" /></Relationships>
</file>

<file path=xl/externalLinks/_rels/externalLink1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(PROJ)\U02-39%20UTILITIES%20INC%20CONSOLIDATED%20RATE%20CASE%20FILING\MFR's\LONGWOOD%20-%20DS\LONGWOOD%20%20MFR%20TY%2012-31-2015_Class%20A_v11.xlsx" TargetMode="External" /></Relationships>
</file>

<file path=xl/externalLinks/_rels/externalLink16.xml.rels><?xml version="1.0" encoding="UTF-8" standalone="yes"?><Relationships xmlns="http://schemas.openxmlformats.org/package/2006/relationships"><Relationship Id="rId1" Type="http://schemas.openxmlformats.org/officeDocument/2006/relationships/externalLinkPath" Target="\(PROJ)\U02-39%20UTILITIES%20INC%20CONSOLIDATED%20RATE%20CASE%20FILING\MFR's\SANLANDO\SANLANDO%20MFRs%20TY%2012-31-15_FINAL%208-18-16.xlsx" TargetMode="External" /></Relationships>
</file>

<file path=xl/externalLinks/_rels/externalLink1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dc0nas001\Documents%20and%20Settings\epovich\Local%20Settings\Temporary%20Internet%20Files\OLK16\CYPRESS%20LAKES%20Application.xls" TargetMode="External" /></Relationships>
</file>

<file path=xl/externalLinks/_rels/externalLink1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dc0nas001\files.uiwater.com\Rate%20Case\Florida\103-UI%20of%20Sandalhaven\Sandalhaven%202011%20RC\Filing\Tax%20Schedule%20Attempt\Sandalhaven%20Draft%20MFR%209-7%202011%20Erin%20Taxes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(PROJ)\K08-03%20KWRU%20RATE%20CASE%202014\2014%20KWRU%20RATE%20CASE%20MFR'S\SUBMITTED%20FOR%20FILING\KWRU%20MFRs%20TY%2012-31-14__cy_6-29-15_100Equity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Hpmediavault\archive%20projects\(PROJ)\U02-20%20Tierra%20Verde%20Utilities,%20Inc%20(2007)\Tierra%20Verde%20MFRs%2012-31-07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0%202014%20MSA\2014%20LABRADOR\PRIOR%20RATE%20CASE\LABRADOR%20FINAL%20MFRs%207%20for%20PDF%20TO%20USE%20AS%20WORKFILE.xlsm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files.uiwater.com\Miles%20Grant%20SUBMITTED%20FOR%20FILING\Miles%20Grant%20MFRs%206-30-07%20FINAL.xls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(PROJ)\U02-14%20Miles%20Grant\Miles%20Grant%20Rate%20Increase%20Application%20TY%206-30-07\Miles%20Grant%20MFRs\Miles%20Grant%20MFRs%206-30-07%20FINAL.xls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(PROJ)\U02-20%20Tierra%20Verde%20Utilities,%20Inc%20(2007)\Tierra%20Verde%20MFRs%2012-31-07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Cynthia\2009%20FILINGS%20UI%20RATE%20CASES\Staff%20Workpapers\Sanlando%20Final.xls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(PROJ)\U02-38%20%20UI%20-%20Sandalhaven%202014\MFRs\FINAL%20MFRs%20SIBMITTED%20for%20FILING\SANDALHAVEN%20MFR1%20draft_cy%206-3-15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2 "/>
      <sheetName val="A 3 "/>
      <sheetName val="A 4"/>
      <sheetName val="A 6"/>
      <sheetName val="A 6 (a)"/>
      <sheetName val="A 7"/>
      <sheetName val="A 8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 "/>
      <sheetName val="A 18"/>
      <sheetName val="A 18 (a)"/>
      <sheetName val="A 19 "/>
      <sheetName val="A 19 (a) "/>
      <sheetName val="B 2 "/>
      <sheetName val="B 3"/>
      <sheetName val="B 4"/>
      <sheetName val="B 6"/>
      <sheetName val="B 8"/>
      <sheetName val="B 9 "/>
      <sheetName val="B 10"/>
      <sheetName val="B 11"/>
      <sheetName val="B12"/>
      <sheetName val="B 14"/>
      <sheetName val="B 15"/>
      <sheetName val="C INSTRUCT"/>
      <sheetName val="C 1"/>
      <sheetName val="D 1 "/>
      <sheetName val="D 2 "/>
      <sheetName val="D-3"/>
      <sheetName val="D-4"/>
      <sheetName val="D-5"/>
      <sheetName val="D-6"/>
      <sheetName val="D 7"/>
      <sheetName val="E 1 S"/>
      <sheetName val="E-2 S"/>
      <sheetName val="E-3"/>
      <sheetName val="E-4 Sewer"/>
      <sheetName val="E-5"/>
      <sheetName val="E-6"/>
      <sheetName val="E-7"/>
      <sheetName val="E 8"/>
      <sheetName val="E 9 "/>
      <sheetName val="E-10"/>
      <sheetName val="E 11"/>
      <sheetName val="E 12"/>
      <sheetName val="E 13"/>
      <sheetName val="E 14"/>
      <sheetName val="F 2"/>
      <sheetName val="F 4"/>
      <sheetName val="F 6"/>
      <sheetName val="F 6 (2)"/>
      <sheetName val="F 6 (3)"/>
      <sheetName val="F 6 (4)"/>
      <sheetName val="F 7"/>
      <sheetName val="F 8"/>
      <sheetName val="F 10"/>
      <sheetName val="A 2 (I) "/>
      <sheetName val="A 3 (I) "/>
      <sheetName val="B 2 (I) "/>
      <sheetName val="B 3 (I)"/>
      <sheetName val="B 15 (I)"/>
      <sheetName val="D-1 (I) "/>
      <sheetName val="D-2 (I) "/>
      <sheetName val="D 4 (I)"/>
      <sheetName val="E 1 S (I)"/>
      <sheetName val="E-2 S (I)"/>
      <sheetName val="Other BalSheet Acct_PerAR"/>
      <sheetName val="Working Capital_PerAR"/>
      <sheetName val="12-31-14 Depreciation Exp_PerAR"/>
      <sheetName val="ADJUSTED MONTHLY FINAL"/>
      <sheetName val="APPENDIX B INC. STAT.ACCT RECON"/>
      <sheetName val="Interest Expense Adj_PerAR"/>
      <sheetName val="RateCase&amp;Other Deferred_PerAR"/>
      <sheetName val="Property Taxes"/>
      <sheetName val="AR to MFR Reconciliation"/>
      <sheetName val="Pro Forma Plant"/>
      <sheetName val="Deferred Rate Case Expenses"/>
      <sheetName val="Revenues Per Kaitlin"/>
      <sheetName val="Rev Requirements Final"/>
      <sheetName val="Rev Requirements Interim"/>
      <sheetName val="Sheet10"/>
    </sheetNames>
    <sheetDataSet>
      <sheetData sheetId="0">
        <row r="4">
          <cell r="E4" t="str">
            <v>Company:  K W Resort Utilities Corp</v>
          </cell>
        </row>
        <row r="11">
          <cell r="E11" t="str">
            <v>Preparer: Milian, Swain &amp; Associates, Inc.</v>
          </cell>
        </row>
        <row r="14">
          <cell r="E14" t="str">
            <v>Test Year Ended:  12/31/2014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Page 1 of 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8">
          <cell r="I18">
            <v>0.093634979492552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 12"/>
      <sheetName val="B 13"/>
      <sheetName val="B 14"/>
      <sheetName val="B 15"/>
      <sheetName val="C INSTRUCT"/>
      <sheetName val="C 1"/>
      <sheetName val="C 2 (w)"/>
      <sheetName val="C 2 (s)"/>
      <sheetName val="C 3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w)"/>
      <sheetName val="E 1 (s)"/>
      <sheetName val="E 2 (w)"/>
      <sheetName val="E 2 (s)"/>
      <sheetName val="E 3"/>
      <sheetName val="E 4 (w)"/>
      <sheetName val="E 4 (s)"/>
      <sheetName val="E 5 (w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B 15 (I)"/>
      <sheetName val="A 1 (I)"/>
      <sheetName val="A 2 (I) "/>
      <sheetName val="A 3 (I) "/>
      <sheetName val="B 1 (I) "/>
      <sheetName val="B 2 (I) "/>
      <sheetName val="B 3 (I)"/>
      <sheetName val="C 1 (I)"/>
      <sheetName val="C 2 (W) (I)"/>
      <sheetName val="C 2 (S) (I)"/>
      <sheetName val="C 5 (W) (I)"/>
      <sheetName val="C 5 (S) (I)"/>
      <sheetName val="D 1 (I)"/>
      <sheetName val="D 2 (I)"/>
      <sheetName val="E 1 W (I)"/>
      <sheetName val="E 1 S (I)"/>
      <sheetName val="E 2 W (I)"/>
      <sheetName val="E 2 S (I)"/>
      <sheetName val="Trial Blc"/>
      <sheetName val="P&amp;L Per TB"/>
      <sheetName val="12-31-15 Plant Acc Bal_PerAR"/>
      <sheetName val="12-31-15 Depreciation Exp_PerAR"/>
      <sheetName val="12-31-15 CIAC Bal &amp; Proj_PerAR"/>
      <sheetName val="Other BalSheet Acct_PerAR"/>
      <sheetName val="12 Month IS UC"/>
      <sheetName val="IncomeAccountsAllocationPerAR "/>
      <sheetName val="O&amp;M EXPENSES TO BE ALLOCATED"/>
      <sheetName val="O&amp;M EXPENSES ALLOCATED TO WATER"/>
      <sheetName val="O&amp;M EXPENSES ALLOCATED TO SEWER"/>
      <sheetName val="Working Capital_PerAR"/>
      <sheetName val="ADJUSTED MONTHLY FINAL"/>
      <sheetName val="APPENDIX B INC. STAT.ACCT RECON"/>
      <sheetName val="Interest Expense Adj_PerAR"/>
      <sheetName val="C 5 Calculation"/>
      <sheetName val="Property Taxes"/>
      <sheetName val="AR to MFR"/>
      <sheetName val="Rev Requirements Final"/>
      <sheetName val="Rev Requirements Interim"/>
      <sheetName val="Reuse RateBase"/>
      <sheetName val="CommonPlant_PerAR-not used"/>
      <sheetName val="TAX EXPENSE-not used"/>
      <sheetName val="REVENUE REQUIREMENTS"/>
      <sheetName val="PROFORMA YEAR"/>
      <sheetName val="INTERIM COST OF CAPI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Page 1 of 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OE in ,000"/>
      <sheetName val="ROE"/>
      <sheetName val="UI ROE Relief"/>
      <sheetName val="Com ROE Relief"/>
      <sheetName val="Rate Case Revenue"/>
      <sheetName val="Ratebase"/>
      <sheetName val="Net Plant"/>
      <sheetName val="IS"/>
      <sheetName val="Effective Tax"/>
      <sheetName val="Jurisd Tax"/>
      <sheetName val="D-E"/>
      <sheetName val="Data"/>
      <sheetName val="Reports"/>
      <sheetName val="Closed Reg Rev"/>
      <sheetName val="Pending Reg Rev"/>
      <sheetName val="FORM.COS.SUBS.LIST"/>
      <sheetName val="Co by State"/>
      <sheetName val="9000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">
          <cell r="C13">
            <v>1</v>
          </cell>
          <cell r="D13">
            <v>688555.68</v>
          </cell>
          <cell r="F13">
            <v>4</v>
          </cell>
          <cell r="G13">
            <v>0</v>
          </cell>
          <cell r="I13">
            <v>1</v>
          </cell>
          <cell r="J13">
            <v>-149165.1</v>
          </cell>
          <cell r="L13">
            <v>1</v>
          </cell>
          <cell r="M13">
            <v>-9632854</v>
          </cell>
          <cell r="O13">
            <v>4</v>
          </cell>
          <cell r="P13">
            <v>450000</v>
          </cell>
          <cell r="R13">
            <v>4</v>
          </cell>
          <cell r="S13">
            <v>-340495.16</v>
          </cell>
          <cell r="U13">
            <v>2</v>
          </cell>
          <cell r="V13">
            <v>0</v>
          </cell>
          <cell r="X13">
            <v>1</v>
          </cell>
          <cell r="Y13">
            <v>-1412616.3</v>
          </cell>
          <cell r="AA13">
            <v>6</v>
          </cell>
          <cell r="AB13">
            <v>-350</v>
          </cell>
          <cell r="BE13">
            <v>5</v>
          </cell>
          <cell r="BF13">
            <v>24823.0434092</v>
          </cell>
          <cell r="CF13">
            <v>1</v>
          </cell>
          <cell r="CG13" t="str">
            <v>Y</v>
          </cell>
        </row>
        <row r="14">
          <cell r="C14">
            <v>2</v>
          </cell>
          <cell r="D14">
            <v>6756002.02</v>
          </cell>
          <cell r="F14">
            <v>5</v>
          </cell>
          <cell r="G14">
            <v>0</v>
          </cell>
          <cell r="I14">
            <v>2</v>
          </cell>
          <cell r="J14">
            <v>-4691567.15</v>
          </cell>
          <cell r="L14">
            <v>18</v>
          </cell>
          <cell r="M14">
            <v>27837.56</v>
          </cell>
          <cell r="O14">
            <v>5</v>
          </cell>
          <cell r="P14">
            <v>-450000</v>
          </cell>
          <cell r="R14">
            <v>5</v>
          </cell>
          <cell r="S14">
            <v>-583336.21</v>
          </cell>
          <cell r="U14">
            <v>5</v>
          </cell>
          <cell r="V14">
            <v>3446.76</v>
          </cell>
          <cell r="X14">
            <v>2</v>
          </cell>
          <cell r="Y14">
            <v>-417573</v>
          </cell>
          <cell r="AA14">
            <v>13</v>
          </cell>
          <cell r="AB14">
            <v>-145</v>
          </cell>
          <cell r="BE14">
            <v>6</v>
          </cell>
          <cell r="BF14">
            <v>6108.3140748</v>
          </cell>
          <cell r="CF14">
            <v>2</v>
          </cell>
          <cell r="CG14" t="str">
            <v>Y</v>
          </cell>
        </row>
        <row r="15">
          <cell r="C15">
            <v>5</v>
          </cell>
          <cell r="D15">
            <v>2276220.59</v>
          </cell>
          <cell r="F15">
            <v>12</v>
          </cell>
          <cell r="G15">
            <v>-153268.37</v>
          </cell>
          <cell r="I15">
            <v>5</v>
          </cell>
          <cell r="J15">
            <v>-538733.71</v>
          </cell>
          <cell r="L15">
            <v>21</v>
          </cell>
          <cell r="M15">
            <v>102722.39</v>
          </cell>
          <cell r="O15">
            <v>23</v>
          </cell>
          <cell r="P15">
            <v>-975</v>
          </cell>
          <cell r="R15">
            <v>6</v>
          </cell>
          <cell r="S15">
            <v>-272780</v>
          </cell>
          <cell r="U15">
            <v>7</v>
          </cell>
          <cell r="V15">
            <v>3101.75</v>
          </cell>
          <cell r="X15">
            <v>4</v>
          </cell>
          <cell r="Y15">
            <v>1405724</v>
          </cell>
          <cell r="AA15">
            <v>24</v>
          </cell>
          <cell r="AB15">
            <v>-312</v>
          </cell>
          <cell r="BE15">
            <v>7</v>
          </cell>
          <cell r="BF15">
            <v>1074.4178665</v>
          </cell>
          <cell r="CF15">
            <v>4</v>
          </cell>
          <cell r="CG15" t="str">
            <v>Y</v>
          </cell>
        </row>
        <row r="16">
          <cell r="C16">
            <v>6</v>
          </cell>
          <cell r="D16">
            <v>1433009.07</v>
          </cell>
          <cell r="F16">
            <v>25</v>
          </cell>
          <cell r="G16">
            <v>0</v>
          </cell>
          <cell r="I16">
            <v>6</v>
          </cell>
          <cell r="J16">
            <v>-213683.09</v>
          </cell>
          <cell r="L16">
            <v>25</v>
          </cell>
          <cell r="M16">
            <v>24482</v>
          </cell>
          <cell r="O16">
            <v>28</v>
          </cell>
          <cell r="P16">
            <v>-5475</v>
          </cell>
          <cell r="R16">
            <v>7</v>
          </cell>
          <cell r="S16">
            <v>-1672</v>
          </cell>
          <cell r="U16">
            <v>8</v>
          </cell>
          <cell r="V16">
            <v>3964.03</v>
          </cell>
          <cell r="X16">
            <v>5</v>
          </cell>
          <cell r="Y16">
            <v>-93194</v>
          </cell>
          <cell r="AA16">
            <v>30</v>
          </cell>
          <cell r="AB16">
            <v>-36</v>
          </cell>
          <cell r="BE16">
            <v>8</v>
          </cell>
          <cell r="BF16">
            <v>4739.6431473</v>
          </cell>
          <cell r="CF16">
            <v>5</v>
          </cell>
          <cell r="CG16" t="str">
            <v>Y</v>
          </cell>
        </row>
        <row r="17">
          <cell r="C17">
            <v>7</v>
          </cell>
          <cell r="D17">
            <v>149716.33</v>
          </cell>
          <cell r="F17">
            <v>34</v>
          </cell>
          <cell r="G17">
            <v>3168.25</v>
          </cell>
          <cell r="I17">
            <v>7</v>
          </cell>
          <cell r="J17">
            <v>-8889.58</v>
          </cell>
          <cell r="L17">
            <v>27</v>
          </cell>
          <cell r="M17">
            <v>-963620.89</v>
          </cell>
          <cell r="O17">
            <v>36</v>
          </cell>
          <cell r="P17">
            <v>-56796</v>
          </cell>
          <cell r="R17">
            <v>8</v>
          </cell>
          <cell r="S17">
            <v>-3043.45</v>
          </cell>
          <cell r="U17">
            <v>11</v>
          </cell>
          <cell r="V17">
            <v>0</v>
          </cell>
          <cell r="X17">
            <v>6</v>
          </cell>
          <cell r="Y17">
            <v>-147945</v>
          </cell>
          <cell r="AA17">
            <v>32</v>
          </cell>
          <cell r="AB17">
            <v>-280</v>
          </cell>
          <cell r="BE17">
            <v>9</v>
          </cell>
          <cell r="BF17">
            <v>7262.0274267</v>
          </cell>
          <cell r="CF17">
            <v>6</v>
          </cell>
          <cell r="CG17" t="str">
            <v>Y</v>
          </cell>
        </row>
        <row r="18">
          <cell r="C18">
            <v>8</v>
          </cell>
          <cell r="D18">
            <v>205138.07</v>
          </cell>
          <cell r="F18">
            <v>35</v>
          </cell>
          <cell r="G18">
            <v>461446.03</v>
          </cell>
          <cell r="I18">
            <v>8</v>
          </cell>
          <cell r="J18">
            <v>-18446.6</v>
          </cell>
          <cell r="L18">
            <v>34</v>
          </cell>
          <cell r="M18">
            <v>485498.88</v>
          </cell>
          <cell r="O18">
            <v>70</v>
          </cell>
          <cell r="P18">
            <v>2400</v>
          </cell>
          <cell r="R18">
            <v>9</v>
          </cell>
          <cell r="S18">
            <v>-33384.82</v>
          </cell>
          <cell r="U18">
            <v>12</v>
          </cell>
          <cell r="V18">
            <v>8414.37</v>
          </cell>
          <cell r="X18">
            <v>7</v>
          </cell>
          <cell r="Y18">
            <v>-16011</v>
          </cell>
          <cell r="AA18">
            <v>33</v>
          </cell>
          <cell r="AB18">
            <v>-250</v>
          </cell>
          <cell r="BE18">
            <v>10</v>
          </cell>
          <cell r="BF18">
            <v>0</v>
          </cell>
          <cell r="CF18">
            <v>7</v>
          </cell>
          <cell r="CG18" t="str">
            <v>Y</v>
          </cell>
        </row>
        <row r="19">
          <cell r="C19">
            <v>9</v>
          </cell>
          <cell r="D19">
            <v>484758.46</v>
          </cell>
          <cell r="F19">
            <v>36</v>
          </cell>
          <cell r="G19">
            <v>663847.37</v>
          </cell>
          <cell r="I19">
            <v>9</v>
          </cell>
          <cell r="J19">
            <v>-52441.39</v>
          </cell>
          <cell r="L19">
            <v>36</v>
          </cell>
          <cell r="M19">
            <v>-117417.65</v>
          </cell>
          <cell r="O19">
            <v>80</v>
          </cell>
          <cell r="P19">
            <v>-34510</v>
          </cell>
          <cell r="R19">
            <v>11</v>
          </cell>
          <cell r="S19">
            <v>-17294.22</v>
          </cell>
          <cell r="U19">
            <v>13</v>
          </cell>
          <cell r="V19">
            <v>2984.25</v>
          </cell>
          <cell r="X19">
            <v>8</v>
          </cell>
          <cell r="Y19">
            <v>-11577</v>
          </cell>
          <cell r="AA19">
            <v>34</v>
          </cell>
          <cell r="AB19">
            <v>-84250</v>
          </cell>
          <cell r="BE19">
            <v>11</v>
          </cell>
          <cell r="BF19">
            <v>2277.1194064</v>
          </cell>
          <cell r="CF19">
            <v>8</v>
          </cell>
          <cell r="CG19" t="str">
            <v>Y</v>
          </cell>
        </row>
        <row r="20">
          <cell r="C20">
            <v>11</v>
          </cell>
          <cell r="D20">
            <v>116028.15</v>
          </cell>
          <cell r="F20">
            <v>38</v>
          </cell>
          <cell r="G20">
            <v>554049.14</v>
          </cell>
          <cell r="I20">
            <v>11</v>
          </cell>
          <cell r="J20">
            <v>-18023.96</v>
          </cell>
          <cell r="L20">
            <v>38</v>
          </cell>
          <cell r="M20">
            <v>-6341801.45</v>
          </cell>
          <cell r="O20">
            <v>89</v>
          </cell>
          <cell r="P20">
            <v>-38400</v>
          </cell>
          <cell r="R20">
            <v>13</v>
          </cell>
          <cell r="S20">
            <v>-1032850.1</v>
          </cell>
          <cell r="U20">
            <v>14</v>
          </cell>
          <cell r="V20">
            <v>0</v>
          </cell>
          <cell r="X20">
            <v>9</v>
          </cell>
          <cell r="Y20">
            <v>-40240</v>
          </cell>
          <cell r="AA20">
            <v>35</v>
          </cell>
          <cell r="AB20">
            <v>-33840.53</v>
          </cell>
          <cell r="BE20">
            <v>12</v>
          </cell>
          <cell r="BF20">
            <v>1040.1696475</v>
          </cell>
          <cell r="CF20">
            <v>9</v>
          </cell>
          <cell r="CG20" t="str">
            <v>Y</v>
          </cell>
        </row>
        <row r="21">
          <cell r="C21">
            <v>12</v>
          </cell>
          <cell r="D21">
            <v>291422.35</v>
          </cell>
          <cell r="F21">
            <v>40</v>
          </cell>
          <cell r="G21">
            <v>12530</v>
          </cell>
          <cell r="I21">
            <v>12</v>
          </cell>
          <cell r="J21">
            <v>22146.25</v>
          </cell>
          <cell r="L21">
            <v>40</v>
          </cell>
          <cell r="M21">
            <v>65673.55</v>
          </cell>
          <cell r="O21">
            <v>90</v>
          </cell>
          <cell r="P21">
            <v>-97052</v>
          </cell>
          <cell r="R21">
            <v>14</v>
          </cell>
          <cell r="S21">
            <v>-3091748.55</v>
          </cell>
          <cell r="U21">
            <v>15</v>
          </cell>
          <cell r="V21">
            <v>1175.3</v>
          </cell>
          <cell r="X21">
            <v>11</v>
          </cell>
          <cell r="Y21">
            <v>-9391</v>
          </cell>
          <cell r="AA21">
            <v>36</v>
          </cell>
          <cell r="AB21">
            <v>-193723.6</v>
          </cell>
          <cell r="BE21">
            <v>13</v>
          </cell>
          <cell r="BF21">
            <v>10580.7117162</v>
          </cell>
          <cell r="CF21">
            <v>11</v>
          </cell>
          <cell r="CG21" t="str">
            <v>Y</v>
          </cell>
        </row>
        <row r="22">
          <cell r="C22">
            <v>13</v>
          </cell>
          <cell r="D22">
            <v>2576779.79</v>
          </cell>
          <cell r="F22">
            <v>44</v>
          </cell>
          <cell r="G22">
            <v>326.75</v>
          </cell>
          <cell r="I22">
            <v>13</v>
          </cell>
          <cell r="J22">
            <v>-821309.92</v>
          </cell>
          <cell r="L22">
            <v>42</v>
          </cell>
          <cell r="M22">
            <v>40720.08</v>
          </cell>
          <cell r="O22">
            <v>135</v>
          </cell>
          <cell r="P22">
            <v>-658710.2</v>
          </cell>
          <cell r="R22">
            <v>15</v>
          </cell>
          <cell r="S22">
            <v>-32215.34</v>
          </cell>
          <cell r="U22">
            <v>16</v>
          </cell>
          <cell r="V22">
            <v>4276</v>
          </cell>
          <cell r="X22">
            <v>12</v>
          </cell>
          <cell r="Y22">
            <v>-56556</v>
          </cell>
          <cell r="AA22">
            <v>38</v>
          </cell>
          <cell r="AB22">
            <v>-102861.1</v>
          </cell>
          <cell r="BE22">
            <v>14</v>
          </cell>
          <cell r="BF22">
            <v>45948.6761161</v>
          </cell>
          <cell r="CF22">
            <v>12</v>
          </cell>
          <cell r="CG22" t="str">
            <v>Y</v>
          </cell>
        </row>
        <row r="23">
          <cell r="C23">
            <v>14</v>
          </cell>
          <cell r="D23">
            <v>7411838.91</v>
          </cell>
          <cell r="F23">
            <v>47</v>
          </cell>
          <cell r="G23">
            <v>585306.77</v>
          </cell>
          <cell r="I23">
            <v>14</v>
          </cell>
          <cell r="J23">
            <v>-1853280.79</v>
          </cell>
          <cell r="L23">
            <v>43</v>
          </cell>
          <cell r="M23">
            <v>198411.88</v>
          </cell>
          <cell r="O23">
            <v>160</v>
          </cell>
          <cell r="P23">
            <v>-113080.53</v>
          </cell>
          <cell r="R23">
            <v>16</v>
          </cell>
          <cell r="S23">
            <v>-380488</v>
          </cell>
          <cell r="U23">
            <v>17</v>
          </cell>
          <cell r="V23">
            <v>0</v>
          </cell>
          <cell r="X23">
            <v>13</v>
          </cell>
          <cell r="Y23">
            <v>-90076</v>
          </cell>
          <cell r="AA23">
            <v>40</v>
          </cell>
          <cell r="AB23">
            <v>-42215.58</v>
          </cell>
          <cell r="BE23">
            <v>15</v>
          </cell>
          <cell r="BF23">
            <v>6754.1519139</v>
          </cell>
          <cell r="CF23">
            <v>13</v>
          </cell>
          <cell r="CG23" t="str">
            <v>Y</v>
          </cell>
        </row>
        <row r="24">
          <cell r="C24">
            <v>15</v>
          </cell>
          <cell r="D24">
            <v>293165.89</v>
          </cell>
          <cell r="F24">
            <v>51</v>
          </cell>
          <cell r="G24">
            <v>70367.09</v>
          </cell>
          <cell r="I24">
            <v>15</v>
          </cell>
          <cell r="J24">
            <v>-78528.9</v>
          </cell>
          <cell r="L24">
            <v>44</v>
          </cell>
          <cell r="M24">
            <v>-87611.65</v>
          </cell>
          <cell r="R24">
            <v>17</v>
          </cell>
          <cell r="S24">
            <v>-109915.67</v>
          </cell>
          <cell r="U24">
            <v>18</v>
          </cell>
          <cell r="V24">
            <v>3950.24</v>
          </cell>
          <cell r="X24">
            <v>14</v>
          </cell>
          <cell r="Y24">
            <v>-312170</v>
          </cell>
          <cell r="AA24">
            <v>44</v>
          </cell>
          <cell r="AB24">
            <v>-12905</v>
          </cell>
          <cell r="BE24">
            <v>16</v>
          </cell>
          <cell r="BF24">
            <v>35390.3502802</v>
          </cell>
          <cell r="CF24">
            <v>14</v>
          </cell>
          <cell r="CG24" t="str">
            <v>Y</v>
          </cell>
        </row>
        <row r="25">
          <cell r="C25">
            <v>16</v>
          </cell>
          <cell r="D25">
            <v>2236448.91</v>
          </cell>
          <cell r="F25">
            <v>53</v>
          </cell>
          <cell r="G25">
            <v>0</v>
          </cell>
          <cell r="I25">
            <v>16</v>
          </cell>
          <cell r="J25">
            <v>-623130.59</v>
          </cell>
          <cell r="L25">
            <v>51</v>
          </cell>
          <cell r="M25">
            <v>136624</v>
          </cell>
          <cell r="R25">
            <v>18</v>
          </cell>
          <cell r="S25">
            <v>-321287.41</v>
          </cell>
          <cell r="U25">
            <v>20</v>
          </cell>
          <cell r="V25">
            <v>2395</v>
          </cell>
          <cell r="X25">
            <v>15</v>
          </cell>
          <cell r="Y25">
            <v>-34102</v>
          </cell>
          <cell r="AA25">
            <v>47</v>
          </cell>
          <cell r="AB25">
            <v>-36412.5</v>
          </cell>
          <cell r="BE25">
            <v>17</v>
          </cell>
          <cell r="BF25">
            <v>16165.4071297</v>
          </cell>
          <cell r="CF25">
            <v>15</v>
          </cell>
          <cell r="CG25" t="str">
            <v>Y</v>
          </cell>
        </row>
        <row r="26">
          <cell r="C26">
            <v>17</v>
          </cell>
          <cell r="D26">
            <v>950144.29</v>
          </cell>
          <cell r="F26">
            <v>55</v>
          </cell>
          <cell r="G26">
            <v>416572.64</v>
          </cell>
          <cell r="I26">
            <v>17</v>
          </cell>
          <cell r="J26">
            <v>-340533.38</v>
          </cell>
          <cell r="L26">
            <v>52</v>
          </cell>
          <cell r="M26">
            <v>-561576</v>
          </cell>
          <cell r="R26">
            <v>20</v>
          </cell>
          <cell r="S26">
            <v>-20875.81</v>
          </cell>
          <cell r="U26">
            <v>24</v>
          </cell>
          <cell r="V26">
            <v>13373.75</v>
          </cell>
          <cell r="X26">
            <v>16</v>
          </cell>
          <cell r="Y26">
            <v>-81770</v>
          </cell>
          <cell r="AA26">
            <v>53</v>
          </cell>
          <cell r="AB26">
            <v>-6238.44</v>
          </cell>
          <cell r="BE26">
            <v>18</v>
          </cell>
          <cell r="BF26">
            <v>5298.7770283</v>
          </cell>
          <cell r="CF26">
            <v>16</v>
          </cell>
          <cell r="CG26" t="str">
            <v>Y</v>
          </cell>
        </row>
        <row r="27">
          <cell r="C27">
            <v>18</v>
          </cell>
          <cell r="D27">
            <v>874161.07</v>
          </cell>
          <cell r="F27">
            <v>57</v>
          </cell>
          <cell r="G27">
            <v>57827.01</v>
          </cell>
          <cell r="I27">
            <v>18</v>
          </cell>
          <cell r="J27">
            <v>-332223.99</v>
          </cell>
          <cell r="L27">
            <v>53</v>
          </cell>
          <cell r="M27">
            <v>-2798273.96</v>
          </cell>
          <cell r="R27">
            <v>23</v>
          </cell>
          <cell r="S27">
            <v>-20239.14</v>
          </cell>
          <cell r="U27">
            <v>26</v>
          </cell>
          <cell r="V27">
            <v>0</v>
          </cell>
          <cell r="X27">
            <v>17</v>
          </cell>
          <cell r="Y27">
            <v>-30767</v>
          </cell>
          <cell r="AA27">
            <v>57</v>
          </cell>
          <cell r="AB27">
            <v>-47465.43</v>
          </cell>
          <cell r="BE27">
            <v>20</v>
          </cell>
          <cell r="BF27">
            <v>6115.249177</v>
          </cell>
          <cell r="CF27">
            <v>17</v>
          </cell>
          <cell r="CG27" t="str">
            <v>Y</v>
          </cell>
        </row>
        <row r="28">
          <cell r="C28">
            <v>20</v>
          </cell>
          <cell r="D28">
            <v>610755</v>
          </cell>
          <cell r="F28">
            <v>58</v>
          </cell>
          <cell r="G28">
            <v>0</v>
          </cell>
          <cell r="I28">
            <v>20</v>
          </cell>
          <cell r="J28">
            <v>-172583.83</v>
          </cell>
          <cell r="L28">
            <v>55</v>
          </cell>
          <cell r="M28">
            <v>-1601495.92</v>
          </cell>
          <cell r="R28">
            <v>24</v>
          </cell>
          <cell r="S28">
            <v>-474134.68</v>
          </cell>
          <cell r="U28">
            <v>27</v>
          </cell>
          <cell r="V28">
            <v>33094.4</v>
          </cell>
          <cell r="X28">
            <v>18</v>
          </cell>
          <cell r="Y28">
            <v>-35731</v>
          </cell>
          <cell r="AA28">
            <v>60</v>
          </cell>
          <cell r="AB28">
            <v>-1615</v>
          </cell>
          <cell r="BE28">
            <v>21</v>
          </cell>
          <cell r="BF28">
            <v>4122.2344815</v>
          </cell>
          <cell r="CF28">
            <v>18</v>
          </cell>
          <cell r="CG28" t="str">
            <v>N</v>
          </cell>
        </row>
        <row r="29">
          <cell r="C29">
            <v>21</v>
          </cell>
          <cell r="D29">
            <v>235094.33</v>
          </cell>
          <cell r="F29">
            <v>60</v>
          </cell>
          <cell r="G29">
            <v>0</v>
          </cell>
          <cell r="I29">
            <v>21</v>
          </cell>
          <cell r="J29">
            <v>-115696.76</v>
          </cell>
          <cell r="L29">
            <v>56</v>
          </cell>
          <cell r="M29">
            <v>-232530.46</v>
          </cell>
          <cell r="R29">
            <v>25</v>
          </cell>
          <cell r="S29">
            <v>-19067.2</v>
          </cell>
          <cell r="U29">
            <v>28</v>
          </cell>
          <cell r="V29">
            <v>2629.25</v>
          </cell>
          <cell r="X29">
            <v>20</v>
          </cell>
          <cell r="Y29">
            <v>-47458</v>
          </cell>
          <cell r="AA29">
            <v>62</v>
          </cell>
          <cell r="AB29">
            <v>-1524</v>
          </cell>
          <cell r="BE29">
            <v>22</v>
          </cell>
          <cell r="BF29">
            <v>1350.7821604</v>
          </cell>
          <cell r="CF29">
            <v>20</v>
          </cell>
          <cell r="CG29" t="str">
            <v>Y</v>
          </cell>
        </row>
        <row r="30">
          <cell r="C30">
            <v>22</v>
          </cell>
          <cell r="D30">
            <v>132153.78</v>
          </cell>
          <cell r="F30">
            <v>61</v>
          </cell>
          <cell r="G30">
            <v>125246</v>
          </cell>
          <cell r="I30">
            <v>22</v>
          </cell>
          <cell r="J30">
            <v>-6767.08</v>
          </cell>
          <cell r="L30">
            <v>61</v>
          </cell>
          <cell r="M30">
            <v>280033.48</v>
          </cell>
          <cell r="R30">
            <v>26</v>
          </cell>
          <cell r="S30">
            <v>-56246.13</v>
          </cell>
          <cell r="U30">
            <v>29</v>
          </cell>
          <cell r="V30">
            <v>1698</v>
          </cell>
          <cell r="X30">
            <v>21</v>
          </cell>
          <cell r="Y30">
            <v>-18874</v>
          </cell>
          <cell r="AA30">
            <v>64</v>
          </cell>
          <cell r="AB30">
            <v>-47743</v>
          </cell>
          <cell r="BE30">
            <v>23</v>
          </cell>
          <cell r="BF30">
            <v>4081.6110252</v>
          </cell>
          <cell r="CF30">
            <v>21</v>
          </cell>
          <cell r="CG30" t="str">
            <v>Y</v>
          </cell>
        </row>
        <row r="31">
          <cell r="C31">
            <v>23</v>
          </cell>
          <cell r="D31">
            <v>203461.71</v>
          </cell>
          <cell r="F31">
            <v>62</v>
          </cell>
          <cell r="G31">
            <v>14527.79</v>
          </cell>
          <cell r="I31">
            <v>23</v>
          </cell>
          <cell r="J31">
            <v>-36069.78</v>
          </cell>
          <cell r="L31">
            <v>70</v>
          </cell>
          <cell r="M31">
            <v>-464265.59</v>
          </cell>
          <cell r="R31">
            <v>27</v>
          </cell>
          <cell r="S31">
            <v>-1842389.92</v>
          </cell>
          <cell r="U31">
            <v>31</v>
          </cell>
          <cell r="V31">
            <v>11394.74</v>
          </cell>
          <cell r="X31">
            <v>22</v>
          </cell>
          <cell r="Y31">
            <v>-17440</v>
          </cell>
          <cell r="AA31">
            <v>65</v>
          </cell>
          <cell r="AB31">
            <v>-35468</v>
          </cell>
          <cell r="BE31">
            <v>24</v>
          </cell>
          <cell r="BF31">
            <v>44815.0103412</v>
          </cell>
          <cell r="CF31">
            <v>22</v>
          </cell>
          <cell r="CG31" t="str">
            <v>Y</v>
          </cell>
        </row>
        <row r="32">
          <cell r="C32">
            <v>24</v>
          </cell>
          <cell r="D32">
            <v>3596536.84</v>
          </cell>
          <cell r="F32">
            <v>64</v>
          </cell>
          <cell r="G32">
            <v>724.25</v>
          </cell>
          <cell r="I32">
            <v>24</v>
          </cell>
          <cell r="J32">
            <v>-1005501.67</v>
          </cell>
          <cell r="L32">
            <v>71</v>
          </cell>
          <cell r="M32">
            <v>1220293.11</v>
          </cell>
          <cell r="R32">
            <v>28</v>
          </cell>
          <cell r="S32">
            <v>-209858.6</v>
          </cell>
          <cell r="U32">
            <v>34</v>
          </cell>
          <cell r="V32">
            <v>93182.19</v>
          </cell>
          <cell r="X32">
            <v>23</v>
          </cell>
          <cell r="Y32">
            <v>-18872</v>
          </cell>
          <cell r="AA32">
            <v>66</v>
          </cell>
          <cell r="AB32">
            <v>-50955</v>
          </cell>
          <cell r="BE32">
            <v>25</v>
          </cell>
          <cell r="BF32">
            <v>5164.6611179</v>
          </cell>
          <cell r="CF32">
            <v>23</v>
          </cell>
          <cell r="CG32" t="str">
            <v>Y</v>
          </cell>
        </row>
        <row r="33">
          <cell r="C33">
            <v>25</v>
          </cell>
          <cell r="D33">
            <v>775698.38</v>
          </cell>
          <cell r="F33">
            <v>65</v>
          </cell>
          <cell r="G33">
            <v>177543.03</v>
          </cell>
          <cell r="I33">
            <v>25</v>
          </cell>
          <cell r="J33">
            <v>-144440.88</v>
          </cell>
          <cell r="L33">
            <v>73</v>
          </cell>
          <cell r="M33">
            <v>336502.6</v>
          </cell>
          <cell r="R33">
            <v>29</v>
          </cell>
          <cell r="S33">
            <v>-623717.93</v>
          </cell>
          <cell r="U33">
            <v>35</v>
          </cell>
          <cell r="V33">
            <v>76688.53</v>
          </cell>
          <cell r="X33">
            <v>24</v>
          </cell>
          <cell r="Y33">
            <v>-350673</v>
          </cell>
          <cell r="AA33">
            <v>67</v>
          </cell>
          <cell r="AB33">
            <v>-128520</v>
          </cell>
          <cell r="BE33">
            <v>26</v>
          </cell>
          <cell r="BF33">
            <v>9044.5252213</v>
          </cell>
          <cell r="CF33">
            <v>24</v>
          </cell>
          <cell r="CG33" t="str">
            <v>Y</v>
          </cell>
        </row>
        <row r="34">
          <cell r="C34">
            <v>26</v>
          </cell>
          <cell r="D34">
            <v>943325.53</v>
          </cell>
          <cell r="F34">
            <v>66</v>
          </cell>
          <cell r="G34">
            <v>147.51</v>
          </cell>
          <cell r="I34">
            <v>26</v>
          </cell>
          <cell r="J34">
            <v>-338936.06</v>
          </cell>
          <cell r="L34">
            <v>79</v>
          </cell>
          <cell r="M34">
            <v>284832.56</v>
          </cell>
          <cell r="R34">
            <v>30</v>
          </cell>
          <cell r="S34">
            <v>-109548.74</v>
          </cell>
          <cell r="U34">
            <v>36</v>
          </cell>
          <cell r="V34">
            <v>32834.71</v>
          </cell>
          <cell r="X34">
            <v>25</v>
          </cell>
          <cell r="Y34">
            <v>-38948</v>
          </cell>
          <cell r="AA34">
            <v>68</v>
          </cell>
          <cell r="AB34">
            <v>-30362</v>
          </cell>
          <cell r="BE34">
            <v>27</v>
          </cell>
          <cell r="BF34">
            <v>10698.0116688</v>
          </cell>
          <cell r="CF34">
            <v>25</v>
          </cell>
          <cell r="CG34" t="str">
            <v>N</v>
          </cell>
        </row>
        <row r="35">
          <cell r="C35">
            <v>27</v>
          </cell>
          <cell r="D35">
            <v>3840653.03</v>
          </cell>
          <cell r="F35">
            <v>67</v>
          </cell>
          <cell r="G35">
            <v>284356.51</v>
          </cell>
          <cell r="I35">
            <v>27</v>
          </cell>
          <cell r="J35">
            <v>-318539.35</v>
          </cell>
          <cell r="L35">
            <v>80</v>
          </cell>
          <cell r="M35">
            <v>-1541397.86</v>
          </cell>
          <cell r="R35">
            <v>34</v>
          </cell>
          <cell r="S35">
            <v>-1756065.79</v>
          </cell>
          <cell r="U35">
            <v>38</v>
          </cell>
          <cell r="V35">
            <v>66039.21</v>
          </cell>
          <cell r="X35">
            <v>26</v>
          </cell>
          <cell r="Y35">
            <v>-144207</v>
          </cell>
          <cell r="AA35">
            <v>69</v>
          </cell>
          <cell r="AB35">
            <v>-31800</v>
          </cell>
          <cell r="BE35">
            <v>28</v>
          </cell>
          <cell r="BF35">
            <v>2454.4645709</v>
          </cell>
          <cell r="CF35">
            <v>26</v>
          </cell>
          <cell r="CG35" t="str">
            <v>Y</v>
          </cell>
        </row>
        <row r="36">
          <cell r="C36">
            <v>28</v>
          </cell>
          <cell r="D36">
            <v>439548.09</v>
          </cell>
          <cell r="F36">
            <v>68</v>
          </cell>
          <cell r="G36">
            <v>16881.75</v>
          </cell>
          <cell r="I36">
            <v>28</v>
          </cell>
          <cell r="J36">
            <v>-141469.26</v>
          </cell>
          <cell r="L36">
            <v>83</v>
          </cell>
          <cell r="M36">
            <v>-235041.22</v>
          </cell>
          <cell r="R36">
            <v>35</v>
          </cell>
          <cell r="S36">
            <v>-2337923.81</v>
          </cell>
          <cell r="U36">
            <v>40</v>
          </cell>
          <cell r="V36">
            <v>0</v>
          </cell>
          <cell r="X36">
            <v>27</v>
          </cell>
          <cell r="Y36">
            <v>-113675</v>
          </cell>
          <cell r="AA36">
            <v>70</v>
          </cell>
          <cell r="AB36">
            <v>-215027.33</v>
          </cell>
          <cell r="BE36">
            <v>29</v>
          </cell>
          <cell r="BF36">
            <v>8762.4363874</v>
          </cell>
          <cell r="CF36">
            <v>27</v>
          </cell>
          <cell r="CG36" t="str">
            <v>Y</v>
          </cell>
        </row>
        <row r="37">
          <cell r="C37">
            <v>29</v>
          </cell>
          <cell r="D37">
            <v>1097276.03</v>
          </cell>
          <cell r="F37">
            <v>69</v>
          </cell>
          <cell r="G37">
            <v>18135.75</v>
          </cell>
          <cell r="I37">
            <v>29</v>
          </cell>
          <cell r="J37">
            <v>-264593.97</v>
          </cell>
          <cell r="L37">
            <v>86</v>
          </cell>
          <cell r="M37">
            <v>341225.02</v>
          </cell>
          <cell r="R37">
            <v>36</v>
          </cell>
          <cell r="S37">
            <v>-6463721.55</v>
          </cell>
          <cell r="U37">
            <v>41</v>
          </cell>
          <cell r="V37">
            <v>5027.5</v>
          </cell>
          <cell r="X37">
            <v>28</v>
          </cell>
          <cell r="Y37">
            <v>-16878</v>
          </cell>
          <cell r="AA37">
            <v>71</v>
          </cell>
          <cell r="AB37">
            <v>-120856.94</v>
          </cell>
          <cell r="BE37">
            <v>30</v>
          </cell>
          <cell r="BF37">
            <v>7574.9101198</v>
          </cell>
          <cell r="CF37">
            <v>28</v>
          </cell>
          <cell r="CG37" t="str">
            <v>Y</v>
          </cell>
        </row>
        <row r="38">
          <cell r="C38">
            <v>30</v>
          </cell>
          <cell r="D38">
            <v>584834.87</v>
          </cell>
          <cell r="F38">
            <v>70</v>
          </cell>
          <cell r="G38">
            <v>502973.87</v>
          </cell>
          <cell r="I38">
            <v>30</v>
          </cell>
          <cell r="J38">
            <v>-239932.23</v>
          </cell>
          <cell r="L38">
            <v>87</v>
          </cell>
          <cell r="M38">
            <v>-3777502.16</v>
          </cell>
          <cell r="R38">
            <v>38</v>
          </cell>
          <cell r="S38">
            <v>-3040932.78</v>
          </cell>
          <cell r="U38">
            <v>42</v>
          </cell>
          <cell r="V38">
            <v>12829.22</v>
          </cell>
          <cell r="X38">
            <v>29</v>
          </cell>
          <cell r="Y38">
            <v>-21250</v>
          </cell>
          <cell r="AA38">
            <v>72</v>
          </cell>
          <cell r="AB38">
            <v>-13800</v>
          </cell>
          <cell r="BE38">
            <v>32</v>
          </cell>
          <cell r="BF38">
            <v>160.5034888</v>
          </cell>
          <cell r="CF38">
            <v>29</v>
          </cell>
          <cell r="CG38" t="str">
            <v>Y</v>
          </cell>
        </row>
        <row r="39">
          <cell r="C39">
            <v>31</v>
          </cell>
          <cell r="D39">
            <v>424701.88</v>
          </cell>
          <cell r="F39">
            <v>71</v>
          </cell>
          <cell r="G39">
            <v>481354.69</v>
          </cell>
          <cell r="I39">
            <v>31</v>
          </cell>
          <cell r="J39">
            <v>-286864.78</v>
          </cell>
          <cell r="L39">
            <v>90</v>
          </cell>
          <cell r="M39">
            <v>433739.42</v>
          </cell>
          <cell r="R39">
            <v>40</v>
          </cell>
          <cell r="S39">
            <v>-2667782.39</v>
          </cell>
          <cell r="U39">
            <v>43</v>
          </cell>
          <cell r="V39">
            <v>2655.75</v>
          </cell>
          <cell r="X39">
            <v>30</v>
          </cell>
          <cell r="Y39">
            <v>-28960</v>
          </cell>
          <cell r="AA39">
            <v>73</v>
          </cell>
          <cell r="AB39">
            <v>-36730.55</v>
          </cell>
          <cell r="BE39">
            <v>33</v>
          </cell>
          <cell r="BF39">
            <v>895.317283</v>
          </cell>
          <cell r="CF39">
            <v>30</v>
          </cell>
          <cell r="CG39" t="str">
            <v>Y</v>
          </cell>
        </row>
        <row r="40">
          <cell r="C40">
            <v>34</v>
          </cell>
          <cell r="D40">
            <v>4312300.16</v>
          </cell>
          <cell r="F40">
            <v>72</v>
          </cell>
          <cell r="G40">
            <v>0</v>
          </cell>
          <cell r="I40">
            <v>34</v>
          </cell>
          <cell r="J40">
            <v>-524274.72</v>
          </cell>
          <cell r="L40">
            <v>103</v>
          </cell>
          <cell r="M40">
            <v>441303.48</v>
          </cell>
          <cell r="R40">
            <v>41</v>
          </cell>
          <cell r="S40">
            <v>-384013.4</v>
          </cell>
          <cell r="U40">
            <v>44</v>
          </cell>
          <cell r="V40">
            <v>0</v>
          </cell>
          <cell r="X40">
            <v>31</v>
          </cell>
          <cell r="Y40">
            <v>-10408</v>
          </cell>
          <cell r="AA40">
            <v>74</v>
          </cell>
          <cell r="AB40">
            <v>-1200</v>
          </cell>
          <cell r="BE40">
            <v>34</v>
          </cell>
          <cell r="BF40">
            <v>22107.8981329</v>
          </cell>
          <cell r="CF40">
            <v>31</v>
          </cell>
          <cell r="CG40" t="str">
            <v>Y</v>
          </cell>
        </row>
        <row r="41">
          <cell r="C41">
            <v>35</v>
          </cell>
          <cell r="D41">
            <v>7592242.75</v>
          </cell>
          <cell r="F41">
            <v>73</v>
          </cell>
          <cell r="G41">
            <v>166544.25</v>
          </cell>
          <cell r="I41">
            <v>35</v>
          </cell>
          <cell r="J41">
            <v>-723303.78</v>
          </cell>
          <cell r="L41">
            <v>105</v>
          </cell>
          <cell r="M41">
            <v>958924.18</v>
          </cell>
          <cell r="R41">
            <v>42</v>
          </cell>
          <cell r="S41">
            <v>-328081.02</v>
          </cell>
          <cell r="U41">
            <v>47</v>
          </cell>
          <cell r="V41">
            <v>8730.5</v>
          </cell>
          <cell r="X41">
            <v>34</v>
          </cell>
          <cell r="Y41">
            <v>-269988</v>
          </cell>
          <cell r="AA41">
            <v>75</v>
          </cell>
          <cell r="AB41">
            <v>-35168</v>
          </cell>
          <cell r="BE41">
            <v>35</v>
          </cell>
          <cell r="BF41">
            <v>30831.3395118</v>
          </cell>
          <cell r="CF41">
            <v>32</v>
          </cell>
          <cell r="CG41" t="str">
            <v>Y</v>
          </cell>
        </row>
        <row r="42">
          <cell r="C42">
            <v>36</v>
          </cell>
          <cell r="D42">
            <v>14628820.08</v>
          </cell>
          <cell r="F42">
            <v>74</v>
          </cell>
          <cell r="G42">
            <v>31.25</v>
          </cell>
          <cell r="I42">
            <v>36</v>
          </cell>
          <cell r="J42">
            <v>-2067870.39</v>
          </cell>
          <cell r="L42">
            <v>106</v>
          </cell>
          <cell r="M42">
            <v>-263680.64</v>
          </cell>
          <cell r="R42">
            <v>43</v>
          </cell>
          <cell r="S42">
            <v>-597213.81</v>
          </cell>
          <cell r="U42">
            <v>50</v>
          </cell>
          <cell r="V42">
            <v>20901.91</v>
          </cell>
          <cell r="X42">
            <v>35</v>
          </cell>
          <cell r="Y42">
            <v>-521846</v>
          </cell>
          <cell r="AA42">
            <v>77</v>
          </cell>
          <cell r="AB42">
            <v>0</v>
          </cell>
          <cell r="BE42">
            <v>36</v>
          </cell>
          <cell r="BF42">
            <v>50643.8376855</v>
          </cell>
          <cell r="CF42">
            <v>33</v>
          </cell>
          <cell r="CG42" t="str">
            <v>Y</v>
          </cell>
        </row>
        <row r="43">
          <cell r="C43">
            <v>38</v>
          </cell>
          <cell r="D43">
            <v>22374298.64</v>
          </cell>
          <cell r="F43">
            <v>75</v>
          </cell>
          <cell r="G43">
            <v>266142.37</v>
          </cell>
          <cell r="I43">
            <v>38</v>
          </cell>
          <cell r="J43">
            <v>-4805178.14</v>
          </cell>
          <cell r="L43">
            <v>107</v>
          </cell>
          <cell r="M43">
            <v>476560.11</v>
          </cell>
          <cell r="R43">
            <v>44</v>
          </cell>
          <cell r="S43">
            <v>-1217893.01</v>
          </cell>
          <cell r="U43">
            <v>51</v>
          </cell>
          <cell r="V43">
            <v>24597.44</v>
          </cell>
          <cell r="X43">
            <v>36</v>
          </cell>
          <cell r="Y43">
            <v>-869454</v>
          </cell>
          <cell r="AA43">
            <v>79</v>
          </cell>
          <cell r="AB43">
            <v>-59355</v>
          </cell>
          <cell r="BE43">
            <v>38</v>
          </cell>
          <cell r="BF43">
            <v>41384.8643582</v>
          </cell>
          <cell r="CF43">
            <v>34</v>
          </cell>
          <cell r="CG43" t="str">
            <v>N</v>
          </cell>
        </row>
        <row r="44">
          <cell r="C44">
            <v>40</v>
          </cell>
          <cell r="D44">
            <v>6854342.91</v>
          </cell>
          <cell r="F44">
            <v>79</v>
          </cell>
          <cell r="G44">
            <v>312.5</v>
          </cell>
          <cell r="I44">
            <v>40</v>
          </cell>
          <cell r="J44">
            <v>-1182417.13</v>
          </cell>
          <cell r="L44">
            <v>108</v>
          </cell>
          <cell r="M44">
            <v>465759</v>
          </cell>
          <cell r="R44">
            <v>47</v>
          </cell>
          <cell r="S44">
            <v>-16854127.93</v>
          </cell>
          <cell r="U44">
            <v>52</v>
          </cell>
          <cell r="V44">
            <v>1055.5</v>
          </cell>
          <cell r="X44">
            <v>38</v>
          </cell>
          <cell r="Y44">
            <v>-818893</v>
          </cell>
          <cell r="AA44">
            <v>80</v>
          </cell>
          <cell r="AB44">
            <v>-451397.88</v>
          </cell>
          <cell r="BE44">
            <v>40</v>
          </cell>
          <cell r="BF44">
            <v>10270.235442</v>
          </cell>
          <cell r="CF44">
            <v>35</v>
          </cell>
          <cell r="CG44" t="str">
            <v>Y</v>
          </cell>
        </row>
        <row r="45">
          <cell r="C45">
            <v>41</v>
          </cell>
          <cell r="D45">
            <v>1308825.41</v>
          </cell>
          <cell r="F45">
            <v>80</v>
          </cell>
          <cell r="G45">
            <v>1076879.66</v>
          </cell>
          <cell r="I45">
            <v>41</v>
          </cell>
          <cell r="J45">
            <v>-225019.62</v>
          </cell>
          <cell r="L45">
            <v>120</v>
          </cell>
          <cell r="M45">
            <v>883155.33</v>
          </cell>
          <cell r="R45">
            <v>50</v>
          </cell>
          <cell r="S45">
            <v>-70077.86</v>
          </cell>
          <cell r="U45">
            <v>53</v>
          </cell>
          <cell r="V45">
            <v>53197.79</v>
          </cell>
          <cell r="X45">
            <v>40</v>
          </cell>
          <cell r="Y45">
            <v>-502348</v>
          </cell>
          <cell r="AA45">
            <v>81</v>
          </cell>
          <cell r="AB45">
            <v>-600</v>
          </cell>
          <cell r="BE45">
            <v>41</v>
          </cell>
          <cell r="BF45">
            <v>1371.1207387</v>
          </cell>
          <cell r="CF45">
            <v>36</v>
          </cell>
          <cell r="CG45" t="str">
            <v>Y</v>
          </cell>
        </row>
        <row r="46">
          <cell r="C46">
            <v>42</v>
          </cell>
          <cell r="D46">
            <v>1557599.9</v>
          </cell>
          <cell r="F46">
            <v>83</v>
          </cell>
          <cell r="G46">
            <v>236570.77</v>
          </cell>
          <cell r="I46">
            <v>42</v>
          </cell>
          <cell r="J46">
            <v>-405081.52</v>
          </cell>
          <cell r="L46">
            <v>121</v>
          </cell>
          <cell r="M46">
            <v>4106.7</v>
          </cell>
          <cell r="R46">
            <v>51</v>
          </cell>
          <cell r="S46">
            <v>-218902.12</v>
          </cell>
          <cell r="U46">
            <v>55</v>
          </cell>
          <cell r="V46">
            <v>0</v>
          </cell>
          <cell r="X46">
            <v>41</v>
          </cell>
          <cell r="Y46">
            <v>-104020</v>
          </cell>
          <cell r="AA46">
            <v>83</v>
          </cell>
          <cell r="AB46">
            <v>-42845</v>
          </cell>
          <cell r="BE46">
            <v>42</v>
          </cell>
          <cell r="BF46">
            <v>5406.1091175</v>
          </cell>
          <cell r="CF46">
            <v>38</v>
          </cell>
          <cell r="CG46" t="str">
            <v>Y</v>
          </cell>
        </row>
        <row r="47">
          <cell r="C47">
            <v>43</v>
          </cell>
          <cell r="D47">
            <v>2207031.32</v>
          </cell>
          <cell r="F47">
            <v>86</v>
          </cell>
          <cell r="G47">
            <v>282956.4</v>
          </cell>
          <cell r="I47">
            <v>43</v>
          </cell>
          <cell r="J47">
            <v>-869173.47</v>
          </cell>
          <cell r="L47">
            <v>123</v>
          </cell>
          <cell r="M47">
            <v>45333.52</v>
          </cell>
          <cell r="R47">
            <v>52</v>
          </cell>
          <cell r="S47">
            <v>-1658405.65</v>
          </cell>
          <cell r="U47">
            <v>56</v>
          </cell>
          <cell r="V47">
            <v>12769.75</v>
          </cell>
          <cell r="X47">
            <v>42</v>
          </cell>
          <cell r="Y47">
            <v>-78231</v>
          </cell>
          <cell r="AA47">
            <v>86</v>
          </cell>
          <cell r="AB47">
            <v>-5725</v>
          </cell>
          <cell r="BE47">
            <v>43</v>
          </cell>
          <cell r="BF47">
            <v>8572.7909543</v>
          </cell>
          <cell r="CF47">
            <v>40</v>
          </cell>
          <cell r="CG47" t="str">
            <v>Y</v>
          </cell>
        </row>
        <row r="48">
          <cell r="C48">
            <v>44</v>
          </cell>
          <cell r="D48">
            <v>4326803.03</v>
          </cell>
          <cell r="F48">
            <v>87</v>
          </cell>
          <cell r="G48">
            <v>120592.92</v>
          </cell>
          <cell r="I48">
            <v>44</v>
          </cell>
          <cell r="J48">
            <v>-1447080.49</v>
          </cell>
          <cell r="L48">
            <v>133</v>
          </cell>
          <cell r="M48">
            <v>-1300309.86</v>
          </cell>
          <cell r="R48">
            <v>55</v>
          </cell>
          <cell r="S48">
            <v>-13016904.64</v>
          </cell>
          <cell r="U48">
            <v>57</v>
          </cell>
          <cell r="V48">
            <v>253545.27</v>
          </cell>
          <cell r="X48">
            <v>43</v>
          </cell>
          <cell r="Y48">
            <v>-179342</v>
          </cell>
          <cell r="AA48">
            <v>87</v>
          </cell>
          <cell r="AB48">
            <v>-350</v>
          </cell>
          <cell r="BE48">
            <v>44</v>
          </cell>
          <cell r="BF48">
            <v>7985.5789597</v>
          </cell>
          <cell r="CF48">
            <v>41</v>
          </cell>
          <cell r="CG48" t="str">
            <v>Y</v>
          </cell>
        </row>
        <row r="49">
          <cell r="C49">
            <v>47</v>
          </cell>
          <cell r="D49">
            <v>23902484.17</v>
          </cell>
          <cell r="F49">
            <v>88</v>
          </cell>
          <cell r="G49">
            <v>255.25</v>
          </cell>
          <cell r="I49">
            <v>47</v>
          </cell>
          <cell r="J49">
            <v>-1720999.26</v>
          </cell>
          <cell r="L49">
            <v>140</v>
          </cell>
          <cell r="M49">
            <v>524032.2</v>
          </cell>
          <cell r="R49">
            <v>56</v>
          </cell>
          <cell r="S49">
            <v>-860113.12</v>
          </cell>
          <cell r="U49">
            <v>58</v>
          </cell>
          <cell r="V49">
            <v>6050.5</v>
          </cell>
          <cell r="X49">
            <v>44</v>
          </cell>
          <cell r="Y49">
            <v>-314366</v>
          </cell>
          <cell r="AA49">
            <v>89</v>
          </cell>
          <cell r="AB49">
            <v>-270975.21</v>
          </cell>
          <cell r="BE49">
            <v>47</v>
          </cell>
          <cell r="BF49">
            <v>21997.1967832</v>
          </cell>
          <cell r="CF49">
            <v>42</v>
          </cell>
          <cell r="CG49" t="str">
            <v>N</v>
          </cell>
        </row>
        <row r="50">
          <cell r="C50">
            <v>50</v>
          </cell>
          <cell r="D50">
            <v>1285259.99</v>
          </cell>
          <cell r="F50">
            <v>89</v>
          </cell>
          <cell r="G50">
            <v>3112341.05</v>
          </cell>
          <cell r="I50">
            <v>50</v>
          </cell>
          <cell r="J50">
            <v>-377677.53</v>
          </cell>
          <cell r="L50">
            <v>150</v>
          </cell>
          <cell r="M50">
            <v>162244.3</v>
          </cell>
          <cell r="R50">
            <v>57</v>
          </cell>
          <cell r="S50">
            <v>-369385.7</v>
          </cell>
          <cell r="U50">
            <v>60</v>
          </cell>
          <cell r="V50">
            <v>173411.66</v>
          </cell>
          <cell r="X50">
            <v>47</v>
          </cell>
          <cell r="Y50">
            <v>-461936</v>
          </cell>
          <cell r="AA50">
            <v>90</v>
          </cell>
          <cell r="AB50">
            <v>-84690</v>
          </cell>
          <cell r="BE50">
            <v>50</v>
          </cell>
          <cell r="BF50">
            <v>5997.1502157</v>
          </cell>
          <cell r="CF50">
            <v>43</v>
          </cell>
          <cell r="CG50" t="str">
            <v>N</v>
          </cell>
        </row>
        <row r="51">
          <cell r="C51">
            <v>51</v>
          </cell>
          <cell r="D51">
            <v>995497.86</v>
          </cell>
          <cell r="F51">
            <v>90</v>
          </cell>
          <cell r="G51">
            <v>122476.85</v>
          </cell>
          <cell r="I51">
            <v>51</v>
          </cell>
          <cell r="J51">
            <v>-401003.12</v>
          </cell>
          <cell r="L51">
            <v>151</v>
          </cell>
          <cell r="M51">
            <v>1209503.26</v>
          </cell>
          <cell r="R51">
            <v>58</v>
          </cell>
          <cell r="S51">
            <v>-103730.28</v>
          </cell>
          <cell r="U51">
            <v>61</v>
          </cell>
          <cell r="V51">
            <v>74441.67</v>
          </cell>
          <cell r="X51">
            <v>50</v>
          </cell>
          <cell r="Y51">
            <v>-68215</v>
          </cell>
          <cell r="AA51">
            <v>91</v>
          </cell>
          <cell r="AB51">
            <v>-16325</v>
          </cell>
          <cell r="BE51">
            <v>51</v>
          </cell>
          <cell r="BF51">
            <v>3767.6126439</v>
          </cell>
          <cell r="CF51">
            <v>44</v>
          </cell>
          <cell r="CG51" t="str">
            <v>Y</v>
          </cell>
        </row>
        <row r="52">
          <cell r="C52">
            <v>52</v>
          </cell>
          <cell r="D52">
            <v>4672606</v>
          </cell>
          <cell r="F52">
            <v>91</v>
          </cell>
          <cell r="G52">
            <v>386.5</v>
          </cell>
          <cell r="I52">
            <v>52</v>
          </cell>
          <cell r="J52">
            <v>-1576284.55</v>
          </cell>
          <cell r="L52">
            <v>160</v>
          </cell>
          <cell r="M52">
            <v>-172043.12</v>
          </cell>
          <cell r="R52">
            <v>60</v>
          </cell>
          <cell r="S52">
            <v>-4703721.47</v>
          </cell>
          <cell r="U52">
            <v>62</v>
          </cell>
          <cell r="V52">
            <v>150</v>
          </cell>
          <cell r="X52">
            <v>51</v>
          </cell>
          <cell r="Y52">
            <v>-98179</v>
          </cell>
          <cell r="AA52">
            <v>92</v>
          </cell>
          <cell r="AB52">
            <v>-45</v>
          </cell>
          <cell r="BE52">
            <v>52</v>
          </cell>
          <cell r="BF52">
            <v>7379.2947365</v>
          </cell>
          <cell r="CF52">
            <v>47</v>
          </cell>
          <cell r="CG52" t="str">
            <v>Y</v>
          </cell>
        </row>
        <row r="53">
          <cell r="C53">
            <v>53</v>
          </cell>
          <cell r="D53">
            <v>8530989.98</v>
          </cell>
          <cell r="F53">
            <v>93</v>
          </cell>
          <cell r="G53">
            <v>0</v>
          </cell>
          <cell r="I53">
            <v>53</v>
          </cell>
          <cell r="J53">
            <v>-2285484.82</v>
          </cell>
          <cell r="L53">
            <v>165</v>
          </cell>
          <cell r="M53">
            <v>1017337.28</v>
          </cell>
          <cell r="R53">
            <v>61</v>
          </cell>
          <cell r="S53">
            <v>-638289.77</v>
          </cell>
          <cell r="U53">
            <v>64</v>
          </cell>
          <cell r="V53">
            <v>117707.89</v>
          </cell>
          <cell r="X53">
            <v>52</v>
          </cell>
          <cell r="Y53">
            <v>-113062</v>
          </cell>
          <cell r="AA53">
            <v>101</v>
          </cell>
          <cell r="AB53">
            <v>-125339.11</v>
          </cell>
          <cell r="BE53">
            <v>53</v>
          </cell>
          <cell r="BF53">
            <v>16655.7426905</v>
          </cell>
          <cell r="CF53">
            <v>50</v>
          </cell>
          <cell r="CG53" t="str">
            <v>Y</v>
          </cell>
        </row>
        <row r="54">
          <cell r="C54">
            <v>55</v>
          </cell>
          <cell r="D54">
            <v>21289444.28</v>
          </cell>
          <cell r="F54">
            <v>101</v>
          </cell>
          <cell r="G54">
            <v>388441.11</v>
          </cell>
          <cell r="I54">
            <v>55</v>
          </cell>
          <cell r="J54">
            <v>-2861271.17</v>
          </cell>
          <cell r="R54">
            <v>62</v>
          </cell>
          <cell r="S54">
            <v>-96434.69</v>
          </cell>
          <cell r="U54">
            <v>65</v>
          </cell>
          <cell r="V54">
            <v>0</v>
          </cell>
          <cell r="X54">
            <v>53</v>
          </cell>
          <cell r="Y54">
            <v>-293613</v>
          </cell>
          <cell r="AA54">
            <v>103</v>
          </cell>
          <cell r="AB54">
            <v>-16500</v>
          </cell>
          <cell r="BE54">
            <v>55</v>
          </cell>
          <cell r="BF54">
            <v>41382.9131617</v>
          </cell>
          <cell r="CF54">
            <v>51</v>
          </cell>
          <cell r="CG54" t="str">
            <v>N</v>
          </cell>
        </row>
        <row r="55">
          <cell r="C55">
            <v>56</v>
          </cell>
          <cell r="D55">
            <v>2115622.66</v>
          </cell>
          <cell r="F55">
            <v>103</v>
          </cell>
          <cell r="G55">
            <v>59409.5</v>
          </cell>
          <cell r="I55">
            <v>56</v>
          </cell>
          <cell r="J55">
            <v>-589573.04</v>
          </cell>
          <cell r="R55">
            <v>64</v>
          </cell>
          <cell r="S55">
            <v>-145201.68</v>
          </cell>
          <cell r="U55">
            <v>66</v>
          </cell>
          <cell r="V55">
            <v>29246.61</v>
          </cell>
          <cell r="X55">
            <v>55</v>
          </cell>
          <cell r="Y55">
            <v>185917</v>
          </cell>
          <cell r="AA55">
            <v>104</v>
          </cell>
          <cell r="AB55">
            <v>-11424</v>
          </cell>
          <cell r="BE55">
            <v>56</v>
          </cell>
          <cell r="BF55">
            <v>2453.5620122</v>
          </cell>
          <cell r="CF55">
            <v>52</v>
          </cell>
          <cell r="CG55" t="str">
            <v>Y</v>
          </cell>
        </row>
        <row r="56">
          <cell r="C56">
            <v>57</v>
          </cell>
          <cell r="D56">
            <v>2169497.97</v>
          </cell>
          <cell r="F56">
            <v>104</v>
          </cell>
          <cell r="G56">
            <v>0</v>
          </cell>
          <cell r="I56">
            <v>57</v>
          </cell>
          <cell r="J56">
            <v>-747885.22</v>
          </cell>
          <cell r="R56">
            <v>65</v>
          </cell>
          <cell r="S56">
            <v>-78140.65</v>
          </cell>
          <cell r="U56">
            <v>67</v>
          </cell>
          <cell r="V56">
            <v>176495.72</v>
          </cell>
          <cell r="X56">
            <v>56</v>
          </cell>
          <cell r="Y56">
            <v>-48066</v>
          </cell>
          <cell r="AA56">
            <v>105</v>
          </cell>
          <cell r="AB56">
            <v>-41255</v>
          </cell>
          <cell r="BE56">
            <v>57</v>
          </cell>
          <cell r="BF56">
            <v>6736.9271867</v>
          </cell>
          <cell r="CF56">
            <v>53</v>
          </cell>
          <cell r="CG56" t="str">
            <v>Y</v>
          </cell>
        </row>
        <row r="57">
          <cell r="C57">
            <v>58</v>
          </cell>
          <cell r="D57">
            <v>1393943.34</v>
          </cell>
          <cell r="F57">
            <v>105</v>
          </cell>
          <cell r="G57">
            <v>0</v>
          </cell>
          <cell r="I57">
            <v>58</v>
          </cell>
          <cell r="J57">
            <v>-136550.89</v>
          </cell>
          <cell r="R57">
            <v>66</v>
          </cell>
          <cell r="S57">
            <v>-1816888.82</v>
          </cell>
          <cell r="U57">
            <v>68</v>
          </cell>
          <cell r="V57">
            <v>56508.37</v>
          </cell>
          <cell r="X57">
            <v>57</v>
          </cell>
          <cell r="Y57">
            <v>-250693</v>
          </cell>
          <cell r="AA57">
            <v>107</v>
          </cell>
          <cell r="AB57">
            <v>-10706</v>
          </cell>
          <cell r="BE57">
            <v>60</v>
          </cell>
          <cell r="BF57">
            <v>42501.4377618</v>
          </cell>
          <cell r="CF57">
            <v>55</v>
          </cell>
          <cell r="CG57" t="str">
            <v>Y</v>
          </cell>
        </row>
        <row r="58">
          <cell r="C58">
            <v>60</v>
          </cell>
          <cell r="D58">
            <v>16476701.04</v>
          </cell>
          <cell r="F58">
            <v>106</v>
          </cell>
          <cell r="G58">
            <v>109930.87</v>
          </cell>
          <cell r="I58">
            <v>60</v>
          </cell>
          <cell r="J58">
            <v>-3634428.02</v>
          </cell>
          <cell r="R58">
            <v>67</v>
          </cell>
          <cell r="S58">
            <v>-9859876.03</v>
          </cell>
          <cell r="U58">
            <v>69</v>
          </cell>
          <cell r="V58">
            <v>40434.93</v>
          </cell>
          <cell r="X58">
            <v>58</v>
          </cell>
          <cell r="Y58">
            <v>-85254</v>
          </cell>
          <cell r="AA58">
            <v>109</v>
          </cell>
          <cell r="AB58">
            <v>-8534</v>
          </cell>
          <cell r="BE58">
            <v>61</v>
          </cell>
          <cell r="BF58">
            <v>5610.7077347</v>
          </cell>
          <cell r="CF58">
            <v>56</v>
          </cell>
          <cell r="CG58" t="str">
            <v>Y</v>
          </cell>
        </row>
        <row r="59">
          <cell r="C59">
            <v>61</v>
          </cell>
          <cell r="D59">
            <v>3298819.64</v>
          </cell>
          <cell r="F59">
            <v>107</v>
          </cell>
          <cell r="G59">
            <v>0</v>
          </cell>
          <cell r="I59">
            <v>61</v>
          </cell>
          <cell r="J59">
            <v>-1911967.45</v>
          </cell>
          <cell r="R59">
            <v>68</v>
          </cell>
          <cell r="S59">
            <v>-689127.77</v>
          </cell>
          <cell r="U59">
            <v>70</v>
          </cell>
          <cell r="V59">
            <v>353530.4</v>
          </cell>
          <cell r="X59">
            <v>60</v>
          </cell>
          <cell r="Y59">
            <v>-804889</v>
          </cell>
          <cell r="AA59">
            <v>120</v>
          </cell>
          <cell r="AB59">
            <v>-4742.5</v>
          </cell>
          <cell r="BE59">
            <v>62</v>
          </cell>
          <cell r="BF59">
            <v>1807.3653588</v>
          </cell>
          <cell r="CF59">
            <v>57</v>
          </cell>
          <cell r="CG59" t="str">
            <v>Y</v>
          </cell>
        </row>
        <row r="60">
          <cell r="C60">
            <v>62</v>
          </cell>
          <cell r="D60">
            <v>907808.23</v>
          </cell>
          <cell r="F60">
            <v>108</v>
          </cell>
          <cell r="G60">
            <v>75.25</v>
          </cell>
          <cell r="I60">
            <v>62</v>
          </cell>
          <cell r="J60">
            <v>-440381.76</v>
          </cell>
          <cell r="R60">
            <v>69</v>
          </cell>
          <cell r="S60">
            <v>-3846987.72</v>
          </cell>
          <cell r="U60">
            <v>71</v>
          </cell>
          <cell r="V60">
            <v>236274.88</v>
          </cell>
          <cell r="X60">
            <v>61</v>
          </cell>
          <cell r="Y60">
            <v>-87493</v>
          </cell>
          <cell r="AA60">
            <v>121</v>
          </cell>
          <cell r="AB60">
            <v>-1425</v>
          </cell>
          <cell r="BE60">
            <v>64</v>
          </cell>
          <cell r="BF60">
            <v>6913.0273951</v>
          </cell>
          <cell r="CF60">
            <v>58</v>
          </cell>
          <cell r="CG60" t="str">
            <v>Y</v>
          </cell>
        </row>
        <row r="61">
          <cell r="C61">
            <v>64</v>
          </cell>
          <cell r="D61">
            <v>4333654.71</v>
          </cell>
          <cell r="F61">
            <v>109</v>
          </cell>
          <cell r="G61">
            <v>304709.61</v>
          </cell>
          <cell r="I61">
            <v>64</v>
          </cell>
          <cell r="J61">
            <v>-2025911.26</v>
          </cell>
          <cell r="R61">
            <v>70</v>
          </cell>
          <cell r="S61">
            <v>-15157623.33</v>
          </cell>
          <cell r="U61">
            <v>72</v>
          </cell>
          <cell r="V61">
            <v>31885.51</v>
          </cell>
          <cell r="X61">
            <v>62</v>
          </cell>
          <cell r="Y61">
            <v>-20502</v>
          </cell>
          <cell r="AA61">
            <v>122</v>
          </cell>
          <cell r="AB61">
            <v>-24100</v>
          </cell>
          <cell r="BE61">
            <v>65</v>
          </cell>
          <cell r="BF61">
            <v>13446.4533931</v>
          </cell>
          <cell r="CF61">
            <v>60</v>
          </cell>
          <cell r="CG61" t="str">
            <v>Y</v>
          </cell>
        </row>
        <row r="62">
          <cell r="C62">
            <v>65</v>
          </cell>
          <cell r="D62">
            <v>1544826.35</v>
          </cell>
          <cell r="F62">
            <v>120</v>
          </cell>
          <cell r="G62">
            <v>1036269.01</v>
          </cell>
          <cell r="I62">
            <v>65</v>
          </cell>
          <cell r="J62">
            <v>-245734.2</v>
          </cell>
          <cell r="R62">
            <v>71</v>
          </cell>
          <cell r="S62">
            <v>-36562.44</v>
          </cell>
          <cell r="U62">
            <v>73</v>
          </cell>
          <cell r="V62">
            <v>65779.62</v>
          </cell>
          <cell r="X62">
            <v>64</v>
          </cell>
          <cell r="Y62">
            <v>-228794</v>
          </cell>
          <cell r="AA62">
            <v>123</v>
          </cell>
          <cell r="AB62">
            <v>-550</v>
          </cell>
          <cell r="BE62">
            <v>66</v>
          </cell>
          <cell r="BF62">
            <v>14386.6462831</v>
          </cell>
          <cell r="CF62">
            <v>61</v>
          </cell>
          <cell r="CG62" t="str">
            <v>N</v>
          </cell>
        </row>
        <row r="63">
          <cell r="C63">
            <v>66</v>
          </cell>
          <cell r="D63">
            <v>6542895.07</v>
          </cell>
          <cell r="F63">
            <v>122</v>
          </cell>
          <cell r="G63">
            <v>210.25</v>
          </cell>
          <cell r="I63">
            <v>66</v>
          </cell>
          <cell r="J63">
            <v>-2020524.76</v>
          </cell>
          <cell r="R63">
            <v>72</v>
          </cell>
          <cell r="S63">
            <v>-769694.03</v>
          </cell>
          <cell r="U63">
            <v>74</v>
          </cell>
          <cell r="V63">
            <v>1648</v>
          </cell>
          <cell r="X63">
            <v>65</v>
          </cell>
          <cell r="Y63">
            <v>-186146</v>
          </cell>
          <cell r="AA63">
            <v>133</v>
          </cell>
          <cell r="AB63">
            <v>-3950</v>
          </cell>
          <cell r="BE63">
            <v>67</v>
          </cell>
          <cell r="BF63">
            <v>53238.9775367</v>
          </cell>
          <cell r="CF63">
            <v>62</v>
          </cell>
          <cell r="CG63" t="str">
            <v>Y</v>
          </cell>
        </row>
        <row r="64">
          <cell r="C64">
            <v>67</v>
          </cell>
          <cell r="D64">
            <v>22426270.31</v>
          </cell>
          <cell r="F64">
            <v>123</v>
          </cell>
          <cell r="G64">
            <v>22072</v>
          </cell>
          <cell r="I64">
            <v>67</v>
          </cell>
          <cell r="J64">
            <v>-6106309.03</v>
          </cell>
          <cell r="R64">
            <v>73</v>
          </cell>
          <cell r="S64">
            <v>-1268311.53</v>
          </cell>
          <cell r="U64">
            <v>75</v>
          </cell>
          <cell r="V64">
            <v>33226.56</v>
          </cell>
          <cell r="X64">
            <v>66</v>
          </cell>
          <cell r="Y64">
            <v>-342456</v>
          </cell>
          <cell r="AA64">
            <v>135</v>
          </cell>
          <cell r="AB64">
            <v>-298078.84</v>
          </cell>
          <cell r="BE64">
            <v>68</v>
          </cell>
          <cell r="BF64">
            <v>13272.6579758</v>
          </cell>
          <cell r="CF64">
            <v>64</v>
          </cell>
          <cell r="CG64" t="str">
            <v>Y</v>
          </cell>
        </row>
        <row r="65">
          <cell r="C65">
            <v>68</v>
          </cell>
          <cell r="D65">
            <v>3623818.45</v>
          </cell>
          <cell r="F65">
            <v>133</v>
          </cell>
          <cell r="G65">
            <v>21245.75</v>
          </cell>
          <cell r="I65">
            <v>68</v>
          </cell>
          <cell r="J65">
            <v>-1616352.38</v>
          </cell>
          <cell r="R65">
            <v>74</v>
          </cell>
          <cell r="S65">
            <v>-100281.8</v>
          </cell>
          <cell r="U65">
            <v>79</v>
          </cell>
          <cell r="V65">
            <v>0</v>
          </cell>
          <cell r="X65">
            <v>67</v>
          </cell>
          <cell r="Y65">
            <v>766</v>
          </cell>
          <cell r="AA65">
            <v>140</v>
          </cell>
          <cell r="AB65">
            <v>-30779.85</v>
          </cell>
          <cell r="BE65">
            <v>69</v>
          </cell>
          <cell r="BF65">
            <v>15384.653114</v>
          </cell>
          <cell r="CF65">
            <v>65</v>
          </cell>
          <cell r="CG65" t="str">
            <v>Y</v>
          </cell>
        </row>
        <row r="66">
          <cell r="C66">
            <v>69</v>
          </cell>
          <cell r="D66">
            <v>10712588.04</v>
          </cell>
          <cell r="F66">
            <v>135</v>
          </cell>
          <cell r="G66">
            <v>154335.32</v>
          </cell>
          <cell r="I66">
            <v>69</v>
          </cell>
          <cell r="J66">
            <v>-4686497.85</v>
          </cell>
          <cell r="R66">
            <v>75</v>
          </cell>
          <cell r="S66">
            <v>-2596111.97</v>
          </cell>
          <cell r="U66">
            <v>80</v>
          </cell>
          <cell r="V66">
            <v>922879.56</v>
          </cell>
          <cell r="X66">
            <v>68</v>
          </cell>
          <cell r="Y66">
            <v>-271575</v>
          </cell>
          <cell r="AA66">
            <v>151</v>
          </cell>
          <cell r="AB66">
            <v>-21074.25</v>
          </cell>
          <cell r="BE66">
            <v>70</v>
          </cell>
          <cell r="BF66">
            <v>101945.3959799</v>
          </cell>
          <cell r="CF66">
            <v>66</v>
          </cell>
          <cell r="CG66" t="str">
            <v>Y</v>
          </cell>
        </row>
        <row r="67">
          <cell r="C67">
            <v>70</v>
          </cell>
          <cell r="D67">
            <v>39970342.58</v>
          </cell>
          <cell r="F67">
            <v>140</v>
          </cell>
          <cell r="G67">
            <v>4721115.71</v>
          </cell>
          <cell r="I67">
            <v>70</v>
          </cell>
          <cell r="J67">
            <v>-5323401.34</v>
          </cell>
          <cell r="R67">
            <v>77</v>
          </cell>
          <cell r="S67">
            <v>0</v>
          </cell>
          <cell r="U67">
            <v>81</v>
          </cell>
          <cell r="V67">
            <v>11436</v>
          </cell>
          <cell r="X67">
            <v>69</v>
          </cell>
          <cell r="Y67">
            <v>229531</v>
          </cell>
          <cell r="AA67">
            <v>160</v>
          </cell>
          <cell r="AB67">
            <v>-118949.1</v>
          </cell>
          <cell r="BE67">
            <v>71</v>
          </cell>
          <cell r="BF67">
            <v>49876.8429577</v>
          </cell>
          <cell r="CF67">
            <v>67</v>
          </cell>
          <cell r="CG67" t="str">
            <v>Y</v>
          </cell>
        </row>
        <row r="68">
          <cell r="C68">
            <v>71</v>
          </cell>
          <cell r="D68">
            <v>9609705.49</v>
          </cell>
          <cell r="F68">
            <v>151</v>
          </cell>
          <cell r="G68">
            <v>0</v>
          </cell>
          <cell r="I68">
            <v>71</v>
          </cell>
          <cell r="J68">
            <v>-1583103.82</v>
          </cell>
          <cell r="R68">
            <v>79</v>
          </cell>
          <cell r="S68">
            <v>-6777533.75</v>
          </cell>
          <cell r="U68">
            <v>83</v>
          </cell>
          <cell r="V68">
            <v>72005.99</v>
          </cell>
          <cell r="X68">
            <v>70</v>
          </cell>
          <cell r="Y68">
            <v>-1798289</v>
          </cell>
          <cell r="AA68">
            <v>165</v>
          </cell>
          <cell r="AB68">
            <v>-21500</v>
          </cell>
          <cell r="BE68">
            <v>72</v>
          </cell>
          <cell r="BF68">
            <v>11342.433412</v>
          </cell>
          <cell r="CF68">
            <v>68</v>
          </cell>
          <cell r="CG68" t="str">
            <v>Y</v>
          </cell>
        </row>
        <row r="69">
          <cell r="C69">
            <v>72</v>
          </cell>
          <cell r="D69">
            <v>4106210.3</v>
          </cell>
          <cell r="F69">
            <v>160</v>
          </cell>
          <cell r="G69">
            <v>217345.06</v>
          </cell>
          <cell r="I69">
            <v>72</v>
          </cell>
          <cell r="J69">
            <v>-1280756.05</v>
          </cell>
          <cell r="R69">
            <v>80</v>
          </cell>
          <cell r="S69">
            <v>-33046498.28</v>
          </cell>
          <cell r="U69">
            <v>85</v>
          </cell>
          <cell r="V69">
            <v>0</v>
          </cell>
          <cell r="X69">
            <v>71</v>
          </cell>
          <cell r="Y69">
            <v>-530116</v>
          </cell>
          <cell r="BE69">
            <v>73</v>
          </cell>
          <cell r="BF69">
            <v>14301.0411226</v>
          </cell>
          <cell r="CF69">
            <v>69</v>
          </cell>
          <cell r="CG69" t="str">
            <v>Y</v>
          </cell>
        </row>
        <row r="70">
          <cell r="C70">
            <v>73</v>
          </cell>
          <cell r="D70">
            <v>6191525.95</v>
          </cell>
          <cell r="F70">
            <v>165</v>
          </cell>
          <cell r="G70">
            <v>0</v>
          </cell>
          <cell r="I70">
            <v>73</v>
          </cell>
          <cell r="J70">
            <v>-2935368.34</v>
          </cell>
          <cell r="R70">
            <v>81</v>
          </cell>
          <cell r="S70">
            <v>-47497.59</v>
          </cell>
          <cell r="U70">
            <v>86</v>
          </cell>
          <cell r="V70">
            <v>3428.44</v>
          </cell>
          <cell r="X70">
            <v>72</v>
          </cell>
          <cell r="Y70">
            <v>-30698</v>
          </cell>
          <cell r="BE70">
            <v>74</v>
          </cell>
          <cell r="BF70">
            <v>1138.7309019</v>
          </cell>
          <cell r="CF70">
            <v>70</v>
          </cell>
          <cell r="CG70" t="str">
            <v>Y</v>
          </cell>
        </row>
        <row r="71">
          <cell r="C71">
            <v>74</v>
          </cell>
          <cell r="D71">
            <v>307832.58</v>
          </cell>
          <cell r="I71">
            <v>74</v>
          </cell>
          <cell r="J71">
            <v>-27787.43</v>
          </cell>
          <cell r="R71">
            <v>83</v>
          </cell>
          <cell r="S71">
            <v>-10265035.78</v>
          </cell>
          <cell r="U71">
            <v>87</v>
          </cell>
          <cell r="V71">
            <v>60249.8</v>
          </cell>
          <cell r="X71">
            <v>73</v>
          </cell>
          <cell r="Y71">
            <v>-154709</v>
          </cell>
          <cell r="BE71">
            <v>75</v>
          </cell>
          <cell r="BF71">
            <v>12115.6719686</v>
          </cell>
          <cell r="CF71">
            <v>71</v>
          </cell>
          <cell r="CG71" t="str">
            <v>N</v>
          </cell>
        </row>
        <row r="72">
          <cell r="C72">
            <v>75</v>
          </cell>
          <cell r="D72">
            <v>5431410.49</v>
          </cell>
          <cell r="I72">
            <v>75</v>
          </cell>
          <cell r="J72">
            <v>-599780.58</v>
          </cell>
          <cell r="R72">
            <v>85</v>
          </cell>
          <cell r="S72">
            <v>-50894.94</v>
          </cell>
          <cell r="U72">
            <v>88</v>
          </cell>
          <cell r="V72">
            <v>72969.12</v>
          </cell>
          <cell r="X72">
            <v>74</v>
          </cell>
          <cell r="Y72">
            <v>-42757</v>
          </cell>
          <cell r="BE72">
            <v>77</v>
          </cell>
          <cell r="BF72">
            <v>0</v>
          </cell>
          <cell r="CF72">
            <v>72</v>
          </cell>
          <cell r="CG72" t="str">
            <v>Y</v>
          </cell>
        </row>
        <row r="73">
          <cell r="C73">
            <v>77</v>
          </cell>
          <cell r="D73">
            <v>0</v>
          </cell>
          <cell r="I73">
            <v>77</v>
          </cell>
          <cell r="J73">
            <v>0</v>
          </cell>
          <cell r="R73">
            <v>86</v>
          </cell>
          <cell r="S73">
            <v>-3854909.92</v>
          </cell>
          <cell r="U73">
            <v>89</v>
          </cell>
          <cell r="V73">
            <v>2781</v>
          </cell>
          <cell r="X73">
            <v>75</v>
          </cell>
          <cell r="Y73">
            <v>-384570</v>
          </cell>
          <cell r="BE73">
            <v>79</v>
          </cell>
          <cell r="BF73">
            <v>17336.925242</v>
          </cell>
          <cell r="CF73">
            <v>73</v>
          </cell>
          <cell r="CG73" t="str">
            <v>N</v>
          </cell>
        </row>
        <row r="74">
          <cell r="C74">
            <v>79</v>
          </cell>
          <cell r="D74">
            <v>12004929.44</v>
          </cell>
          <cell r="I74">
            <v>79</v>
          </cell>
          <cell r="J74">
            <v>-2964792.57</v>
          </cell>
          <cell r="R74">
            <v>87</v>
          </cell>
          <cell r="S74">
            <v>-519851.69</v>
          </cell>
          <cell r="U74">
            <v>90</v>
          </cell>
          <cell r="V74">
            <v>393334.43</v>
          </cell>
          <cell r="X74">
            <v>77</v>
          </cell>
          <cell r="Y74">
            <v>0</v>
          </cell>
          <cell r="BE74">
            <v>80</v>
          </cell>
          <cell r="BF74">
            <v>216066.3023552</v>
          </cell>
          <cell r="CF74">
            <v>74</v>
          </cell>
          <cell r="CG74" t="str">
            <v>Y</v>
          </cell>
        </row>
        <row r="75">
          <cell r="C75">
            <v>80</v>
          </cell>
          <cell r="D75">
            <v>87305363.55</v>
          </cell>
          <cell r="I75">
            <v>80</v>
          </cell>
          <cell r="J75">
            <v>-15777978.87</v>
          </cell>
          <cell r="R75">
            <v>88</v>
          </cell>
          <cell r="S75">
            <v>-1521082.66</v>
          </cell>
          <cell r="U75">
            <v>91</v>
          </cell>
          <cell r="V75">
            <v>70160.18</v>
          </cell>
          <cell r="X75">
            <v>79</v>
          </cell>
          <cell r="Y75">
            <v>-511171</v>
          </cell>
          <cell r="BE75">
            <v>81</v>
          </cell>
          <cell r="BF75">
            <v>1967.8688476</v>
          </cell>
          <cell r="CF75">
            <v>75</v>
          </cell>
          <cell r="CG75" t="str">
            <v>Y</v>
          </cell>
        </row>
        <row r="76">
          <cell r="C76">
            <v>81</v>
          </cell>
          <cell r="D76">
            <v>1537084.66</v>
          </cell>
          <cell r="I76">
            <v>81</v>
          </cell>
          <cell r="J76">
            <v>-252784.59</v>
          </cell>
          <cell r="R76">
            <v>89</v>
          </cell>
          <cell r="S76">
            <v>-17267824.66</v>
          </cell>
          <cell r="U76">
            <v>92</v>
          </cell>
          <cell r="V76">
            <v>2333</v>
          </cell>
          <cell r="X76">
            <v>80</v>
          </cell>
          <cell r="Y76">
            <v>-4922354</v>
          </cell>
          <cell r="BE76">
            <v>83</v>
          </cell>
          <cell r="BF76">
            <v>61038.5299344</v>
          </cell>
          <cell r="CF76">
            <v>77</v>
          </cell>
          <cell r="CG76" t="str">
            <v>Y</v>
          </cell>
        </row>
        <row r="77">
          <cell r="C77">
            <v>83</v>
          </cell>
          <cell r="D77">
            <v>20649057.96</v>
          </cell>
          <cell r="I77">
            <v>83</v>
          </cell>
          <cell r="J77">
            <v>-4284777.15</v>
          </cell>
          <cell r="R77">
            <v>90</v>
          </cell>
          <cell r="S77">
            <v>-988573.75</v>
          </cell>
          <cell r="U77">
            <v>101</v>
          </cell>
          <cell r="V77">
            <v>31909.05</v>
          </cell>
          <cell r="X77">
            <v>81</v>
          </cell>
          <cell r="Y77">
            <v>-92428</v>
          </cell>
          <cell r="BE77">
            <v>85</v>
          </cell>
          <cell r="BF77">
            <v>1244.4690748</v>
          </cell>
          <cell r="CF77">
            <v>79</v>
          </cell>
          <cell r="CG77" t="str">
            <v>N</v>
          </cell>
        </row>
        <row r="78">
          <cell r="C78">
            <v>85</v>
          </cell>
          <cell r="D78">
            <v>277282.78</v>
          </cell>
          <cell r="I78">
            <v>85</v>
          </cell>
          <cell r="J78">
            <v>-42959.86</v>
          </cell>
          <cell r="R78">
            <v>91</v>
          </cell>
          <cell r="S78">
            <v>-473233.51</v>
          </cell>
          <cell r="U78">
            <v>103</v>
          </cell>
          <cell r="V78">
            <v>38183.72</v>
          </cell>
          <cell r="X78">
            <v>83</v>
          </cell>
          <cell r="Y78">
            <v>-1333565</v>
          </cell>
          <cell r="BE78">
            <v>86</v>
          </cell>
          <cell r="BF78">
            <v>13367.7259612</v>
          </cell>
          <cell r="CF78">
            <v>80</v>
          </cell>
          <cell r="CG78" t="str">
            <v>Y</v>
          </cell>
        </row>
        <row r="79">
          <cell r="C79">
            <v>86</v>
          </cell>
          <cell r="D79">
            <v>6309084.34</v>
          </cell>
          <cell r="I79">
            <v>86</v>
          </cell>
          <cell r="J79">
            <v>-1043550.19</v>
          </cell>
          <cell r="R79">
            <v>92</v>
          </cell>
          <cell r="S79">
            <v>-837770.99</v>
          </cell>
          <cell r="U79">
            <v>104</v>
          </cell>
          <cell r="V79">
            <v>68131.9</v>
          </cell>
          <cell r="X79">
            <v>85</v>
          </cell>
          <cell r="Y79">
            <v>-34693</v>
          </cell>
          <cell r="BE79">
            <v>87</v>
          </cell>
          <cell r="BF79">
            <v>15203.6263735</v>
          </cell>
          <cell r="CF79">
            <v>81</v>
          </cell>
          <cell r="CG79" t="str">
            <v>Y</v>
          </cell>
        </row>
        <row r="80">
          <cell r="C80">
            <v>87</v>
          </cell>
          <cell r="D80">
            <v>9945525.02</v>
          </cell>
          <cell r="I80">
            <v>87</v>
          </cell>
          <cell r="J80">
            <v>-2825445.2</v>
          </cell>
          <cell r="R80">
            <v>101</v>
          </cell>
          <cell r="S80">
            <v>-7352578.41</v>
          </cell>
          <cell r="U80">
            <v>105</v>
          </cell>
          <cell r="V80">
            <v>31199.89</v>
          </cell>
          <cell r="X80">
            <v>86</v>
          </cell>
          <cell r="Y80">
            <v>-220972</v>
          </cell>
          <cell r="BE80">
            <v>88</v>
          </cell>
          <cell r="BF80">
            <v>15778.2169841</v>
          </cell>
          <cell r="CF80">
            <v>83</v>
          </cell>
          <cell r="CG80" t="str">
            <v>Y</v>
          </cell>
        </row>
        <row r="81">
          <cell r="C81">
            <v>88</v>
          </cell>
          <cell r="D81">
            <v>6575926.7</v>
          </cell>
          <cell r="I81">
            <v>88</v>
          </cell>
          <cell r="J81">
            <v>-1828359.89</v>
          </cell>
          <cell r="R81">
            <v>103</v>
          </cell>
          <cell r="S81">
            <v>-1495918.53</v>
          </cell>
          <cell r="U81">
            <v>106</v>
          </cell>
          <cell r="V81">
            <v>77097.37</v>
          </cell>
          <cell r="X81">
            <v>87</v>
          </cell>
          <cell r="Y81">
            <v>-288895</v>
          </cell>
          <cell r="BE81">
            <v>89</v>
          </cell>
          <cell r="BF81">
            <v>60526.4965733</v>
          </cell>
          <cell r="CF81">
            <v>85</v>
          </cell>
          <cell r="CG81" t="str">
            <v>Y</v>
          </cell>
        </row>
        <row r="82">
          <cell r="C82">
            <v>89</v>
          </cell>
          <cell r="D82">
            <v>29794822.36</v>
          </cell>
          <cell r="I82">
            <v>89</v>
          </cell>
          <cell r="J82">
            <v>-3753981.35</v>
          </cell>
          <cell r="R82">
            <v>104</v>
          </cell>
          <cell r="S82">
            <v>-9126.8</v>
          </cell>
          <cell r="U82">
            <v>107</v>
          </cell>
          <cell r="V82">
            <v>150</v>
          </cell>
          <cell r="X82">
            <v>88</v>
          </cell>
          <cell r="Y82">
            <v>-135386</v>
          </cell>
          <cell r="BE82">
            <v>90</v>
          </cell>
          <cell r="BF82">
            <v>58043.7656078</v>
          </cell>
          <cell r="CF82">
            <v>86</v>
          </cell>
          <cell r="CG82" t="str">
            <v>N</v>
          </cell>
        </row>
        <row r="83">
          <cell r="C83">
            <v>90</v>
          </cell>
          <cell r="D83">
            <v>13495427.01</v>
          </cell>
          <cell r="I83">
            <v>90</v>
          </cell>
          <cell r="J83">
            <v>-4406658.11</v>
          </cell>
          <cell r="R83">
            <v>105</v>
          </cell>
          <cell r="S83">
            <v>-327585.15</v>
          </cell>
          <cell r="U83">
            <v>108</v>
          </cell>
          <cell r="V83">
            <v>23721.26</v>
          </cell>
          <cell r="X83">
            <v>89</v>
          </cell>
          <cell r="Y83">
            <v>-417186.12</v>
          </cell>
          <cell r="BE83">
            <v>91</v>
          </cell>
          <cell r="BF83">
            <v>9717.2288669</v>
          </cell>
          <cell r="CF83">
            <v>87</v>
          </cell>
          <cell r="CG83" t="str">
            <v>Y</v>
          </cell>
        </row>
        <row r="84">
          <cell r="C84">
            <v>91</v>
          </cell>
          <cell r="D84">
            <v>3826020.21</v>
          </cell>
          <cell r="I84">
            <v>91</v>
          </cell>
          <cell r="J84">
            <v>-1044086.75</v>
          </cell>
          <cell r="R84">
            <v>106</v>
          </cell>
          <cell r="S84">
            <v>-342</v>
          </cell>
          <cell r="U84">
            <v>109</v>
          </cell>
          <cell r="V84">
            <v>9151.78</v>
          </cell>
          <cell r="X84">
            <v>90</v>
          </cell>
          <cell r="Y84">
            <v>-1076805</v>
          </cell>
          <cell r="BE84">
            <v>92</v>
          </cell>
          <cell r="BF84">
            <v>2081.9724169</v>
          </cell>
          <cell r="CF84">
            <v>88</v>
          </cell>
          <cell r="CG84" t="str">
            <v>Y</v>
          </cell>
        </row>
        <row r="85">
          <cell r="C85">
            <v>92</v>
          </cell>
          <cell r="D85">
            <v>1529495.68</v>
          </cell>
          <cell r="I85">
            <v>92</v>
          </cell>
          <cell r="J85">
            <v>-206276.28</v>
          </cell>
          <cell r="R85">
            <v>107</v>
          </cell>
          <cell r="S85">
            <v>-1468875.64</v>
          </cell>
          <cell r="U85">
            <v>120</v>
          </cell>
          <cell r="V85">
            <v>9760.06</v>
          </cell>
          <cell r="X85">
            <v>91</v>
          </cell>
          <cell r="Y85">
            <v>-386189</v>
          </cell>
          <cell r="BE85">
            <v>93</v>
          </cell>
          <cell r="BF85">
            <v>2031.78003850044</v>
          </cell>
          <cell r="CF85">
            <v>89</v>
          </cell>
          <cell r="CG85" t="str">
            <v>Y</v>
          </cell>
        </row>
        <row r="86">
          <cell r="C86">
            <v>93</v>
          </cell>
          <cell r="D86">
            <v>3046256.94</v>
          </cell>
          <cell r="I86">
            <v>93</v>
          </cell>
          <cell r="J86">
            <v>-1028137.25</v>
          </cell>
          <cell r="R86">
            <v>108</v>
          </cell>
          <cell r="S86">
            <v>-324508.32</v>
          </cell>
          <cell r="U86">
            <v>121</v>
          </cell>
          <cell r="V86">
            <v>24431.82</v>
          </cell>
          <cell r="X86">
            <v>92</v>
          </cell>
          <cell r="Y86">
            <v>-62086</v>
          </cell>
          <cell r="BE86">
            <v>94</v>
          </cell>
          <cell r="BF86">
            <v>976.7031006</v>
          </cell>
          <cell r="CF86">
            <v>90</v>
          </cell>
          <cell r="CG86" t="str">
            <v>N</v>
          </cell>
        </row>
        <row r="87">
          <cell r="C87">
            <v>94</v>
          </cell>
          <cell r="D87">
            <v>11634.19</v>
          </cell>
          <cell r="I87">
            <v>94</v>
          </cell>
          <cell r="J87">
            <v>7099.3</v>
          </cell>
          <cell r="R87">
            <v>109</v>
          </cell>
          <cell r="S87">
            <v>-88173.62</v>
          </cell>
          <cell r="U87">
            <v>122</v>
          </cell>
          <cell r="V87">
            <v>47017.13</v>
          </cell>
          <cell r="X87">
            <v>93</v>
          </cell>
          <cell r="Y87">
            <v>37244</v>
          </cell>
          <cell r="BE87">
            <v>101</v>
          </cell>
          <cell r="BF87">
            <v>105625.4156221</v>
          </cell>
          <cell r="CF87">
            <v>91</v>
          </cell>
          <cell r="CG87" t="str">
            <v>Y</v>
          </cell>
        </row>
        <row r="88">
          <cell r="C88">
            <v>101</v>
          </cell>
          <cell r="D88">
            <v>38755270.74</v>
          </cell>
          <cell r="I88">
            <v>101</v>
          </cell>
          <cell r="J88">
            <v>-19234060.05</v>
          </cell>
          <cell r="R88">
            <v>120</v>
          </cell>
          <cell r="S88">
            <v>-6636518.13</v>
          </cell>
          <cell r="U88">
            <v>123</v>
          </cell>
          <cell r="V88">
            <v>26600.78</v>
          </cell>
          <cell r="X88">
            <v>94</v>
          </cell>
          <cell r="Y88">
            <v>-10</v>
          </cell>
          <cell r="BE88">
            <v>103</v>
          </cell>
          <cell r="BF88">
            <v>7098.6270731</v>
          </cell>
          <cell r="CF88">
            <v>92</v>
          </cell>
          <cell r="CG88" t="str">
            <v>Y</v>
          </cell>
        </row>
        <row r="89">
          <cell r="C89">
            <v>103</v>
          </cell>
          <cell r="D89">
            <v>2570856.2</v>
          </cell>
          <cell r="I89">
            <v>103</v>
          </cell>
          <cell r="J89">
            <v>-833588.68</v>
          </cell>
          <cell r="R89">
            <v>121</v>
          </cell>
          <cell r="S89">
            <v>-18961.72</v>
          </cell>
          <cell r="U89">
            <v>133</v>
          </cell>
          <cell r="V89">
            <v>5167.32</v>
          </cell>
          <cell r="X89">
            <v>101</v>
          </cell>
          <cell r="Y89">
            <v>-47656</v>
          </cell>
          <cell r="BE89">
            <v>104</v>
          </cell>
          <cell r="BF89">
            <v>2270.6207199</v>
          </cell>
          <cell r="CF89">
            <v>93</v>
          </cell>
          <cell r="CG89" t="str">
            <v>Y</v>
          </cell>
        </row>
        <row r="90">
          <cell r="C90">
            <v>104</v>
          </cell>
          <cell r="D90">
            <v>716119.17</v>
          </cell>
          <cell r="I90">
            <v>104</v>
          </cell>
          <cell r="J90">
            <v>-329726.16</v>
          </cell>
          <cell r="R90">
            <v>122</v>
          </cell>
          <cell r="S90">
            <v>-280640.56</v>
          </cell>
          <cell r="U90">
            <v>135</v>
          </cell>
          <cell r="V90">
            <v>16920.04</v>
          </cell>
          <cell r="X90">
            <v>103</v>
          </cell>
          <cell r="Y90">
            <v>84835</v>
          </cell>
          <cell r="BE90">
            <v>105</v>
          </cell>
          <cell r="BF90">
            <v>26108.7543816</v>
          </cell>
          <cell r="CF90">
            <v>94</v>
          </cell>
          <cell r="CG90" t="str">
            <v>Y</v>
          </cell>
        </row>
        <row r="91">
          <cell r="C91">
            <v>105</v>
          </cell>
          <cell r="D91">
            <v>2830210.65</v>
          </cell>
          <cell r="I91">
            <v>105</v>
          </cell>
          <cell r="J91">
            <v>-1539261.59</v>
          </cell>
          <cell r="R91">
            <v>123</v>
          </cell>
          <cell r="S91">
            <v>-409933.66</v>
          </cell>
          <cell r="U91">
            <v>140</v>
          </cell>
          <cell r="V91">
            <v>28890.45</v>
          </cell>
          <cell r="X91">
            <v>104</v>
          </cell>
          <cell r="Y91">
            <v>-51305</v>
          </cell>
          <cell r="BE91">
            <v>106</v>
          </cell>
          <cell r="BF91">
            <v>8369.7166496</v>
          </cell>
          <cell r="CF91">
            <v>101</v>
          </cell>
          <cell r="CG91" t="str">
            <v>Y</v>
          </cell>
        </row>
        <row r="92">
          <cell r="C92">
            <v>106</v>
          </cell>
          <cell r="D92">
            <v>2178170.15</v>
          </cell>
          <cell r="I92">
            <v>106</v>
          </cell>
          <cell r="J92">
            <v>-538214.98</v>
          </cell>
          <cell r="R92">
            <v>135</v>
          </cell>
          <cell r="S92">
            <v>-2427089.38</v>
          </cell>
          <cell r="U92">
            <v>150</v>
          </cell>
          <cell r="V92">
            <v>53193.12</v>
          </cell>
          <cell r="X92">
            <v>105</v>
          </cell>
          <cell r="Y92">
            <v>-71259</v>
          </cell>
          <cell r="BE92">
            <v>107</v>
          </cell>
          <cell r="BF92">
            <v>13318.2774167</v>
          </cell>
          <cell r="CF92">
            <v>103</v>
          </cell>
          <cell r="CG92" t="str">
            <v>N</v>
          </cell>
        </row>
        <row r="93">
          <cell r="C93">
            <v>107</v>
          </cell>
          <cell r="D93">
            <v>4550461.16</v>
          </cell>
          <cell r="I93">
            <v>107</v>
          </cell>
          <cell r="J93">
            <v>-1436091.03</v>
          </cell>
          <cell r="R93">
            <v>140</v>
          </cell>
          <cell r="S93">
            <v>-13532276.01</v>
          </cell>
          <cell r="U93">
            <v>151</v>
          </cell>
          <cell r="V93">
            <v>0</v>
          </cell>
          <cell r="X93">
            <v>106</v>
          </cell>
          <cell r="Y93">
            <v>-118946</v>
          </cell>
          <cell r="BE93">
            <v>108</v>
          </cell>
          <cell r="BF93">
            <v>2207.0997683</v>
          </cell>
          <cell r="CF93">
            <v>104</v>
          </cell>
          <cell r="CG93" t="str">
            <v>Y</v>
          </cell>
        </row>
        <row r="94">
          <cell r="C94">
            <v>108</v>
          </cell>
          <cell r="D94">
            <v>3448405.55</v>
          </cell>
          <cell r="I94">
            <v>108</v>
          </cell>
          <cell r="J94">
            <v>-1524294.43</v>
          </cell>
          <cell r="R94">
            <v>150</v>
          </cell>
          <cell r="S94">
            <v>-3242.27</v>
          </cell>
          <cell r="U94">
            <v>160</v>
          </cell>
          <cell r="V94">
            <v>249269.69</v>
          </cell>
          <cell r="X94">
            <v>107</v>
          </cell>
          <cell r="Y94">
            <v>-31625</v>
          </cell>
          <cell r="BE94">
            <v>109</v>
          </cell>
          <cell r="BF94">
            <v>2349.3481518</v>
          </cell>
          <cell r="CF94">
            <v>105</v>
          </cell>
          <cell r="CG94" t="str">
            <v>N</v>
          </cell>
        </row>
        <row r="95">
          <cell r="C95">
            <v>109</v>
          </cell>
          <cell r="D95">
            <v>1864421.95</v>
          </cell>
          <cell r="I95">
            <v>109</v>
          </cell>
          <cell r="J95">
            <v>-794791.98</v>
          </cell>
          <cell r="R95">
            <v>151</v>
          </cell>
          <cell r="S95">
            <v>-392975.69</v>
          </cell>
          <cell r="X95">
            <v>108</v>
          </cell>
          <cell r="Y95">
            <v>-24687</v>
          </cell>
          <cell r="BE95">
            <v>120</v>
          </cell>
          <cell r="BF95">
            <v>19795.0601917</v>
          </cell>
          <cell r="CF95">
            <v>106</v>
          </cell>
          <cell r="CG95" t="str">
            <v>N</v>
          </cell>
        </row>
        <row r="96">
          <cell r="C96">
            <v>120</v>
          </cell>
          <cell r="D96">
            <v>9833724.26</v>
          </cell>
          <cell r="I96">
            <v>120</v>
          </cell>
          <cell r="J96">
            <v>-1744987.04</v>
          </cell>
          <cell r="R96">
            <v>160</v>
          </cell>
          <cell r="S96">
            <v>-76251.43</v>
          </cell>
          <cell r="X96">
            <v>109</v>
          </cell>
          <cell r="Y96">
            <v>-79441</v>
          </cell>
          <cell r="BE96">
            <v>121</v>
          </cell>
          <cell r="BF96">
            <v>1634.3137754</v>
          </cell>
          <cell r="CF96">
            <v>107</v>
          </cell>
          <cell r="CG96" t="str">
            <v>N</v>
          </cell>
        </row>
        <row r="97">
          <cell r="C97">
            <v>121</v>
          </cell>
          <cell r="D97">
            <v>461430.26</v>
          </cell>
          <cell r="I97">
            <v>121</v>
          </cell>
          <cell r="J97">
            <v>-310966.19</v>
          </cell>
          <cell r="R97">
            <v>165</v>
          </cell>
          <cell r="S97">
            <v>-46098.14</v>
          </cell>
          <cell r="X97">
            <v>120</v>
          </cell>
          <cell r="Y97">
            <v>-100024</v>
          </cell>
          <cell r="BE97">
            <v>122</v>
          </cell>
          <cell r="BF97">
            <v>10397.6675845</v>
          </cell>
          <cell r="CF97">
            <v>108</v>
          </cell>
          <cell r="CG97" t="str">
            <v>N</v>
          </cell>
        </row>
        <row r="98">
          <cell r="C98">
            <v>122</v>
          </cell>
          <cell r="D98">
            <v>3989333.29</v>
          </cell>
          <cell r="I98">
            <v>122</v>
          </cell>
          <cell r="J98">
            <v>-888980.55</v>
          </cell>
          <cell r="X98">
            <v>121</v>
          </cell>
          <cell r="Y98">
            <v>-26823</v>
          </cell>
          <cell r="BE98">
            <v>123</v>
          </cell>
          <cell r="BF98">
            <v>1379.4861351</v>
          </cell>
          <cell r="CF98">
            <v>109</v>
          </cell>
          <cell r="CG98" t="str">
            <v>Y</v>
          </cell>
        </row>
        <row r="99">
          <cell r="C99">
            <v>123</v>
          </cell>
          <cell r="D99">
            <v>546039.87</v>
          </cell>
          <cell r="I99">
            <v>123</v>
          </cell>
          <cell r="J99">
            <v>-62611.56</v>
          </cell>
          <cell r="X99">
            <v>122</v>
          </cell>
          <cell r="Y99">
            <v>-181561</v>
          </cell>
          <cell r="BE99">
            <v>133</v>
          </cell>
          <cell r="BF99">
            <v>4597.5310682</v>
          </cell>
          <cell r="CF99">
            <v>120</v>
          </cell>
          <cell r="CG99" t="str">
            <v>N</v>
          </cell>
        </row>
        <row r="100">
          <cell r="C100">
            <v>133</v>
          </cell>
          <cell r="D100">
            <v>2356116.27</v>
          </cell>
          <cell r="I100">
            <v>133</v>
          </cell>
          <cell r="J100">
            <v>-373811.89</v>
          </cell>
          <cell r="X100">
            <v>123</v>
          </cell>
          <cell r="Y100">
            <v>-27383</v>
          </cell>
          <cell r="BE100">
            <v>135</v>
          </cell>
          <cell r="BF100">
            <v>60878.4166849</v>
          </cell>
          <cell r="CF100">
            <v>121</v>
          </cell>
          <cell r="CG100" t="str">
            <v>N</v>
          </cell>
        </row>
        <row r="101">
          <cell r="C101">
            <v>135</v>
          </cell>
          <cell r="D101">
            <v>10390962.67</v>
          </cell>
          <cell r="I101">
            <v>135</v>
          </cell>
          <cell r="J101">
            <v>-3805428.59</v>
          </cell>
          <cell r="X101">
            <v>133</v>
          </cell>
          <cell r="Y101">
            <v>-43217</v>
          </cell>
          <cell r="BE101">
            <v>140</v>
          </cell>
          <cell r="BF101">
            <v>55868.0662945</v>
          </cell>
          <cell r="CF101">
            <v>122</v>
          </cell>
          <cell r="CG101" t="str">
            <v>Y</v>
          </cell>
        </row>
        <row r="102">
          <cell r="C102">
            <v>140</v>
          </cell>
          <cell r="D102">
            <v>26677223.27</v>
          </cell>
          <cell r="I102">
            <v>140</v>
          </cell>
          <cell r="J102">
            <v>-10111066.41</v>
          </cell>
          <cell r="X102">
            <v>135</v>
          </cell>
          <cell r="Y102">
            <v>-504503</v>
          </cell>
          <cell r="BE102">
            <v>150</v>
          </cell>
          <cell r="BF102">
            <v>5697.0567291</v>
          </cell>
          <cell r="CF102">
            <v>123</v>
          </cell>
          <cell r="CG102" t="str">
            <v>N</v>
          </cell>
        </row>
        <row r="103">
          <cell r="C103">
            <v>150</v>
          </cell>
          <cell r="D103">
            <v>911439.58</v>
          </cell>
          <cell r="I103">
            <v>150</v>
          </cell>
          <cell r="J103">
            <v>-225628.1</v>
          </cell>
          <cell r="X103">
            <v>140</v>
          </cell>
          <cell r="Y103">
            <v>527767</v>
          </cell>
          <cell r="BE103">
            <v>151</v>
          </cell>
          <cell r="BF103">
            <v>12084.8687687</v>
          </cell>
          <cell r="CF103">
            <v>133</v>
          </cell>
          <cell r="CG103" t="str">
            <v>Y</v>
          </cell>
        </row>
        <row r="104">
          <cell r="C104">
            <v>151</v>
          </cell>
          <cell r="D104">
            <v>1232028.31</v>
          </cell>
          <cell r="I104">
            <v>151</v>
          </cell>
          <cell r="J104">
            <v>-283063.76</v>
          </cell>
          <cell r="X104">
            <v>150</v>
          </cell>
          <cell r="Y104">
            <v>-146625</v>
          </cell>
          <cell r="BE104">
            <v>160</v>
          </cell>
          <cell r="BF104">
            <v>39447.981934</v>
          </cell>
          <cell r="CF104">
            <v>135</v>
          </cell>
          <cell r="CG104" t="str">
            <v>Y</v>
          </cell>
        </row>
        <row r="105">
          <cell r="C105">
            <v>160</v>
          </cell>
          <cell r="D105">
            <v>7692277.93</v>
          </cell>
          <cell r="I105">
            <v>160</v>
          </cell>
          <cell r="J105">
            <v>-3194558</v>
          </cell>
          <cell r="X105">
            <v>151</v>
          </cell>
          <cell r="Y105">
            <v>-114843</v>
          </cell>
          <cell r="BE105">
            <v>165</v>
          </cell>
          <cell r="BF105">
            <v>15260.3062412</v>
          </cell>
          <cell r="CF105">
            <v>140</v>
          </cell>
          <cell r="CG105" t="str">
            <v>N</v>
          </cell>
        </row>
        <row r="106">
          <cell r="C106">
            <v>165</v>
          </cell>
          <cell r="D106">
            <v>1994603.87</v>
          </cell>
          <cell r="I106">
            <v>165</v>
          </cell>
          <cell r="J106">
            <v>-121322.2</v>
          </cell>
          <cell r="X106">
            <v>160</v>
          </cell>
          <cell r="Y106">
            <v>-358150</v>
          </cell>
          <cell r="CF106">
            <v>150</v>
          </cell>
          <cell r="CG106" t="str">
            <v>Y</v>
          </cell>
        </row>
        <row r="107">
          <cell r="X107">
            <v>165</v>
          </cell>
          <cell r="Y107">
            <v>-160563</v>
          </cell>
          <cell r="CF107">
            <v>151</v>
          </cell>
          <cell r="CG107" t="str">
            <v>N</v>
          </cell>
        </row>
        <row r="108">
          <cell r="CF108">
            <v>160</v>
          </cell>
          <cell r="CG108" t="str">
            <v>Y</v>
          </cell>
        </row>
        <row r="109">
          <cell r="CF109">
            <v>165</v>
          </cell>
          <cell r="CG109" t="str">
            <v>Y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SCH A, C, G, H"/>
      <sheetName val="A INC STAT, PROFORMA"/>
      <sheetName val="ACCT RECON EXCERPT"/>
      <sheetName val="B - BAL SHT"/>
      <sheetName val="C, D - RATES &amp; REV"/>
      <sheetName val="E - ANNUALIZED REVENUES"/>
      <sheetName val="F - FIXED ASSETS &amp; DEP"/>
      <sheetName val="PLANT ACCT REC"/>
      <sheetName val="G O&amp;M EXPENSE ADJUSTMENTS"/>
      <sheetName val="B 3"/>
      <sheetName val="A1 OPERATING INCOME ADJUST"/>
      <sheetName val="H - COMP O&amp;M EXP"/>
      <sheetName val="I RATE CASE EXP"/>
      <sheetName val="J1 RATE BASE &amp; ROR EXIST. RATES"/>
      <sheetName val="J2 RATE BASE &amp; ROR PROP. RATES"/>
      <sheetName val="A 3 RATE BASE ADJ."/>
      <sheetName val="R CIAC SCHED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SCHEDULE A</v>
          </cell>
          <cell r="I1" t="str">
            <v>SCHEDULE A</v>
          </cell>
        </row>
        <row r="2">
          <cell r="A2" t="str">
            <v>SANDY CREEK UTILITIES, INC.</v>
          </cell>
          <cell r="I2" t="str">
            <v>SANDY CREEK UTILITIES, INC.</v>
          </cell>
        </row>
        <row r="3">
          <cell r="A3" t="str">
            <v>SUPPORTING SCHEDULE - DETAIL DESCRIPTION OF PRO FORMA ADJUSTMENTS TO RATE BASE - WATER</v>
          </cell>
          <cell r="I3" t="str">
            <v>SUPPORTING SCHEDULE - DETAIL DESCRIPTION OF PRO FORMA ADJUSTMENTS TO RATE BASE - WATER</v>
          </cell>
        </row>
        <row r="5">
          <cell r="A5" t="str">
            <v>Line</v>
          </cell>
          <cell r="I5" t="str">
            <v>Line</v>
          </cell>
        </row>
        <row r="6">
          <cell r="A6" t="str">
            <v>No.</v>
          </cell>
          <cell r="B6" t="str">
            <v>Description</v>
          </cell>
          <cell r="G6" t="str">
            <v>Water</v>
          </cell>
          <cell r="H6" t="str">
            <v>Wastewater</v>
          </cell>
          <cell r="I6" t="str">
            <v>No.</v>
          </cell>
          <cell r="J6" t="str">
            <v>Description</v>
          </cell>
          <cell r="O6" t="str">
            <v>Water</v>
          </cell>
          <cell r="P6" t="str">
            <v>Wastewater</v>
          </cell>
        </row>
        <row r="8">
          <cell r="B8" t="str">
            <v>(A)</v>
          </cell>
          <cell r="C8" t="str">
            <v>Test year revenue </v>
          </cell>
          <cell r="J8" t="str">
            <v>(E)</v>
          </cell>
          <cell r="K8" t="str">
            <v>Revenue Increase</v>
          </cell>
        </row>
        <row r="9">
          <cell r="C9" t="str">
            <v>To accrued Fire Protection Revenues for the test year</v>
          </cell>
          <cell r="G9">
            <v>3850.59</v>
          </cell>
          <cell r="K9" t="str">
            <v>Increase in revenue required by the Utility to realize a</v>
          </cell>
        </row>
        <row r="10">
          <cell r="C10" t="str">
            <v>Test year revenue - actual per Schedule B-4</v>
          </cell>
          <cell r="G10">
            <v>0</v>
          </cell>
          <cell r="K10">
            <v>0</v>
          </cell>
          <cell r="L10" t="str">
            <v>% rate of return</v>
          </cell>
          <cell r="O10">
            <v>0</v>
          </cell>
        </row>
        <row r="12">
          <cell r="C12" t="str">
            <v>Adjustment required</v>
          </cell>
          <cell r="G12">
            <v>3850.59</v>
          </cell>
          <cell r="H12">
            <v>0</v>
          </cell>
          <cell r="J12" t="str">
            <v>(F)</v>
          </cell>
          <cell r="K12" t="str">
            <v>Operations &amp; Maintenance (O &amp; M) Expenses</v>
          </cell>
        </row>
        <row r="13">
          <cell r="K13" t="str">
            <v>(1)  Salaries &amp; Wages</v>
          </cell>
        </row>
        <row r="14">
          <cell r="B14" t="str">
            <v>(B)</v>
          </cell>
          <cell r="C14" t="str">
            <v>Operations &amp; Maintenance (O &amp; M) Expenses</v>
          </cell>
          <cell r="K14" t="str">
            <v>A) Add sewer plant laborer</v>
          </cell>
          <cell r="P14">
            <v>0</v>
          </cell>
        </row>
        <row r="15">
          <cell r="C15" t="str">
            <v>(1) Engineering</v>
          </cell>
          <cell r="K15" t="str">
            <v>B) Add plant operator</v>
          </cell>
          <cell r="O15">
            <v>0</v>
          </cell>
        </row>
        <row r="16">
          <cell r="C16" t="str">
            <v>A) Remove engineering expense benefiting future periods</v>
          </cell>
          <cell r="G16">
            <v>0</v>
          </cell>
          <cell r="H16">
            <v>0</v>
          </cell>
          <cell r="K16" t="str">
            <v>C) Reclassify salaries of general and administrative  employees</v>
          </cell>
        </row>
        <row r="17">
          <cell r="C17" t="str">
            <v>B) Remove engineering expense for abandoned projects</v>
          </cell>
          <cell r="K17" t="str">
            <v>to utility per Adjustment (F)(5)(J) (below)</v>
          </cell>
        </row>
        <row r="18">
          <cell r="C18" t="str">
            <v>C) Annual amortization of expenses benefiting future </v>
          </cell>
          <cell r="O18" t="str">
            <v>.</v>
          </cell>
        </row>
        <row r="19">
          <cell r="C19" t="str">
            <v>periods (5 years)</v>
          </cell>
          <cell r="G19">
            <v>0</v>
          </cell>
          <cell r="H19">
            <v>0</v>
          </cell>
          <cell r="K19" t="str">
            <v>Total salaries and wages</v>
          </cell>
          <cell r="O19">
            <v>0</v>
          </cell>
          <cell r="P19">
            <v>0</v>
          </cell>
        </row>
        <row r="21">
          <cell r="C21" t="str">
            <v>Net adjustment</v>
          </cell>
          <cell r="G21">
            <v>0</v>
          </cell>
          <cell r="H21">
            <v>0</v>
          </cell>
          <cell r="K21" t="str">
            <v>(2) DEP required expenses per permit renewal conditions (1)</v>
          </cell>
        </row>
        <row r="22">
          <cell r="K22" t="str">
            <v>A) Additional testing</v>
          </cell>
        </row>
        <row r="23">
          <cell r="C23" t="str">
            <v>(2) Legal</v>
          </cell>
          <cell r="K23" t="str">
            <v>B) Annual meter calibration</v>
          </cell>
        </row>
        <row r="24">
          <cell r="C24" t="str">
            <v>A) Reclassify legal expenses to deferred account</v>
          </cell>
          <cell r="K24" t="str">
            <v>C) Clean &amp; scarify pond</v>
          </cell>
        </row>
        <row r="25">
          <cell r="C25" t="str">
            <v>B) Reclassify rate case expense</v>
          </cell>
          <cell r="G25">
            <v>0</v>
          </cell>
          <cell r="H25">
            <v>0</v>
          </cell>
          <cell r="K25" t="str">
            <v>D) Aquatic weed control</v>
          </cell>
        </row>
        <row r="26">
          <cell r="K26" t="str">
            <v>E) Mow &amp; maintain pond embankments and access areas</v>
          </cell>
        </row>
        <row r="27">
          <cell r="C27" t="str">
            <v>Net adjustment</v>
          </cell>
          <cell r="G27">
            <v>0</v>
          </cell>
          <cell r="H27">
            <v>0</v>
          </cell>
          <cell r="K27" t="str">
            <v>F) Increase in purchased power due required plant additions</v>
          </cell>
        </row>
        <row r="28">
          <cell r="K28" t="str">
            <v>G) Monitor 5 sites</v>
          </cell>
        </row>
        <row r="29">
          <cell r="C29" t="str">
            <v>(3) Other Expenses</v>
          </cell>
          <cell r="K29" t="str">
            <v>H) Soil testing</v>
          </cell>
        </row>
        <row r="30">
          <cell r="C30" t="str">
            <v>A) Remove miscellaneous non-utility expenses</v>
          </cell>
          <cell r="K30" t="str">
            <v>I) Engineering reports to DEP</v>
          </cell>
          <cell r="P30">
            <v>0</v>
          </cell>
        </row>
        <row r="31">
          <cell r="C31" t="str">
            <v>B) Adjust management fees for prior period expense</v>
          </cell>
        </row>
        <row r="32">
          <cell r="C32" t="str">
            <v>C) Remove and defer cost of painting facilities</v>
          </cell>
          <cell r="K32" t="str">
            <v>Total DEP required annual expenses</v>
          </cell>
          <cell r="P32">
            <v>0</v>
          </cell>
        </row>
        <row r="33">
          <cell r="C33" t="str">
            <v>D) Amortize deferred cost of painting facilities (5 years)</v>
          </cell>
          <cell r="G33">
            <v>0</v>
          </cell>
          <cell r="H33" t="str">
            <v> </v>
          </cell>
        </row>
        <row r="34">
          <cell r="K34" t="str">
            <v>(3) Y2k compliance expenditures</v>
          </cell>
        </row>
        <row r="35">
          <cell r="C35" t="str">
            <v>Net adjustment</v>
          </cell>
          <cell r="G35">
            <v>0</v>
          </cell>
          <cell r="H35">
            <v>0</v>
          </cell>
          <cell r="K35" t="str">
            <v>A) Service bureau access license</v>
          </cell>
        </row>
        <row r="36">
          <cell r="K36" t="str">
            <v>B) Annual software fees</v>
          </cell>
        </row>
        <row r="37">
          <cell r="C37" t="str">
            <v>Total adjustment to O &amp; M Expense</v>
          </cell>
          <cell r="G37">
            <v>0</v>
          </cell>
          <cell r="H37">
            <v>0</v>
          </cell>
          <cell r="K37" t="str">
            <v>C) Annual telecommunications charges</v>
          </cell>
        </row>
        <row r="38">
          <cell r="K38" t="str">
            <v>D) Remove test year telecommunications charges</v>
          </cell>
        </row>
        <row r="39">
          <cell r="B39" t="str">
            <v>(C)</v>
          </cell>
          <cell r="C39" t="str">
            <v>Non-used and useful depreciation</v>
          </cell>
          <cell r="K39" t="str">
            <v>E) MIS manager allocated charges</v>
          </cell>
        </row>
        <row r="40">
          <cell r="C40" t="str">
            <v>Non-used and useful depreciation per Page B-14</v>
          </cell>
          <cell r="H40">
            <v>0</v>
          </cell>
          <cell r="K40" t="str">
            <v>F) Remove test year MIS manager allocated charges</v>
          </cell>
        </row>
        <row r="41">
          <cell r="K41" t="str">
            <v>G) Service bureau processing fees</v>
          </cell>
        </row>
        <row r="42">
          <cell r="B42" t="str">
            <v>(D)</v>
          </cell>
          <cell r="C42" t="str">
            <v>Taxes Other Than Income</v>
          </cell>
          <cell r="K42" t="str">
            <v>H) Remove test year service bureau processing fees</v>
          </cell>
          <cell r="O42">
            <v>0</v>
          </cell>
          <cell r="P42">
            <v>0</v>
          </cell>
        </row>
        <row r="43">
          <cell r="C43" t="str">
            <v>(2) Regulatory Assessment Fees (RAF's)</v>
          </cell>
        </row>
        <row r="44">
          <cell r="C44" t="str">
            <v>     RAF's associated with Adjustment (A) X 4.5%</v>
          </cell>
          <cell r="G44">
            <v>173</v>
          </cell>
          <cell r="H44">
            <v>0</v>
          </cell>
          <cell r="K44" t="str">
            <v>Total Y2k compliance expenditures</v>
          </cell>
          <cell r="O44">
            <v>0</v>
          </cell>
          <cell r="P44">
            <v>0</v>
          </cell>
        </row>
        <row r="49">
          <cell r="A49" t="str">
            <v>SCHEDULE A</v>
          </cell>
          <cell r="I49" t="str">
            <v>SCHEDULE A</v>
          </cell>
        </row>
        <row r="50">
          <cell r="A50" t="str">
            <v>SANDY CREEK UTILITIES, INC.</v>
          </cell>
          <cell r="I50" t="str">
            <v>SANDY CREEK UTILITIES, INC.</v>
          </cell>
        </row>
        <row r="51">
          <cell r="A51" t="str">
            <v>SUPPORTING SCHEDULE - DETAIL DESCRIPTION OF PRO FORMA ADJUSTMENTS TO RATE BASE - WATER</v>
          </cell>
          <cell r="I51" t="str">
            <v>SUPPORTING SCHEDULE - DETAIL DESCRIPTION OF PRO FORMA ADJUSTMENTS TO RATE BASE - WATER</v>
          </cell>
        </row>
        <row r="53">
          <cell r="A53" t="str">
            <v>Line</v>
          </cell>
          <cell r="I53" t="str">
            <v>Line</v>
          </cell>
        </row>
        <row r="54">
          <cell r="A54" t="str">
            <v>No.</v>
          </cell>
          <cell r="B54" t="str">
            <v>Description</v>
          </cell>
          <cell r="G54" t="str">
            <v>Water</v>
          </cell>
          <cell r="H54" t="str">
            <v>Wastewater</v>
          </cell>
          <cell r="I54" t="str">
            <v>No.</v>
          </cell>
          <cell r="J54" t="str">
            <v>Description</v>
          </cell>
          <cell r="O54" t="str">
            <v>Water</v>
          </cell>
          <cell r="P54" t="str">
            <v>Wastewater</v>
          </cell>
        </row>
        <row r="56">
          <cell r="B56" t="str">
            <v>(F)</v>
          </cell>
          <cell r="C56" t="str">
            <v>Operations &amp; Maintenance (O &amp; M) Expenses (Continued)</v>
          </cell>
          <cell r="J56" t="str">
            <v>(G)</v>
          </cell>
          <cell r="K56" t="str">
            <v>Depreciation Expense (Continued)</v>
          </cell>
        </row>
        <row r="57">
          <cell r="C57" t="str">
            <v>(4) Amortization of rate case expense</v>
          </cell>
          <cell r="K57" t="str">
            <v>(1) Depreciation on assets per Schedule A-3 (Continued)</v>
          </cell>
        </row>
        <row r="58">
          <cell r="C58" t="str">
            <v>Amortization per Schedule B-10</v>
          </cell>
          <cell r="G58">
            <v>0</v>
          </cell>
          <cell r="H58">
            <v>0</v>
          </cell>
          <cell r="K58" t="str">
            <v>K) Convert old generator to mobile</v>
          </cell>
          <cell r="O58">
            <v>0</v>
          </cell>
          <cell r="P58">
            <v>0</v>
          </cell>
        </row>
        <row r="59">
          <cell r="C59" t="str">
            <v>Less: Test year amortization</v>
          </cell>
          <cell r="G59">
            <v>0</v>
          </cell>
          <cell r="H59">
            <v>0</v>
          </cell>
          <cell r="K59" t="str">
            <v>L) Capitalize WIP - Indian Mound Rd</v>
          </cell>
        </row>
        <row r="60">
          <cell r="K60" t="str">
            <v>M) Capitalize WIP - Berms at Ponds 6 &amp; 7</v>
          </cell>
          <cell r="O60" t="str">
            <v> </v>
          </cell>
        </row>
        <row r="61">
          <cell r="C61" t="str">
            <v>Net rate case amortization</v>
          </cell>
          <cell r="G61">
            <v>0</v>
          </cell>
          <cell r="H61">
            <v>0</v>
          </cell>
        </row>
        <row r="62">
          <cell r="K62" t="str">
            <v>Total adjustment required</v>
          </cell>
          <cell r="O62">
            <v>0</v>
          </cell>
          <cell r="P62">
            <v>0</v>
          </cell>
        </row>
        <row r="63">
          <cell r="C63" t="str">
            <v>(5) Other Expenses</v>
          </cell>
        </row>
        <row r="64">
          <cell r="C64" t="str">
            <v>A) Indianwood maintenance (2)</v>
          </cell>
          <cell r="K64" t="str">
            <v>(2) Depreciation on assets acquired during the test year</v>
          </cell>
        </row>
        <row r="65">
          <cell r="C65" t="str">
            <v>B) Copier expenses</v>
          </cell>
          <cell r="K65" t="str">
            <v>A) Total annual depreciation</v>
          </cell>
        </row>
        <row r="66">
          <cell r="C66" t="str">
            <v>C) T-1 line expenses</v>
          </cell>
          <cell r="K66" t="str">
            <v>B) Remove depreciation taken during test year</v>
          </cell>
          <cell r="O66">
            <v>0</v>
          </cell>
          <cell r="P66">
            <v>0</v>
          </cell>
        </row>
        <row r="67">
          <cell r="C67" t="str">
            <v>D) Sludge hauling expenses</v>
          </cell>
        </row>
        <row r="68">
          <cell r="C68" t="str">
            <v>E) Remove test year sludge hauling expenses</v>
          </cell>
          <cell r="K68" t="str">
            <v>Total adjustment required</v>
          </cell>
          <cell r="O68">
            <v>0</v>
          </cell>
          <cell r="P68">
            <v>0</v>
          </cell>
        </row>
        <row r="69">
          <cell r="C69" t="str">
            <v>F) Land lease for effluent disposal</v>
          </cell>
        </row>
        <row r="70">
          <cell r="C70" t="str">
            <v>G) Remove test year land lease for effluent disposal</v>
          </cell>
          <cell r="K70" t="str">
            <v>(3) Non-used and useful depreciation</v>
          </cell>
        </row>
        <row r="71">
          <cell r="C71" t="str">
            <v>H) Adjust benefits for increase in health insurance</v>
          </cell>
          <cell r="K71" t="str">
            <v>Non-used and useful depreciation on Adjustment 1(C) above</v>
          </cell>
          <cell r="P71">
            <v>0</v>
          </cell>
        </row>
        <row r="72">
          <cell r="C72" t="str">
            <v>I) Adjust management fees for increase in health insurance</v>
          </cell>
        </row>
        <row r="73">
          <cell r="C73" t="str">
            <v>J) Adjust management fees for reclassification of utility employees</v>
          </cell>
          <cell r="K73" t="str">
            <v>Total depreciation adjustment</v>
          </cell>
          <cell r="O73">
            <v>0</v>
          </cell>
          <cell r="P73">
            <v>0</v>
          </cell>
        </row>
        <row r="74">
          <cell r="C74" t="str">
            <v>from management fees to direct utility</v>
          </cell>
        </row>
        <row r="75">
          <cell r="C75" t="str">
            <v>K) Adjust employee benefits for reclassification of utility </v>
          </cell>
          <cell r="J75" t="str">
            <v>(H)</v>
          </cell>
          <cell r="K75" t="str">
            <v>Amortization</v>
          </cell>
        </row>
        <row r="76">
          <cell r="C76" t="str">
            <v>employees per (F)(5)(J) (above)</v>
          </cell>
          <cell r="K76" t="str">
            <v>Annual amortization of deferred legal expenses for acquisition</v>
          </cell>
        </row>
        <row r="77">
          <cell r="C77" t="str">
            <v>L) Employee benefits for new employees per (F)(1)(A) and</v>
          </cell>
          <cell r="K77" t="str">
            <v>of Indianwood system per (B)(2)(A) (above)</v>
          </cell>
          <cell r="O77">
            <v>0</v>
          </cell>
          <cell r="P77">
            <v>0</v>
          </cell>
        </row>
        <row r="78">
          <cell r="C78" t="str">
            <v>(F)(1)(B) (above)</v>
          </cell>
          <cell r="G78">
            <v>0</v>
          </cell>
          <cell r="H78">
            <v>0</v>
          </cell>
        </row>
        <row r="79">
          <cell r="J79" t="str">
            <v>(I)</v>
          </cell>
          <cell r="K79" t="str">
            <v>Taxes Other Than Income</v>
          </cell>
        </row>
        <row r="80">
          <cell r="C80" t="str">
            <v>Total other expenses</v>
          </cell>
          <cell r="G80">
            <v>0</v>
          </cell>
          <cell r="H80">
            <v>0</v>
          </cell>
          <cell r="K80" t="str">
            <v>(1) Regulatory Assessment Fees (RAF's)</v>
          </cell>
        </row>
        <row r="81">
          <cell r="K81" t="str">
            <v>Total revenue requested</v>
          </cell>
          <cell r="O81">
            <v>0</v>
          </cell>
          <cell r="P81">
            <v>0</v>
          </cell>
        </row>
        <row r="82">
          <cell r="C82" t="str">
            <v>Total adjustments to O &amp; M expenses</v>
          </cell>
          <cell r="G82">
            <v>0</v>
          </cell>
          <cell r="H82">
            <v>0</v>
          </cell>
          <cell r="K82" t="str">
            <v>RAF rate</v>
          </cell>
          <cell r="O82">
            <v>0.045</v>
          </cell>
        </row>
        <row r="84">
          <cell r="B84" t="str">
            <v>(G)</v>
          </cell>
          <cell r="C84" t="str">
            <v>Depreciation Expense</v>
          </cell>
          <cell r="K84" t="str">
            <v>Total RAF's</v>
          </cell>
          <cell r="O84">
            <v>0</v>
          </cell>
          <cell r="P84">
            <v>0</v>
          </cell>
        </row>
        <row r="85">
          <cell r="C85" t="str">
            <v>(1) Depreciation on assets per Schedule A-3</v>
          </cell>
          <cell r="K85" t="str">
            <v>Adjusted test year RAF's</v>
          </cell>
          <cell r="O85">
            <v>0</v>
          </cell>
        </row>
        <row r="86">
          <cell r="C86" t="str">
            <v>A) Truck addition</v>
          </cell>
          <cell r="G86">
            <v>0</v>
          </cell>
          <cell r="H86">
            <v>0</v>
          </cell>
        </row>
        <row r="87">
          <cell r="C87" t="str">
            <v>B) Truck addition</v>
          </cell>
          <cell r="K87" t="str">
            <v>Adjustment required</v>
          </cell>
          <cell r="O87">
            <v>0</v>
          </cell>
          <cell r="P87">
            <v>0</v>
          </cell>
        </row>
        <row r="88">
          <cell r="C88" t="str">
            <v>C) DEP required improvements</v>
          </cell>
        </row>
        <row r="89">
          <cell r="C89" t="str">
            <v>D) Copier</v>
          </cell>
          <cell r="K89" t="str">
            <v>(2) Payroll Taxes</v>
          </cell>
        </row>
        <row r="90">
          <cell r="C90" t="str">
            <v>F) T-1 line</v>
          </cell>
          <cell r="K90" t="str">
            <v>Total increase in salaries per Adjustment (F)(1) (above)</v>
          </cell>
          <cell r="O90">
            <v>0</v>
          </cell>
          <cell r="P90">
            <v>0</v>
          </cell>
        </row>
        <row r="91">
          <cell r="C91" t="str">
            <v>G) Water plant improvements</v>
          </cell>
          <cell r="K91" t="str">
            <v>Payroll tax rate</v>
          </cell>
          <cell r="O91">
            <v>0.0765</v>
          </cell>
        </row>
        <row r="92">
          <cell r="C92" t="str">
            <v>H) Phone system</v>
          </cell>
        </row>
        <row r="93">
          <cell r="C93" t="str">
            <v>I) Water plant tie-in to sewer plant</v>
          </cell>
          <cell r="K93" t="str">
            <v>Total increase in payroll taxes</v>
          </cell>
          <cell r="O93">
            <v>0</v>
          </cell>
          <cell r="P93">
            <v>0</v>
          </cell>
        </row>
        <row r="94">
          <cell r="C94" t="str">
            <v>J) Generator</v>
          </cell>
        </row>
        <row r="97">
          <cell r="A97" t="str">
            <v>SCHEDULE A</v>
          </cell>
          <cell r="I97" t="str">
            <v>SCHEDULE A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over Sheet"/>
      <sheetName val="SE50 JE Clear WSC"/>
      <sheetName val="SE50 JE WSC"/>
      <sheetName val="SE50 JE Benefits"/>
      <sheetName val="SE50 JE Sal &amp; PR Tax"/>
      <sheetName val="Summary by State"/>
      <sheetName val="Summary by Co"/>
      <sheetName val="Salary Alloc"/>
      <sheetName val="FICA Alloc"/>
      <sheetName val="FUT Alloc"/>
      <sheetName val="SUT Alloc"/>
      <sheetName val="Pension Alloc"/>
      <sheetName val="401k Alloc"/>
      <sheetName val="Health Alloc"/>
      <sheetName val="Other Alloc"/>
      <sheetName val="Cust Eq %"/>
      <sheetName val="Cust Eq Allocation"/>
      <sheetName val="Benefits Rates Input"/>
      <sheetName val="GL Detail"/>
      <sheetName val="Salary Input"/>
      <sheetName val="Employee Info Input"/>
      <sheetName val="Employee by Sub Input"/>
      <sheetName val="Cust Eq Input"/>
      <sheetName val="InvoiceBill Count Input"/>
      <sheetName val="Prior Allocations Input"/>
      <sheetName val="FORM.COS.SUBS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Template"/>
      <sheetName val="Rbase"/>
      <sheetName val="Noi"/>
      <sheetName val="Adjs"/>
      <sheetName val="Audit Adj."/>
      <sheetName val="EWD Sewer Exp."/>
      <sheetName val="Salaries"/>
      <sheetName val="Excessive I&amp;I Adjust"/>
      <sheetName val="O&amp;M Exp"/>
      <sheetName val="Toti"/>
      <sheetName val="WWTP Retirement"/>
      <sheetName val="Pro Forma Plant"/>
      <sheetName val="Cap"/>
      <sheetName val="ADITs"/>
      <sheetName val="Plnt"/>
      <sheetName val="Ciac"/>
      <sheetName val="UUsum"/>
      <sheetName val="Wca"/>
      <sheetName val="AnnualizedRevs"/>
      <sheetName val="RevRq"/>
      <sheetName val="RevAlloc"/>
      <sheetName val="BillDeter"/>
      <sheetName val="RateSch"/>
      <sheetName val="Security"/>
      <sheetName val="Macros"/>
      <sheetName val="RCE"/>
    </sheetNames>
    <sheetDataSet>
      <sheetData sheetId="0">
        <row r="14">
          <cell r="D14" t="str">
            <v>Utilities, Inc. of Sandalhaven</v>
          </cell>
        </row>
        <row r="15">
          <cell r="D15" t="str">
            <v>Docket No. 150102-SU</v>
          </cell>
        </row>
        <row r="16">
          <cell r="D16" t="str">
            <v>Test Year Ended 12/31/14</v>
          </cell>
        </row>
      </sheetData>
      <sheetData sheetId="1"/>
      <sheetData sheetId="2"/>
      <sheetData sheetId="3">
        <row r="17">
          <cell r="I17">
            <v>0</v>
          </cell>
        </row>
      </sheetData>
      <sheetData sheetId="4"/>
      <sheetData sheetId="5"/>
      <sheetData sheetId="6"/>
      <sheetData sheetId="7"/>
      <sheetData sheetId="8"/>
      <sheetData sheetId="9">
        <row r="9">
          <cell r="H9">
            <v>0</v>
          </cell>
        </row>
      </sheetData>
      <sheetData sheetId="10">
        <row r="11">
          <cell r="I11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6">
          <cell r="E36">
            <v>2</v>
          </cell>
        </row>
      </sheetData>
      <sheetData sheetId="23"/>
      <sheetData sheetId="24"/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 2"/>
      <sheetName val="A 3"/>
      <sheetName val="A 4"/>
      <sheetName val="A 6"/>
      <sheetName val="A 6 (a)"/>
      <sheetName val="A 7"/>
      <sheetName val="A 8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2"/>
      <sheetName val="B 3"/>
      <sheetName val="B 4"/>
      <sheetName val="B 6"/>
      <sheetName val="B 8"/>
      <sheetName val="B 9"/>
      <sheetName val="B 10"/>
      <sheetName val="B 11"/>
      <sheetName val="B12 - 1.31.2015"/>
      <sheetName val="B12 - 2.28.2015"/>
      <sheetName val="B12 - 3.31.2015"/>
      <sheetName val="B12 - 4.30.2015"/>
      <sheetName val="B12 - 5.31.2015"/>
      <sheetName val="B12 - 6.30.2015"/>
      <sheetName val="B12 - 7.31.2015"/>
      <sheetName val="B12 - 8.31.2015"/>
      <sheetName val="B12 - 9.30.2015"/>
      <sheetName val="B12 - 10.31.2015"/>
      <sheetName val="B12 - 11.30.2015"/>
      <sheetName val="B12 - 12.31.2015"/>
      <sheetName val="B12 - Test Year"/>
      <sheetName val="B 14"/>
      <sheetName val="B 15"/>
      <sheetName val="C INSTRUCT"/>
      <sheetName val="C 1"/>
      <sheetName val="C 2 (s)"/>
      <sheetName val="C 3"/>
      <sheetName val="C 4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s)"/>
      <sheetName val="E 2 (s)"/>
      <sheetName val="E 3"/>
      <sheetName val="E 4 (s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A 2 (I)"/>
      <sheetName val="A 3 (I)"/>
      <sheetName val="B 2 (I)"/>
      <sheetName val="B 3 (I)"/>
      <sheetName val="B 15 (I)"/>
      <sheetName val="C 1 (I)"/>
      <sheetName val="C 2 (S) (I)"/>
      <sheetName val="C 5 (S) (I)"/>
      <sheetName val="D 1 (I)"/>
      <sheetName val="D 2 (I)"/>
      <sheetName val="E 1 S (I)"/>
      <sheetName val="E 2 S (I)"/>
      <sheetName val="AR to MFR"/>
      <sheetName val="Trial Blc"/>
      <sheetName val="O&amp;M Per TB"/>
      <sheetName val="PROFORMA ADJUSTMENTS"/>
      <sheetName val="12-31-15 Plant Acc Bal_PerAR"/>
      <sheetName val="12-31-15 CIAC Bal &amp; Proj_PerAR"/>
      <sheetName val="Other BalSheet Acct_PerAR"/>
      <sheetName val="O&amp;M"/>
      <sheetName val="12-31-15 Depreciation Exp_PerAR"/>
      <sheetName val="12-31-13 CIAC Amort Exp_PerAR"/>
      <sheetName val="Rev &amp; other exp"/>
      <sheetName val="Working Capital_PerAR"/>
      <sheetName val="Property Taxes"/>
      <sheetName val="IncomeAccountsAllocationPerAR "/>
      <sheetName val="IncomeAccounts_Water BU"/>
      <sheetName val="IncomeAccounts_Sewer BU"/>
      <sheetName val="ADJUSTED MONTHLY FINAL"/>
      <sheetName val="APPENDIX B INC. STAT.ACCT RECON"/>
      <sheetName val="CommonPlant_PerAR"/>
      <sheetName val="APPENDIX A PLANT ACCT REC"/>
      <sheetName val="Interest Expense Adj_PerAR"/>
      <sheetName val="AR_F-23"/>
      <sheetName val="RateCase&amp;Other Deferred_PerAR"/>
      <sheetName val="C 5 Calculation"/>
      <sheetName val="Rev Requirements Final"/>
      <sheetName val="Rev Requirements Interim"/>
      <sheetName val="Reuse RateBase"/>
      <sheetName val="REVENUE REQUIREMENTS"/>
      <sheetName val="PROFORMA YEAR"/>
      <sheetName val="INTERIM COST OF CAPITAL"/>
    </sheetNames>
    <sheetDataSet>
      <sheetData sheetId="0">
        <row r="6">
          <cell r="E6" t="str">
            <v>Docket No.: 160101 - WS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-3 COA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1"/>
      <sheetName val="B 2"/>
      <sheetName val="B 3"/>
      <sheetName val="B-3 COA"/>
      <sheetName val="B 4"/>
      <sheetName val="B 5"/>
      <sheetName val="B 6"/>
      <sheetName val="B 7"/>
      <sheetName val="B 8"/>
      <sheetName val="B 9"/>
      <sheetName val="B 10"/>
      <sheetName val="B 11"/>
      <sheetName val="B12 - 1.31.2015"/>
      <sheetName val="B12 - 2.28.2015"/>
      <sheetName val="B12 - 3.31.2015"/>
      <sheetName val="B12 - 4.30.2015"/>
      <sheetName val="B12 - 5.31.2015"/>
      <sheetName val="B12 - 6.30.2015"/>
      <sheetName val="B12 - 7.31.2015"/>
      <sheetName val="B12 - 8.31.2015"/>
      <sheetName val="B12 - 9.30.2015"/>
      <sheetName val="B12 - 10.31.2015"/>
      <sheetName val="B12 - 11.30.2015"/>
      <sheetName val="B12 - 12.31.2015"/>
      <sheetName val="B12 - Test Year"/>
      <sheetName val="C INSTRUCT"/>
      <sheetName val="B 13"/>
      <sheetName val="B 14"/>
      <sheetName val="B 15"/>
      <sheetName val="C 1"/>
      <sheetName val="C 2 (w)"/>
      <sheetName val="C 2 (s)"/>
      <sheetName val="C 3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w)"/>
      <sheetName val="E 1 (s)"/>
      <sheetName val="E 2 (w)"/>
      <sheetName val="E 2 (s)"/>
      <sheetName val="E 3"/>
      <sheetName val="E 4 (w)"/>
      <sheetName val="E 4 (s)"/>
      <sheetName val="E 5 (w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F 1"/>
      <sheetName val="F 2"/>
      <sheetName val="F 3"/>
      <sheetName val="F 4"/>
      <sheetName val="F 5"/>
      <sheetName val="F 6"/>
      <sheetName val="F 6 (2)"/>
      <sheetName val="F 7"/>
      <sheetName val="F 8"/>
      <sheetName val="F 9"/>
      <sheetName val="F 10"/>
      <sheetName val="A 1 (I)"/>
      <sheetName val="A 2 (I)"/>
      <sheetName val="A 3 (I)"/>
      <sheetName val="B 1 (I)"/>
      <sheetName val="B 2 (I)"/>
      <sheetName val="B 3 (I)"/>
      <sheetName val="B 15 (I)"/>
      <sheetName val="C 1 (I)"/>
      <sheetName val="C 2 (W) (I)"/>
      <sheetName val="C 2 (S) (I)"/>
      <sheetName val="C 5 (W) (I)"/>
      <sheetName val="C 5 (S) (I)"/>
      <sheetName val="D 1 (I)"/>
      <sheetName val="D 2 (I) "/>
      <sheetName val="E 1 W (I)"/>
      <sheetName val="E 1 S (I)"/>
      <sheetName val="E-2 W (I)"/>
      <sheetName val="E-2 S (I)"/>
      <sheetName val="AR to MFR"/>
      <sheetName val="Trial Blc"/>
      <sheetName val="P&amp;L Per TB"/>
      <sheetName val="PROFORMA ADJUSTMENTS"/>
      <sheetName val="12-31-15 Plant Acc Bal_PerAR"/>
      <sheetName val="12-31-15 Depreciation Exp_PerAR"/>
      <sheetName val="12-31-15 CIAC Bal &amp; Proj_PerAR"/>
      <sheetName val="Other BalSheet Acct_PerAR"/>
      <sheetName val="12 Month IS UC"/>
      <sheetName val="IncomeAccountsAllocationPerAR "/>
      <sheetName val="O&amp;M EXPENSES TO BE ALLOCATED"/>
      <sheetName val="O&amp;M EXPENSES ALLOCATED TO WATER"/>
      <sheetName val="O&amp;M EXPENSES ALLOCATED TO SEWER"/>
      <sheetName val="Working Capital_PerAR"/>
      <sheetName val="ADJUSTED MONTHLY FINAL"/>
      <sheetName val="APPENDIX B INC. STAT.ACCT RECON"/>
      <sheetName val="Interest Expense Adj_PerAR"/>
      <sheetName val="C 5 Calculation"/>
      <sheetName val="AR_F-23"/>
      <sheetName val="Property Taxes"/>
      <sheetName val="Rev Requirements Final"/>
      <sheetName val="Rev Requirements Interim"/>
      <sheetName val="Reuse RateBase"/>
      <sheetName val="CommonPlant_PerAR-not used"/>
      <sheetName val="TAX EXPENSE-not used"/>
      <sheetName val="REVENUE REQUIREMENTS"/>
      <sheetName val="PROFORMA YEAR"/>
      <sheetName val="INTERIM COST OF CAPITAL"/>
      <sheetName val="COA Depr Exp DNU"/>
    </sheetNames>
    <sheetDataSet>
      <sheetData sheetId="0" refreshError="1"/>
      <sheetData sheetId="1">
        <row r="10">
          <cell r="E10" t="str">
            <v>Preparer: Deborah Swain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nformation Request"/>
      <sheetName val="General Inputs"/>
      <sheetName val="Plant Inputs"/>
      <sheetName val="TOC"/>
      <sheetName val="A-1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D-1"/>
      <sheetName val="D-2"/>
      <sheetName val="D-3"/>
      <sheetName val="D-4"/>
      <sheetName val="D-5"/>
      <sheetName val="D-6"/>
      <sheetName val="D-7"/>
      <sheetName val="E-1"/>
      <sheetName val="E-2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3"/>
      <sheetName val="E-14"/>
      <sheetName val="F 1"/>
      <sheetName val="F 2"/>
      <sheetName val="F 3"/>
      <sheetName val="F 4"/>
      <sheetName val="F 5"/>
      <sheetName val="F 6"/>
      <sheetName val="F 7"/>
      <sheetName val="F 8"/>
      <sheetName val="F 9"/>
      <sheetName val="F 10"/>
      <sheetName val="Rates Calculations Water"/>
      <sheetName val="Rates Calculations Wastewater"/>
    </sheetNames>
    <sheetDataSet>
      <sheetData sheetId="0" refreshError="1"/>
      <sheetData sheetId="1" refreshError="1"/>
      <sheetData sheetId="2">
        <row r="4">
          <cell r="D4" t="str">
            <v>A-5 Label</v>
          </cell>
          <cell r="F4">
            <v>2002</v>
          </cell>
          <cell r="G4">
            <v>2003</v>
          </cell>
          <cell r="H4">
            <v>2004</v>
          </cell>
          <cell r="I4">
            <v>2005</v>
          </cell>
        </row>
        <row r="5">
          <cell r="A5">
            <v>1</v>
          </cell>
          <cell r="B5" t="str">
            <v>Intangible Plant</v>
          </cell>
          <cell r="D5" t="str">
            <v>INTANGIBLE PLANT</v>
          </cell>
        </row>
        <row r="6">
          <cell r="A6">
            <v>2</v>
          </cell>
          <cell r="B6">
            <v>301</v>
          </cell>
          <cell r="C6">
            <v>1</v>
          </cell>
          <cell r="D6" t="str">
            <v>301.1  Organization</v>
          </cell>
          <cell r="E6" t="str">
            <v>Organization</v>
          </cell>
          <cell r="F6">
            <v>5274</v>
          </cell>
          <cell r="G6">
            <v>15288</v>
          </cell>
          <cell r="H6">
            <v>15288</v>
          </cell>
          <cell r="I6">
            <v>15338</v>
          </cell>
        </row>
        <row r="7">
          <cell r="A7">
            <v>3</v>
          </cell>
          <cell r="B7">
            <v>302</v>
          </cell>
          <cell r="C7">
            <v>1</v>
          </cell>
          <cell r="D7" t="str">
            <v>302.1  Franchises</v>
          </cell>
          <cell r="E7" t="str">
            <v>Franchises</v>
          </cell>
          <cell r="F7">
            <v>7933</v>
          </cell>
          <cell r="G7">
            <v>7933</v>
          </cell>
          <cell r="H7">
            <v>7933</v>
          </cell>
          <cell r="I7">
            <v>7933</v>
          </cell>
        </row>
        <row r="8">
          <cell r="A8">
            <v>4</v>
          </cell>
          <cell r="B8">
            <v>339</v>
          </cell>
          <cell r="C8">
            <v>1</v>
          </cell>
          <cell r="D8" t="str">
            <v>339.1  Other Plant &amp; Misc. Equipment</v>
          </cell>
          <cell r="E8" t="str">
            <v>Other Plant &amp; Misc. Equipment</v>
          </cell>
          <cell r="F8">
            <v>0</v>
          </cell>
        </row>
        <row r="9">
          <cell r="A9">
            <v>5</v>
          </cell>
          <cell r="B9" t="str">
            <v>Source of Supply and Pumping Plant</v>
          </cell>
          <cell r="D9" t="str">
            <v>SOURCE OF SUPPLY AND PUMPING PLANT</v>
          </cell>
        </row>
        <row r="10">
          <cell r="A10">
            <v>6</v>
          </cell>
          <cell r="B10">
            <v>303</v>
          </cell>
          <cell r="C10">
            <v>2</v>
          </cell>
          <cell r="D10" t="str">
            <v>303.2  Land &amp; Land Rights</v>
          </cell>
          <cell r="E10" t="str">
            <v>Land &amp; Land Rights</v>
          </cell>
          <cell r="F10">
            <v>0</v>
          </cell>
        </row>
        <row r="11">
          <cell r="A11">
            <v>7</v>
          </cell>
          <cell r="B11">
            <v>304</v>
          </cell>
          <cell r="C11">
            <v>2</v>
          </cell>
          <cell r="D11" t="str">
            <v>304.2  Structrures &amp; Improvements</v>
          </cell>
          <cell r="E11" t="str">
            <v>Structrures &amp; Improvements</v>
          </cell>
          <cell r="F11">
            <v>280</v>
          </cell>
          <cell r="G11">
            <v>9349</v>
          </cell>
          <cell r="H11">
            <v>9435</v>
          </cell>
          <cell r="I11">
            <v>14759</v>
          </cell>
        </row>
        <row r="12">
          <cell r="A12">
            <v>8</v>
          </cell>
          <cell r="B12">
            <v>305</v>
          </cell>
          <cell r="C12">
            <v>2</v>
          </cell>
          <cell r="D12" t="str">
            <v>305.2  Collect. &amp; Impound. Reservoirs</v>
          </cell>
          <cell r="E12" t="str">
            <v>Collect. &amp; Impound. Reservoirs</v>
          </cell>
          <cell r="F12">
            <v>0</v>
          </cell>
        </row>
        <row r="13">
          <cell r="A13">
            <v>9</v>
          </cell>
          <cell r="B13">
            <v>306</v>
          </cell>
          <cell r="C13">
            <v>2</v>
          </cell>
          <cell r="D13" t="str">
            <v>306.2  Lake, River &amp; Other Intakes</v>
          </cell>
          <cell r="E13" t="str">
            <v>Lake, River &amp; Other Intakes</v>
          </cell>
          <cell r="F13">
            <v>0</v>
          </cell>
        </row>
        <row r="14">
          <cell r="A14">
            <v>10</v>
          </cell>
          <cell r="B14">
            <v>307</v>
          </cell>
          <cell r="C14">
            <v>2</v>
          </cell>
          <cell r="D14" t="str">
            <v>307.2  Wells &amp; Springs</v>
          </cell>
          <cell r="E14" t="str">
            <v>Wells &amp; Springs</v>
          </cell>
          <cell r="F14">
            <v>47406</v>
          </cell>
          <cell r="G14">
            <v>52075</v>
          </cell>
          <cell r="H14">
            <v>52432</v>
          </cell>
          <cell r="I14">
            <v>55401</v>
          </cell>
        </row>
        <row r="15">
          <cell r="A15">
            <v>11</v>
          </cell>
          <cell r="B15">
            <v>308</v>
          </cell>
          <cell r="C15">
            <v>2</v>
          </cell>
          <cell r="D15" t="str">
            <v>308.2  Infiltration Galleries &amp; Tunnels</v>
          </cell>
          <cell r="E15" t="str">
            <v>Infiltration Galleries &amp; Tunnels</v>
          </cell>
          <cell r="F15">
            <v>0</v>
          </cell>
        </row>
        <row r="16">
          <cell r="A16">
            <v>12</v>
          </cell>
          <cell r="B16">
            <v>309</v>
          </cell>
          <cell r="C16">
            <v>2</v>
          </cell>
          <cell r="D16" t="str">
            <v>309.2  Supply Mains</v>
          </cell>
          <cell r="E16" t="str">
            <v>Supply Mains</v>
          </cell>
          <cell r="F16">
            <v>0</v>
          </cell>
        </row>
        <row r="17">
          <cell r="A17">
            <v>13</v>
          </cell>
          <cell r="B17">
            <v>310</v>
          </cell>
          <cell r="C17">
            <v>2</v>
          </cell>
          <cell r="D17" t="str">
            <v>310.2  Power Generation Equipment</v>
          </cell>
          <cell r="E17" t="str">
            <v>Power Generation Equipment</v>
          </cell>
          <cell r="F17">
            <v>0</v>
          </cell>
        </row>
        <row r="18">
          <cell r="A18">
            <v>14</v>
          </cell>
          <cell r="B18">
            <v>311</v>
          </cell>
          <cell r="C18">
            <v>2</v>
          </cell>
          <cell r="D18" t="str">
            <v>311.2  Pumping Equipment</v>
          </cell>
          <cell r="E18" t="str">
            <v>Pumping Equipment</v>
          </cell>
          <cell r="F18">
            <v>15752</v>
          </cell>
          <cell r="G18">
            <v>20314</v>
          </cell>
          <cell r="H18">
            <v>55149</v>
          </cell>
          <cell r="I18">
            <v>54992</v>
          </cell>
        </row>
        <row r="19">
          <cell r="A19">
            <v>15</v>
          </cell>
          <cell r="B19">
            <v>339</v>
          </cell>
          <cell r="C19">
            <v>2</v>
          </cell>
          <cell r="D19" t="str">
            <v>339.2  Other Plant &amp; Misc. Equipment</v>
          </cell>
          <cell r="E19" t="str">
            <v>Other Plant &amp; Misc. Equipment</v>
          </cell>
          <cell r="F19">
            <v>0</v>
          </cell>
        </row>
        <row r="20">
          <cell r="A20">
            <v>16</v>
          </cell>
          <cell r="B20" t="str">
            <v>Water Treatment Plant</v>
          </cell>
          <cell r="D20" t="str">
            <v>WATER TREATMENT PLANT</v>
          </cell>
        </row>
        <row r="21">
          <cell r="A21">
            <v>17</v>
          </cell>
          <cell r="B21">
            <v>303</v>
          </cell>
          <cell r="C21">
            <v>3</v>
          </cell>
          <cell r="D21" t="str">
            <v>303.3  Land &amp; Land Rights</v>
          </cell>
          <cell r="E21" t="str">
            <v>Land &amp; Land Rights</v>
          </cell>
          <cell r="F21">
            <v>0</v>
          </cell>
        </row>
        <row r="22">
          <cell r="A22">
            <v>18</v>
          </cell>
          <cell r="B22">
            <v>304</v>
          </cell>
          <cell r="C22">
            <v>3</v>
          </cell>
          <cell r="D22" t="str">
            <v>304.3  Structrures &amp; Improvements</v>
          </cell>
          <cell r="E22" t="str">
            <v>Structrures &amp; Improvements</v>
          </cell>
          <cell r="F22">
            <v>0</v>
          </cell>
        </row>
        <row r="23">
          <cell r="A23">
            <v>19</v>
          </cell>
          <cell r="B23">
            <v>320</v>
          </cell>
          <cell r="C23">
            <v>3</v>
          </cell>
          <cell r="D23" t="str">
            <v>320.3  Water Treatment Equipment</v>
          </cell>
          <cell r="E23" t="str">
            <v>Water Treatment Equipment</v>
          </cell>
          <cell r="F23">
            <v>5046</v>
          </cell>
          <cell r="G23">
            <v>5283</v>
          </cell>
          <cell r="H23">
            <v>6609</v>
          </cell>
          <cell r="I23">
            <v>10347</v>
          </cell>
        </row>
        <row r="24">
          <cell r="A24">
            <v>20</v>
          </cell>
          <cell r="B24">
            <v>339</v>
          </cell>
          <cell r="C24">
            <v>3</v>
          </cell>
          <cell r="D24" t="str">
            <v>339.3  Other Plant &amp; Misc. Equipment</v>
          </cell>
          <cell r="E24" t="str">
            <v>Other Plant &amp; Misc. Equipment</v>
          </cell>
          <cell r="F24">
            <v>0</v>
          </cell>
        </row>
        <row r="25">
          <cell r="A25">
            <v>21</v>
          </cell>
          <cell r="B25" t="str">
            <v>Transmission and Distribution Plant</v>
          </cell>
          <cell r="D25" t="str">
            <v>TRANSMISSION AND DISTRIBUTION PLANT</v>
          </cell>
        </row>
        <row r="26">
          <cell r="A26">
            <v>22</v>
          </cell>
          <cell r="B26">
            <v>303</v>
          </cell>
          <cell r="C26">
            <v>4</v>
          </cell>
          <cell r="D26" t="str">
            <v>303.4  Land &amp; Land Rights</v>
          </cell>
          <cell r="E26" t="str">
            <v>Land &amp; Land Rights</v>
          </cell>
          <cell r="F26">
            <v>0</v>
          </cell>
        </row>
        <row r="27">
          <cell r="A27">
            <v>23</v>
          </cell>
          <cell r="B27">
            <v>304</v>
          </cell>
          <cell r="C27">
            <v>4</v>
          </cell>
          <cell r="D27" t="str">
            <v>304.4  Structrures &amp; Improvements</v>
          </cell>
          <cell r="E27" t="str">
            <v>Structrures &amp; Improvements</v>
          </cell>
          <cell r="F27">
            <v>0</v>
          </cell>
        </row>
        <row r="28">
          <cell r="A28">
            <v>24</v>
          </cell>
          <cell r="B28">
            <v>330</v>
          </cell>
          <cell r="C28">
            <v>4</v>
          </cell>
          <cell r="D28" t="str">
            <v>330.4  Distr. Reservoirs &amp; Standpipes</v>
          </cell>
          <cell r="E28" t="str">
            <v>Distr. Reservoirs &amp; Standpipes</v>
          </cell>
          <cell r="F28">
            <v>30988</v>
          </cell>
          <cell r="G28">
            <v>31780</v>
          </cell>
          <cell r="H28">
            <v>35581</v>
          </cell>
          <cell r="I28">
            <v>35822</v>
          </cell>
        </row>
        <row r="29">
          <cell r="A29">
            <v>25</v>
          </cell>
          <cell r="B29">
            <v>331</v>
          </cell>
          <cell r="C29">
            <v>4</v>
          </cell>
          <cell r="D29" t="str">
            <v>331.4  Transm. &amp; Distribution Mains</v>
          </cell>
          <cell r="E29" t="str">
            <v>Transm. &amp; Distribution Mains</v>
          </cell>
          <cell r="F29">
            <v>249642</v>
          </cell>
          <cell r="G29">
            <v>249699</v>
          </cell>
          <cell r="H29">
            <v>250269</v>
          </cell>
          <cell r="I29">
            <v>250269</v>
          </cell>
        </row>
        <row r="30">
          <cell r="A30">
            <v>26</v>
          </cell>
          <cell r="B30">
            <v>333</v>
          </cell>
          <cell r="C30">
            <v>4</v>
          </cell>
          <cell r="D30" t="str">
            <v>333.4  Services</v>
          </cell>
          <cell r="E30" t="str">
            <v>Services</v>
          </cell>
          <cell r="F30">
            <v>2975</v>
          </cell>
          <cell r="G30">
            <v>10625</v>
          </cell>
          <cell r="H30">
            <v>14161</v>
          </cell>
          <cell r="I30">
            <v>17949</v>
          </cell>
        </row>
        <row r="31">
          <cell r="A31">
            <v>27</v>
          </cell>
          <cell r="B31">
            <v>334</v>
          </cell>
          <cell r="C31">
            <v>4</v>
          </cell>
          <cell r="D31" t="str">
            <v>334.4  Meters &amp; Meter Installations</v>
          </cell>
          <cell r="E31" t="str">
            <v>Meters &amp; Meter Installations</v>
          </cell>
          <cell r="F31">
            <v>11859</v>
          </cell>
          <cell r="G31">
            <v>16813</v>
          </cell>
          <cell r="H31">
            <v>19654</v>
          </cell>
          <cell r="I31">
            <v>34918</v>
          </cell>
        </row>
        <row r="32">
          <cell r="A32">
            <v>28</v>
          </cell>
          <cell r="B32">
            <v>335</v>
          </cell>
          <cell r="C32">
            <v>4</v>
          </cell>
          <cell r="D32" t="str">
            <v>335.4  Hydrants</v>
          </cell>
          <cell r="E32" t="str">
            <v>Hydrants</v>
          </cell>
          <cell r="F32">
            <v>0</v>
          </cell>
          <cell r="G32">
            <v>56</v>
          </cell>
          <cell r="H32">
            <v>3356</v>
          </cell>
          <cell r="I32">
            <v>3356</v>
          </cell>
        </row>
        <row r="33">
          <cell r="A33">
            <v>29</v>
          </cell>
          <cell r="B33">
            <v>339</v>
          </cell>
          <cell r="C33">
            <v>4</v>
          </cell>
          <cell r="D33" t="str">
            <v>339.4  Other Plant &amp; Misc. Equipment</v>
          </cell>
          <cell r="E33" t="str">
            <v>Other Plant &amp; Misc. Equipment</v>
          </cell>
          <cell r="F33">
            <v>0</v>
          </cell>
        </row>
        <row r="34">
          <cell r="A34">
            <v>30</v>
          </cell>
          <cell r="B34" t="str">
            <v>General Plant</v>
          </cell>
          <cell r="D34" t="str">
            <v>GENERAL PLANT</v>
          </cell>
        </row>
        <row r="35">
          <cell r="A35">
            <v>31</v>
          </cell>
          <cell r="B35">
            <v>303</v>
          </cell>
          <cell r="C35">
            <v>5</v>
          </cell>
          <cell r="D35" t="str">
            <v>303.5  Land &amp; Land Rights</v>
          </cell>
          <cell r="E35" t="str">
            <v>Land &amp; Land Rights</v>
          </cell>
          <cell r="F35">
            <v>0</v>
          </cell>
        </row>
        <row r="36">
          <cell r="A36">
            <v>32</v>
          </cell>
          <cell r="B36">
            <v>304</v>
          </cell>
          <cell r="C36">
            <v>5</v>
          </cell>
          <cell r="D36" t="str">
            <v>304.5  Structrures &amp; Improvements</v>
          </cell>
          <cell r="E36" t="str">
            <v>Structrures &amp; Improvements</v>
          </cell>
          <cell r="F36">
            <v>0</v>
          </cell>
        </row>
        <row r="37">
          <cell r="A37">
            <v>33</v>
          </cell>
          <cell r="B37">
            <v>340</v>
          </cell>
          <cell r="C37">
            <v>5</v>
          </cell>
          <cell r="D37" t="str">
            <v>340.5  Office Furniture &amp; Equipment</v>
          </cell>
          <cell r="E37" t="str">
            <v>Office Furniture &amp; Equipment</v>
          </cell>
          <cell r="F37">
            <v>383</v>
          </cell>
          <cell r="G37">
            <v>765</v>
          </cell>
          <cell r="H37">
            <v>977</v>
          </cell>
          <cell r="I37">
            <v>1711</v>
          </cell>
        </row>
        <row r="38">
          <cell r="A38">
            <v>34</v>
          </cell>
          <cell r="B38">
            <v>341</v>
          </cell>
          <cell r="C38">
            <v>5</v>
          </cell>
          <cell r="D38" t="str">
            <v>341.5  Transportation Equipment</v>
          </cell>
          <cell r="E38" t="str">
            <v>Transportation Equipment</v>
          </cell>
          <cell r="F38">
            <v>19053</v>
          </cell>
          <cell r="G38">
            <v>19053</v>
          </cell>
          <cell r="H38">
            <v>16588</v>
          </cell>
          <cell r="I38">
            <v>-2409</v>
          </cell>
        </row>
        <row r="39">
          <cell r="A39">
            <v>35</v>
          </cell>
          <cell r="B39">
            <v>342</v>
          </cell>
          <cell r="C39">
            <v>5</v>
          </cell>
          <cell r="D39" t="str">
            <v>342.5  Stores Equipment</v>
          </cell>
          <cell r="E39" t="str">
            <v>Stores Equipment</v>
          </cell>
          <cell r="F39">
            <v>0</v>
          </cell>
        </row>
        <row r="40">
          <cell r="A40">
            <v>36</v>
          </cell>
          <cell r="B40">
            <v>343</v>
          </cell>
          <cell r="C40">
            <v>5</v>
          </cell>
          <cell r="D40" t="str">
            <v>343.5  Tools, Shop &amp; Garage Equipment</v>
          </cell>
          <cell r="E40" t="str">
            <v>Tools, Shop &amp; Garage Equipment</v>
          </cell>
          <cell r="F40">
            <v>15573</v>
          </cell>
          <cell r="G40">
            <v>32948</v>
          </cell>
          <cell r="H40">
            <v>33286</v>
          </cell>
          <cell r="I40">
            <v>28720</v>
          </cell>
        </row>
        <row r="41">
          <cell r="A41">
            <v>37</v>
          </cell>
          <cell r="B41">
            <v>344</v>
          </cell>
          <cell r="C41">
            <v>5</v>
          </cell>
          <cell r="D41" t="str">
            <v>344.5  Laboratory Equipment</v>
          </cell>
          <cell r="E41" t="str">
            <v>Laboratory Equipment</v>
          </cell>
          <cell r="F41">
            <v>358</v>
          </cell>
          <cell r="G41">
            <v>358</v>
          </cell>
          <cell r="H41">
            <v>358</v>
          </cell>
          <cell r="I41">
            <v>358</v>
          </cell>
        </row>
        <row r="42">
          <cell r="A42">
            <v>38</v>
          </cell>
          <cell r="B42">
            <v>345</v>
          </cell>
          <cell r="C42">
            <v>5</v>
          </cell>
          <cell r="D42" t="str">
            <v>345.5  Power Operated Equipment</v>
          </cell>
          <cell r="E42" t="str">
            <v>Power Operated Equipment</v>
          </cell>
          <cell r="F42">
            <v>0</v>
          </cell>
        </row>
        <row r="43">
          <cell r="A43">
            <v>39</v>
          </cell>
          <cell r="B43">
            <v>346</v>
          </cell>
          <cell r="C43">
            <v>5</v>
          </cell>
          <cell r="D43" t="str">
            <v>346.5  Communication Equipment</v>
          </cell>
          <cell r="E43" t="str">
            <v>Communication Equipment</v>
          </cell>
          <cell r="F43">
            <v>0</v>
          </cell>
          <cell r="G43">
            <v>1079</v>
          </cell>
          <cell r="H43">
            <v>1079</v>
          </cell>
          <cell r="I43">
            <v>1079</v>
          </cell>
        </row>
        <row r="44">
          <cell r="A44">
            <v>40</v>
          </cell>
          <cell r="B44">
            <v>347</v>
          </cell>
          <cell r="C44">
            <v>5</v>
          </cell>
          <cell r="D44" t="str">
            <v>347.5  Miscellaneous Equipment</v>
          </cell>
          <cell r="E44" t="str">
            <v>Miscellaneous Equipment</v>
          </cell>
          <cell r="F44">
            <v>0</v>
          </cell>
        </row>
        <row r="45">
          <cell r="A45">
            <v>41</v>
          </cell>
          <cell r="B45">
            <v>348</v>
          </cell>
          <cell r="C45">
            <v>5</v>
          </cell>
          <cell r="D45" t="str">
            <v>348.5  Other Tangible Plant</v>
          </cell>
          <cell r="E45" t="str">
            <v>Other Tangible Plant</v>
          </cell>
          <cell r="F45">
            <v>22165</v>
          </cell>
          <cell r="G45">
            <v>34061</v>
          </cell>
          <cell r="H45">
            <v>32405</v>
          </cell>
          <cell r="I45">
            <v>24105</v>
          </cell>
        </row>
        <row r="149">
          <cell r="D149" t="str">
            <v>A-10 Label</v>
          </cell>
          <cell r="F149">
            <v>2002</v>
          </cell>
          <cell r="G149">
            <v>2003</v>
          </cell>
          <cell r="H149">
            <v>2004</v>
          </cell>
          <cell r="I149">
            <v>2005</v>
          </cell>
        </row>
        <row r="150">
          <cell r="A150">
            <v>1</v>
          </cell>
          <cell r="B150" t="str">
            <v>Intangible Plant</v>
          </cell>
          <cell r="D150" t="str">
            <v>INTANGIBLE PLANT</v>
          </cell>
        </row>
        <row r="151">
          <cell r="A151">
            <v>2</v>
          </cell>
          <cell r="B151">
            <v>351</v>
          </cell>
          <cell r="C151">
            <v>1</v>
          </cell>
          <cell r="D151" t="str">
            <v>351.1  Organization</v>
          </cell>
          <cell r="E151" t="str">
            <v>Organization</v>
          </cell>
        </row>
        <row r="152">
          <cell r="A152">
            <v>3</v>
          </cell>
          <cell r="B152">
            <v>352</v>
          </cell>
          <cell r="C152">
            <v>1</v>
          </cell>
          <cell r="D152" t="str">
            <v>352.1  Franchises</v>
          </cell>
          <cell r="E152" t="str">
            <v>Franchises</v>
          </cell>
        </row>
        <row r="153">
          <cell r="A153">
            <v>4</v>
          </cell>
          <cell r="B153">
            <v>389</v>
          </cell>
          <cell r="C153">
            <v>1</v>
          </cell>
          <cell r="D153" t="str">
            <v>389.1  Other Plant &amp; Misc. Equipment</v>
          </cell>
          <cell r="E153" t="str">
            <v>Other Plant &amp; Misc. Equipment</v>
          </cell>
        </row>
        <row r="154">
          <cell r="A154">
            <v>5</v>
          </cell>
          <cell r="B154" t="str">
            <v>Collection Plant</v>
          </cell>
          <cell r="D154" t="str">
            <v>COLLECTION PLANT</v>
          </cell>
        </row>
        <row r="155">
          <cell r="A155">
            <v>6</v>
          </cell>
          <cell r="B155">
            <v>353</v>
          </cell>
          <cell r="C155">
            <v>2</v>
          </cell>
          <cell r="D155" t="str">
            <v>353.2  Land &amp; Land Rights</v>
          </cell>
          <cell r="E155" t="str">
            <v>Land &amp; Land Rights</v>
          </cell>
        </row>
        <row r="156">
          <cell r="A156">
            <v>7</v>
          </cell>
          <cell r="B156">
            <v>354</v>
          </cell>
          <cell r="C156">
            <v>2</v>
          </cell>
          <cell r="D156" t="str">
            <v>354.2  Structrures &amp; Improvements</v>
          </cell>
          <cell r="E156" t="str">
            <v>Structrures &amp; Improvements</v>
          </cell>
          <cell r="F156">
            <v>198</v>
          </cell>
          <cell r="G156">
            <v>-3397</v>
          </cell>
          <cell r="H156">
            <v>-3198</v>
          </cell>
          <cell r="I156">
            <v>203006</v>
          </cell>
        </row>
        <row r="157">
          <cell r="A157">
            <v>8</v>
          </cell>
          <cell r="B157">
            <v>360</v>
          </cell>
          <cell r="C157">
            <v>2</v>
          </cell>
          <cell r="D157" t="str">
            <v>360.2  Collection Sewers - Force</v>
          </cell>
          <cell r="E157" t="str">
            <v>Collection Sewers - Force</v>
          </cell>
          <cell r="F157">
            <v>96188</v>
          </cell>
          <cell r="G157">
            <v>-1942</v>
          </cell>
          <cell r="H157">
            <v>-1858</v>
          </cell>
          <cell r="I157">
            <v>-6167</v>
          </cell>
        </row>
        <row r="158">
          <cell r="A158">
            <v>9</v>
          </cell>
          <cell r="B158">
            <v>361</v>
          </cell>
          <cell r="C158">
            <v>2</v>
          </cell>
          <cell r="D158" t="str">
            <v>361.2  Collection Sewers - Gravity</v>
          </cell>
          <cell r="E158" t="str">
            <v>Collection Sewers - Gravity</v>
          </cell>
          <cell r="G158">
            <v>112949</v>
          </cell>
          <cell r="H158">
            <v>119704</v>
          </cell>
          <cell r="I158">
            <v>127908</v>
          </cell>
        </row>
        <row r="159">
          <cell r="A159">
            <v>10</v>
          </cell>
          <cell r="B159">
            <v>362</v>
          </cell>
          <cell r="C159">
            <v>2</v>
          </cell>
          <cell r="D159" t="str">
            <v>362.2  Special Collecting Structures</v>
          </cell>
          <cell r="E159" t="str">
            <v>Special Collecting Structures</v>
          </cell>
        </row>
        <row r="160">
          <cell r="A160">
            <v>11</v>
          </cell>
          <cell r="B160">
            <v>363</v>
          </cell>
          <cell r="C160">
            <v>2</v>
          </cell>
          <cell r="D160" t="str">
            <v>363.2  Services to Customers</v>
          </cell>
          <cell r="E160" t="str">
            <v>Services to Customers</v>
          </cell>
        </row>
        <row r="161">
          <cell r="A161">
            <v>12</v>
          </cell>
          <cell r="B161">
            <v>364</v>
          </cell>
          <cell r="C161">
            <v>2</v>
          </cell>
          <cell r="D161" t="str">
            <v>364.2  Flow Measuring Devices</v>
          </cell>
          <cell r="E161" t="str">
            <v>Flow Measuring Devices</v>
          </cell>
        </row>
        <row r="162">
          <cell r="A162">
            <v>13</v>
          </cell>
          <cell r="B162">
            <v>365</v>
          </cell>
          <cell r="C162">
            <v>2</v>
          </cell>
          <cell r="D162" t="str">
            <v>365.2  Flow Measuring Installations</v>
          </cell>
          <cell r="E162" t="str">
            <v>Flow Measuring Installations</v>
          </cell>
        </row>
        <row r="163">
          <cell r="A163">
            <v>14</v>
          </cell>
          <cell r="B163">
            <v>375</v>
          </cell>
          <cell r="C163">
            <v>2</v>
          </cell>
          <cell r="D163" t="str">
            <v>375.2  Reuse Services</v>
          </cell>
          <cell r="E163" t="str">
            <v>Reuse Services</v>
          </cell>
        </row>
        <row r="164">
          <cell r="A164">
            <v>15</v>
          </cell>
          <cell r="B164">
            <v>389</v>
          </cell>
          <cell r="C164">
            <v>2</v>
          </cell>
          <cell r="D164" t="str">
            <v>389.2  Other Plant &amp; Misc. Equipment</v>
          </cell>
          <cell r="E164" t="str">
            <v>Other Plant &amp; Misc. Equipment</v>
          </cell>
        </row>
        <row r="165">
          <cell r="A165">
            <v>16</v>
          </cell>
          <cell r="B165" t="str">
            <v>System Pumping Plant</v>
          </cell>
          <cell r="D165" t="str">
            <v>SYSTEM PUMPING PLANT</v>
          </cell>
        </row>
        <row r="166">
          <cell r="A166">
            <v>17</v>
          </cell>
          <cell r="B166">
            <v>353</v>
          </cell>
          <cell r="C166">
            <v>3</v>
          </cell>
          <cell r="D166" t="str">
            <v>353.3  Land &amp; Land Rights</v>
          </cell>
          <cell r="E166" t="str">
            <v>Land &amp; Land Rights</v>
          </cell>
        </row>
        <row r="167">
          <cell r="A167">
            <v>18</v>
          </cell>
          <cell r="B167">
            <v>354</v>
          </cell>
          <cell r="C167">
            <v>3</v>
          </cell>
          <cell r="D167" t="str">
            <v>354.3  Structrures &amp; Improvements</v>
          </cell>
          <cell r="E167" t="str">
            <v>Structrures &amp; Improvements</v>
          </cell>
        </row>
        <row r="168">
          <cell r="A168">
            <v>19</v>
          </cell>
          <cell r="B168">
            <v>370</v>
          </cell>
          <cell r="C168">
            <v>3</v>
          </cell>
          <cell r="D168" t="str">
            <v>370.3  Receiving Wells</v>
          </cell>
          <cell r="E168" t="str">
            <v>Receiving Wells</v>
          </cell>
          <cell r="F168">
            <v>11000</v>
          </cell>
        </row>
        <row r="169">
          <cell r="A169">
            <v>20</v>
          </cell>
          <cell r="B169">
            <v>371</v>
          </cell>
          <cell r="C169">
            <v>3</v>
          </cell>
          <cell r="D169" t="str">
            <v>371.3  Pumping Equipment</v>
          </cell>
          <cell r="E169" t="str">
            <v>Pumping Equipment</v>
          </cell>
        </row>
        <row r="170">
          <cell r="A170">
            <v>21</v>
          </cell>
          <cell r="B170">
            <v>389</v>
          </cell>
          <cell r="C170">
            <v>3</v>
          </cell>
          <cell r="D170" t="str">
            <v>389.3  Other Plant &amp; Misc. Equipment</v>
          </cell>
          <cell r="E170" t="str">
            <v>Other Plant &amp; Misc. Equipment</v>
          </cell>
        </row>
        <row r="171">
          <cell r="A171">
            <v>22</v>
          </cell>
          <cell r="B171" t="str">
            <v>Treatment and Disposal Plant</v>
          </cell>
          <cell r="D171" t="str">
            <v>TREATMENT AND DISPOSAL PLANT</v>
          </cell>
        </row>
        <row r="172">
          <cell r="A172">
            <v>23</v>
          </cell>
          <cell r="B172">
            <v>353</v>
          </cell>
          <cell r="C172">
            <v>4</v>
          </cell>
          <cell r="D172" t="str">
            <v>353.4  Land &amp; Land Rights</v>
          </cell>
          <cell r="E172" t="str">
            <v>Land &amp; Land Rights</v>
          </cell>
        </row>
        <row r="173">
          <cell r="A173">
            <v>24</v>
          </cell>
          <cell r="B173">
            <v>354</v>
          </cell>
          <cell r="C173">
            <v>4</v>
          </cell>
          <cell r="D173" t="str">
            <v>354.4  Structrures &amp; Improvements</v>
          </cell>
          <cell r="E173" t="str">
            <v>Structrures &amp; Improvements</v>
          </cell>
        </row>
        <row r="174">
          <cell r="A174">
            <v>25</v>
          </cell>
          <cell r="B174">
            <v>380</v>
          </cell>
          <cell r="C174">
            <v>4</v>
          </cell>
          <cell r="D174" t="str">
            <v>380.4  Treatment &amp; Disposal Equipment</v>
          </cell>
          <cell r="E174" t="str">
            <v>Treatment &amp; Disposal Equipment</v>
          </cell>
          <cell r="G174">
            <v>235491</v>
          </cell>
          <cell r="H174">
            <v>256760</v>
          </cell>
          <cell r="I174">
            <v>74852</v>
          </cell>
        </row>
        <row r="175">
          <cell r="A175">
            <v>26</v>
          </cell>
          <cell r="B175">
            <v>381</v>
          </cell>
          <cell r="C175">
            <v>4</v>
          </cell>
          <cell r="D175" t="str">
            <v>381.4  Plant Sewers</v>
          </cell>
          <cell r="E175" t="str">
            <v>Plant Sewers</v>
          </cell>
          <cell r="F175">
            <v>153339</v>
          </cell>
        </row>
        <row r="176">
          <cell r="A176">
            <v>27</v>
          </cell>
          <cell r="B176">
            <v>382</v>
          </cell>
          <cell r="C176">
            <v>4</v>
          </cell>
          <cell r="D176" t="str">
            <v>382.4  Outfall Sewer Lines</v>
          </cell>
          <cell r="E176" t="str">
            <v>Outfall Sewer Lines</v>
          </cell>
        </row>
        <row r="177">
          <cell r="A177">
            <v>28</v>
          </cell>
          <cell r="B177">
            <v>389</v>
          </cell>
          <cell r="C177">
            <v>4</v>
          </cell>
          <cell r="D177" t="str">
            <v>389.4  Other Plant &amp; Misc. Equipment</v>
          </cell>
          <cell r="E177" t="str">
            <v>Other Plant &amp; Misc. Equipment</v>
          </cell>
        </row>
        <row r="178">
          <cell r="A178">
            <v>29</v>
          </cell>
          <cell r="B178" t="str">
            <v>General Plant</v>
          </cell>
          <cell r="D178" t="str">
            <v>GENERAL PLANT</v>
          </cell>
        </row>
        <row r="179">
          <cell r="A179">
            <v>30</v>
          </cell>
          <cell r="B179">
            <v>353</v>
          </cell>
          <cell r="C179">
            <v>5</v>
          </cell>
          <cell r="D179" t="str">
            <v>353.5  Land &amp; Land Rights</v>
          </cell>
          <cell r="E179" t="str">
            <v>Land &amp; Land Rights</v>
          </cell>
        </row>
        <row r="180">
          <cell r="A180">
            <v>31</v>
          </cell>
          <cell r="B180">
            <v>354</v>
          </cell>
          <cell r="C180">
            <v>5</v>
          </cell>
          <cell r="D180" t="str">
            <v>354.5  Structrures &amp; Improvements</v>
          </cell>
          <cell r="E180" t="str">
            <v>Structrures &amp; Improvements</v>
          </cell>
        </row>
        <row r="181">
          <cell r="A181">
            <v>32</v>
          </cell>
          <cell r="B181">
            <v>390</v>
          </cell>
          <cell r="C181">
            <v>5</v>
          </cell>
          <cell r="D181" t="str">
            <v>390.5  Office Furniture &amp; Equipment</v>
          </cell>
          <cell r="E181" t="str">
            <v>Office Furniture &amp; Equipment</v>
          </cell>
          <cell r="F181">
            <v>38</v>
          </cell>
          <cell r="G181">
            <v>9</v>
          </cell>
          <cell r="H181">
            <v>18</v>
          </cell>
          <cell r="I181">
            <v>27</v>
          </cell>
        </row>
        <row r="182">
          <cell r="A182">
            <v>33</v>
          </cell>
          <cell r="B182">
            <v>391</v>
          </cell>
          <cell r="C182">
            <v>5</v>
          </cell>
          <cell r="D182" t="str">
            <v>391.5  Transportation Equipment</v>
          </cell>
          <cell r="E182" t="str">
            <v>Transportation Equipment</v>
          </cell>
        </row>
        <row r="183">
          <cell r="A183">
            <v>34</v>
          </cell>
          <cell r="B183">
            <v>392</v>
          </cell>
          <cell r="C183">
            <v>5</v>
          </cell>
          <cell r="D183" t="str">
            <v>392.5  Stores Equipment</v>
          </cell>
          <cell r="E183" t="str">
            <v>Stores Equipment</v>
          </cell>
        </row>
        <row r="184">
          <cell r="A184">
            <v>35</v>
          </cell>
          <cell r="B184">
            <v>393</v>
          </cell>
          <cell r="C184">
            <v>5</v>
          </cell>
          <cell r="D184" t="str">
            <v>393.5  Tools, Shop &amp; Garage Equipment</v>
          </cell>
          <cell r="E184" t="str">
            <v>Tools, Shop &amp; Garage Equipment</v>
          </cell>
          <cell r="F184">
            <v>2020</v>
          </cell>
          <cell r="G184">
            <v>4</v>
          </cell>
          <cell r="H184">
            <v>7</v>
          </cell>
          <cell r="I184">
            <v>11</v>
          </cell>
        </row>
        <row r="185">
          <cell r="A185">
            <v>36</v>
          </cell>
          <cell r="B185">
            <v>394</v>
          </cell>
          <cell r="C185">
            <v>5</v>
          </cell>
          <cell r="D185" t="str">
            <v>394.5  Laboratory Equipment</v>
          </cell>
          <cell r="E185" t="str">
            <v>Laboratory Equipment</v>
          </cell>
        </row>
        <row r="186">
          <cell r="A186">
            <v>37</v>
          </cell>
          <cell r="B186">
            <v>395</v>
          </cell>
          <cell r="C186">
            <v>5</v>
          </cell>
          <cell r="D186" t="str">
            <v>395.5  Power Operated Equipment</v>
          </cell>
          <cell r="E186" t="str">
            <v>Power Operated Equipment</v>
          </cell>
        </row>
        <row r="187">
          <cell r="A187">
            <v>38</v>
          </cell>
          <cell r="B187">
            <v>396</v>
          </cell>
          <cell r="C187">
            <v>5</v>
          </cell>
          <cell r="D187" t="str">
            <v>396.5  Communication Equipment</v>
          </cell>
          <cell r="E187" t="str">
            <v>Communication Equipment</v>
          </cell>
        </row>
        <row r="188">
          <cell r="A188">
            <v>39</v>
          </cell>
          <cell r="B188">
            <v>397</v>
          </cell>
          <cell r="C188">
            <v>5</v>
          </cell>
          <cell r="D188" t="str">
            <v>397.5  Miscellaneous Equipment</v>
          </cell>
          <cell r="E188" t="str">
            <v>Miscellaneous Equipment</v>
          </cell>
        </row>
        <row r="189">
          <cell r="A189">
            <v>40</v>
          </cell>
          <cell r="B189">
            <v>398</v>
          </cell>
          <cell r="C189">
            <v>5</v>
          </cell>
          <cell r="D189" t="str">
            <v>398.5  Other Tangible Plant</v>
          </cell>
          <cell r="E189" t="str">
            <v>Other Tangible Plant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1"/>
      <sheetName val="CONTENTS vol 1 (2)"/>
      <sheetName val="H"/>
      <sheetName val="TB2010"/>
      <sheetName val="TB2010 (2)"/>
      <sheetName val="BalComp"/>
      <sheetName val="Dep Adj"/>
      <sheetName val="Alloc Adj"/>
      <sheetName val="RB 1"/>
      <sheetName val="RB 2"/>
      <sheetName val="RB 2 (2)"/>
      <sheetName val="RB 2 (3)"/>
      <sheetName val="RB 2 (4)"/>
      <sheetName val="RB 2 (5)"/>
      <sheetName val="RB 2 (6)"/>
      <sheetName val="RB 3"/>
      <sheetName val="RB 4"/>
      <sheetName val="RB 4 (2)"/>
      <sheetName val="RB 5"/>
      <sheetName val="A 8x"/>
      <sheetName val="RB 6"/>
      <sheetName val="RB 6 (2)"/>
      <sheetName val="A 11x"/>
      <sheetName val="RB 7"/>
      <sheetName val="RB 7 (2)"/>
      <sheetName val="A 13x"/>
      <sheetName val="RB 8"/>
      <sheetName val="RB 8 (2)"/>
      <sheetName val="RB 9"/>
      <sheetName val="RB 10"/>
      <sheetName val="RB 11"/>
      <sheetName val="RB 12"/>
      <sheetName val="RB 12 (2)"/>
      <sheetName val="RB 13"/>
      <sheetName val="RB 13 (2) "/>
      <sheetName val="RB 14"/>
      <sheetName val="OI 1"/>
      <sheetName val="OI 2"/>
      <sheetName val="OI 2 (2)"/>
      <sheetName val="OPINC"/>
      <sheetName val="WSC"/>
      <sheetName val="Salaries"/>
      <sheetName val="B 4x"/>
      <sheetName val="O&amp;M"/>
      <sheetName val="OI 3"/>
      <sheetName val="B 8x"/>
      <sheetName val="B 9x"/>
      <sheetName val="OI 4"/>
      <sheetName val="B 11"/>
      <sheetName val="OI 5"/>
      <sheetName val="OI 6"/>
      <sheetName val="OI 6 (2)"/>
      <sheetName val="OI 7"/>
      <sheetName val="C INSTRUCT"/>
      <sheetName val="IS2010"/>
      <sheetName val="T 1"/>
      <sheetName val="T 2"/>
      <sheetName val="T 3"/>
      <sheetName val="T 4"/>
      <sheetName val="T 5"/>
      <sheetName val="T 6"/>
      <sheetName val="C 6 (2)"/>
      <sheetName val="C 6 (3)"/>
      <sheetName val="T 7"/>
      <sheetName val="T 7 (2)"/>
      <sheetName val="T 7 (3)"/>
      <sheetName val="T 7 (4)"/>
      <sheetName val="C 8x"/>
      <sheetName val="C 9x"/>
      <sheetName val="C 10x"/>
      <sheetName val="C 1"/>
      <sheetName val="C 2"/>
      <sheetName val="C 3"/>
      <sheetName val="C 4"/>
      <sheetName val="C 5"/>
      <sheetName val="C 6"/>
      <sheetName val="C 7"/>
      <sheetName val="LTD"/>
      <sheetName val="STD"/>
      <sheetName val="EQUITY"/>
      <sheetName val="ADIT"/>
      <sheetName val="R 1"/>
      <sheetName val="Sheet1"/>
      <sheetName val="R 2"/>
      <sheetName val="R 2 (2)"/>
      <sheetName val="R 2 (3)"/>
      <sheetName val="R 3"/>
      <sheetName val="R 4"/>
      <sheetName val="E 5x"/>
      <sheetName val="E 6x"/>
      <sheetName val="E 7x"/>
      <sheetName val="R 5"/>
      <sheetName val="R 6"/>
      <sheetName val="R 7"/>
      <sheetName val="R 8"/>
      <sheetName val="E 12"/>
      <sheetName val="E 13"/>
      <sheetName val="R 9"/>
      <sheetName val="E 1"/>
      <sheetName val="E 2"/>
      <sheetName val="E 3"/>
      <sheetName val="E-3 (2)"/>
      <sheetName val="EWD INVEST"/>
      <sheetName val="E 4"/>
      <sheetName val="E 5"/>
      <sheetName val="E 6"/>
      <sheetName val="WWFLOW"/>
      <sheetName val="REUSE"/>
      <sheetName val="Hist Consump"/>
      <sheetName val="Hist Cust"/>
      <sheetName val="Correction"/>
    </sheetNames>
    <sheetDataSet>
      <sheetData sheetId="0" refreshError="1">
        <row r="4">
          <cell r="E4" t="str">
            <v>Utilities, Inc. of Sandalhaven</v>
          </cell>
        </row>
        <row r="12">
          <cell r="E12" t="str">
            <v>Preparer:  Kirsten Weeks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2 "/>
      <sheetName val="A 3 "/>
      <sheetName val="A 4"/>
      <sheetName val="A 6"/>
      <sheetName val="A 6 (a)"/>
      <sheetName val="A 7"/>
      <sheetName val="A 8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 "/>
      <sheetName val="A 18"/>
      <sheetName val="A 18 (a)"/>
      <sheetName val="A 19 "/>
      <sheetName val="A 19 (a) "/>
      <sheetName val="B 2 "/>
      <sheetName val="B 3"/>
      <sheetName val="B 4"/>
      <sheetName val="B 6"/>
      <sheetName val="B 8"/>
      <sheetName val="B 9 "/>
      <sheetName val="B 10"/>
      <sheetName val="B 11"/>
      <sheetName val="B12"/>
      <sheetName val="B 14"/>
      <sheetName val="B 15"/>
      <sheetName val="C INSTRUCT"/>
      <sheetName val="C 1"/>
      <sheetName val="D 1 "/>
      <sheetName val="D 2 "/>
      <sheetName val="D-3"/>
      <sheetName val="D-4"/>
      <sheetName val="D-5"/>
      <sheetName val="D-6"/>
      <sheetName val="D 7"/>
      <sheetName val="E 1 S"/>
      <sheetName val="E-2 S"/>
      <sheetName val="E-3"/>
      <sheetName val="E-4 Sewer"/>
      <sheetName val="E-5"/>
      <sheetName val="E-6"/>
      <sheetName val="E-7"/>
      <sheetName val="E 8"/>
      <sheetName val="E 9 "/>
      <sheetName val="E-10"/>
      <sheetName val="E 11"/>
      <sheetName val="E 12"/>
      <sheetName val="E 13"/>
      <sheetName val="E 14"/>
      <sheetName val="F 2"/>
      <sheetName val="F 4"/>
      <sheetName val="F 6"/>
      <sheetName val="F 6 (2)"/>
      <sheetName val="F 6 (3)"/>
      <sheetName val="F 6 (4)"/>
      <sheetName val="F 7"/>
      <sheetName val="F 8"/>
      <sheetName val="F 10"/>
      <sheetName val="A 2 (I) "/>
      <sheetName val="A 3 (I) "/>
      <sheetName val="B 2 (I) "/>
      <sheetName val="B 3 (I)"/>
      <sheetName val="B 15 (I)"/>
      <sheetName val="D-1 (I) "/>
      <sheetName val="D-2 (I) "/>
      <sheetName val="D 4 (I)"/>
      <sheetName val="E 1 S (I)"/>
      <sheetName val="E-2 S (I)"/>
      <sheetName val="Other BalSheet Acct_PerAR"/>
      <sheetName val="Working Capital_PerAR"/>
      <sheetName val="12-31-14 Depreciation Exp_PerAR"/>
      <sheetName val="ADJUSTED MONTHLY FINAL"/>
      <sheetName val="APPENDIX B INC. STAT.ACCT RECON"/>
      <sheetName val="Interest Expense Adj_PerAR"/>
      <sheetName val="RateCase&amp;Other Deferred_PerAR"/>
      <sheetName val="Property Taxes"/>
      <sheetName val="AR to MFR Reconciliation"/>
      <sheetName val="Pro Forma Plant"/>
      <sheetName val="Deferred Rate Case Expenses"/>
      <sheetName val="Revenues Per Kaitlin"/>
      <sheetName val="Rev Requirements Final"/>
      <sheetName val="Rev Requirements Interim"/>
      <sheetName val="Sheet10"/>
    </sheetNames>
    <sheetDataSet>
      <sheetData sheetId="0">
        <row r="4">
          <cell r="E4" t="str">
            <v>Company:  K W Resort Utilities Corp</v>
          </cell>
        </row>
        <row r="6">
          <cell r="E6" t="str">
            <v>Docket No.: 150071-SU</v>
          </cell>
        </row>
        <row r="11">
          <cell r="E11" t="str">
            <v>Preparer: Milian, Swain &amp; Associates, Inc.</v>
          </cell>
        </row>
        <row r="14">
          <cell r="E14" t="str">
            <v>Test Year Ended:  12/31/2014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Page 1 of 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8">
          <cell r="I18">
            <v>0.093634979492552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2"/>
      <sheetName val="A 3"/>
      <sheetName val="A 4"/>
      <sheetName val="A 6"/>
      <sheetName val="A 7"/>
      <sheetName val="A 8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2"/>
      <sheetName val="B 3"/>
      <sheetName val="B 4"/>
      <sheetName val="B 6"/>
      <sheetName val="B 8"/>
      <sheetName val="B 9"/>
      <sheetName val="B 10"/>
      <sheetName val="B 11"/>
      <sheetName val="B12 (1)"/>
      <sheetName val="B12 (2)"/>
      <sheetName val="B12 (3)"/>
      <sheetName val="B12 (4)"/>
      <sheetName val="B12 (5)"/>
      <sheetName val="B 14"/>
      <sheetName val="C INSTRUCT"/>
      <sheetName val="B 15"/>
      <sheetName val="C 1"/>
      <sheetName val="C 2 (S)"/>
      <sheetName val="C 3 (S)"/>
      <sheetName val="C 4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S"/>
      <sheetName val="E-2"/>
      <sheetName val="E-3"/>
      <sheetName val="E-4 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F-2"/>
      <sheetName val="F-4"/>
      <sheetName val="F-6"/>
      <sheetName val="F-6(2)"/>
      <sheetName val="F-7"/>
      <sheetName val="F-8"/>
      <sheetName val="F-10"/>
      <sheetName val="A 2 (I)"/>
      <sheetName val="A 3 (I)"/>
      <sheetName val="B 2 (I)"/>
      <sheetName val="B 3 (I)"/>
      <sheetName val="B 15 (I)"/>
      <sheetName val="C 1 (I)"/>
      <sheetName val="C 2 (I)"/>
      <sheetName val="C 3 (I)"/>
      <sheetName val="C 5 (I) "/>
      <sheetName val="D-1 (I)"/>
      <sheetName val="D-2 (I)"/>
      <sheetName val="D 4 (I)"/>
      <sheetName val="E 1 S (I)"/>
      <sheetName val="E-2 (I)"/>
      <sheetName val=" Plant Acc Bal"/>
      <sheetName val=" CIAC Bal &amp; Proj"/>
      <sheetName val="Balance Sheet"/>
      <sheetName val="Income Acc  Alloc "/>
      <sheetName val="Interest Expense Adj"/>
      <sheetName val=" Depreciation Exp"/>
      <sheetName val="Rev Requirements Final"/>
      <sheetName val="Rev Req Interim"/>
      <sheetName val="Computation of Rates Final"/>
      <sheetName val="ADJUSTED MONTHLY FINAL"/>
      <sheetName val="APPENDIX B INC. STAT.ACCT RECON"/>
    </sheetNames>
    <sheetDataSet>
      <sheetData sheetId="0">
        <row r="11">
          <cell r="E11" t="str">
            <v>Preparer:  Erin Povich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Page 1 of 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6">
          <cell r="F16">
            <v>780729.63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16">
          <cell r="F16">
            <v>780729.63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2"/>
      <sheetName val="CONTENTS vol 1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9 "/>
      <sheetName val="B 1"/>
      <sheetName val="B 2"/>
      <sheetName val="B 3"/>
      <sheetName val="B 4"/>
      <sheetName val="B 5"/>
      <sheetName val="B 5 (a)"/>
      <sheetName val="B 6"/>
      <sheetName val="B 6 (a)"/>
      <sheetName val="B 7"/>
      <sheetName val="B 8"/>
      <sheetName val="B-9"/>
      <sheetName val="B 10"/>
      <sheetName val="B 11"/>
      <sheetName val="B12 - 1.31.2010"/>
      <sheetName val="B12 - 2.28.2010"/>
      <sheetName val="B12 - 3.31.2010"/>
      <sheetName val="B12 - 4.30.2010"/>
      <sheetName val="B12 - 5.31.2010"/>
      <sheetName val="B12 - 6.30.2010"/>
      <sheetName val="B12 - 7.31.2010"/>
      <sheetName val="B12 - 8.31.2010"/>
      <sheetName val="B12 - 9.30.2010"/>
      <sheetName val="B12 - 10.31.2010"/>
      <sheetName val="B12 - 11.30.2010"/>
      <sheetName val="B12 - 12.31.2010"/>
      <sheetName val="B12 - Test Year"/>
      <sheetName val="B 13"/>
      <sheetName val="B 14"/>
      <sheetName val="B 15"/>
      <sheetName val="C INSTRUCT"/>
      <sheetName val="C 1"/>
      <sheetName val="C 2 (W) (S)"/>
      <sheetName val="C 3"/>
      <sheetName val="C 4"/>
      <sheetName val="C 5 (W) (S)"/>
      <sheetName val="C 6"/>
      <sheetName val="C 7"/>
      <sheetName val="C 8"/>
      <sheetName val="C 9"/>
      <sheetName val="C 10"/>
      <sheetName val="D-1"/>
      <sheetName val="D-2"/>
      <sheetName val="D 2 (a)"/>
      <sheetName val="D-3"/>
      <sheetName val="D-4"/>
      <sheetName val="D-5"/>
      <sheetName val="D-6"/>
      <sheetName val="D 7"/>
      <sheetName val="E-1 W"/>
      <sheetName val="E-1 S"/>
      <sheetName val="E-2 W "/>
      <sheetName val="E-2 S"/>
      <sheetName val="E-3"/>
      <sheetName val="E-4 W"/>
      <sheetName val="E-4 S"/>
      <sheetName val="E-5 W"/>
      <sheetName val="E-5 S"/>
      <sheetName val="E-6"/>
      <sheetName val="E 7"/>
      <sheetName val="E 8"/>
      <sheetName val="E 9"/>
      <sheetName val="E 10 Water"/>
      <sheetName val="E 10 Sewer"/>
      <sheetName val="E 11"/>
      <sheetName val="E 12"/>
      <sheetName val="E 13"/>
      <sheetName val="E 14"/>
      <sheetName val="F-1"/>
      <sheetName val="F-2"/>
      <sheetName val="F-3"/>
      <sheetName val="F-4"/>
      <sheetName val="F-5"/>
      <sheetName val="F-6"/>
      <sheetName val="F-6(2)"/>
      <sheetName val="F-7"/>
      <sheetName val="F-8"/>
      <sheetName val="F-9"/>
      <sheetName val="F-10"/>
      <sheetName val="A 1 INT"/>
      <sheetName val="A 2 INT"/>
      <sheetName val="A 3 INT"/>
      <sheetName val="A 7 INT"/>
      <sheetName val="B 1 INT"/>
      <sheetName val="B 2 INT"/>
      <sheetName val="B 3 INT"/>
      <sheetName val="B 15 INT"/>
      <sheetName val="C 1 INT"/>
      <sheetName val="C 2 (W) (S) INT"/>
      <sheetName val="C 3 INT"/>
      <sheetName val="C 5 (W) (S) INT"/>
      <sheetName val="D-1 INT"/>
      <sheetName val="D-2 INT"/>
      <sheetName val="E-1 W INT"/>
      <sheetName val="E-1 S INT"/>
      <sheetName val="E-2 W INT"/>
      <sheetName val="E-2 S INT"/>
      <sheetName val="APPENDIX A PLANT ACCT "/>
      <sheetName val="O&amp;M EXPENSES ALLOCATED"/>
      <sheetName val="TAX EXPENSE"/>
      <sheetName val="REVENUE REQUIREMENTS"/>
      <sheetName val="PROFORMA YEAR"/>
      <sheetName val="INTERIM COST OF CAPITAL"/>
      <sheetName val="EQUITY RETURN CALCULATION"/>
      <sheetName val="259 13 Month BS UC"/>
      <sheetName val="259 12 Month IS UC"/>
      <sheetName val="2007 - 2009 &amp; Test Year BS"/>
      <sheetName val="259 ERC Count Companies 12-10"/>
      <sheetName val="tax calculations"/>
      <sheetName val="SE3"/>
      <sheetName val="LTD-lead"/>
      <sheetName val="LTD-detail"/>
      <sheetName val="STD"/>
      <sheetName val="Common Equity"/>
      <sheetName val="ADIT, CD, ITC"/>
      <sheetName val="Leverage Formula in D schedule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 "/>
      <sheetName val="A 6"/>
      <sheetName val="A 7"/>
      <sheetName val="A 8"/>
      <sheetName val="A 9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12 (1)"/>
      <sheetName val="B12 (2)"/>
      <sheetName val="B12 (3)"/>
      <sheetName val="B12 (4)"/>
      <sheetName val="B 13"/>
      <sheetName val="B 14"/>
      <sheetName val="C INSTRUCT"/>
      <sheetName val="B 15"/>
      <sheetName val="C 1"/>
      <sheetName val="C 2 (W)"/>
      <sheetName val="C 2 (S)"/>
      <sheetName val="C 3 (W)"/>
      <sheetName val="C 3 (S)"/>
      <sheetName val="C 4"/>
      <sheetName val="C 5 (W)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W"/>
      <sheetName val="E 1 S"/>
      <sheetName val="E-2"/>
      <sheetName val="E-3"/>
      <sheetName val="E-4 "/>
      <sheetName val="E-5 (W)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D 4 (I)"/>
      <sheetName val="E 1 W (I)"/>
      <sheetName val="E 1 S (I)"/>
      <sheetName val="E-2 (I)"/>
      <sheetName val="6-30-07 Plant Acc Bal"/>
      <sheetName val="6-30-07 CIAC Bal &amp; Proj"/>
      <sheetName val="6-30-07 Balance Sheet"/>
      <sheetName val="Income Acc  Alloc "/>
      <sheetName val="Interest Expense Adj"/>
      <sheetName val="6-30-07 Depreciation Exp"/>
      <sheetName val="Rev Requirements Final"/>
      <sheetName val="Rev Req Interim"/>
      <sheetName val="Computation of Rates Final"/>
      <sheetName val="Computation of Rates Interim"/>
      <sheetName val="ADJUSTED MONTHLY FINAL"/>
      <sheetName val="APPENDIX B INC. STAT.ACCT RECON"/>
    </sheetNames>
    <sheetDataSet>
      <sheetData sheetId="0">
        <row r="10">
          <cell r="E10" t="str">
            <v>Preparer: John Hoy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D4" t="str">
            <v>Page 1 of 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 "/>
      <sheetName val="A 6"/>
      <sheetName val="A 7"/>
      <sheetName val="A 8"/>
      <sheetName val="A 9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12 (1)"/>
      <sheetName val="B12 (2)"/>
      <sheetName val="B12 (3)"/>
      <sheetName val="B12 (4)"/>
      <sheetName val="B 13"/>
      <sheetName val="B 14"/>
      <sheetName val="C INSTRUCT"/>
      <sheetName val="B 15"/>
      <sheetName val="C 1"/>
      <sheetName val="C 2 (W)"/>
      <sheetName val="C 2 (S)"/>
      <sheetName val="C 3 (W)"/>
      <sheetName val="C 3 (S)"/>
      <sheetName val="C 4"/>
      <sheetName val="C 5 (W)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W"/>
      <sheetName val="E 1 S"/>
      <sheetName val="E-2"/>
      <sheetName val="E-3"/>
      <sheetName val="E-4 "/>
      <sheetName val="E-5 (W)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D 4 (I)"/>
      <sheetName val="E 1 W (I)"/>
      <sheetName val="E 1 S (I)"/>
      <sheetName val="E-2 (I)"/>
      <sheetName val="6-30-07 Plant Acc Bal"/>
      <sheetName val="6-30-07 CIAC Bal &amp; Proj"/>
      <sheetName val="6-30-07 Balance Sheet"/>
      <sheetName val="Income Acc  Alloc "/>
      <sheetName val="Interest Expense Adj"/>
      <sheetName val="6-30-07 Depreciation Exp"/>
      <sheetName val="Rev Requirements Final"/>
      <sheetName val="Rev Req Interim"/>
      <sheetName val="Computation of Rates Final"/>
      <sheetName val="Computation of Rates Interim"/>
      <sheetName val="ADJUSTED MONTHLY FINAL"/>
      <sheetName val="APPENDIX B INC. STAT.ACCT RECON"/>
    </sheetNames>
    <sheetDataSet>
      <sheetData sheetId="0">
        <row r="10">
          <cell r="E10" t="str">
            <v>Preparer: John Hoy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4">
          <cell r="D4" t="str">
            <v>Page 1 of 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2"/>
      <sheetName val="A 3"/>
      <sheetName val="A 4"/>
      <sheetName val="A 6"/>
      <sheetName val="A 7"/>
      <sheetName val="A 8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2"/>
      <sheetName val="B 3"/>
      <sheetName val="B 4"/>
      <sheetName val="B 6"/>
      <sheetName val="B 8"/>
      <sheetName val="B 9"/>
      <sheetName val="B 10"/>
      <sheetName val="B 11"/>
      <sheetName val="B12 (1)"/>
      <sheetName val="B12 (2)"/>
      <sheetName val="B12 (3)"/>
      <sheetName val="B12 (4)"/>
      <sheetName val="B12 (5)"/>
      <sheetName val="B 14"/>
      <sheetName val="C INSTRUCT"/>
      <sheetName val="B 15"/>
      <sheetName val="C 1"/>
      <sheetName val="C 2 (S)"/>
      <sheetName val="C 3 (S)"/>
      <sheetName val="C 4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S"/>
      <sheetName val="E-2"/>
      <sheetName val="E-3"/>
      <sheetName val="E-4 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F-2"/>
      <sheetName val="F-4"/>
      <sheetName val="F-6"/>
      <sheetName val="F-6(2)"/>
      <sheetName val="F-7"/>
      <sheetName val="F-8"/>
      <sheetName val="F-10"/>
      <sheetName val="A 2 (I)"/>
      <sheetName val="A 3 (I)"/>
      <sheetName val="B 2 (I)"/>
      <sheetName val="B 3 (I)"/>
      <sheetName val="B 15 (I)"/>
      <sheetName val="C 1 (I)"/>
      <sheetName val="C 2 (I)"/>
      <sheetName val="C 3 (I)"/>
      <sheetName val="C 5 (I) "/>
      <sheetName val="D-1 (I)"/>
      <sheetName val="D-2 (I)"/>
      <sheetName val="D 4 (I)"/>
      <sheetName val="E 1 S (I)"/>
      <sheetName val="E-2 (I)"/>
      <sheetName val=" Plant Acc Bal"/>
      <sheetName val=" CIAC Bal &amp; Proj"/>
      <sheetName val="Balance Sheet"/>
      <sheetName val="Income Acc  Alloc "/>
      <sheetName val="Interest Expense Adj"/>
      <sheetName val=" Depreciation Exp"/>
      <sheetName val="Rev Requirements Final"/>
      <sheetName val="Rev Req Interim"/>
      <sheetName val="Computation of Rates Final"/>
      <sheetName val="ADJUSTED MONTHLY FINAL"/>
      <sheetName val="APPENDIX B INC. STAT.ACCT 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Page 1 of 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Rbase"/>
      <sheetName val="Noi"/>
      <sheetName val="Adjs"/>
      <sheetName val="Cap"/>
      <sheetName val="Plnt"/>
      <sheetName val="Ciac"/>
      <sheetName val="UUsum"/>
      <sheetName val="Wca"/>
      <sheetName val="AnnualizedRevs"/>
      <sheetName val="OMexp"/>
      <sheetName val="Toti"/>
      <sheetName val="RevRq"/>
      <sheetName val="RevAlloc"/>
      <sheetName val="RateSch"/>
      <sheetName val="BillDeter"/>
      <sheetName val="Security"/>
      <sheetName val="Agreed Audit Adjs."/>
      <sheetName val="A.F.No 2 Plant Sample"/>
      <sheetName val="A.F. No. 3 Proforma"/>
      <sheetName val="A.F. No. 4  ERC Proforma Adj."/>
      <sheetName val="A.F. No. 5 Proj. Phoenix"/>
      <sheetName val="A.F. No. 8-Acc.Amort. of CIAC "/>
      <sheetName val="A.F. 11 Salaries"/>
      <sheetName val="A.F. No. 14 Rate Case Exp."/>
      <sheetName val="A.F.No. 15-HDQ Samples "/>
      <sheetName val="A.F. No. 16-Deferred Maint."/>
      <sheetName val="A.F. 17 O&amp;M Sample"/>
      <sheetName val="A.F. No. 19-Alloc. of TOTI"/>
      <sheetName val="Bad Debt Exp. Adj."/>
      <sheetName val="Chem.Exp.Adj."/>
      <sheetName val="Fuel Expense"/>
      <sheetName val="Plant-CWIP"/>
      <sheetName val="Relocation Exp."/>
      <sheetName val="Working Capital Adj. "/>
      <sheetName val="Reuse bills"/>
      <sheetName val="Macros"/>
    </sheetNames>
    <sheetDataSet>
      <sheetData sheetId="0">
        <row r="14">
          <cell r="D14" t="str">
            <v>Sanlando Utilities Corporation</v>
          </cell>
        </row>
        <row r="16">
          <cell r="D16" t="str">
            <v>Test Year Ended 12/31/08</v>
          </cell>
        </row>
      </sheetData>
      <sheetData sheetId="1"/>
      <sheetData sheetId="2">
        <row r="12">
          <cell r="I12">
            <v>3089848.46636515</v>
          </cell>
        </row>
      </sheetData>
      <sheetData sheetId="3"/>
      <sheetData sheetId="4"/>
      <sheetData sheetId="5">
        <row r="1">
          <cell r="A1" t="str">
            <v>Sanlando Utilities Corporation</v>
          </cell>
        </row>
      </sheetData>
      <sheetData sheetId="6"/>
      <sheetData sheetId="7"/>
      <sheetData sheetId="8"/>
      <sheetData sheetId="9"/>
      <sheetData sheetId="10">
        <row r="9">
          <cell r="H9">
            <v>390658.74406798</v>
          </cell>
        </row>
      </sheetData>
      <sheetData sheetId="11">
        <row r="11">
          <cell r="I11">
            <v>199091.682128879</v>
          </cell>
        </row>
      </sheetData>
      <sheetData sheetId="12"/>
      <sheetData sheetId="13"/>
      <sheetData sheetId="14"/>
      <sheetData sheetId="15">
        <row r="49">
          <cell r="E49">
            <v>217874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1"/>
      <sheetName val=" A 2"/>
      <sheetName val="A 3"/>
      <sheetName val="A 3 (2)"/>
      <sheetName val="A 4"/>
      <sheetName val="A-6"/>
      <sheetName val=" A 6(2)"/>
      <sheetName val="A 7"/>
      <sheetName val="A 8"/>
      <sheetName val=" A-10"/>
      <sheetName val="A 10(2)"/>
      <sheetName val="A 11"/>
      <sheetName val="A-12"/>
      <sheetName val="A-12(2)"/>
      <sheetName val="A 13"/>
      <sheetName val="A 14"/>
      <sheetName val=" A 14(2)"/>
      <sheetName val="A 15"/>
      <sheetName val="A 16"/>
      <sheetName val="A 17 "/>
      <sheetName val=" A-18"/>
      <sheetName val="A-18(a)"/>
      <sheetName val=" A-19"/>
      <sheetName val=" A-19(a)"/>
      <sheetName val="B-2"/>
      <sheetName val="B 3"/>
      <sheetName val="B 4"/>
      <sheetName val="B-6"/>
      <sheetName val="B 8"/>
      <sheetName val="B-9"/>
      <sheetName val="B 10"/>
      <sheetName val="B 11"/>
      <sheetName val="B12 - 1.31.2014"/>
      <sheetName val="B12 - 2.28.2014"/>
      <sheetName val="B12 - 3.31.2014"/>
      <sheetName val="B12 - 4.30.2014"/>
      <sheetName val="B12 - 5.31.2014"/>
      <sheetName val="B12 - 6.30.2014"/>
      <sheetName val="B12 - 7.31.2014"/>
      <sheetName val="B12 - 8.31.2014"/>
      <sheetName val="B12 - 9.30.2014"/>
      <sheetName val="B12 - 10.31.2014"/>
      <sheetName val="B12 - 11.30.2014"/>
      <sheetName val="B12 - 12.31.2014"/>
      <sheetName val="B12 - Test Year"/>
      <sheetName val=" B-14"/>
      <sheetName val="B 8x"/>
      <sheetName val="B 9x"/>
      <sheetName val="DefRC"/>
      <sheetName val=" B-15"/>
      <sheetName val="C 1"/>
      <sheetName val="C 2"/>
      <sheetName val="C 3"/>
      <sheetName val="C 4"/>
      <sheetName val="C 5"/>
      <sheetName val="C 6"/>
      <sheetName val="C 7"/>
      <sheetName val="C 7 (2)"/>
      <sheetName val="C 7 (3)"/>
      <sheetName val="C 7 (4)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LTD"/>
      <sheetName val="STD"/>
      <sheetName val="EQUITY"/>
      <sheetName val="ADIT"/>
      <sheetName val="E 1 "/>
      <sheetName val="E-2"/>
      <sheetName val="E 3"/>
      <sheetName val="E-4 "/>
      <sheetName val="E-5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F 2"/>
      <sheetName val="F 4"/>
      <sheetName val="F 6"/>
      <sheetName val="F 6 (2)"/>
      <sheetName val="F 6 (3)"/>
      <sheetName val="F 7"/>
      <sheetName val="F 8"/>
      <sheetName val="F 10"/>
      <sheetName val=" A 2 (I)"/>
      <sheetName val="A 3 (I)"/>
      <sheetName val="B-2 (I)"/>
      <sheetName val="B 3 (I)"/>
      <sheetName val=" B-15 (I)"/>
      <sheetName val="C 1 (I)"/>
      <sheetName val="C 2 (I)"/>
      <sheetName val="C 3 (I)"/>
      <sheetName val="C 5 (I)"/>
      <sheetName val="D 1 (I)"/>
      <sheetName val="D 2 (I)"/>
      <sheetName val="E 1  (I)"/>
      <sheetName val="E-2 (I)"/>
      <sheetName val="RB 2 (6)"/>
      <sheetName val="OI 2 (2)"/>
      <sheetName val="OPINC"/>
      <sheetName val="WSC"/>
      <sheetName val="Salaries"/>
      <sheetName val="O&amp;M"/>
      <sheetName val="OI 6 (2)"/>
      <sheetName val="13 Month TB"/>
      <sheetName val="12 Mo IS"/>
      <sheetName val="WWFLOW"/>
      <sheetName val="REUSE"/>
      <sheetName val="Hist Consump"/>
      <sheetName val="Hist Cust"/>
      <sheetName val="AR to MFR"/>
      <sheetName val="Interest Expense Adj_PerAR"/>
      <sheetName val="Rev Requirements Final"/>
      <sheetName val="Rev Requirements Interim"/>
      <sheetName val="Correction"/>
      <sheetName val="Net Loss"/>
      <sheetName val="Da Agreements"/>
      <sheetName val="Recalculation of EWD amort_cy"/>
      <sheetName val="Sheet1"/>
    </sheetNames>
    <sheetDataSet>
      <sheetData sheetId="0">
        <row r="4">
          <cell r="E4" t="str">
            <v>Company: Utilities, Inc. of Sandalhaven</v>
          </cell>
        </row>
        <row r="14">
          <cell r="E14" t="str">
            <v>Test Year Ended: December 31, 2014</v>
          </cell>
        </row>
      </sheetData>
      <sheetData sheetId="1" refreshError="1"/>
      <sheetData sheetId="2" refreshError="1"/>
      <sheetData sheetId="3">
        <row r="1">
          <cell r="F1" t="str">
            <v>Florida Public Service Commission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>
        <row r="23">
          <cell r="I23">
            <v>0</v>
          </cell>
        </row>
      </sheetData>
      <sheetData sheetId="101" refreshError="1"/>
      <sheetData sheetId="102"/>
      <sheetData sheetId="103" refreshError="1"/>
      <sheetData sheetId="104"/>
      <sheetData sheetId="105" refreshError="1"/>
      <sheetData sheetId="106" refreshError="1"/>
      <sheetData sheetId="107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D8A92-1995-428B-A2FE-5BD1DE2AFDB0}">
  <dimension ref="A1:F77"/>
  <sheetViews>
    <sheetView workbookViewId="0" topLeftCell="A1">
      <selection pane="topLeft" activeCell="A26" sqref="A26"/>
    </sheetView>
  </sheetViews>
  <sheetFormatPr defaultRowHeight="15"/>
  <cols>
    <col min="1" max="1" width="44.375" style="489" customWidth="1"/>
    <col min="2" max="2" width="10.875" style="489" customWidth="1"/>
    <col min="3" max="3" width="11.375" style="489" customWidth="1"/>
    <col min="4" max="5" width="8.75" style="489"/>
    <col min="6" max="6" width="10" style="489" bestFit="1" customWidth="1"/>
    <col min="7" max="16384" width="8.75" style="489"/>
  </cols>
  <sheetData>
    <row r="1" ht="21">
      <c r="A1" s="620" t="s">
        <v>489</v>
      </c>
    </row>
    <row r="3" ht="18">
      <c r="A3" s="619" t="s">
        <v>672</v>
      </c>
    </row>
    <row r="4" spans="1:3" ht="14.4">
      <c r="A4" s="627" t="s">
        <v>690</v>
      </c>
      <c r="C4" s="625">
        <f>+'Schedule No. 7 Rev Proof'!H14</f>
        <v>178.78433750000002</v>
      </c>
    </row>
    <row r="5" spans="1:3" ht="14.4">
      <c r="A5" s="616" t="s">
        <v>182</v>
      </c>
      <c r="C5" s="492">
        <f>+'Cost of Capital'!K21</f>
        <v>0.037400000000000003</v>
      </c>
    </row>
    <row r="6" spans="1:3" ht="14.4">
      <c r="A6" s="616"/>
      <c r="C6" s="492"/>
    </row>
    <row r="7" spans="1:3" ht="14.4">
      <c r="A7" s="630" t="s">
        <v>691</v>
      </c>
      <c r="B7" s="618"/>
      <c r="C7" s="618">
        <f>+B8+B9</f>
        <v>12911.989076450758</v>
      </c>
    </row>
    <row r="8" spans="1:3" ht="14.4">
      <c r="A8" s="617" t="s">
        <v>673</v>
      </c>
      <c r="B8" s="618">
        <f>+'Schedule No. 4 SVC Avail- SWR'!D37</f>
        <v>11927.850078340018</v>
      </c>
      <c r="C8" s="618"/>
    </row>
    <row r="9" spans="1:3" ht="14.4">
      <c r="A9" s="617" t="s">
        <v>674</v>
      </c>
      <c r="B9" s="618">
        <f>+'Schedule 5 Laterals'!F16</f>
        <v>984.13899811073986</v>
      </c>
      <c r="C9" s="618"/>
    </row>
    <row r="11" spans="1:3" ht="14.4">
      <c r="A11" s="630" t="s">
        <v>692</v>
      </c>
      <c r="C11" s="618">
        <f>SUM(B12:B14)</f>
        <v>19546.544942000881</v>
      </c>
    </row>
    <row r="12" spans="1:2" ht="14.4">
      <c r="A12" s="631" t="s">
        <v>673</v>
      </c>
      <c r="B12" s="618">
        <f>+'Schedule No. 4 SVC Avail- SWR'!D39</f>
        <v>15977.295664510102</v>
      </c>
    </row>
    <row r="13" spans="1:2" ht="14.4">
      <c r="A13" s="631" t="s">
        <v>674</v>
      </c>
      <c r="B13" s="618">
        <f>+'Schedule 5 Laterals'!F18</f>
        <v>1318.2492774907773</v>
      </c>
    </row>
    <row r="14" spans="1:2" ht="14.4">
      <c r="A14" s="631" t="s">
        <v>693</v>
      </c>
      <c r="B14" s="632">
        <v>2251</v>
      </c>
    </row>
    <row r="16" ht="18">
      <c r="A16" s="520" t="s">
        <v>572</v>
      </c>
    </row>
    <row r="17" ht="14.4">
      <c r="A17" s="489" t="s">
        <v>575</v>
      </c>
    </row>
    <row r="18" ht="14.4">
      <c r="A18" s="488"/>
    </row>
    <row r="19" spans="1:3" ht="14.4">
      <c r="A19" s="502" t="s">
        <v>573</v>
      </c>
      <c r="B19" s="499" t="s">
        <v>574</v>
      </c>
      <c r="C19" s="500">
        <v>1</v>
      </c>
    </row>
    <row r="20" spans="2:3" ht="14.4">
      <c r="B20" s="501">
        <v>2033</v>
      </c>
      <c r="C20" s="501">
        <v>2047</v>
      </c>
    </row>
    <row r="21" spans="2:3" ht="14.4">
      <c r="B21" s="490">
        <v>998</v>
      </c>
      <c r="C21" s="490">
        <v>1248</v>
      </c>
    </row>
    <row r="22" spans="2:3" ht="14.4">
      <c r="B22" s="490"/>
      <c r="C22" s="490"/>
    </row>
    <row r="23" ht="14.4">
      <c r="A23" s="502" t="s">
        <v>586</v>
      </c>
    </row>
    <row r="24" ht="14.4">
      <c r="A24" s="491"/>
    </row>
    <row r="25" ht="14.4">
      <c r="A25" s="502" t="s">
        <v>576</v>
      </c>
    </row>
    <row r="26" spans="1:2" ht="14.4">
      <c r="A26" s="631" t="s">
        <v>694</v>
      </c>
      <c r="B26" s="492">
        <f>+'Cost of Capital'!I14</f>
        <v>0.070900000000000005</v>
      </c>
    </row>
    <row r="28" ht="14.4">
      <c r="A28" s="502" t="s">
        <v>587</v>
      </c>
    </row>
    <row r="29" ht="14.4">
      <c r="A29" s="493" t="s">
        <v>579</v>
      </c>
    </row>
    <row r="30" ht="14.4">
      <c r="A30" s="494" t="s">
        <v>577</v>
      </c>
    </row>
    <row r="31" ht="14.4">
      <c r="A31" s="494"/>
    </row>
    <row r="32" spans="1:5" ht="15.6">
      <c r="A32" s="514" t="s">
        <v>584</v>
      </c>
      <c r="B32" s="509"/>
      <c r="C32" s="6"/>
      <c r="D32" s="2"/>
      <c r="E32" s="2"/>
    </row>
    <row r="33" spans="1:5" ht="15.6">
      <c r="A33" s="511" t="s">
        <v>564</v>
      </c>
      <c r="B33" s="512"/>
      <c r="C33" s="6">
        <f>+'Schedule No. 7 WW Support'!O124</f>
        <v>205200</v>
      </c>
      <c r="D33" s="6">
        <f>+D49</f>
        <v>60466.153846153844</v>
      </c>
      <c r="E33" s="80"/>
    </row>
    <row r="34" spans="1:5" ht="14.4">
      <c r="A34" s="507" t="s">
        <v>571</v>
      </c>
      <c r="B34" s="505"/>
      <c r="C34" s="2"/>
      <c r="D34" s="6"/>
      <c r="E34" s="2"/>
    </row>
    <row r="35" spans="1:5" ht="14.4">
      <c r="A35" s="497" t="s">
        <v>549</v>
      </c>
      <c r="B35" s="496"/>
      <c r="C35" s="6">
        <v>70000</v>
      </c>
      <c r="D35" s="6">
        <f>+C35*0.05</f>
        <v>3500</v>
      </c>
      <c r="E35" s="2"/>
    </row>
    <row r="36" spans="1:5" ht="14.4">
      <c r="A36" s="498" t="s">
        <v>550</v>
      </c>
      <c r="B36" s="496"/>
      <c r="C36" s="6">
        <v>52000</v>
      </c>
      <c r="D36" s="6">
        <f>+C36*0.05</f>
        <v>2600</v>
      </c>
      <c r="E36" s="2"/>
    </row>
    <row r="37" spans="1:5" ht="14.4">
      <c r="A37" s="497" t="s">
        <v>547</v>
      </c>
      <c r="B37" s="495"/>
      <c r="C37" s="6">
        <v>41600</v>
      </c>
      <c r="D37" s="6">
        <f>+C37*0.05</f>
        <v>2080</v>
      </c>
      <c r="E37" s="2"/>
    </row>
    <row r="38" spans="1:5" ht="14.4">
      <c r="A38" s="497" t="s">
        <v>548</v>
      </c>
      <c r="B38" s="495"/>
      <c r="C38" s="6">
        <v>41600</v>
      </c>
      <c r="D38" s="6">
        <f>+C38*0.05</f>
        <v>2080</v>
      </c>
      <c r="E38" s="2"/>
    </row>
    <row r="39" spans="1:4" ht="15" thickBot="1">
      <c r="A39" s="22"/>
      <c r="B39" s="2"/>
      <c r="C39" s="213"/>
      <c r="D39" s="78">
        <f>SUM(D33:D38)</f>
        <v>70726.153846153844</v>
      </c>
    </row>
    <row r="40" spans="1:5" ht="15" thickTop="1">
      <c r="A40" s="2"/>
      <c r="B40" s="2"/>
      <c r="C40" s="2"/>
      <c r="D40" s="153">
        <f>+D39/(SUM(C33))</f>
        <v>0.3446693657219973</v>
      </c>
      <c r="E40" s="2"/>
    </row>
    <row r="41" spans="1:5" ht="15.6">
      <c r="A41" s="516" t="s">
        <v>565</v>
      </c>
      <c r="B41" s="486"/>
      <c r="C41" s="2"/>
      <c r="D41" s="2"/>
      <c r="E41" s="2"/>
    </row>
    <row r="42" spans="1:5" ht="14.4">
      <c r="A42" s="498"/>
      <c r="B42" s="102"/>
      <c r="C42" s="2" t="s">
        <v>566</v>
      </c>
      <c r="D42" s="2" t="s">
        <v>562</v>
      </c>
      <c r="E42" s="2"/>
    </row>
    <row r="43" spans="1:5" ht="14.4">
      <c r="A43" s="517" t="s">
        <v>558</v>
      </c>
      <c r="B43" s="102"/>
      <c r="C43" s="2">
        <f>11*8</f>
        <v>88</v>
      </c>
      <c r="D43" s="2"/>
      <c r="E43" s="2"/>
    </row>
    <row r="44" spans="1:5" ht="14.4">
      <c r="A44" s="517" t="s">
        <v>559</v>
      </c>
      <c r="B44" s="102"/>
      <c r="C44" s="2">
        <f>15*8</f>
        <v>120</v>
      </c>
      <c r="D44" s="2"/>
      <c r="E44" s="2"/>
    </row>
    <row r="45" spans="1:5" ht="14.4">
      <c r="A45" s="517" t="s">
        <v>560</v>
      </c>
      <c r="B45" s="102"/>
      <c r="C45" s="2">
        <f>5*8</f>
        <v>40</v>
      </c>
      <c r="D45" s="2"/>
      <c r="E45" s="2"/>
    </row>
    <row r="46" spans="1:5" ht="14.4">
      <c r="A46" s="517" t="s">
        <v>568</v>
      </c>
      <c r="B46" s="102"/>
      <c r="C46" s="2">
        <v>2080</v>
      </c>
      <c r="D46" s="2"/>
      <c r="E46" s="2"/>
    </row>
    <row r="47" spans="1:5" ht="14.4">
      <c r="A47" s="518" t="s">
        <v>569</v>
      </c>
      <c r="C47" s="153">
        <f>SUM(C43:C45)/C46</f>
        <v>0.11923076923076924</v>
      </c>
      <c r="D47" s="484">
        <f>+C47*C33</f>
        <v>24466.153846153848</v>
      </c>
      <c r="E47" s="2"/>
    </row>
    <row r="48" spans="1:5" ht="27.6">
      <c r="A48" s="517" t="s">
        <v>561</v>
      </c>
      <c r="B48" s="513" t="s">
        <v>570</v>
      </c>
      <c r="C48" s="153">
        <f>+D48/C33</f>
        <v>0.17543859649122806</v>
      </c>
      <c r="D48" s="6">
        <f>(750*12)*4</f>
        <v>36000</v>
      </c>
      <c r="E48" s="2"/>
    </row>
    <row r="49" spans="1:6" ht="15" thickBot="1">
      <c r="A49" s="517" t="s">
        <v>567</v>
      </c>
      <c r="B49" s="102"/>
      <c r="C49" s="153"/>
      <c r="D49" s="510">
        <f>SUM(D47:D48)</f>
        <v>60466.153846153844</v>
      </c>
      <c r="E49" s="2"/>
      <c r="F49" s="515"/>
    </row>
    <row r="50" ht="15" thickTop="1">
      <c r="A50" s="494"/>
    </row>
    <row r="51" spans="1:4" ht="14.4">
      <c r="A51" s="6"/>
      <c r="B51" s="6"/>
      <c r="C51" s="478" t="s">
        <v>551</v>
      </c>
      <c r="D51" s="6"/>
    </row>
    <row r="52" spans="1:4" ht="14.4">
      <c r="A52" s="503" t="s">
        <v>582</v>
      </c>
      <c r="B52" s="6"/>
      <c r="C52" s="478" t="s">
        <v>552</v>
      </c>
      <c r="D52" s="6"/>
    </row>
    <row r="53" spans="1:4" ht="14.4">
      <c r="A53" s="506" t="s">
        <v>546</v>
      </c>
      <c r="B53" s="148">
        <v>2023</v>
      </c>
      <c r="C53" s="479">
        <v>100</v>
      </c>
      <c r="D53" s="148">
        <v>2023</v>
      </c>
    </row>
    <row r="54" spans="1:4" ht="14.4">
      <c r="A54" s="497" t="s">
        <v>549</v>
      </c>
      <c r="B54" s="6">
        <v>70000</v>
      </c>
      <c r="C54" s="3">
        <v>0.26</v>
      </c>
      <c r="D54" s="6">
        <f>+(B54/100)*C54</f>
        <v>182</v>
      </c>
    </row>
    <row r="55" spans="1:4" ht="14.4">
      <c r="A55" s="498" t="s">
        <v>550</v>
      </c>
      <c r="B55" s="6">
        <v>52000</v>
      </c>
      <c r="C55" s="487">
        <v>19.40</v>
      </c>
      <c r="D55" s="6">
        <f t="shared" si="0" ref="D55:D57">+(B55/100)*C55</f>
        <v>10088</v>
      </c>
    </row>
    <row r="56" spans="1:4" ht="14.4">
      <c r="A56" s="497" t="s">
        <v>547</v>
      </c>
      <c r="B56" s="6">
        <v>41600</v>
      </c>
      <c r="C56" s="3">
        <v>19.40</v>
      </c>
      <c r="D56" s="6">
        <f t="shared" si="0"/>
        <v>8070.40</v>
      </c>
    </row>
    <row r="57" spans="1:4" ht="14.4">
      <c r="A57" s="497" t="s">
        <v>548</v>
      </c>
      <c r="B57" s="6">
        <v>41600</v>
      </c>
      <c r="C57" s="3">
        <v>0.26</v>
      </c>
      <c r="D57" s="6">
        <f t="shared" si="0"/>
        <v>108.16</v>
      </c>
    </row>
    <row r="58" spans="1:4" ht="14.4">
      <c r="A58" s="22"/>
      <c r="B58" s="477">
        <f>SUM(B54:B57)</f>
        <v>205200</v>
      </c>
      <c r="C58" s="2"/>
      <c r="D58" s="477">
        <f>SUM(D54:D57)</f>
        <v>18448.56</v>
      </c>
    </row>
    <row r="60" ht="14.4">
      <c r="A60" s="504" t="s">
        <v>585</v>
      </c>
    </row>
    <row r="61" spans="1:5" ht="14.4">
      <c r="A61" s="508" t="s">
        <v>553</v>
      </c>
      <c r="B61" s="6">
        <f>(998*2)*12</f>
        <v>23952</v>
      </c>
      <c r="D61" s="2"/>
      <c r="E61" s="2"/>
    </row>
    <row r="62" spans="1:5" ht="15.6">
      <c r="A62" s="480"/>
      <c r="B62" s="486"/>
      <c r="C62" s="6"/>
      <c r="D62" s="2"/>
      <c r="E62" s="2"/>
    </row>
    <row r="63" ht="14.4">
      <c r="A63" s="504" t="s">
        <v>580</v>
      </c>
    </row>
    <row r="64" spans="1:2" ht="14.4">
      <c r="A64" s="494" t="s">
        <v>581</v>
      </c>
      <c r="B64" s="6">
        <f>25000/6</f>
        <v>4166.666666666667</v>
      </c>
    </row>
    <row r="66" ht="14.4">
      <c r="A66" s="504" t="s">
        <v>199</v>
      </c>
    </row>
    <row r="67" spans="1:2" ht="14.4">
      <c r="A67" s="494" t="s">
        <v>583</v>
      </c>
      <c r="B67" s="492">
        <v>0.076499999999999999</v>
      </c>
    </row>
    <row r="68" spans="1:2" ht="14.4">
      <c r="A68" s="531" t="s">
        <v>602</v>
      </c>
      <c r="B68" s="489">
        <v>14.2897</v>
      </c>
    </row>
    <row r="69" spans="1:2" ht="14.4">
      <c r="A69" s="494" t="s">
        <v>588</v>
      </c>
      <c r="B69" s="492">
        <v>0.045</v>
      </c>
    </row>
    <row r="72" spans="1:2" ht="14.4">
      <c r="A72" s="557" t="s">
        <v>618</v>
      </c>
      <c r="B72" s="558">
        <v>0.10</v>
      </c>
    </row>
    <row r="74" spans="1:4" ht="27.6">
      <c r="A74" s="24" t="s">
        <v>616</v>
      </c>
      <c r="B74" s="552" t="s">
        <v>609</v>
      </c>
      <c r="C74" s="552" t="s">
        <v>610</v>
      </c>
      <c r="D74" s="552" t="s">
        <v>611</v>
      </c>
    </row>
    <row r="75" spans="1:4" ht="14.4">
      <c r="A75" s="2" t="s">
        <v>612</v>
      </c>
      <c r="B75" s="19">
        <v>10239000</v>
      </c>
      <c r="C75" s="2">
        <v>509</v>
      </c>
      <c r="D75" s="543">
        <f>+B75/C75/365</f>
        <v>55.112091934225042</v>
      </c>
    </row>
    <row r="76" spans="1:4" ht="14.4">
      <c r="A76" s="2" t="s">
        <v>613</v>
      </c>
      <c r="B76" s="19">
        <v>21319000</v>
      </c>
      <c r="C76" s="2">
        <v>453</v>
      </c>
      <c r="D76" s="543">
        <f>+B76/C76/365</f>
        <v>128.93646617678189</v>
      </c>
    </row>
    <row r="77" spans="1:4" ht="14.4">
      <c r="A77" s="2" t="s">
        <v>282</v>
      </c>
      <c r="B77" s="19">
        <f>SUM(B75:B76)</f>
        <v>31558000</v>
      </c>
      <c r="C77" s="2">
        <f>SUM(C75:C76)</f>
        <v>962</v>
      </c>
      <c r="D77" s="543">
        <f>+B77/C77/365</f>
        <v>89.87554467006521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41"/>
  <sheetViews>
    <sheetView workbookViewId="0" topLeftCell="A25">
      <selection pane="topLeft" activeCell="A21" sqref="A21"/>
    </sheetView>
  </sheetViews>
  <sheetFormatPr defaultColWidth="9" defaultRowHeight="14.25"/>
  <cols>
    <col min="1" max="1" width="4.25" style="2" customWidth="1"/>
    <col min="2" max="2" width="45.125" style="2" customWidth="1"/>
    <col min="3" max="4" width="16.75" style="2" customWidth="1"/>
    <col min="5" max="5" width="12.625" style="2" customWidth="1"/>
    <col min="6" max="6" width="4.625" style="2" customWidth="1"/>
    <col min="7" max="7" width="12.625" style="2" customWidth="1"/>
    <col min="8" max="16384" width="9" style="2"/>
  </cols>
  <sheetData>
    <row r="1" s="24" customFormat="1" ht="13.8">
      <c r="D1" s="25" t="s">
        <v>190</v>
      </c>
    </row>
    <row r="2" spans="1:4" s="24" customFormat="1" ht="13.8">
      <c r="A2" s="14"/>
      <c r="C2" s="12"/>
      <c r="D2" s="25"/>
    </row>
    <row r="3" spans="2:4" s="24" customFormat="1" ht="13.8">
      <c r="B3" s="12" t="str">
        <f>+'Schedule No. 4 SVC Avail- SWR'!C4</f>
        <v>Environmental Utilities, LLC</v>
      </c>
      <c r="C3" s="12"/>
      <c r="D3" s="12"/>
    </row>
    <row r="4" spans="2:4" s="24" customFormat="1" ht="13.8">
      <c r="B4" s="12" t="s">
        <v>16</v>
      </c>
      <c r="C4" s="12"/>
      <c r="D4" s="12"/>
    </row>
    <row r="5" spans="2:4" s="24" customFormat="1" ht="13.8">
      <c r="B5" s="12" t="s">
        <v>15</v>
      </c>
      <c r="C5" s="12"/>
      <c r="D5" s="12"/>
    </row>
    <row r="6" spans="2:6" s="24" customFormat="1" ht="13.8">
      <c r="B6" s="638"/>
      <c r="C6" s="638"/>
      <c r="D6" s="638"/>
      <c r="F6" s="123"/>
    </row>
    <row r="7" s="24" customFormat="1" ht="13.8"/>
    <row r="8" s="24" customFormat="1" ht="13.8"/>
    <row r="9" spans="1:6" s="24" customFormat="1" ht="41.4">
      <c r="A9" s="129" t="s">
        <v>255</v>
      </c>
      <c r="B9" s="120" t="s">
        <v>1</v>
      </c>
      <c r="C9" s="128" t="s">
        <v>257</v>
      </c>
      <c r="D9" s="128" t="s">
        <v>258</v>
      </c>
      <c r="E9" s="127"/>
      <c r="F9" s="127"/>
    </row>
    <row r="10" spans="1:4" ht="13.8">
      <c r="A10" s="3">
        <v>1</v>
      </c>
      <c r="B10" s="17" t="s">
        <v>302</v>
      </c>
      <c r="C10" s="221">
        <v>30</v>
      </c>
      <c r="D10" s="137" t="s">
        <v>301</v>
      </c>
    </row>
    <row r="11" spans="1:4" ht="13.8">
      <c r="A11" s="3">
        <f>+A10+1</f>
        <v>2</v>
      </c>
      <c r="B11" s="17"/>
      <c r="C11" s="221"/>
      <c r="D11" s="138"/>
    </row>
    <row r="12" spans="1:4" ht="13.8">
      <c r="A12" s="3">
        <f>+A11+1</f>
        <v>3</v>
      </c>
      <c r="B12" s="2" t="s">
        <v>303</v>
      </c>
      <c r="C12" s="221">
        <v>30</v>
      </c>
      <c r="D12" s="138" t="s">
        <v>301</v>
      </c>
    </row>
    <row r="13" spans="1:4" ht="13.8">
      <c r="A13" s="3">
        <f t="shared" si="0" ref="A13:A37">+A12+1</f>
        <v>4</v>
      </c>
      <c r="C13" s="221"/>
      <c r="D13" s="18"/>
    </row>
    <row r="14" spans="1:4" ht="13.8">
      <c r="A14" s="3">
        <f t="shared" si="0"/>
        <v>5</v>
      </c>
      <c r="B14" s="2" t="s">
        <v>90</v>
      </c>
      <c r="C14" s="221" t="s">
        <v>300</v>
      </c>
      <c r="D14" s="138" t="s">
        <v>300</v>
      </c>
    </row>
    <row r="15" spans="1:4" ht="13.8">
      <c r="A15" s="3">
        <f t="shared" si="0"/>
        <v>6</v>
      </c>
      <c r="C15" s="221"/>
      <c r="D15" s="18"/>
    </row>
    <row r="16" spans="1:4" ht="13.8">
      <c r="A16" s="3">
        <f t="shared" si="0"/>
        <v>7</v>
      </c>
      <c r="B16" s="2" t="s">
        <v>304</v>
      </c>
      <c r="C16" s="221">
        <v>30</v>
      </c>
      <c r="D16" s="138" t="s">
        <v>301</v>
      </c>
    </row>
    <row r="17" spans="1:3" ht="13.8">
      <c r="A17" s="3">
        <f t="shared" si="0"/>
        <v>8</v>
      </c>
      <c r="C17" s="221"/>
    </row>
    <row r="18" spans="1:4" ht="13.8">
      <c r="A18" s="3">
        <f t="shared" si="0"/>
        <v>9</v>
      </c>
      <c r="B18" s="2" t="s">
        <v>467</v>
      </c>
      <c r="C18" s="221">
        <v>7.50</v>
      </c>
      <c r="D18" s="138" t="s">
        <v>301</v>
      </c>
    </row>
    <row r="19" spans="1:3" ht="13.8">
      <c r="A19" s="3">
        <f t="shared" si="0"/>
        <v>10</v>
      </c>
      <c r="C19" s="18"/>
    </row>
    <row r="20" spans="1:3" ht="13.8">
      <c r="A20" s="3">
        <f t="shared" si="0"/>
        <v>11</v>
      </c>
      <c r="B20" s="2" t="s">
        <v>465</v>
      </c>
      <c r="C20" s="18" t="s">
        <v>464</v>
      </c>
    </row>
    <row r="21" ht="13.8">
      <c r="A21" s="3">
        <f t="shared" si="0"/>
        <v>12</v>
      </c>
    </row>
    <row r="22" spans="1:2" ht="13.8">
      <c r="A22" s="3">
        <f t="shared" si="0"/>
        <v>13</v>
      </c>
      <c r="B22" s="2" t="s">
        <v>305</v>
      </c>
    </row>
    <row r="23" spans="1:3" ht="13.8">
      <c r="A23" s="3">
        <f t="shared" si="0"/>
        <v>14</v>
      </c>
      <c r="B23" s="113" t="s">
        <v>466</v>
      </c>
      <c r="C23" s="18"/>
    </row>
    <row r="24" spans="1:3" ht="13.8">
      <c r="A24" s="3">
        <f t="shared" si="0"/>
        <v>15</v>
      </c>
      <c r="B24" s="335" t="s">
        <v>470</v>
      </c>
      <c r="C24" s="139"/>
    </row>
    <row r="25" spans="1:3" ht="13.8">
      <c r="A25" s="3">
        <f t="shared" si="0"/>
        <v>16</v>
      </c>
      <c r="B25" s="335" t="s">
        <v>471</v>
      </c>
      <c r="C25" s="139"/>
    </row>
    <row r="26" spans="1:3" ht="13.8">
      <c r="A26" s="3">
        <f t="shared" si="0"/>
        <v>17</v>
      </c>
      <c r="B26" s="335" t="s">
        <v>472</v>
      </c>
      <c r="C26" s="18">
        <v>30</v>
      </c>
    </row>
    <row r="27" ht="13.8">
      <c r="A27" s="3">
        <f t="shared" si="0"/>
        <v>18</v>
      </c>
    </row>
    <row r="28" spans="1:3" ht="13.8">
      <c r="A28" s="3">
        <f t="shared" si="0"/>
        <v>19</v>
      </c>
      <c r="B28" s="113" t="s">
        <v>482</v>
      </c>
      <c r="C28" s="18"/>
    </row>
    <row r="29" spans="1:3" ht="13.8">
      <c r="A29" s="3">
        <f t="shared" si="0"/>
        <v>20</v>
      </c>
      <c r="B29" s="335" t="s">
        <v>473</v>
      </c>
      <c r="C29" s="139"/>
    </row>
    <row r="30" spans="1:2" ht="13.8">
      <c r="A30" s="3">
        <f t="shared" si="0"/>
        <v>21</v>
      </c>
      <c r="B30" s="335" t="s">
        <v>474</v>
      </c>
    </row>
    <row r="31" spans="1:2" ht="13.8">
      <c r="A31" s="3">
        <f t="shared" si="0"/>
        <v>22</v>
      </c>
      <c r="B31" s="22" t="s">
        <v>469</v>
      </c>
    </row>
    <row r="32" spans="1:2" ht="13.8">
      <c r="A32" s="3">
        <f t="shared" si="0"/>
        <v>23</v>
      </c>
      <c r="B32" s="22" t="s">
        <v>468</v>
      </c>
    </row>
    <row r="33" spans="1:3" ht="13.8">
      <c r="A33" s="3">
        <f t="shared" si="0"/>
        <v>24</v>
      </c>
      <c r="B33" s="22" t="s">
        <v>475</v>
      </c>
      <c r="C33" s="18">
        <v>7.50</v>
      </c>
    </row>
    <row r="34" ht="13.8">
      <c r="A34" s="3">
        <f t="shared" si="0"/>
        <v>25</v>
      </c>
    </row>
    <row r="35" spans="1:3" ht="13.8">
      <c r="A35" s="3">
        <f t="shared" si="0"/>
        <v>26</v>
      </c>
      <c r="B35" s="2" t="s">
        <v>696</v>
      </c>
      <c r="C35" s="10">
        <f>+'Factored ERC'!AC15</f>
        <v>17</v>
      </c>
    </row>
    <row r="36" spans="1:3" ht="13.8">
      <c r="A36" s="3">
        <f t="shared" si="0"/>
        <v>27</v>
      </c>
      <c r="C36" s="10"/>
    </row>
    <row r="37" spans="1:3" ht="13.8">
      <c r="A37" s="3">
        <f t="shared" si="0"/>
        <v>28</v>
      </c>
      <c r="B37" s="1" t="s">
        <v>509</v>
      </c>
      <c r="C37" s="634">
        <f>+C35*C10</f>
        <v>510</v>
      </c>
    </row>
    <row r="38" ht="13.8">
      <c r="B38" s="22"/>
    </row>
    <row r="41" spans="1:2" ht="13.8">
      <c r="A41" s="182"/>
      <c r="B41" s="182"/>
    </row>
  </sheetData>
  <mergeCells count="1">
    <mergeCell ref="B6:D6"/>
  </mergeCells>
  <printOptions horizontalCentered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36"/>
  <sheetViews>
    <sheetView workbookViewId="0" topLeftCell="A1">
      <selection pane="topLeft" activeCell="A4" sqref="A4:I4"/>
    </sheetView>
  </sheetViews>
  <sheetFormatPr defaultColWidth="9" defaultRowHeight="15.75"/>
  <cols>
    <col min="1" max="1" width="5.25" style="3" customWidth="1"/>
    <col min="2" max="2" width="3.625" style="3" customWidth="1"/>
    <col min="3" max="3" width="38.375" style="2" bestFit="1" customWidth="1"/>
    <col min="4" max="4" width="12.75" style="2" customWidth="1"/>
    <col min="5" max="5" width="12.75" style="2" hidden="1" customWidth="1"/>
    <col min="6" max="7" width="10.75" style="2" customWidth="1"/>
    <col min="8" max="8" width="14.25" style="2" customWidth="1"/>
    <col min="9" max="9" width="14.25" style="2" hidden="1" customWidth="1"/>
    <col min="10" max="10" width="14.125" style="2" hidden="1" customWidth="1"/>
    <col min="11" max="11" width="11.5" style="2" customWidth="1"/>
    <col min="12" max="14" width="2.625" style="2" customWidth="1"/>
    <col min="16" max="16" width="12.625" style="2" bestFit="1" customWidth="1"/>
    <col min="17" max="16384" width="9" style="2"/>
  </cols>
  <sheetData>
    <row r="1" spans="1:14" s="24" customFormat="1" ht="13.8">
      <c r="A1" s="14"/>
      <c r="B1" s="14"/>
      <c r="H1" s="25" t="s">
        <v>192</v>
      </c>
      <c r="J1" s="25"/>
      <c r="L1" s="25"/>
      <c r="M1" s="25"/>
      <c r="N1" s="25"/>
    </row>
    <row r="2" spans="1:8" s="24" customFormat="1" ht="13.8">
      <c r="A2" s="14"/>
      <c r="C2" s="12"/>
      <c r="H2" s="25"/>
    </row>
    <row r="3" spans="1:14" s="24" customFormat="1" ht="13.8">
      <c r="A3" s="638" t="str">
        <f>+'Schedule No. 6 Misc Svc Chrg'!B3</f>
        <v>Environmental Utilities, LLC</v>
      </c>
      <c r="B3" s="638"/>
      <c r="C3" s="638"/>
      <c r="D3" s="638"/>
      <c r="E3" s="638"/>
      <c r="F3" s="638"/>
      <c r="G3" s="638"/>
      <c r="H3" s="638"/>
      <c r="I3" s="638"/>
      <c r="J3" s="123"/>
      <c r="L3" s="123"/>
      <c r="M3" s="123"/>
      <c r="N3" s="123"/>
    </row>
    <row r="4" spans="1:9" s="24" customFormat="1" ht="13.8">
      <c r="A4" s="638" t="s">
        <v>16</v>
      </c>
      <c r="B4" s="638"/>
      <c r="C4" s="638"/>
      <c r="D4" s="638"/>
      <c r="E4" s="638"/>
      <c r="F4" s="638"/>
      <c r="G4" s="638"/>
      <c r="H4" s="638"/>
      <c r="I4" s="638"/>
    </row>
    <row r="5" spans="1:9" s="24" customFormat="1" ht="13.8">
      <c r="A5" s="638" t="s">
        <v>260</v>
      </c>
      <c r="B5" s="638"/>
      <c r="C5" s="638"/>
      <c r="D5" s="638"/>
      <c r="E5" s="638"/>
      <c r="F5" s="638"/>
      <c r="G5" s="638"/>
      <c r="H5" s="638"/>
      <c r="I5" s="638"/>
    </row>
    <row r="6" spans="1:15" ht="13.8">
      <c r="A6" s="641" t="s">
        <v>669</v>
      </c>
      <c r="B6" s="641"/>
      <c r="C6" s="641"/>
      <c r="D6" s="641"/>
      <c r="E6" s="641"/>
      <c r="F6" s="641"/>
      <c r="G6" s="641"/>
      <c r="H6" s="641"/>
      <c r="I6" s="641"/>
      <c r="O6" s="2"/>
    </row>
    <row r="7" spans="1:9" s="24" customFormat="1" ht="13.8">
      <c r="A7" s="638"/>
      <c r="B7" s="638"/>
      <c r="C7" s="638"/>
      <c r="D7" s="638"/>
      <c r="E7" s="638"/>
      <c r="F7" s="638"/>
      <c r="G7" s="638"/>
      <c r="H7" s="638"/>
      <c r="I7" s="638"/>
    </row>
    <row r="8" spans="1:14" s="24" customFormat="1" ht="42.6" customHeight="1">
      <c r="A8" s="129" t="s">
        <v>259</v>
      </c>
      <c r="B8" s="124"/>
      <c r="C8" s="124"/>
      <c r="D8" s="162" t="s">
        <v>367</v>
      </c>
      <c r="E8" s="162" t="s">
        <v>366</v>
      </c>
      <c r="F8" s="120" t="s">
        <v>195</v>
      </c>
      <c r="G8" s="120" t="s">
        <v>196</v>
      </c>
      <c r="H8" s="129" t="s">
        <v>364</v>
      </c>
      <c r="I8" s="129" t="s">
        <v>365</v>
      </c>
      <c r="J8" s="14"/>
      <c r="L8" s="14"/>
      <c r="M8" s="14"/>
      <c r="N8" s="14"/>
    </row>
    <row r="9" spans="1:5" ht="15.6">
      <c r="A9" s="3">
        <v>1</v>
      </c>
      <c r="B9" s="21" t="s">
        <v>197</v>
      </c>
      <c r="E9"/>
    </row>
    <row r="10" spans="1:5" ht="15.6">
      <c r="A10" s="3">
        <f t="shared" si="0" ref="A10:A32">+A9+1</f>
        <v>2</v>
      </c>
      <c r="C10" s="21" t="s">
        <v>193</v>
      </c>
      <c r="D10" s="4"/>
      <c r="E10" s="4"/>
    </row>
    <row r="11" spans="1:14" ht="15.6">
      <c r="A11" s="3">
        <f t="shared" si="0"/>
        <v>3</v>
      </c>
      <c r="C11" s="2" t="s">
        <v>103</v>
      </c>
      <c r="D11" s="35">
        <f>+'Schedule No. 7 WW Support'!I60</f>
        <v>100.1168</v>
      </c>
      <c r="E11" s="35"/>
      <c r="F11" s="19">
        <f>+'Schedule No. 7 WW Support'!F68*12</f>
        <v>11980.80</v>
      </c>
      <c r="H11" s="33">
        <f>+F11*D11</f>
        <v>1199479.3574400002</v>
      </c>
      <c r="I11" s="33">
        <f>+F11*E11</f>
        <v>0</v>
      </c>
      <c r="J11" s="33"/>
      <c r="L11" s="33"/>
      <c r="M11" s="33"/>
      <c r="N11" s="33"/>
    </row>
    <row r="12" spans="1:14" ht="15.6">
      <c r="A12" s="3">
        <f t="shared" si="0"/>
        <v>4</v>
      </c>
      <c r="C12" s="2" t="s">
        <v>486</v>
      </c>
      <c r="D12" s="35">
        <f>ROUND(+'Schedule No. 7 WW Support'!J62,2)</f>
        <v>31.93</v>
      </c>
      <c r="E12" s="35"/>
      <c r="G12" s="10">
        <f>+'Schedule No. 7 WW Support'!D79</f>
        <v>29517.696000000004</v>
      </c>
      <c r="H12" s="33">
        <f>+D12*G12</f>
        <v>942500.03328000009</v>
      </c>
      <c r="I12" s="33">
        <f>+E12*G12</f>
        <v>0</v>
      </c>
      <c r="J12" s="33"/>
      <c r="L12" s="33"/>
      <c r="M12" s="33"/>
      <c r="N12" s="33"/>
    </row>
    <row r="13" spans="1:14" ht="16.2" thickBot="1">
      <c r="A13" s="3">
        <f t="shared" si="0"/>
        <v>5</v>
      </c>
      <c r="C13" s="21" t="s">
        <v>355</v>
      </c>
      <c r="D13" s="35"/>
      <c r="E13" s="35"/>
      <c r="F13" s="19"/>
      <c r="G13" s="10"/>
      <c r="H13" s="82">
        <f>SUM(H11:H12)</f>
        <v>2141979.3907200005</v>
      </c>
      <c r="I13" s="82">
        <f>SUM(I11:I12)</f>
        <v>0</v>
      </c>
      <c r="J13" s="33"/>
      <c r="L13" s="33"/>
      <c r="M13" s="33"/>
      <c r="N13" s="33"/>
    </row>
    <row r="14" spans="1:16" ht="16.8" thickTop="1" thickBot="1">
      <c r="A14" s="3">
        <f t="shared" si="0"/>
        <v>6</v>
      </c>
      <c r="C14" s="24" t="s">
        <v>353</v>
      </c>
      <c r="D14" s="35"/>
      <c r="E14" s="35"/>
      <c r="G14" s="10"/>
      <c r="H14" s="82">
        <f>+H13/F11</f>
        <v>178.78433750000002</v>
      </c>
      <c r="I14" s="82">
        <f>+I13/F11</f>
        <v>0</v>
      </c>
      <c r="J14" s="33"/>
      <c r="L14" s="33"/>
      <c r="M14" s="33"/>
      <c r="N14" s="33"/>
      <c r="P14" s="33"/>
    </row>
    <row r="15" spans="1:14" ht="16.2" thickTop="1">
      <c r="A15" s="3">
        <f t="shared" si="0"/>
        <v>7</v>
      </c>
      <c r="D15" s="35"/>
      <c r="E15" s="35"/>
      <c r="G15" s="10"/>
      <c r="H15" s="33"/>
      <c r="I15" s="33"/>
      <c r="J15" s="33"/>
      <c r="L15" s="33"/>
      <c r="M15" s="33"/>
      <c r="N15" s="33"/>
    </row>
    <row r="16" spans="1:14" ht="15.6">
      <c r="A16" s="3">
        <f t="shared" si="0"/>
        <v>8</v>
      </c>
      <c r="C16" s="21" t="s">
        <v>357</v>
      </c>
      <c r="D16" s="35"/>
      <c r="E16" s="35"/>
      <c r="G16" s="10"/>
      <c r="H16" s="33"/>
      <c r="I16" s="33"/>
      <c r="J16" s="33"/>
      <c r="L16" s="33"/>
      <c r="M16" s="33"/>
      <c r="N16" s="33"/>
    </row>
    <row r="17" spans="1:14" ht="15.6">
      <c r="A17" s="3">
        <f t="shared" si="0"/>
        <v>9</v>
      </c>
      <c r="C17" s="39" t="s">
        <v>375</v>
      </c>
      <c r="D17" s="35">
        <f>+'Schedule No. 7 WW Support'!I60</f>
        <v>100.1168</v>
      </c>
      <c r="E17" s="35">
        <f>+E11</f>
        <v>0</v>
      </c>
      <c r="F17" s="10">
        <f>+'Schedule No. 7 WW Support'!F69*12</f>
        <v>0</v>
      </c>
      <c r="H17" s="33">
        <f>+F17*D17</f>
        <v>0</v>
      </c>
      <c r="I17" s="33">
        <f>+F17*E17</f>
        <v>0</v>
      </c>
      <c r="J17" s="80"/>
      <c r="K17" s="30">
        <v>1</v>
      </c>
      <c r="L17" s="80"/>
      <c r="M17" s="80"/>
      <c r="N17" s="80"/>
    </row>
    <row r="18" spans="1:14" ht="15.6">
      <c r="A18" s="3">
        <f t="shared" si="0"/>
        <v>10</v>
      </c>
      <c r="C18" s="39" t="s">
        <v>111</v>
      </c>
      <c r="D18" s="152">
        <f>ROUND(+$D$17*K18,2)</f>
        <v>150.18</v>
      </c>
      <c r="E18" s="152">
        <f>ROUND(+$E$17*K18,2)</f>
        <v>0</v>
      </c>
      <c r="F18" s="10">
        <f>+'Schedule No. 7 WW Support'!F70*12</f>
        <v>0</v>
      </c>
      <c r="H18" s="80">
        <f>+D18*F18</f>
        <v>0</v>
      </c>
      <c r="I18" s="80">
        <f>+E18*F18</f>
        <v>0</v>
      </c>
      <c r="J18" s="80"/>
      <c r="K18" s="2">
        <v>1.50</v>
      </c>
      <c r="L18" s="80"/>
      <c r="M18" s="80"/>
      <c r="N18" s="80"/>
    </row>
    <row r="19" spans="1:14" ht="15.6">
      <c r="A19" s="3">
        <f t="shared" si="0"/>
        <v>11</v>
      </c>
      <c r="C19" s="39" t="s">
        <v>112</v>
      </c>
      <c r="D19" s="152">
        <f>ROUND(+$D$17*K19,2)</f>
        <v>250.29</v>
      </c>
      <c r="E19" s="152">
        <f t="shared" si="1" ref="E19:E22">ROUND(+$E$17*K19,2)</f>
        <v>0</v>
      </c>
      <c r="F19" s="10">
        <f>+'Schedule No. 7 WW Support'!F71*12</f>
        <v>0</v>
      </c>
      <c r="H19" s="80">
        <f>+D19*F19</f>
        <v>0</v>
      </c>
      <c r="I19" s="80">
        <f t="shared" si="2" ref="I19:I22">+E19*F19</f>
        <v>0</v>
      </c>
      <c r="J19" s="80"/>
      <c r="K19" s="30">
        <v>2.50</v>
      </c>
      <c r="L19" s="80"/>
      <c r="M19" s="80"/>
      <c r="N19" s="80"/>
    </row>
    <row r="20" spans="1:14" ht="15.6">
      <c r="A20" s="3">
        <f t="shared" si="0"/>
        <v>12</v>
      </c>
      <c r="C20" s="39" t="s">
        <v>349</v>
      </c>
      <c r="D20" s="152">
        <f>ROUND(+$D$17*K20,2)</f>
        <v>500.58</v>
      </c>
      <c r="E20" s="152">
        <f t="shared" si="1"/>
        <v>0</v>
      </c>
      <c r="F20" s="10">
        <f>+'Schedule No. 7 WW Support'!F72*12</f>
        <v>0</v>
      </c>
      <c r="H20" s="80">
        <f>+D20*F20</f>
        <v>0</v>
      </c>
      <c r="I20" s="80">
        <f t="shared" si="2"/>
        <v>0</v>
      </c>
      <c r="J20" s="80"/>
      <c r="K20" s="30">
        <v>5</v>
      </c>
      <c r="L20" s="80"/>
      <c r="M20" s="80"/>
      <c r="N20" s="80"/>
    </row>
    <row r="21" spans="1:14" ht="15.6">
      <c r="A21" s="3">
        <f t="shared" si="0"/>
        <v>13</v>
      </c>
      <c r="C21" s="40" t="s">
        <v>350</v>
      </c>
      <c r="D21" s="152">
        <f>ROUND(+$D$17*K21,2)</f>
        <v>800.93</v>
      </c>
      <c r="E21" s="152">
        <f t="shared" si="1"/>
        <v>0</v>
      </c>
      <c r="F21" s="10">
        <f>+'Schedule No. 7 WW Support'!F73*12</f>
        <v>0</v>
      </c>
      <c r="H21" s="80">
        <f>+D21*F21</f>
        <v>0</v>
      </c>
      <c r="I21" s="80">
        <f t="shared" si="2"/>
        <v>0</v>
      </c>
      <c r="J21" s="80"/>
      <c r="K21" s="30">
        <v>8</v>
      </c>
      <c r="L21" s="80"/>
      <c r="M21" s="80"/>
      <c r="N21" s="80"/>
    </row>
    <row r="22" spans="1:16" ht="15.6">
      <c r="A22" s="3">
        <f t="shared" si="0"/>
        <v>14</v>
      </c>
      <c r="C22" s="39" t="s">
        <v>351</v>
      </c>
      <c r="D22" s="152">
        <f>ROUND(+$D$17*K22,2)</f>
        <v>1752.04</v>
      </c>
      <c r="E22" s="152">
        <f t="shared" si="1"/>
        <v>0</v>
      </c>
      <c r="F22" s="10">
        <f>+'Schedule No. 7 WW Support'!F74*12</f>
        <v>0</v>
      </c>
      <c r="H22" s="80">
        <f>+D22*F22</f>
        <v>0</v>
      </c>
      <c r="I22" s="80">
        <f t="shared" si="2"/>
        <v>0</v>
      </c>
      <c r="J22" s="33"/>
      <c r="K22" s="30">
        <v>17.50</v>
      </c>
      <c r="L22" s="33"/>
      <c r="M22" s="33"/>
      <c r="N22" s="33"/>
      <c r="P22" s="33"/>
    </row>
    <row r="23" spans="1:18" ht="15.6">
      <c r="A23" s="3">
        <f t="shared" si="0"/>
        <v>15</v>
      </c>
      <c r="C23" s="2" t="s">
        <v>194</v>
      </c>
      <c r="D23" s="35">
        <f>+'Schedule No. 7 WW Support'!J63</f>
        <v>38.317900000000002</v>
      </c>
      <c r="E23" s="35"/>
      <c r="G23" s="10">
        <f>+'Schedule No. 7 WW Support'!D80</f>
        <v>0</v>
      </c>
      <c r="H23" s="33">
        <f>+D23*G23</f>
        <v>0</v>
      </c>
      <c r="I23" s="33">
        <f>+E23*G23</f>
        <v>0</v>
      </c>
      <c r="J23" s="33"/>
      <c r="L23" s="33"/>
      <c r="M23" s="33"/>
      <c r="N23" s="33"/>
      <c r="R23" s="56"/>
    </row>
    <row r="24" spans="1:14" ht="16.2" thickBot="1">
      <c r="A24" s="3">
        <f t="shared" si="0"/>
        <v>16</v>
      </c>
      <c r="C24" s="21" t="s">
        <v>356</v>
      </c>
      <c r="D24" s="35"/>
      <c r="E24" s="35"/>
      <c r="F24" s="19"/>
      <c r="G24" s="10"/>
      <c r="H24" s="82">
        <f>SUM(H17:H23)</f>
        <v>0</v>
      </c>
      <c r="I24" s="82">
        <f>SUM(I17:I23)</f>
        <v>0</v>
      </c>
      <c r="J24" s="33"/>
      <c r="L24" s="33"/>
      <c r="M24" s="33"/>
      <c r="N24" s="33"/>
    </row>
    <row r="25" spans="1:14" ht="16.8" thickTop="1" thickBot="1">
      <c r="A25" s="3">
        <f t="shared" si="0"/>
        <v>17</v>
      </c>
      <c r="C25" s="24" t="s">
        <v>354</v>
      </c>
      <c r="D25" s="35"/>
      <c r="E25" s="35"/>
      <c r="G25" s="10"/>
      <c r="H25" s="82" t="s">
        <v>301</v>
      </c>
      <c r="I25" s="82" t="e">
        <f>+I24/SUM(F17:F22)</f>
        <v>#DIV/0!</v>
      </c>
      <c r="J25" s="33"/>
      <c r="L25" s="33"/>
      <c r="M25" s="33"/>
      <c r="N25" s="33"/>
    </row>
    <row r="26" spans="1:14" ht="16.2" thickTop="1">
      <c r="A26" s="3">
        <f t="shared" si="0"/>
        <v>18</v>
      </c>
      <c r="D26" s="35"/>
      <c r="E26" s="35"/>
      <c r="G26" s="10"/>
      <c r="H26" s="33"/>
      <c r="I26" s="33"/>
      <c r="J26" s="165" t="s">
        <v>182</v>
      </c>
      <c r="L26" s="33"/>
      <c r="M26" s="33"/>
      <c r="N26" s="33"/>
    </row>
    <row r="27" spans="1:14" ht="15.6">
      <c r="A27" s="3">
        <f t="shared" si="0"/>
        <v>19</v>
      </c>
      <c r="C27" s="24" t="s">
        <v>461</v>
      </c>
      <c r="D27" s="35"/>
      <c r="E27" s="35"/>
      <c r="G27" s="10"/>
      <c r="H27" s="35"/>
      <c r="I27" s="35"/>
      <c r="J27" s="164"/>
      <c r="L27" s="33"/>
      <c r="M27" s="33"/>
      <c r="N27" s="33"/>
    </row>
    <row r="28" spans="1:14" ht="16.2" thickBot="1">
      <c r="A28" s="3">
        <f t="shared" si="0"/>
        <v>20</v>
      </c>
      <c r="C28" s="2" t="s">
        <v>194</v>
      </c>
      <c r="D28" s="35">
        <f>+'Schedule No. 7 WW Support'!J64</f>
        <v>0</v>
      </c>
      <c r="E28" s="35"/>
      <c r="G28" s="10">
        <f>+'Schedule No. 7 WW Support'!D83</f>
        <v>0</v>
      </c>
      <c r="H28" s="325">
        <f>+G28*D28</f>
        <v>0</v>
      </c>
      <c r="I28" s="35"/>
      <c r="J28" s="164"/>
      <c r="L28" s="33"/>
      <c r="M28" s="33"/>
      <c r="N28" s="33"/>
    </row>
    <row r="29" spans="1:14" ht="16.2" thickTop="1">
      <c r="A29" s="3">
        <f t="shared" si="0"/>
        <v>21</v>
      </c>
      <c r="C29" s="24"/>
      <c r="D29" s="35"/>
      <c r="E29" s="35"/>
      <c r="G29" s="10"/>
      <c r="H29" s="35"/>
      <c r="I29" s="35"/>
      <c r="J29" s="164"/>
      <c r="L29" s="33"/>
      <c r="M29" s="33"/>
      <c r="N29" s="33"/>
    </row>
    <row r="30" spans="1:14" ht="15.6">
      <c r="A30" s="3">
        <f t="shared" si="0"/>
        <v>22</v>
      </c>
      <c r="C30" s="2" t="s">
        <v>510</v>
      </c>
      <c r="D30" s="35">
        <f>+'Schedule No. 6 Misc Svc Chrg'!C10</f>
        <v>30</v>
      </c>
      <c r="E30" s="35"/>
      <c r="F30" s="19">
        <f>+'Factored ERC'!AC15</f>
        <v>17</v>
      </c>
      <c r="H30" s="35">
        <f>-F30*D30</f>
        <v>-510</v>
      </c>
      <c r="I30" s="35">
        <f>+F30*E30</f>
        <v>0</v>
      </c>
      <c r="J30" s="164" t="s">
        <v>368</v>
      </c>
      <c r="L30" s="33"/>
      <c r="M30" s="33"/>
      <c r="N30" s="33"/>
    </row>
    <row r="31" spans="1:14" ht="16.2" thickBot="1">
      <c r="A31" s="3">
        <f t="shared" si="0"/>
        <v>23</v>
      </c>
      <c r="H31" s="33"/>
      <c r="I31" s="33"/>
      <c r="J31" s="163">
        <f>+'Schedule 7  NOI'!I25</f>
        <v>-0.26729169587690615</v>
      </c>
      <c r="L31" s="35"/>
      <c r="M31" s="35"/>
      <c r="N31" s="35"/>
    </row>
    <row r="32" spans="1:16" ht="16.2" thickBot="1">
      <c r="A32" s="3">
        <f t="shared" si="0"/>
        <v>24</v>
      </c>
      <c r="C32" s="24" t="s">
        <v>198</v>
      </c>
      <c r="D32" s="81"/>
      <c r="E32" s="81"/>
      <c r="F32" s="24"/>
      <c r="G32" s="24"/>
      <c r="H32" s="82">
        <f>+H13+H24+H30+H28</f>
        <v>2141469.3907200005</v>
      </c>
      <c r="I32" s="82">
        <f>+I13+I24+I30</f>
        <v>0</v>
      </c>
      <c r="P32" s="33">
        <f>+H32-'Sewer Rev Requirements '!C40</f>
        <v>-687.15890023577958</v>
      </c>
    </row>
    <row r="33" ht="16.2" thickTop="1"/>
    <row r="34" ht="15.6">
      <c r="R34" s="10"/>
    </row>
    <row r="36" spans="8:16" ht="15.6">
      <c r="H36" s="33"/>
      <c r="I36" s="33"/>
      <c r="P36" s="33"/>
    </row>
  </sheetData>
  <mergeCells count="5">
    <mergeCell ref="A7:I7"/>
    <mergeCell ref="A3:I3"/>
    <mergeCell ref="A4:I4"/>
    <mergeCell ref="A5:I5"/>
    <mergeCell ref="A6:I6"/>
  </mergeCells>
  <printOptions horizontalCentered="1"/>
  <pageMargins left="0.7" right="0.7" top="0.75" bottom="0.75" header="0.3" footer="0.3"/>
  <pageSetup orientation="portrait" scale="87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"/>
  <sheetViews>
    <sheetView workbookViewId="0" topLeftCell="A1">
      <selection pane="topLeft" activeCell="A21" sqref="A21"/>
    </sheetView>
  </sheetViews>
  <sheetFormatPr defaultRowHeight="15.75"/>
  <sheetData/>
  <pageMargins left="0.7" right="0.7" top="0.75" bottom="0.75" header="0.3" footer="0.3"/>
  <pageSetup horizontalDpi="1200" verticalDpi="120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68218-CD62-4D05-9E0E-F57D60F97993}">
  <sheetPr>
    <tabColor rgb="FFFFFF00"/>
  </sheetPr>
  <dimension ref="A1:AN133"/>
  <sheetViews>
    <sheetView zoomScale="80" zoomScaleNormal="80" workbookViewId="0" topLeftCell="A1">
      <pane xSplit="5" ySplit="4" topLeftCell="F5" activePane="bottomRight" state="frozen"/>
      <selection pane="topLeft" activeCell="A35" sqref="A35"/>
      <selection pane="bottomLeft" activeCell="A35" sqref="A35"/>
      <selection pane="topRight" activeCell="A35" sqref="A35"/>
      <selection pane="bottomRight" activeCell="A2" sqref="A2"/>
    </sheetView>
  </sheetViews>
  <sheetFormatPr defaultColWidth="8.69921875" defaultRowHeight="15"/>
  <cols>
    <col min="1" max="1" width="4.25" style="337" customWidth="1"/>
    <col min="2" max="2" width="43.875" style="313" customWidth="1"/>
    <col min="3" max="3" width="9.5" style="313" bestFit="1" customWidth="1"/>
    <col min="4" max="4" width="12.75" style="314" customWidth="1"/>
    <col min="5" max="5" width="7.75" style="313" customWidth="1"/>
    <col min="6" max="6" width="12" style="314" customWidth="1"/>
    <col min="7" max="30" width="10.75" style="314" customWidth="1"/>
    <col min="31" max="33" width="10.75" style="314" hidden="1" customWidth="1"/>
    <col min="34" max="34" width="3.125" style="314" customWidth="1"/>
    <col min="35" max="35" width="10.125" style="314" customWidth="1"/>
    <col min="36" max="36" width="13.75" style="314" customWidth="1"/>
    <col min="37" max="37" width="7.125" style="313" customWidth="1"/>
    <col min="38" max="38" width="15" style="313" customWidth="1"/>
    <col min="39" max="39" width="8.75" style="313"/>
    <col min="40" max="40" width="12.75" style="313" customWidth="1"/>
    <col min="41" max="16384" width="8.75" style="313"/>
  </cols>
  <sheetData>
    <row r="1" ht="14.4">
      <c r="A1" s="337" t="str">
        <f>+'Schedule No. 7 Rev Proof'!A3:I3</f>
        <v>Environmental Utilities, LLC</v>
      </c>
    </row>
    <row r="2" spans="1:35" ht="15" customHeight="1">
      <c r="A2" s="337" t="s">
        <v>699</v>
      </c>
      <c r="C2" s="338"/>
      <c r="D2" s="339"/>
      <c r="E2" s="340" t="s">
        <v>397</v>
      </c>
      <c r="F2" s="341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</row>
    <row r="3" spans="1:35" ht="15" customHeight="1">
      <c r="A3" s="337" t="s">
        <v>703</v>
      </c>
      <c r="C3" s="342" t="s">
        <v>398</v>
      </c>
      <c r="D3" s="343"/>
      <c r="E3" s="344" t="s">
        <v>399</v>
      </c>
      <c r="F3" s="345" t="s">
        <v>400</v>
      </c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7" t="s">
        <v>401</v>
      </c>
    </row>
    <row r="4" spans="2:36" ht="15" customHeight="1">
      <c r="B4" s="348"/>
      <c r="C4" s="349" t="s">
        <v>393</v>
      </c>
      <c r="D4" s="350" t="s">
        <v>332</v>
      </c>
      <c r="E4" s="351" t="s">
        <v>122</v>
      </c>
      <c r="F4" s="352" t="s">
        <v>292</v>
      </c>
      <c r="G4" s="353">
        <v>2024</v>
      </c>
      <c r="H4" s="353">
        <f>+G4+1</f>
        <v>2025</v>
      </c>
      <c r="I4" s="353">
        <f t="shared" si="0" ref="I4:AC4">+H4+1</f>
        <v>2026</v>
      </c>
      <c r="J4" s="353">
        <f t="shared" si="0"/>
        <v>2027</v>
      </c>
      <c r="K4" s="353">
        <f t="shared" si="0"/>
        <v>2028</v>
      </c>
      <c r="L4" s="353">
        <f t="shared" si="0"/>
        <v>2029</v>
      </c>
      <c r="M4" s="353">
        <f t="shared" si="0"/>
        <v>2030</v>
      </c>
      <c r="N4" s="353">
        <f t="shared" si="0"/>
        <v>2031</v>
      </c>
      <c r="O4" s="353">
        <f t="shared" si="0"/>
        <v>2032</v>
      </c>
      <c r="P4" s="628">
        <f t="shared" si="0"/>
        <v>2033</v>
      </c>
      <c r="Q4" s="353">
        <f t="shared" si="0"/>
        <v>2034</v>
      </c>
      <c r="R4" s="353">
        <f t="shared" si="0"/>
        <v>2035</v>
      </c>
      <c r="S4" s="353">
        <f t="shared" si="0"/>
        <v>2036</v>
      </c>
      <c r="T4" s="353">
        <f t="shared" si="0"/>
        <v>2037</v>
      </c>
      <c r="U4" s="353">
        <f t="shared" si="0"/>
        <v>2038</v>
      </c>
      <c r="V4" s="353">
        <f t="shared" si="0"/>
        <v>2039</v>
      </c>
      <c r="W4" s="353">
        <f t="shared" si="0"/>
        <v>2040</v>
      </c>
      <c r="X4" s="353">
        <f t="shared" si="0"/>
        <v>2041</v>
      </c>
      <c r="Y4" s="353">
        <f t="shared" si="0"/>
        <v>2042</v>
      </c>
      <c r="Z4" s="353">
        <f t="shared" si="0"/>
        <v>2043</v>
      </c>
      <c r="AA4" s="353">
        <f t="shared" si="0"/>
        <v>2044</v>
      </c>
      <c r="AB4" s="353">
        <f t="shared" si="0"/>
        <v>2045</v>
      </c>
      <c r="AC4" s="353">
        <f t="shared" si="0"/>
        <v>2046</v>
      </c>
      <c r="AD4" s="353">
        <f t="shared" si="1" ref="AD4">+AC4+1</f>
        <v>2047</v>
      </c>
      <c r="AE4" s="353"/>
      <c r="AF4" s="353"/>
      <c r="AG4" s="353"/>
      <c r="AH4" s="353"/>
      <c r="AI4" s="347" t="s">
        <v>119</v>
      </c>
      <c r="AJ4" s="305" t="s">
        <v>402</v>
      </c>
    </row>
    <row r="5" spans="1:34" ht="15" customHeight="1">
      <c r="A5" s="354"/>
      <c r="B5" s="355" t="s">
        <v>404</v>
      </c>
      <c r="D5" s="305"/>
      <c r="E5" s="356"/>
      <c r="F5" s="35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</row>
    <row r="6" spans="1:34" ht="15" customHeight="1">
      <c r="A6" s="323" t="s">
        <v>403</v>
      </c>
      <c r="B6" s="337"/>
      <c r="D6" s="305"/>
      <c r="E6" s="356"/>
      <c r="F6" s="35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308"/>
      <c r="AE6" s="308"/>
      <c r="AF6" s="308"/>
      <c r="AG6" s="308"/>
      <c r="AH6" s="308"/>
    </row>
    <row r="7" spans="1:34" ht="15" customHeight="1">
      <c r="A7" s="323"/>
      <c r="B7" s="337"/>
      <c r="D7" s="305"/>
      <c r="E7" s="356"/>
      <c r="F7" s="35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</row>
    <row r="8" spans="1:36" ht="15" customHeight="1">
      <c r="A8" s="336" t="s">
        <v>405</v>
      </c>
      <c r="B8" s="337"/>
      <c r="D8" s="305"/>
      <c r="E8" s="356"/>
      <c r="F8" s="35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  <c r="AJ8" s="308">
        <f>+D8-AI8</f>
        <v>0</v>
      </c>
    </row>
    <row r="9" spans="1:36" ht="15" customHeight="1">
      <c r="A9" s="336"/>
      <c r="B9" s="532" t="s">
        <v>606</v>
      </c>
      <c r="D9" s="305">
        <v>300000</v>
      </c>
      <c r="E9" s="356"/>
      <c r="F9" s="35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8"/>
      <c r="AH9" s="308"/>
      <c r="AJ9" s="308">
        <f>+D9-AI9</f>
        <v>300000</v>
      </c>
    </row>
    <row r="10" spans="1:38" ht="15" customHeight="1">
      <c r="A10" s="313"/>
      <c r="B10" s="439" t="s">
        <v>513</v>
      </c>
      <c r="C10" s="369"/>
      <c r="D10" s="523">
        <v>250000</v>
      </c>
      <c r="E10" s="356"/>
      <c r="F10" s="35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8"/>
      <c r="AJ10" s="308">
        <f>+D10-AI10</f>
        <v>250000</v>
      </c>
      <c r="AL10" s="314"/>
    </row>
    <row r="11" spans="1:38" ht="15" customHeight="1">
      <c r="A11" s="313"/>
      <c r="B11" s="532" t="s">
        <v>605</v>
      </c>
      <c r="C11" s="369"/>
      <c r="D11" s="523">
        <v>250000</v>
      </c>
      <c r="E11" s="356"/>
      <c r="F11" s="35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J11" s="308">
        <f>+D11-AI11</f>
        <v>250000</v>
      </c>
      <c r="AL11" s="314"/>
    </row>
    <row r="12" spans="1:38" ht="15" customHeight="1">
      <c r="A12" s="313"/>
      <c r="B12" s="312" t="s">
        <v>410</v>
      </c>
      <c r="C12" s="311"/>
      <c r="D12" s="309">
        <f>SUM(D8:D11)</f>
        <v>800000</v>
      </c>
      <c r="E12" s="356"/>
      <c r="F12" s="35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J12" s="309">
        <f>SUM(AJ8:AJ11)</f>
        <v>800000</v>
      </c>
      <c r="AL12" s="306">
        <f>+AI12+AJ12</f>
        <v>800000</v>
      </c>
    </row>
    <row r="13" spans="1:38" ht="15" customHeight="1">
      <c r="A13" s="323"/>
      <c r="B13" s="337"/>
      <c r="D13" s="305"/>
      <c r="E13" s="356"/>
      <c r="F13" s="35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L13" s="314"/>
    </row>
    <row r="14" spans="1:34" ht="15" customHeight="1">
      <c r="A14" s="336" t="s">
        <v>406</v>
      </c>
      <c r="E14" s="370"/>
      <c r="F14" s="35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</row>
    <row r="15" spans="1:36" ht="15" customHeight="1">
      <c r="A15" s="336"/>
      <c r="B15" s="550"/>
      <c r="C15" s="311"/>
      <c r="D15" s="305"/>
      <c r="E15" s="356"/>
      <c r="F15" s="359"/>
      <c r="G15" s="373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J15" s="308"/>
    </row>
    <row r="16" spans="1:36" ht="15" customHeight="1">
      <c r="A16" s="336"/>
      <c r="B16" s="563" t="s">
        <v>626</v>
      </c>
      <c r="D16" s="564">
        <f>100000+30000</f>
        <v>130000</v>
      </c>
      <c r="E16" s="356">
        <v>40</v>
      </c>
      <c r="F16" s="359">
        <f>ROUND(D16/E16,2)</f>
        <v>3250</v>
      </c>
      <c r="G16" s="308">
        <f>+$F16</f>
        <v>3250</v>
      </c>
      <c r="H16" s="308">
        <f>+$F16</f>
        <v>3250</v>
      </c>
      <c r="I16" s="308">
        <f t="shared" si="2" ref="I16:AD20">+$F16</f>
        <v>3250</v>
      </c>
      <c r="J16" s="308">
        <f t="shared" si="2"/>
        <v>3250</v>
      </c>
      <c r="K16" s="308">
        <f t="shared" si="2"/>
        <v>3250</v>
      </c>
      <c r="L16" s="308">
        <f t="shared" si="2"/>
        <v>3250</v>
      </c>
      <c r="M16" s="308">
        <f t="shared" si="2"/>
        <v>3250</v>
      </c>
      <c r="N16" s="308">
        <f t="shared" si="2"/>
        <v>3250</v>
      </c>
      <c r="O16" s="308">
        <f t="shared" si="2"/>
        <v>3250</v>
      </c>
      <c r="P16" s="308">
        <f t="shared" si="2"/>
        <v>3250</v>
      </c>
      <c r="Q16" s="308">
        <f t="shared" si="2"/>
        <v>3250</v>
      </c>
      <c r="R16" s="308">
        <f t="shared" si="2"/>
        <v>3250</v>
      </c>
      <c r="S16" s="308">
        <f t="shared" si="2"/>
        <v>3250</v>
      </c>
      <c r="T16" s="308">
        <f t="shared" si="2"/>
        <v>3250</v>
      </c>
      <c r="U16" s="308">
        <f t="shared" si="2"/>
        <v>3250</v>
      </c>
      <c r="V16" s="308">
        <f t="shared" si="2"/>
        <v>3250</v>
      </c>
      <c r="W16" s="308">
        <f t="shared" si="2"/>
        <v>3250</v>
      </c>
      <c r="X16" s="308">
        <f t="shared" si="2"/>
        <v>3250</v>
      </c>
      <c r="Y16" s="308">
        <f t="shared" si="2"/>
        <v>3250</v>
      </c>
      <c r="Z16" s="308">
        <f t="shared" si="2"/>
        <v>3250</v>
      </c>
      <c r="AA16" s="308">
        <f t="shared" si="2"/>
        <v>3250</v>
      </c>
      <c r="AB16" s="308">
        <f t="shared" si="2"/>
        <v>3250</v>
      </c>
      <c r="AC16" s="308">
        <f t="shared" si="2"/>
        <v>3250</v>
      </c>
      <c r="AD16" s="308">
        <f t="shared" si="2"/>
        <v>3250</v>
      </c>
      <c r="AE16" s="308"/>
      <c r="AF16" s="308"/>
      <c r="AG16" s="308"/>
      <c r="AH16" s="308"/>
      <c r="AI16" s="314">
        <f t="shared" si="3" ref="AI16:AI20">SUM(G16:AH16)</f>
        <v>78000</v>
      </c>
      <c r="AJ16" s="308">
        <f t="shared" si="4" ref="AJ16:AJ20">+D16-AI16</f>
        <v>52000</v>
      </c>
    </row>
    <row r="17" spans="1:36" ht="15" customHeight="1">
      <c r="A17" s="336"/>
      <c r="B17" s="563" t="s">
        <v>627</v>
      </c>
      <c r="D17" s="314">
        <f>25000+75000</f>
        <v>100000</v>
      </c>
      <c r="E17" s="356">
        <v>40</v>
      </c>
      <c r="F17" s="359">
        <f t="shared" si="5" ref="F17:F19">ROUND(D17/E17,2)</f>
        <v>2500</v>
      </c>
      <c r="G17" s="308">
        <f t="shared" si="6" ref="G17:H19">+$F17</f>
        <v>2500</v>
      </c>
      <c r="H17" s="308">
        <f t="shared" si="6"/>
        <v>2500</v>
      </c>
      <c r="I17" s="308">
        <f t="shared" si="2"/>
        <v>2500</v>
      </c>
      <c r="J17" s="308">
        <f t="shared" si="2"/>
        <v>2500</v>
      </c>
      <c r="K17" s="308">
        <f t="shared" si="2"/>
        <v>2500</v>
      </c>
      <c r="L17" s="308">
        <f t="shared" si="2"/>
        <v>2500</v>
      </c>
      <c r="M17" s="308">
        <f t="shared" si="2"/>
        <v>2500</v>
      </c>
      <c r="N17" s="308">
        <f t="shared" si="2"/>
        <v>2500</v>
      </c>
      <c r="O17" s="308">
        <f t="shared" si="2"/>
        <v>2500</v>
      </c>
      <c r="P17" s="308">
        <f t="shared" si="2"/>
        <v>2500</v>
      </c>
      <c r="Q17" s="308">
        <f t="shared" si="2"/>
        <v>2500</v>
      </c>
      <c r="R17" s="308">
        <f t="shared" si="2"/>
        <v>2500</v>
      </c>
      <c r="S17" s="308">
        <f t="shared" si="2"/>
        <v>2500</v>
      </c>
      <c r="T17" s="308">
        <f t="shared" si="2"/>
        <v>2500</v>
      </c>
      <c r="U17" s="308">
        <f t="shared" si="2"/>
        <v>2500</v>
      </c>
      <c r="V17" s="308">
        <f t="shared" si="2"/>
        <v>2500</v>
      </c>
      <c r="W17" s="308">
        <f t="shared" si="2"/>
        <v>2500</v>
      </c>
      <c r="X17" s="308">
        <f t="shared" si="2"/>
        <v>2500</v>
      </c>
      <c r="Y17" s="308">
        <f t="shared" si="2"/>
        <v>2500</v>
      </c>
      <c r="Z17" s="308">
        <f t="shared" si="2"/>
        <v>2500</v>
      </c>
      <c r="AA17" s="308">
        <f t="shared" si="2"/>
        <v>2500</v>
      </c>
      <c r="AB17" s="308">
        <f t="shared" si="2"/>
        <v>2500</v>
      </c>
      <c r="AC17" s="308">
        <f t="shared" si="2"/>
        <v>2500</v>
      </c>
      <c r="AD17" s="308">
        <f t="shared" si="2"/>
        <v>2500</v>
      </c>
      <c r="AE17" s="308"/>
      <c r="AF17" s="308"/>
      <c r="AG17" s="308"/>
      <c r="AH17" s="308"/>
      <c r="AI17" s="314">
        <f t="shared" si="3"/>
        <v>60000</v>
      </c>
      <c r="AJ17" s="308">
        <f t="shared" si="4"/>
        <v>40000</v>
      </c>
    </row>
    <row r="18" spans="1:36" ht="15" customHeight="1">
      <c r="A18" s="336"/>
      <c r="B18" s="563" t="s">
        <v>628</v>
      </c>
      <c r="D18" s="314">
        <f>25000+100000</f>
        <v>125000</v>
      </c>
      <c r="E18" s="356">
        <v>40</v>
      </c>
      <c r="F18" s="359">
        <f t="shared" si="5"/>
        <v>3125</v>
      </c>
      <c r="G18" s="308">
        <f t="shared" si="6"/>
        <v>3125</v>
      </c>
      <c r="H18" s="308">
        <f t="shared" si="6"/>
        <v>3125</v>
      </c>
      <c r="I18" s="308">
        <f t="shared" si="2"/>
        <v>3125</v>
      </c>
      <c r="J18" s="308">
        <f t="shared" si="2"/>
        <v>3125</v>
      </c>
      <c r="K18" s="308">
        <f t="shared" si="2"/>
        <v>3125</v>
      </c>
      <c r="L18" s="308">
        <f t="shared" si="2"/>
        <v>3125</v>
      </c>
      <c r="M18" s="308">
        <f t="shared" si="2"/>
        <v>3125</v>
      </c>
      <c r="N18" s="308">
        <f t="shared" si="2"/>
        <v>3125</v>
      </c>
      <c r="O18" s="308">
        <f t="shared" si="2"/>
        <v>3125</v>
      </c>
      <c r="P18" s="308">
        <f t="shared" si="2"/>
        <v>3125</v>
      </c>
      <c r="Q18" s="308">
        <f t="shared" si="2"/>
        <v>3125</v>
      </c>
      <c r="R18" s="308">
        <f t="shared" si="2"/>
        <v>3125</v>
      </c>
      <c r="S18" s="308">
        <f t="shared" si="2"/>
        <v>3125</v>
      </c>
      <c r="T18" s="308">
        <f t="shared" si="2"/>
        <v>3125</v>
      </c>
      <c r="U18" s="308">
        <f t="shared" si="2"/>
        <v>3125</v>
      </c>
      <c r="V18" s="308">
        <f t="shared" si="2"/>
        <v>3125</v>
      </c>
      <c r="W18" s="308">
        <f t="shared" si="2"/>
        <v>3125</v>
      </c>
      <c r="X18" s="308">
        <f t="shared" si="2"/>
        <v>3125</v>
      </c>
      <c r="Y18" s="308">
        <f t="shared" si="2"/>
        <v>3125</v>
      </c>
      <c r="Z18" s="308">
        <f t="shared" si="2"/>
        <v>3125</v>
      </c>
      <c r="AA18" s="308">
        <f t="shared" si="2"/>
        <v>3125</v>
      </c>
      <c r="AB18" s="308">
        <f t="shared" si="2"/>
        <v>3125</v>
      </c>
      <c r="AC18" s="308">
        <f t="shared" si="2"/>
        <v>3125</v>
      </c>
      <c r="AD18" s="308">
        <f t="shared" si="2"/>
        <v>3125</v>
      </c>
      <c r="AE18" s="308"/>
      <c r="AF18" s="308"/>
      <c r="AG18" s="308"/>
      <c r="AH18" s="308"/>
      <c r="AI18" s="314">
        <f t="shared" si="3"/>
        <v>75000</v>
      </c>
      <c r="AJ18" s="308">
        <f t="shared" si="4"/>
        <v>50000</v>
      </c>
    </row>
    <row r="19" spans="1:36" ht="15" customHeight="1">
      <c r="A19" s="336"/>
      <c r="B19" s="439" t="s">
        <v>530</v>
      </c>
      <c r="D19" s="314">
        <v>10000</v>
      </c>
      <c r="E19" s="356">
        <v>40</v>
      </c>
      <c r="F19" s="359">
        <f t="shared" si="5"/>
        <v>250</v>
      </c>
      <c r="G19" s="308">
        <f t="shared" si="6"/>
        <v>250</v>
      </c>
      <c r="H19" s="308">
        <f t="shared" si="6"/>
        <v>250</v>
      </c>
      <c r="I19" s="308">
        <f t="shared" si="2"/>
        <v>250</v>
      </c>
      <c r="J19" s="308">
        <f t="shared" si="2"/>
        <v>250</v>
      </c>
      <c r="K19" s="308">
        <f t="shared" si="2"/>
        <v>250</v>
      </c>
      <c r="L19" s="308">
        <f t="shared" si="2"/>
        <v>250</v>
      </c>
      <c r="M19" s="308">
        <f t="shared" si="2"/>
        <v>250</v>
      </c>
      <c r="N19" s="308">
        <f t="shared" si="2"/>
        <v>250</v>
      </c>
      <c r="O19" s="308">
        <f t="shared" si="2"/>
        <v>250</v>
      </c>
      <c r="P19" s="308">
        <f t="shared" si="2"/>
        <v>250</v>
      </c>
      <c r="Q19" s="308">
        <f t="shared" si="2"/>
        <v>250</v>
      </c>
      <c r="R19" s="308">
        <f t="shared" si="2"/>
        <v>250</v>
      </c>
      <c r="S19" s="308">
        <f t="shared" si="2"/>
        <v>250</v>
      </c>
      <c r="T19" s="308">
        <f t="shared" si="2"/>
        <v>250</v>
      </c>
      <c r="U19" s="308">
        <f t="shared" si="2"/>
        <v>250</v>
      </c>
      <c r="V19" s="308">
        <f t="shared" si="2"/>
        <v>250</v>
      </c>
      <c r="W19" s="308">
        <f t="shared" si="2"/>
        <v>250</v>
      </c>
      <c r="X19" s="308">
        <f t="shared" si="2"/>
        <v>250</v>
      </c>
      <c r="Y19" s="308">
        <f t="shared" si="2"/>
        <v>250</v>
      </c>
      <c r="Z19" s="308">
        <f t="shared" si="2"/>
        <v>250</v>
      </c>
      <c r="AA19" s="308">
        <f t="shared" si="2"/>
        <v>250</v>
      </c>
      <c r="AB19" s="308">
        <f t="shared" si="2"/>
        <v>250</v>
      </c>
      <c r="AC19" s="308">
        <f t="shared" si="2"/>
        <v>250</v>
      </c>
      <c r="AD19" s="308">
        <f t="shared" si="2"/>
        <v>250</v>
      </c>
      <c r="AE19" s="308"/>
      <c r="AF19" s="308"/>
      <c r="AG19" s="308"/>
      <c r="AH19" s="308"/>
      <c r="AI19" s="314">
        <f t="shared" si="3"/>
        <v>6000</v>
      </c>
      <c r="AJ19" s="308">
        <f t="shared" si="4"/>
        <v>4000</v>
      </c>
    </row>
    <row r="20" spans="1:36" ht="15" customHeight="1">
      <c r="A20" s="336"/>
      <c r="B20" s="439" t="s">
        <v>514</v>
      </c>
      <c r="D20" s="314">
        <f>20000+137000</f>
        <v>157000</v>
      </c>
      <c r="E20" s="356">
        <v>40</v>
      </c>
      <c r="F20" s="359">
        <f>ROUND(D20/E20,2)</f>
        <v>3925</v>
      </c>
      <c r="G20" s="308">
        <f>+$F20</f>
        <v>3925</v>
      </c>
      <c r="H20" s="308">
        <f>+$F20</f>
        <v>3925</v>
      </c>
      <c r="I20" s="308">
        <f t="shared" si="2"/>
        <v>3925</v>
      </c>
      <c r="J20" s="308">
        <f t="shared" si="2"/>
        <v>3925</v>
      </c>
      <c r="K20" s="308">
        <f t="shared" si="2"/>
        <v>3925</v>
      </c>
      <c r="L20" s="308">
        <f t="shared" si="2"/>
        <v>3925</v>
      </c>
      <c r="M20" s="308">
        <f t="shared" si="2"/>
        <v>3925</v>
      </c>
      <c r="N20" s="308">
        <f t="shared" si="2"/>
        <v>3925</v>
      </c>
      <c r="O20" s="308">
        <f t="shared" si="2"/>
        <v>3925</v>
      </c>
      <c r="P20" s="308">
        <f t="shared" si="2"/>
        <v>3925</v>
      </c>
      <c r="Q20" s="308">
        <f t="shared" si="2"/>
        <v>3925</v>
      </c>
      <c r="R20" s="308">
        <f t="shared" si="2"/>
        <v>3925</v>
      </c>
      <c r="S20" s="308">
        <f t="shared" si="2"/>
        <v>3925</v>
      </c>
      <c r="T20" s="308">
        <f t="shared" si="2"/>
        <v>3925</v>
      </c>
      <c r="U20" s="308">
        <f t="shared" si="2"/>
        <v>3925</v>
      </c>
      <c r="V20" s="308">
        <f t="shared" si="2"/>
        <v>3925</v>
      </c>
      <c r="W20" s="308">
        <f t="shared" si="2"/>
        <v>3925</v>
      </c>
      <c r="X20" s="308">
        <f t="shared" si="2"/>
        <v>3925</v>
      </c>
      <c r="Y20" s="308">
        <f t="shared" si="2"/>
        <v>3925</v>
      </c>
      <c r="Z20" s="308">
        <f t="shared" si="2"/>
        <v>3925</v>
      </c>
      <c r="AA20" s="308">
        <f t="shared" si="2"/>
        <v>3925</v>
      </c>
      <c r="AB20" s="308">
        <f t="shared" si="2"/>
        <v>3925</v>
      </c>
      <c r="AC20" s="308">
        <f t="shared" si="2"/>
        <v>3925</v>
      </c>
      <c r="AD20" s="308">
        <f t="shared" si="2"/>
        <v>3925</v>
      </c>
      <c r="AE20" s="308"/>
      <c r="AF20" s="308"/>
      <c r="AG20" s="308"/>
      <c r="AH20" s="308"/>
      <c r="AI20" s="314">
        <f t="shared" si="3"/>
        <v>94200</v>
      </c>
      <c r="AJ20" s="308">
        <f t="shared" si="4"/>
        <v>62800</v>
      </c>
    </row>
    <row r="21" spans="1:38" ht="15" customHeight="1">
      <c r="A21" s="336"/>
      <c r="B21" s="371" t="s">
        <v>455</v>
      </c>
      <c r="D21" s="306">
        <f>SUM(D14:D20)</f>
        <v>522000</v>
      </c>
      <c r="E21" s="370"/>
      <c r="F21" s="357">
        <f t="shared" si="7" ref="F21:AD21">SUM(F14:F20)</f>
        <v>13050</v>
      </c>
      <c r="G21" s="363">
        <f t="shared" si="7"/>
        <v>13050</v>
      </c>
      <c r="H21" s="306">
        <f t="shared" si="7"/>
        <v>13050</v>
      </c>
      <c r="I21" s="306">
        <f t="shared" si="7"/>
        <v>13050</v>
      </c>
      <c r="J21" s="306">
        <f t="shared" si="7"/>
        <v>13050</v>
      </c>
      <c r="K21" s="306">
        <f t="shared" si="7"/>
        <v>13050</v>
      </c>
      <c r="L21" s="306">
        <f t="shared" si="7"/>
        <v>13050</v>
      </c>
      <c r="M21" s="306">
        <f t="shared" si="7"/>
        <v>13050</v>
      </c>
      <c r="N21" s="306">
        <f t="shared" si="7"/>
        <v>13050</v>
      </c>
      <c r="O21" s="306">
        <f t="shared" si="7"/>
        <v>13050</v>
      </c>
      <c r="P21" s="306">
        <f t="shared" si="7"/>
        <v>13050</v>
      </c>
      <c r="Q21" s="306">
        <f t="shared" si="7"/>
        <v>13050</v>
      </c>
      <c r="R21" s="306">
        <f t="shared" si="7"/>
        <v>13050</v>
      </c>
      <c r="S21" s="306">
        <f t="shared" si="7"/>
        <v>13050</v>
      </c>
      <c r="T21" s="306">
        <f t="shared" si="7"/>
        <v>13050</v>
      </c>
      <c r="U21" s="306">
        <f t="shared" si="7"/>
        <v>13050</v>
      </c>
      <c r="V21" s="306">
        <f t="shared" si="7"/>
        <v>13050</v>
      </c>
      <c r="W21" s="306">
        <f t="shared" si="7"/>
        <v>13050</v>
      </c>
      <c r="X21" s="306">
        <f t="shared" si="7"/>
        <v>13050</v>
      </c>
      <c r="Y21" s="306">
        <f t="shared" si="7"/>
        <v>13050</v>
      </c>
      <c r="Z21" s="306">
        <f t="shared" si="7"/>
        <v>13050</v>
      </c>
      <c r="AA21" s="306">
        <f t="shared" si="7"/>
        <v>13050</v>
      </c>
      <c r="AB21" s="306">
        <f t="shared" si="7"/>
        <v>13050</v>
      </c>
      <c r="AC21" s="306">
        <f t="shared" si="7"/>
        <v>13050</v>
      </c>
      <c r="AD21" s="306">
        <f t="shared" si="7"/>
        <v>13050</v>
      </c>
      <c r="AE21" s="306"/>
      <c r="AF21" s="306"/>
      <c r="AG21" s="306"/>
      <c r="AH21" s="306"/>
      <c r="AI21" s="306">
        <f>SUM(AI14:AI20)</f>
        <v>313200</v>
      </c>
      <c r="AJ21" s="306">
        <f>SUM(AJ14:AJ20)</f>
        <v>208800</v>
      </c>
      <c r="AL21" s="314">
        <f>+AI21+AJ21</f>
        <v>522000</v>
      </c>
    </row>
    <row r="22" spans="1:36" ht="15" customHeight="1">
      <c r="A22" s="336"/>
      <c r="B22" s="312" t="s">
        <v>120</v>
      </c>
      <c r="C22" s="311"/>
      <c r="D22" s="307"/>
      <c r="E22" s="356"/>
      <c r="F22" s="362"/>
      <c r="G22" s="307">
        <f>+G21</f>
        <v>13050</v>
      </c>
      <c r="H22" s="307">
        <f>+H21+G22</f>
        <v>26100</v>
      </c>
      <c r="I22" s="307">
        <f t="shared" si="8" ref="I22:J22">+I21+H22</f>
        <v>39150</v>
      </c>
      <c r="J22" s="307">
        <f t="shared" si="8"/>
        <v>52200</v>
      </c>
      <c r="K22" s="307">
        <f t="shared" si="9" ref="K22">+K21+J22</f>
        <v>65250</v>
      </c>
      <c r="L22" s="307">
        <f t="shared" si="10" ref="L22">+L21+K22</f>
        <v>78300</v>
      </c>
      <c r="M22" s="307">
        <f t="shared" si="11" ref="M22">+M21+L22</f>
        <v>91350</v>
      </c>
      <c r="N22" s="307">
        <f t="shared" si="12" ref="N22">+N21+M22</f>
        <v>104400</v>
      </c>
      <c r="O22" s="307">
        <f t="shared" si="13" ref="O22">+O21+N22</f>
        <v>117450</v>
      </c>
      <c r="P22" s="307">
        <f>+P21+O22</f>
        <v>130500</v>
      </c>
      <c r="Q22" s="307">
        <f t="shared" si="14" ref="Q22">+Q21+P22</f>
        <v>143550</v>
      </c>
      <c r="R22" s="307">
        <f t="shared" si="15" ref="R22">+R21+Q22</f>
        <v>156600</v>
      </c>
      <c r="S22" s="307">
        <f t="shared" si="16" ref="S22">+S21+R22</f>
        <v>169650</v>
      </c>
      <c r="T22" s="307">
        <f t="shared" si="17" ref="T22">+T21+S22</f>
        <v>182700</v>
      </c>
      <c r="U22" s="307">
        <f t="shared" si="18" ref="U22">+U21+T22</f>
        <v>195750</v>
      </c>
      <c r="V22" s="307">
        <f t="shared" si="19" ref="V22">+V21+U22</f>
        <v>208800</v>
      </c>
      <c r="W22" s="307">
        <f t="shared" si="20" ref="W22">+W21+V22</f>
        <v>221850</v>
      </c>
      <c r="X22" s="307">
        <f t="shared" si="21" ref="X22">+X21+W22</f>
        <v>234900</v>
      </c>
      <c r="Y22" s="307">
        <f t="shared" si="22" ref="Y22">+Y21+X22</f>
        <v>247950</v>
      </c>
      <c r="Z22" s="307">
        <f t="shared" si="23" ref="Z22">+Z21+Y22</f>
        <v>261000</v>
      </c>
      <c r="AA22" s="307">
        <f t="shared" si="24" ref="AA22">+AA21+Z22</f>
        <v>274050</v>
      </c>
      <c r="AB22" s="307">
        <f t="shared" si="25" ref="AB22">+AB21+AA22</f>
        <v>287100</v>
      </c>
      <c r="AC22" s="307">
        <f t="shared" si="26" ref="AC22">+AC21+AB22</f>
        <v>300150</v>
      </c>
      <c r="AD22" s="307">
        <f t="shared" si="27" ref="AD22">+AD21+AC22</f>
        <v>313200</v>
      </c>
      <c r="AE22" s="307"/>
      <c r="AF22" s="307"/>
      <c r="AG22" s="307"/>
      <c r="AH22" s="307"/>
      <c r="AI22" s="307"/>
      <c r="AJ22" s="307"/>
    </row>
    <row r="23" spans="1:36" ht="15" customHeight="1">
      <c r="A23" s="336"/>
      <c r="B23" s="565" t="s">
        <v>629</v>
      </c>
      <c r="C23" s="311"/>
      <c r="D23" s="307"/>
      <c r="E23" s="356"/>
      <c r="F23" s="362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</row>
    <row r="24" spans="1:36" ht="15" customHeight="1">
      <c r="A24" s="360" t="s">
        <v>408</v>
      </c>
      <c r="B24" s="176"/>
      <c r="C24" s="311"/>
      <c r="D24" s="305"/>
      <c r="E24" s="356"/>
      <c r="F24" s="35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J24" s="308"/>
    </row>
    <row r="25" spans="1:36" ht="15" customHeight="1">
      <c r="A25" s="336"/>
      <c r="B25" s="437"/>
      <c r="C25" s="311"/>
      <c r="D25" s="305"/>
      <c r="E25" s="356"/>
      <c r="F25" s="359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J25" s="308"/>
    </row>
    <row r="26" spans="1:36" ht="15" customHeight="1">
      <c r="A26" s="336"/>
      <c r="B26" s="448" t="s">
        <v>536</v>
      </c>
      <c r="C26" s="311"/>
      <c r="D26" s="305">
        <v>400000</v>
      </c>
      <c r="E26" s="356">
        <v>32</v>
      </c>
      <c r="F26" s="359">
        <f t="shared" si="28" ref="F26">ROUND(D26/E26,2)</f>
        <v>12500</v>
      </c>
      <c r="G26" s="308">
        <f t="shared" si="29" ref="G26">+F26</f>
        <v>12500</v>
      </c>
      <c r="H26" s="308">
        <f t="shared" si="30" ref="H26:H27">+$F26</f>
        <v>12500</v>
      </c>
      <c r="I26" s="308">
        <f t="shared" si="31" ref="I26:AD27">+$F26</f>
        <v>12500</v>
      </c>
      <c r="J26" s="308">
        <f t="shared" si="31"/>
        <v>12500</v>
      </c>
      <c r="K26" s="308">
        <f t="shared" si="31"/>
        <v>12500</v>
      </c>
      <c r="L26" s="308">
        <f t="shared" si="31"/>
        <v>12500</v>
      </c>
      <c r="M26" s="308">
        <f t="shared" si="31"/>
        <v>12500</v>
      </c>
      <c r="N26" s="308">
        <f t="shared" si="31"/>
        <v>12500</v>
      </c>
      <c r="O26" s="308">
        <f t="shared" si="31"/>
        <v>12500</v>
      </c>
      <c r="P26" s="308">
        <f t="shared" si="31"/>
        <v>12500</v>
      </c>
      <c r="Q26" s="308">
        <f t="shared" si="31"/>
        <v>12500</v>
      </c>
      <c r="R26" s="308">
        <f t="shared" si="31"/>
        <v>12500</v>
      </c>
      <c r="S26" s="308">
        <f t="shared" si="31"/>
        <v>12500</v>
      </c>
      <c r="T26" s="308">
        <f t="shared" si="31"/>
        <v>12500</v>
      </c>
      <c r="U26" s="308">
        <f t="shared" si="31"/>
        <v>12500</v>
      </c>
      <c r="V26" s="308">
        <f t="shared" si="31"/>
        <v>12500</v>
      </c>
      <c r="W26" s="308">
        <f t="shared" si="31"/>
        <v>12500</v>
      </c>
      <c r="X26" s="308">
        <f t="shared" si="31"/>
        <v>12500</v>
      </c>
      <c r="Y26" s="308">
        <f t="shared" si="31"/>
        <v>12500</v>
      </c>
      <c r="Z26" s="308">
        <f t="shared" si="31"/>
        <v>12500</v>
      </c>
      <c r="AA26" s="308">
        <f t="shared" si="31"/>
        <v>12500</v>
      </c>
      <c r="AB26" s="308">
        <f t="shared" si="31"/>
        <v>12500</v>
      </c>
      <c r="AC26" s="308">
        <f t="shared" si="31"/>
        <v>12500</v>
      </c>
      <c r="AD26" s="308">
        <f t="shared" si="31"/>
        <v>12500</v>
      </c>
      <c r="AE26" s="308"/>
      <c r="AF26" s="308"/>
      <c r="AG26" s="308"/>
      <c r="AH26" s="308"/>
      <c r="AI26" s="314">
        <f>SUM(G26:AH26)</f>
        <v>300000</v>
      </c>
      <c r="AJ26" s="308">
        <f>+D26-AI26</f>
        <v>100000</v>
      </c>
    </row>
    <row r="27" spans="1:36" ht="15" customHeight="1">
      <c r="A27" s="336"/>
      <c r="B27" s="439" t="s">
        <v>512</v>
      </c>
      <c r="C27" s="311"/>
      <c r="D27" s="305">
        <v>400000</v>
      </c>
      <c r="E27" s="356">
        <v>32</v>
      </c>
      <c r="F27" s="359">
        <f t="shared" si="32" ref="F27">ROUND(D27/E27,2)</f>
        <v>12500</v>
      </c>
      <c r="G27" s="308">
        <f>+F27</f>
        <v>12500</v>
      </c>
      <c r="H27" s="308">
        <f t="shared" si="30"/>
        <v>12500</v>
      </c>
      <c r="I27" s="308">
        <f t="shared" si="31"/>
        <v>12500</v>
      </c>
      <c r="J27" s="308">
        <f t="shared" si="31"/>
        <v>12500</v>
      </c>
      <c r="K27" s="308">
        <f t="shared" si="31"/>
        <v>12500</v>
      </c>
      <c r="L27" s="308">
        <f t="shared" si="31"/>
        <v>12500</v>
      </c>
      <c r="M27" s="308">
        <f t="shared" si="31"/>
        <v>12500</v>
      </c>
      <c r="N27" s="308">
        <f t="shared" si="31"/>
        <v>12500</v>
      </c>
      <c r="O27" s="308">
        <f t="shared" si="31"/>
        <v>12500</v>
      </c>
      <c r="P27" s="308">
        <f t="shared" si="31"/>
        <v>12500</v>
      </c>
      <c r="Q27" s="308">
        <f t="shared" si="31"/>
        <v>12500</v>
      </c>
      <c r="R27" s="308">
        <f t="shared" si="31"/>
        <v>12500</v>
      </c>
      <c r="S27" s="308">
        <f t="shared" si="31"/>
        <v>12500</v>
      </c>
      <c r="T27" s="308">
        <f t="shared" si="31"/>
        <v>12500</v>
      </c>
      <c r="U27" s="308">
        <f t="shared" si="31"/>
        <v>12500</v>
      </c>
      <c r="V27" s="308">
        <f t="shared" si="31"/>
        <v>12500</v>
      </c>
      <c r="W27" s="308">
        <f t="shared" si="31"/>
        <v>12500</v>
      </c>
      <c r="X27" s="308">
        <f t="shared" si="31"/>
        <v>12500</v>
      </c>
      <c r="Y27" s="308">
        <f t="shared" si="31"/>
        <v>12500</v>
      </c>
      <c r="Z27" s="308">
        <f t="shared" si="31"/>
        <v>12500</v>
      </c>
      <c r="AA27" s="308">
        <f t="shared" si="31"/>
        <v>12500</v>
      </c>
      <c r="AB27" s="308">
        <f t="shared" si="31"/>
        <v>12500</v>
      </c>
      <c r="AC27" s="308">
        <f t="shared" si="31"/>
        <v>12500</v>
      </c>
      <c r="AD27" s="308">
        <f t="shared" si="31"/>
        <v>12500</v>
      </c>
      <c r="AE27" s="308"/>
      <c r="AF27" s="308"/>
      <c r="AG27" s="308"/>
      <c r="AH27" s="308"/>
      <c r="AI27" s="314">
        <f>SUM(G27:AH27)</f>
        <v>300000</v>
      </c>
      <c r="AJ27" s="308">
        <f>+D27-AI27</f>
        <v>100000</v>
      </c>
    </row>
    <row r="28" spans="1:36" ht="15" customHeight="1">
      <c r="A28" s="336"/>
      <c r="B28" s="550"/>
      <c r="C28" s="311"/>
      <c r="D28" s="305"/>
      <c r="E28" s="356"/>
      <c r="F28" s="636"/>
      <c r="G28" s="373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08"/>
      <c r="AG28" s="308"/>
      <c r="AH28" s="308"/>
      <c r="AJ28" s="308"/>
    </row>
    <row r="29" spans="1:38" ht="15" customHeight="1">
      <c r="A29" s="336"/>
      <c r="B29" s="312" t="s">
        <v>409</v>
      </c>
      <c r="C29" s="311"/>
      <c r="D29" s="309">
        <f>SUM(D24:D28)</f>
        <v>800000</v>
      </c>
      <c r="E29" s="356"/>
      <c r="F29" s="361">
        <f>SUM(F24:F28)</f>
        <v>25000</v>
      </c>
      <c r="G29" s="372">
        <f>SUM(G24:G28)</f>
        <v>25000</v>
      </c>
      <c r="H29" s="309">
        <f t="shared" si="33" ref="H29:AC29">SUM(H24:H28)</f>
        <v>25000</v>
      </c>
      <c r="I29" s="309">
        <f t="shared" si="33"/>
        <v>25000</v>
      </c>
      <c r="J29" s="309">
        <f t="shared" si="33"/>
        <v>25000</v>
      </c>
      <c r="K29" s="309">
        <f t="shared" si="33"/>
        <v>25000</v>
      </c>
      <c r="L29" s="309">
        <f t="shared" si="33"/>
        <v>25000</v>
      </c>
      <c r="M29" s="309">
        <f t="shared" si="33"/>
        <v>25000</v>
      </c>
      <c r="N29" s="309">
        <f t="shared" si="33"/>
        <v>25000</v>
      </c>
      <c r="O29" s="309">
        <f t="shared" si="33"/>
        <v>25000</v>
      </c>
      <c r="P29" s="309">
        <f t="shared" si="33"/>
        <v>25000</v>
      </c>
      <c r="Q29" s="309">
        <f t="shared" si="33"/>
        <v>25000</v>
      </c>
      <c r="R29" s="309">
        <f t="shared" si="33"/>
        <v>25000</v>
      </c>
      <c r="S29" s="309">
        <f t="shared" si="33"/>
        <v>25000</v>
      </c>
      <c r="T29" s="309">
        <f t="shared" si="33"/>
        <v>25000</v>
      </c>
      <c r="U29" s="309">
        <f t="shared" si="33"/>
        <v>25000</v>
      </c>
      <c r="V29" s="309">
        <f t="shared" si="33"/>
        <v>25000</v>
      </c>
      <c r="W29" s="309">
        <f t="shared" si="33"/>
        <v>25000</v>
      </c>
      <c r="X29" s="309">
        <f t="shared" si="33"/>
        <v>25000</v>
      </c>
      <c r="Y29" s="309">
        <f t="shared" si="33"/>
        <v>25000</v>
      </c>
      <c r="Z29" s="309">
        <f t="shared" si="33"/>
        <v>25000</v>
      </c>
      <c r="AA29" s="309">
        <f t="shared" si="33"/>
        <v>25000</v>
      </c>
      <c r="AB29" s="309">
        <f t="shared" si="33"/>
        <v>25000</v>
      </c>
      <c r="AC29" s="309">
        <f t="shared" si="33"/>
        <v>25000</v>
      </c>
      <c r="AD29" s="309">
        <f t="shared" si="34" ref="AD29">SUM(AD24:AD28)</f>
        <v>25000</v>
      </c>
      <c r="AE29" s="309"/>
      <c r="AF29" s="309"/>
      <c r="AG29" s="309"/>
      <c r="AH29" s="309"/>
      <c r="AI29" s="309">
        <f>SUM(AI24:AI28)</f>
        <v>600000</v>
      </c>
      <c r="AJ29" s="309">
        <f>SUM(AJ24:AJ28)</f>
        <v>200000</v>
      </c>
      <c r="AL29" s="314">
        <f>+AI29+AJ29</f>
        <v>800000</v>
      </c>
    </row>
    <row r="30" spans="1:36" ht="15" customHeight="1">
      <c r="A30" s="336"/>
      <c r="B30" s="312" t="s">
        <v>120</v>
      </c>
      <c r="C30" s="311"/>
      <c r="D30" s="307"/>
      <c r="E30" s="356"/>
      <c r="F30" s="362"/>
      <c r="G30" s="307">
        <f>+G29</f>
        <v>25000</v>
      </c>
      <c r="H30" s="307">
        <f>+H29+G30</f>
        <v>50000</v>
      </c>
      <c r="I30" s="307">
        <f t="shared" si="35" ref="I30">+I29+H30</f>
        <v>75000</v>
      </c>
      <c r="J30" s="307">
        <f t="shared" si="36" ref="J30">+J29+I30</f>
        <v>100000</v>
      </c>
      <c r="K30" s="307">
        <f t="shared" si="37" ref="K30">+K29+J30</f>
        <v>125000</v>
      </c>
      <c r="L30" s="307">
        <f t="shared" si="38" ref="L30">+L29+K30</f>
        <v>150000</v>
      </c>
      <c r="M30" s="307">
        <f t="shared" si="39" ref="M30">+M29+L30</f>
        <v>175000</v>
      </c>
      <c r="N30" s="307">
        <f t="shared" si="40" ref="N30">+N29+M30</f>
        <v>200000</v>
      </c>
      <c r="O30" s="307">
        <f t="shared" si="41" ref="O30">+O29+N30</f>
        <v>225000</v>
      </c>
      <c r="P30" s="307">
        <f t="shared" si="42" ref="P30">+P29+O30</f>
        <v>250000</v>
      </c>
      <c r="Q30" s="307">
        <f t="shared" si="43" ref="Q30">+Q29+P30</f>
        <v>275000</v>
      </c>
      <c r="R30" s="307">
        <f t="shared" si="44" ref="R30">+R29+Q30</f>
        <v>300000</v>
      </c>
      <c r="S30" s="307">
        <f t="shared" si="45" ref="S30">+S29+R30</f>
        <v>325000</v>
      </c>
      <c r="T30" s="307">
        <f t="shared" si="46" ref="T30">+T29+S30</f>
        <v>350000</v>
      </c>
      <c r="U30" s="307">
        <f t="shared" si="47" ref="U30">+U29+T30</f>
        <v>375000</v>
      </c>
      <c r="V30" s="307">
        <f t="shared" si="48" ref="V30">+V29+U30</f>
        <v>400000</v>
      </c>
      <c r="W30" s="307">
        <f t="shared" si="49" ref="W30">+W29+V30</f>
        <v>425000</v>
      </c>
      <c r="X30" s="307">
        <f t="shared" si="50" ref="X30">+X29+W30</f>
        <v>450000</v>
      </c>
      <c r="Y30" s="307">
        <f t="shared" si="51" ref="Y30">+Y29+X30</f>
        <v>475000</v>
      </c>
      <c r="Z30" s="307">
        <f t="shared" si="52" ref="Z30">+Z29+Y30</f>
        <v>500000</v>
      </c>
      <c r="AA30" s="307">
        <f t="shared" si="53" ref="AA30">+AA29+Z30</f>
        <v>525000</v>
      </c>
      <c r="AB30" s="307">
        <f t="shared" si="54" ref="AB30">+AB29+AA30</f>
        <v>550000</v>
      </c>
      <c r="AC30" s="307">
        <f t="shared" si="55" ref="AC30">+AC29+AB30</f>
        <v>575000</v>
      </c>
      <c r="AD30" s="307">
        <f t="shared" si="56" ref="AD30">+AD29+AC30</f>
        <v>600000</v>
      </c>
      <c r="AE30" s="307"/>
      <c r="AF30" s="307"/>
      <c r="AG30" s="307"/>
      <c r="AH30" s="307"/>
      <c r="AI30" s="307"/>
      <c r="AJ30" s="307"/>
    </row>
    <row r="31" spans="1:36" ht="15" customHeight="1">
      <c r="A31" s="336"/>
      <c r="B31" s="312"/>
      <c r="C31" s="311"/>
      <c r="D31" s="307"/>
      <c r="E31" s="356"/>
      <c r="F31" s="362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</row>
    <row r="32" spans="1:34" ht="15" customHeight="1">
      <c r="A32" s="360" t="s">
        <v>687</v>
      </c>
      <c r="D32" s="308"/>
      <c r="E32" s="356"/>
      <c r="F32" s="358"/>
      <c r="G32" s="373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</row>
    <row r="33" spans="2:36" ht="15" customHeight="1">
      <c r="B33" s="436" t="s">
        <v>503</v>
      </c>
      <c r="D33" s="308">
        <v>10008000</v>
      </c>
      <c r="E33" s="356">
        <v>32</v>
      </c>
      <c r="F33" s="359">
        <f>ROUND(D33/E33,2)</f>
        <v>312750</v>
      </c>
      <c r="G33" s="373">
        <f>+F33</f>
        <v>312750</v>
      </c>
      <c r="H33" s="308">
        <f t="shared" si="57" ref="H33:AD33">+$F33</f>
        <v>312750</v>
      </c>
      <c r="I33" s="308">
        <f t="shared" si="57"/>
        <v>312750</v>
      </c>
      <c r="J33" s="308">
        <f t="shared" si="57"/>
        <v>312750</v>
      </c>
      <c r="K33" s="308">
        <f t="shared" si="57"/>
        <v>312750</v>
      </c>
      <c r="L33" s="308">
        <f t="shared" si="57"/>
        <v>312750</v>
      </c>
      <c r="M33" s="308">
        <f t="shared" si="57"/>
        <v>312750</v>
      </c>
      <c r="N33" s="308">
        <f t="shared" si="57"/>
        <v>312750</v>
      </c>
      <c r="O33" s="308">
        <f t="shared" si="57"/>
        <v>312750</v>
      </c>
      <c r="P33" s="308">
        <f t="shared" si="57"/>
        <v>312750</v>
      </c>
      <c r="Q33" s="308">
        <f t="shared" si="57"/>
        <v>312750</v>
      </c>
      <c r="R33" s="308">
        <f t="shared" si="57"/>
        <v>312750</v>
      </c>
      <c r="S33" s="308">
        <f t="shared" si="57"/>
        <v>312750</v>
      </c>
      <c r="T33" s="308">
        <f t="shared" si="57"/>
        <v>312750</v>
      </c>
      <c r="U33" s="308">
        <f t="shared" si="57"/>
        <v>312750</v>
      </c>
      <c r="V33" s="308">
        <f t="shared" si="57"/>
        <v>312750</v>
      </c>
      <c r="W33" s="308">
        <f t="shared" si="57"/>
        <v>312750</v>
      </c>
      <c r="X33" s="308">
        <f t="shared" si="57"/>
        <v>312750</v>
      </c>
      <c r="Y33" s="308">
        <f t="shared" si="57"/>
        <v>312750</v>
      </c>
      <c r="Z33" s="308">
        <f t="shared" si="57"/>
        <v>312750</v>
      </c>
      <c r="AA33" s="308">
        <f t="shared" si="57"/>
        <v>312750</v>
      </c>
      <c r="AB33" s="308">
        <f t="shared" si="57"/>
        <v>312750</v>
      </c>
      <c r="AC33" s="308">
        <f t="shared" si="57"/>
        <v>312750</v>
      </c>
      <c r="AD33" s="308">
        <f t="shared" si="57"/>
        <v>312750</v>
      </c>
      <c r="AE33" s="308"/>
      <c r="AF33" s="308"/>
      <c r="AG33" s="308"/>
      <c r="AH33" s="308"/>
      <c r="AI33" s="314">
        <f>SUM(G33:AH33)</f>
        <v>7506000</v>
      </c>
      <c r="AJ33" s="308">
        <f>+D33-AI33</f>
        <v>2502000</v>
      </c>
    </row>
    <row r="34" spans="2:36" ht="15" customHeight="1">
      <c r="B34" s="436"/>
      <c r="D34" s="308"/>
      <c r="E34" s="356"/>
      <c r="F34" s="359"/>
      <c r="G34" s="373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8"/>
      <c r="AH34" s="308"/>
      <c r="AJ34" s="308"/>
    </row>
    <row r="35" spans="2:36" ht="15" customHeight="1">
      <c r="B35" s="436" t="s">
        <v>511</v>
      </c>
      <c r="D35" s="308">
        <v>1425000</v>
      </c>
      <c r="E35" s="356">
        <v>32</v>
      </c>
      <c r="F35" s="359">
        <f>ROUND(D35/E35,2)</f>
        <v>44531.25</v>
      </c>
      <c r="G35" s="373">
        <f>+F35</f>
        <v>44531.25</v>
      </c>
      <c r="H35" s="308">
        <f t="shared" si="58" ref="H35:M36">+$F35</f>
        <v>44531.25</v>
      </c>
      <c r="I35" s="308">
        <f t="shared" si="58"/>
        <v>44531.25</v>
      </c>
      <c r="J35" s="308">
        <f t="shared" si="58"/>
        <v>44531.25</v>
      </c>
      <c r="K35" s="308">
        <f t="shared" si="58"/>
        <v>44531.25</v>
      </c>
      <c r="L35" s="308">
        <f t="shared" si="58"/>
        <v>44531.25</v>
      </c>
      <c r="M35" s="308">
        <f t="shared" si="58"/>
        <v>44531.25</v>
      </c>
      <c r="N35" s="308">
        <f t="shared" si="59" ref="N35:AD35">+$F35</f>
        <v>44531.25</v>
      </c>
      <c r="O35" s="308">
        <f t="shared" si="59"/>
        <v>44531.25</v>
      </c>
      <c r="P35" s="308">
        <f t="shared" si="59"/>
        <v>44531.25</v>
      </c>
      <c r="Q35" s="308">
        <f t="shared" si="59"/>
        <v>44531.25</v>
      </c>
      <c r="R35" s="308">
        <f t="shared" si="59"/>
        <v>44531.25</v>
      </c>
      <c r="S35" s="308">
        <f t="shared" si="59"/>
        <v>44531.25</v>
      </c>
      <c r="T35" s="308">
        <f t="shared" si="59"/>
        <v>44531.25</v>
      </c>
      <c r="U35" s="308">
        <f t="shared" si="59"/>
        <v>44531.25</v>
      </c>
      <c r="V35" s="308">
        <f t="shared" si="59"/>
        <v>44531.25</v>
      </c>
      <c r="W35" s="308">
        <f t="shared" si="59"/>
        <v>44531.25</v>
      </c>
      <c r="X35" s="308">
        <f t="shared" si="59"/>
        <v>44531.25</v>
      </c>
      <c r="Y35" s="308">
        <f t="shared" si="59"/>
        <v>44531.25</v>
      </c>
      <c r="Z35" s="308">
        <f t="shared" si="59"/>
        <v>44531.25</v>
      </c>
      <c r="AA35" s="308">
        <f t="shared" si="59"/>
        <v>44531.25</v>
      </c>
      <c r="AB35" s="308">
        <f t="shared" si="59"/>
        <v>44531.25</v>
      </c>
      <c r="AC35" s="308">
        <f t="shared" si="59"/>
        <v>44531.25</v>
      </c>
      <c r="AD35" s="308">
        <f t="shared" si="59"/>
        <v>44531.25</v>
      </c>
      <c r="AE35" s="308"/>
      <c r="AF35" s="308"/>
      <c r="AG35" s="308"/>
      <c r="AH35" s="308"/>
      <c r="AI35" s="314">
        <f>SUM(G35:AH35)</f>
        <v>1068750</v>
      </c>
      <c r="AJ35" s="308">
        <f>+D35-AI35</f>
        <v>356250</v>
      </c>
    </row>
    <row r="36" spans="1:36" ht="15" customHeight="1">
      <c r="A36" s="336"/>
      <c r="B36" s="612" t="s">
        <v>663</v>
      </c>
      <c r="C36" s="311"/>
      <c r="D36" s="305">
        <f>+'GWE OH Allocation'!D13</f>
        <v>3348129.6151782214</v>
      </c>
      <c r="E36" s="356">
        <v>32</v>
      </c>
      <c r="F36" s="359">
        <f>ROUND(D36/E36,2)</f>
        <v>104629.05</v>
      </c>
      <c r="G36" s="373">
        <f>+F36</f>
        <v>104629.05</v>
      </c>
      <c r="H36" s="308">
        <f t="shared" si="58"/>
        <v>104629.05</v>
      </c>
      <c r="I36" s="308">
        <f t="shared" si="58"/>
        <v>104629.05</v>
      </c>
      <c r="J36" s="308">
        <f t="shared" si="58"/>
        <v>104629.05</v>
      </c>
      <c r="K36" s="308">
        <f t="shared" si="58"/>
        <v>104629.05</v>
      </c>
      <c r="L36" s="308">
        <f t="shared" si="58"/>
        <v>104629.05</v>
      </c>
      <c r="M36" s="308">
        <f t="shared" si="58"/>
        <v>104629.05</v>
      </c>
      <c r="N36" s="308">
        <f t="shared" si="60" ref="N36:AD36">+$F36</f>
        <v>104629.05</v>
      </c>
      <c r="O36" s="308">
        <f t="shared" si="60"/>
        <v>104629.05</v>
      </c>
      <c r="P36" s="308">
        <f t="shared" si="60"/>
        <v>104629.05</v>
      </c>
      <c r="Q36" s="308">
        <f t="shared" si="60"/>
        <v>104629.05</v>
      </c>
      <c r="R36" s="308">
        <f t="shared" si="60"/>
        <v>104629.05</v>
      </c>
      <c r="S36" s="308">
        <f t="shared" si="60"/>
        <v>104629.05</v>
      </c>
      <c r="T36" s="308">
        <f t="shared" si="60"/>
        <v>104629.05</v>
      </c>
      <c r="U36" s="308">
        <f t="shared" si="60"/>
        <v>104629.05</v>
      </c>
      <c r="V36" s="308">
        <f t="shared" si="60"/>
        <v>104629.05</v>
      </c>
      <c r="W36" s="308">
        <f t="shared" si="60"/>
        <v>104629.05</v>
      </c>
      <c r="X36" s="308">
        <f t="shared" si="60"/>
        <v>104629.05</v>
      </c>
      <c r="Y36" s="308">
        <f t="shared" si="60"/>
        <v>104629.05</v>
      </c>
      <c r="Z36" s="308">
        <f t="shared" si="60"/>
        <v>104629.05</v>
      </c>
      <c r="AA36" s="308">
        <f t="shared" si="60"/>
        <v>104629.05</v>
      </c>
      <c r="AB36" s="308">
        <f t="shared" si="60"/>
        <v>104629.05</v>
      </c>
      <c r="AC36" s="308">
        <f t="shared" si="60"/>
        <v>104629.05</v>
      </c>
      <c r="AD36" s="308">
        <f t="shared" si="60"/>
        <v>104629.05</v>
      </c>
      <c r="AE36" s="308"/>
      <c r="AF36" s="308"/>
      <c r="AG36" s="308"/>
      <c r="AH36" s="308"/>
      <c r="AI36" s="314">
        <f>SUM(G36:AH36)</f>
        <v>2511097.2000000002</v>
      </c>
      <c r="AJ36" s="308">
        <f>+D36-AI36</f>
        <v>837032.41517822118</v>
      </c>
    </row>
    <row r="37" spans="1:36" ht="15" customHeight="1">
      <c r="A37" s="336"/>
      <c r="B37" s="176"/>
      <c r="C37" s="311"/>
      <c r="D37" s="305"/>
      <c r="E37" s="356"/>
      <c r="F37" s="359"/>
      <c r="G37" s="373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8"/>
      <c r="AF37" s="308"/>
      <c r="AG37" s="308"/>
      <c r="AH37" s="308"/>
      <c r="AJ37" s="308"/>
    </row>
    <row r="38" spans="2:38" ht="15" customHeight="1">
      <c r="B38" s="312" t="s">
        <v>411</v>
      </c>
      <c r="D38" s="306">
        <f>SUM(D32:D37)</f>
        <v>14781129.615178222</v>
      </c>
      <c r="E38" s="356"/>
      <c r="F38" s="357">
        <f>SUM(F32:F37)</f>
        <v>461910.30</v>
      </c>
      <c r="G38" s="363">
        <f t="shared" si="61" ref="G38:AD38">SUM(G32:G37)</f>
        <v>461910.30</v>
      </c>
      <c r="H38" s="306">
        <f t="shared" si="61"/>
        <v>461910.30</v>
      </c>
      <c r="I38" s="306">
        <f t="shared" si="61"/>
        <v>461910.30</v>
      </c>
      <c r="J38" s="306">
        <f t="shared" si="61"/>
        <v>461910.30</v>
      </c>
      <c r="K38" s="306">
        <f t="shared" si="61"/>
        <v>461910.30</v>
      </c>
      <c r="L38" s="306">
        <f t="shared" si="61"/>
        <v>461910.30</v>
      </c>
      <c r="M38" s="306">
        <f t="shared" si="61"/>
        <v>461910.30</v>
      </c>
      <c r="N38" s="306">
        <f t="shared" si="61"/>
        <v>461910.30</v>
      </c>
      <c r="O38" s="306">
        <f t="shared" si="61"/>
        <v>461910.30</v>
      </c>
      <c r="P38" s="306">
        <f t="shared" si="61"/>
        <v>461910.30</v>
      </c>
      <c r="Q38" s="306">
        <f t="shared" si="61"/>
        <v>461910.30</v>
      </c>
      <c r="R38" s="306">
        <f t="shared" si="61"/>
        <v>461910.30</v>
      </c>
      <c r="S38" s="306">
        <f t="shared" si="61"/>
        <v>461910.30</v>
      </c>
      <c r="T38" s="306">
        <f t="shared" si="61"/>
        <v>461910.30</v>
      </c>
      <c r="U38" s="306">
        <f t="shared" si="61"/>
        <v>461910.30</v>
      </c>
      <c r="V38" s="306">
        <f t="shared" si="61"/>
        <v>461910.30</v>
      </c>
      <c r="W38" s="306">
        <f t="shared" si="61"/>
        <v>461910.30</v>
      </c>
      <c r="X38" s="306">
        <f t="shared" si="61"/>
        <v>461910.30</v>
      </c>
      <c r="Y38" s="306">
        <f t="shared" si="61"/>
        <v>461910.30</v>
      </c>
      <c r="Z38" s="306">
        <f t="shared" si="61"/>
        <v>461910.30</v>
      </c>
      <c r="AA38" s="306">
        <f t="shared" si="61"/>
        <v>461910.30</v>
      </c>
      <c r="AB38" s="306">
        <f t="shared" si="61"/>
        <v>461910.30</v>
      </c>
      <c r="AC38" s="306">
        <f t="shared" si="61"/>
        <v>461910.30</v>
      </c>
      <c r="AD38" s="306">
        <f t="shared" si="61"/>
        <v>461910.30</v>
      </c>
      <c r="AE38" s="306"/>
      <c r="AF38" s="306"/>
      <c r="AG38" s="306"/>
      <c r="AH38" s="306"/>
      <c r="AI38" s="306">
        <f>SUM(AI32:AI37)</f>
        <v>11085847.199999999</v>
      </c>
      <c r="AJ38" s="306">
        <f>SUM(AJ32:AJ37)</f>
        <v>3695282.4151782212</v>
      </c>
      <c r="AL38" s="314">
        <f>+AI38+AJ38</f>
        <v>14781129.61517822</v>
      </c>
    </row>
    <row r="39" spans="1:36" ht="15" customHeight="1">
      <c r="A39" s="336"/>
      <c r="B39" s="312" t="s">
        <v>120</v>
      </c>
      <c r="C39" s="311"/>
      <c r="D39" s="307"/>
      <c r="E39" s="356"/>
      <c r="F39" s="362"/>
      <c r="G39" s="307">
        <f>+G38</f>
        <v>461910.30</v>
      </c>
      <c r="H39" s="307">
        <f>+H38+G39</f>
        <v>923820.60</v>
      </c>
      <c r="I39" s="307">
        <f t="shared" si="62" ref="I39:AD39">+I38+H39</f>
        <v>1385730.90</v>
      </c>
      <c r="J39" s="307">
        <f t="shared" si="62"/>
        <v>1847641.20</v>
      </c>
      <c r="K39" s="307">
        <f t="shared" si="62"/>
        <v>2309551.50</v>
      </c>
      <c r="L39" s="307">
        <f t="shared" si="62"/>
        <v>2771461.80</v>
      </c>
      <c r="M39" s="307">
        <f t="shared" si="62"/>
        <v>3233372.0999999996</v>
      </c>
      <c r="N39" s="307">
        <f t="shared" si="62"/>
        <v>3695282.3999999994</v>
      </c>
      <c r="O39" s="307">
        <f t="shared" si="62"/>
        <v>4157192.6999999993</v>
      </c>
      <c r="P39" s="307">
        <f t="shared" si="62"/>
        <v>4619102.9999999991</v>
      </c>
      <c r="Q39" s="307">
        <f t="shared" si="62"/>
        <v>5081013.2999999989</v>
      </c>
      <c r="R39" s="307">
        <f t="shared" si="62"/>
        <v>5542923.5999999987</v>
      </c>
      <c r="S39" s="307">
        <f t="shared" si="62"/>
        <v>6004833.8999999985</v>
      </c>
      <c r="T39" s="307">
        <f t="shared" si="62"/>
        <v>6466744.1999999983</v>
      </c>
      <c r="U39" s="307">
        <f t="shared" si="62"/>
        <v>6928654.4999999981</v>
      </c>
      <c r="V39" s="307">
        <f t="shared" si="62"/>
        <v>7390564.799999998</v>
      </c>
      <c r="W39" s="307">
        <f t="shared" si="62"/>
        <v>7852475.0999999978</v>
      </c>
      <c r="X39" s="307">
        <f t="shared" si="62"/>
        <v>8314385.3999999976</v>
      </c>
      <c r="Y39" s="307">
        <f t="shared" si="62"/>
        <v>8776295.6999999974</v>
      </c>
      <c r="Z39" s="307">
        <f t="shared" si="62"/>
        <v>9238205.9999999981</v>
      </c>
      <c r="AA39" s="307">
        <f t="shared" si="62"/>
        <v>9700116.2999999989</v>
      </c>
      <c r="AB39" s="307">
        <f t="shared" si="62"/>
        <v>10162026.6</v>
      </c>
      <c r="AC39" s="307">
        <f t="shared" si="62"/>
        <v>10623936.9</v>
      </c>
      <c r="AD39" s="307">
        <f t="shared" si="62"/>
        <v>11085847.200000001</v>
      </c>
      <c r="AE39" s="307"/>
      <c r="AF39" s="307"/>
      <c r="AG39" s="307"/>
      <c r="AH39" s="307"/>
      <c r="AI39" s="307"/>
      <c r="AJ39" s="307"/>
    </row>
    <row r="40" spans="1:38" ht="15" customHeight="1">
      <c r="A40" s="336"/>
      <c r="B40" s="312"/>
      <c r="C40" s="311"/>
      <c r="D40" s="307"/>
      <c r="E40" s="356"/>
      <c r="F40" s="362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  <c r="AI40" s="307"/>
      <c r="AJ40" s="307"/>
      <c r="AL40" s="314"/>
    </row>
    <row r="41" spans="1:34" ht="15" customHeight="1">
      <c r="A41" s="360" t="s">
        <v>414</v>
      </c>
      <c r="D41" s="308"/>
      <c r="E41" s="356"/>
      <c r="F41" s="358"/>
      <c r="G41" s="373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</row>
    <row r="42" spans="1:36" ht="15" customHeight="1">
      <c r="A42" s="360"/>
      <c r="B42" s="434" t="s">
        <v>493</v>
      </c>
      <c r="D42" s="308">
        <v>681920</v>
      </c>
      <c r="E42" s="356">
        <v>30</v>
      </c>
      <c r="F42" s="359">
        <f t="shared" si="63" ref="F42:F48">ROUND(D42/E42,2)</f>
        <v>22730.67</v>
      </c>
      <c r="G42" s="373">
        <f t="shared" si="64" ref="G42:G48">+F42</f>
        <v>22730.67</v>
      </c>
      <c r="H42" s="308">
        <f t="shared" si="65" ref="H42:W48">+$F42</f>
        <v>22730.67</v>
      </c>
      <c r="I42" s="308">
        <f t="shared" si="65"/>
        <v>22730.67</v>
      </c>
      <c r="J42" s="308">
        <f t="shared" si="65"/>
        <v>22730.67</v>
      </c>
      <c r="K42" s="308">
        <f t="shared" si="65"/>
        <v>22730.67</v>
      </c>
      <c r="L42" s="308">
        <f t="shared" si="65"/>
        <v>22730.67</v>
      </c>
      <c r="M42" s="308">
        <f t="shared" si="65"/>
        <v>22730.67</v>
      </c>
      <c r="N42" s="308">
        <f t="shared" si="65"/>
        <v>22730.67</v>
      </c>
      <c r="O42" s="308">
        <f t="shared" si="65"/>
        <v>22730.67</v>
      </c>
      <c r="P42" s="308">
        <f t="shared" si="65"/>
        <v>22730.67</v>
      </c>
      <c r="Q42" s="308">
        <f t="shared" si="65"/>
        <v>22730.67</v>
      </c>
      <c r="R42" s="308">
        <f t="shared" si="65"/>
        <v>22730.67</v>
      </c>
      <c r="S42" s="308">
        <f t="shared" si="65"/>
        <v>22730.67</v>
      </c>
      <c r="T42" s="308">
        <f t="shared" si="65"/>
        <v>22730.67</v>
      </c>
      <c r="U42" s="308">
        <f t="shared" si="65"/>
        <v>22730.67</v>
      </c>
      <c r="V42" s="308">
        <f t="shared" si="65"/>
        <v>22730.67</v>
      </c>
      <c r="W42" s="308">
        <f t="shared" si="65"/>
        <v>22730.67</v>
      </c>
      <c r="X42" s="308">
        <f t="shared" si="66" ref="X42:AD48">+$F42</f>
        <v>22730.67</v>
      </c>
      <c r="Y42" s="308">
        <f t="shared" si="66"/>
        <v>22730.67</v>
      </c>
      <c r="Z42" s="308">
        <f t="shared" si="66"/>
        <v>22730.67</v>
      </c>
      <c r="AA42" s="308">
        <f t="shared" si="66"/>
        <v>22730.67</v>
      </c>
      <c r="AB42" s="308">
        <f t="shared" si="66"/>
        <v>22730.67</v>
      </c>
      <c r="AC42" s="308">
        <f t="shared" si="66"/>
        <v>22730.67</v>
      </c>
      <c r="AD42" s="308">
        <f t="shared" si="66"/>
        <v>22730.67</v>
      </c>
      <c r="AE42" s="308"/>
      <c r="AF42" s="308"/>
      <c r="AG42" s="308"/>
      <c r="AH42" s="308"/>
      <c r="AI42" s="314">
        <f t="shared" si="67" ref="AI42:AI53">SUM(G42:AH42)</f>
        <v>545536.07999999973</v>
      </c>
      <c r="AJ42" s="308">
        <f t="shared" si="68" ref="AJ42:AJ53">+D42-AI42</f>
        <v>136383.92000000028</v>
      </c>
    </row>
    <row r="43" spans="1:36" ht="15" customHeight="1">
      <c r="A43" s="360"/>
      <c r="B43" s="434" t="s">
        <v>492</v>
      </c>
      <c r="D43" s="308">
        <v>265832</v>
      </c>
      <c r="E43" s="356">
        <v>30</v>
      </c>
      <c r="F43" s="359">
        <f t="shared" si="63"/>
        <v>8861.07</v>
      </c>
      <c r="G43" s="373">
        <f t="shared" si="64"/>
        <v>8861.07</v>
      </c>
      <c r="H43" s="308">
        <f t="shared" si="65"/>
        <v>8861.07</v>
      </c>
      <c r="I43" s="308">
        <f t="shared" si="65"/>
        <v>8861.07</v>
      </c>
      <c r="J43" s="308">
        <f t="shared" si="65"/>
        <v>8861.07</v>
      </c>
      <c r="K43" s="308">
        <f t="shared" si="65"/>
        <v>8861.07</v>
      </c>
      <c r="L43" s="308">
        <f t="shared" si="65"/>
        <v>8861.07</v>
      </c>
      <c r="M43" s="308">
        <f t="shared" si="65"/>
        <v>8861.07</v>
      </c>
      <c r="N43" s="308">
        <f t="shared" si="65"/>
        <v>8861.07</v>
      </c>
      <c r="O43" s="308">
        <f t="shared" si="65"/>
        <v>8861.07</v>
      </c>
      <c r="P43" s="308">
        <f t="shared" si="65"/>
        <v>8861.07</v>
      </c>
      <c r="Q43" s="308">
        <f t="shared" si="65"/>
        <v>8861.07</v>
      </c>
      <c r="R43" s="308">
        <f t="shared" si="65"/>
        <v>8861.07</v>
      </c>
      <c r="S43" s="308">
        <f t="shared" si="65"/>
        <v>8861.07</v>
      </c>
      <c r="T43" s="308">
        <f t="shared" si="65"/>
        <v>8861.07</v>
      </c>
      <c r="U43" s="308">
        <f t="shared" si="65"/>
        <v>8861.07</v>
      </c>
      <c r="V43" s="308">
        <f t="shared" si="65"/>
        <v>8861.07</v>
      </c>
      <c r="W43" s="308">
        <f t="shared" si="65"/>
        <v>8861.07</v>
      </c>
      <c r="X43" s="308">
        <f t="shared" si="66"/>
        <v>8861.07</v>
      </c>
      <c r="Y43" s="308">
        <f t="shared" si="66"/>
        <v>8861.07</v>
      </c>
      <c r="Z43" s="308">
        <f t="shared" si="66"/>
        <v>8861.07</v>
      </c>
      <c r="AA43" s="308">
        <f t="shared" si="66"/>
        <v>8861.07</v>
      </c>
      <c r="AB43" s="308">
        <f t="shared" si="66"/>
        <v>8861.07</v>
      </c>
      <c r="AC43" s="308">
        <f t="shared" si="66"/>
        <v>8861.07</v>
      </c>
      <c r="AD43" s="308">
        <f t="shared" si="66"/>
        <v>8861.07</v>
      </c>
      <c r="AE43" s="308"/>
      <c r="AF43" s="308"/>
      <c r="AG43" s="308"/>
      <c r="AH43" s="308"/>
      <c r="AI43" s="314">
        <f t="shared" si="67"/>
        <v>212665.68000000011</v>
      </c>
      <c r="AJ43" s="308">
        <f t="shared" si="68"/>
        <v>53166.319999999891</v>
      </c>
    </row>
    <row r="44" spans="1:36" ht="15" customHeight="1">
      <c r="A44" s="360"/>
      <c r="B44" s="435" t="s">
        <v>494</v>
      </c>
      <c r="D44" s="308">
        <v>270600</v>
      </c>
      <c r="E44" s="356">
        <v>30</v>
      </c>
      <c r="F44" s="359">
        <f t="shared" si="63"/>
        <v>9020</v>
      </c>
      <c r="G44" s="373">
        <f t="shared" si="64"/>
        <v>9020</v>
      </c>
      <c r="H44" s="308">
        <f t="shared" si="65"/>
        <v>9020</v>
      </c>
      <c r="I44" s="308">
        <f t="shared" si="65"/>
        <v>9020</v>
      </c>
      <c r="J44" s="308">
        <f t="shared" si="65"/>
        <v>9020</v>
      </c>
      <c r="K44" s="308">
        <f t="shared" si="65"/>
        <v>9020</v>
      </c>
      <c r="L44" s="308">
        <f t="shared" si="65"/>
        <v>9020</v>
      </c>
      <c r="M44" s="308">
        <f t="shared" si="65"/>
        <v>9020</v>
      </c>
      <c r="N44" s="308">
        <f t="shared" si="65"/>
        <v>9020</v>
      </c>
      <c r="O44" s="308">
        <f t="shared" si="65"/>
        <v>9020</v>
      </c>
      <c r="P44" s="308">
        <f t="shared" si="65"/>
        <v>9020</v>
      </c>
      <c r="Q44" s="308">
        <f t="shared" si="65"/>
        <v>9020</v>
      </c>
      <c r="R44" s="308">
        <f t="shared" si="65"/>
        <v>9020</v>
      </c>
      <c r="S44" s="308">
        <f t="shared" si="65"/>
        <v>9020</v>
      </c>
      <c r="T44" s="308">
        <f t="shared" si="65"/>
        <v>9020</v>
      </c>
      <c r="U44" s="308">
        <f t="shared" si="65"/>
        <v>9020</v>
      </c>
      <c r="V44" s="308">
        <f t="shared" si="65"/>
        <v>9020</v>
      </c>
      <c r="W44" s="308">
        <f t="shared" si="65"/>
        <v>9020</v>
      </c>
      <c r="X44" s="308">
        <f t="shared" si="66"/>
        <v>9020</v>
      </c>
      <c r="Y44" s="308">
        <f t="shared" si="66"/>
        <v>9020</v>
      </c>
      <c r="Z44" s="308">
        <f t="shared" si="66"/>
        <v>9020</v>
      </c>
      <c r="AA44" s="308">
        <f t="shared" si="66"/>
        <v>9020</v>
      </c>
      <c r="AB44" s="308">
        <f t="shared" si="66"/>
        <v>9020</v>
      </c>
      <c r="AC44" s="308">
        <f t="shared" si="66"/>
        <v>9020</v>
      </c>
      <c r="AD44" s="308">
        <f t="shared" si="66"/>
        <v>9020</v>
      </c>
      <c r="AE44" s="308"/>
      <c r="AF44" s="308"/>
      <c r="AG44" s="308"/>
      <c r="AH44" s="308"/>
      <c r="AI44" s="314">
        <f t="shared" si="67"/>
        <v>216480</v>
      </c>
      <c r="AJ44" s="308">
        <f t="shared" si="68"/>
        <v>54120</v>
      </c>
    </row>
    <row r="45" spans="1:36" ht="15" customHeight="1">
      <c r="A45" s="360"/>
      <c r="B45" s="435" t="s">
        <v>495</v>
      </c>
      <c r="D45" s="308">
        <v>490400</v>
      </c>
      <c r="E45" s="356">
        <v>30</v>
      </c>
      <c r="F45" s="359">
        <f t="shared" si="63"/>
        <v>16346.67</v>
      </c>
      <c r="G45" s="373">
        <f t="shared" si="64"/>
        <v>16346.67</v>
      </c>
      <c r="H45" s="308">
        <f t="shared" si="65"/>
        <v>16346.67</v>
      </c>
      <c r="I45" s="308">
        <f t="shared" si="65"/>
        <v>16346.67</v>
      </c>
      <c r="J45" s="308">
        <f t="shared" si="65"/>
        <v>16346.67</v>
      </c>
      <c r="K45" s="308">
        <f t="shared" si="65"/>
        <v>16346.67</v>
      </c>
      <c r="L45" s="308">
        <f t="shared" si="65"/>
        <v>16346.67</v>
      </c>
      <c r="M45" s="308">
        <f t="shared" si="65"/>
        <v>16346.67</v>
      </c>
      <c r="N45" s="308">
        <f t="shared" si="65"/>
        <v>16346.67</v>
      </c>
      <c r="O45" s="308">
        <f t="shared" si="65"/>
        <v>16346.67</v>
      </c>
      <c r="P45" s="308">
        <f t="shared" si="65"/>
        <v>16346.67</v>
      </c>
      <c r="Q45" s="308">
        <f t="shared" si="65"/>
        <v>16346.67</v>
      </c>
      <c r="R45" s="308">
        <f t="shared" si="65"/>
        <v>16346.67</v>
      </c>
      <c r="S45" s="308">
        <f t="shared" si="65"/>
        <v>16346.67</v>
      </c>
      <c r="T45" s="308">
        <f t="shared" si="65"/>
        <v>16346.67</v>
      </c>
      <c r="U45" s="308">
        <f t="shared" si="65"/>
        <v>16346.67</v>
      </c>
      <c r="V45" s="308">
        <f t="shared" si="65"/>
        <v>16346.67</v>
      </c>
      <c r="W45" s="308">
        <f t="shared" si="65"/>
        <v>16346.67</v>
      </c>
      <c r="X45" s="308">
        <f t="shared" si="66"/>
        <v>16346.67</v>
      </c>
      <c r="Y45" s="308">
        <f t="shared" si="66"/>
        <v>16346.67</v>
      </c>
      <c r="Z45" s="308">
        <f t="shared" si="66"/>
        <v>16346.67</v>
      </c>
      <c r="AA45" s="308">
        <f t="shared" si="66"/>
        <v>16346.67</v>
      </c>
      <c r="AB45" s="308">
        <f t="shared" si="66"/>
        <v>16346.67</v>
      </c>
      <c r="AC45" s="308">
        <f t="shared" si="66"/>
        <v>16346.67</v>
      </c>
      <c r="AD45" s="308">
        <f t="shared" si="66"/>
        <v>16346.67</v>
      </c>
      <c r="AE45" s="308"/>
      <c r="AF45" s="308"/>
      <c r="AG45" s="308"/>
      <c r="AH45" s="308"/>
      <c r="AI45" s="314">
        <f t="shared" si="67"/>
        <v>392320.07999999996</v>
      </c>
      <c r="AJ45" s="308">
        <f t="shared" si="68"/>
        <v>98079.920000000042</v>
      </c>
    </row>
    <row r="46" spans="1:36" ht="15" customHeight="1">
      <c r="A46" s="360"/>
      <c r="B46" s="435" t="s">
        <v>496</v>
      </c>
      <c r="D46" s="308">
        <v>183850</v>
      </c>
      <c r="E46" s="356">
        <v>30</v>
      </c>
      <c r="F46" s="359">
        <f t="shared" si="63"/>
        <v>6128.33</v>
      </c>
      <c r="G46" s="373">
        <f t="shared" si="64"/>
        <v>6128.33</v>
      </c>
      <c r="H46" s="308">
        <f t="shared" si="65"/>
        <v>6128.33</v>
      </c>
      <c r="I46" s="308">
        <f t="shared" si="65"/>
        <v>6128.33</v>
      </c>
      <c r="J46" s="308">
        <f t="shared" si="65"/>
        <v>6128.33</v>
      </c>
      <c r="K46" s="308">
        <f t="shared" si="65"/>
        <v>6128.33</v>
      </c>
      <c r="L46" s="308">
        <f t="shared" si="65"/>
        <v>6128.33</v>
      </c>
      <c r="M46" s="308">
        <f t="shared" si="65"/>
        <v>6128.33</v>
      </c>
      <c r="N46" s="308">
        <f t="shared" si="65"/>
        <v>6128.33</v>
      </c>
      <c r="O46" s="308">
        <f t="shared" si="65"/>
        <v>6128.33</v>
      </c>
      <c r="P46" s="308">
        <f t="shared" si="65"/>
        <v>6128.33</v>
      </c>
      <c r="Q46" s="308">
        <f t="shared" si="65"/>
        <v>6128.33</v>
      </c>
      <c r="R46" s="308">
        <f t="shared" si="65"/>
        <v>6128.33</v>
      </c>
      <c r="S46" s="308">
        <f t="shared" si="65"/>
        <v>6128.33</v>
      </c>
      <c r="T46" s="308">
        <f t="shared" si="65"/>
        <v>6128.33</v>
      </c>
      <c r="U46" s="308">
        <f t="shared" si="65"/>
        <v>6128.33</v>
      </c>
      <c r="V46" s="308">
        <f t="shared" si="65"/>
        <v>6128.33</v>
      </c>
      <c r="W46" s="308">
        <f t="shared" si="65"/>
        <v>6128.33</v>
      </c>
      <c r="X46" s="308">
        <f t="shared" si="66"/>
        <v>6128.33</v>
      </c>
      <c r="Y46" s="308">
        <f t="shared" si="66"/>
        <v>6128.33</v>
      </c>
      <c r="Z46" s="308">
        <f t="shared" si="66"/>
        <v>6128.33</v>
      </c>
      <c r="AA46" s="308">
        <f t="shared" si="66"/>
        <v>6128.33</v>
      </c>
      <c r="AB46" s="308">
        <f t="shared" si="66"/>
        <v>6128.33</v>
      </c>
      <c r="AC46" s="308">
        <f t="shared" si="66"/>
        <v>6128.33</v>
      </c>
      <c r="AD46" s="308">
        <f t="shared" si="66"/>
        <v>6128.33</v>
      </c>
      <c r="AE46" s="308"/>
      <c r="AF46" s="308"/>
      <c r="AG46" s="308"/>
      <c r="AH46" s="308"/>
      <c r="AI46" s="314">
        <f t="shared" si="67"/>
        <v>147079.91999999998</v>
      </c>
      <c r="AJ46" s="308">
        <f t="shared" si="68"/>
        <v>36770.080000000016</v>
      </c>
    </row>
    <row r="47" spans="1:36" ht="15" customHeight="1">
      <c r="A47" s="360"/>
      <c r="B47" s="435" t="s">
        <v>497</v>
      </c>
      <c r="D47" s="308">
        <v>255000</v>
      </c>
      <c r="E47" s="356">
        <v>30</v>
      </c>
      <c r="F47" s="359">
        <f t="shared" si="63"/>
        <v>8500</v>
      </c>
      <c r="G47" s="373">
        <f t="shared" si="64"/>
        <v>8500</v>
      </c>
      <c r="H47" s="308">
        <f t="shared" si="65"/>
        <v>8500</v>
      </c>
      <c r="I47" s="308">
        <f t="shared" si="65"/>
        <v>8500</v>
      </c>
      <c r="J47" s="308">
        <f t="shared" si="65"/>
        <v>8500</v>
      </c>
      <c r="K47" s="308">
        <f t="shared" si="65"/>
        <v>8500</v>
      </c>
      <c r="L47" s="308">
        <f t="shared" si="65"/>
        <v>8500</v>
      </c>
      <c r="M47" s="308">
        <f t="shared" si="65"/>
        <v>8500</v>
      </c>
      <c r="N47" s="308">
        <f t="shared" si="65"/>
        <v>8500</v>
      </c>
      <c r="O47" s="308">
        <f t="shared" si="65"/>
        <v>8500</v>
      </c>
      <c r="P47" s="308">
        <f t="shared" si="65"/>
        <v>8500</v>
      </c>
      <c r="Q47" s="308">
        <f t="shared" si="65"/>
        <v>8500</v>
      </c>
      <c r="R47" s="308">
        <f t="shared" si="65"/>
        <v>8500</v>
      </c>
      <c r="S47" s="308">
        <f t="shared" si="65"/>
        <v>8500</v>
      </c>
      <c r="T47" s="308">
        <f t="shared" si="65"/>
        <v>8500</v>
      </c>
      <c r="U47" s="308">
        <f t="shared" si="65"/>
        <v>8500</v>
      </c>
      <c r="V47" s="308">
        <f t="shared" si="65"/>
        <v>8500</v>
      </c>
      <c r="W47" s="308">
        <f t="shared" si="65"/>
        <v>8500</v>
      </c>
      <c r="X47" s="308">
        <f t="shared" si="66"/>
        <v>8500</v>
      </c>
      <c r="Y47" s="308">
        <f t="shared" si="66"/>
        <v>8500</v>
      </c>
      <c r="Z47" s="308">
        <f t="shared" si="66"/>
        <v>8500</v>
      </c>
      <c r="AA47" s="308">
        <f t="shared" si="66"/>
        <v>8500</v>
      </c>
      <c r="AB47" s="308">
        <f t="shared" si="66"/>
        <v>8500</v>
      </c>
      <c r="AC47" s="308">
        <f t="shared" si="66"/>
        <v>8500</v>
      </c>
      <c r="AD47" s="308">
        <f t="shared" si="66"/>
        <v>8500</v>
      </c>
      <c r="AE47" s="308"/>
      <c r="AF47" s="308"/>
      <c r="AG47" s="308"/>
      <c r="AH47" s="308"/>
      <c r="AI47" s="314">
        <f t="shared" si="67"/>
        <v>204000</v>
      </c>
      <c r="AJ47" s="308">
        <f t="shared" si="68"/>
        <v>51000</v>
      </c>
    </row>
    <row r="48" spans="1:36" ht="15" customHeight="1">
      <c r="A48" s="360"/>
      <c r="B48" s="435" t="s">
        <v>498</v>
      </c>
      <c r="D48" s="308">
        <v>93680</v>
      </c>
      <c r="E48" s="356">
        <v>30</v>
      </c>
      <c r="F48" s="359">
        <f t="shared" si="63"/>
        <v>3122.67</v>
      </c>
      <c r="G48" s="373">
        <f t="shared" si="64"/>
        <v>3122.67</v>
      </c>
      <c r="H48" s="308">
        <f t="shared" si="65"/>
        <v>3122.67</v>
      </c>
      <c r="I48" s="308">
        <f t="shared" si="65"/>
        <v>3122.67</v>
      </c>
      <c r="J48" s="308">
        <f t="shared" si="65"/>
        <v>3122.67</v>
      </c>
      <c r="K48" s="308">
        <f t="shared" si="65"/>
        <v>3122.67</v>
      </c>
      <c r="L48" s="308">
        <f t="shared" si="65"/>
        <v>3122.67</v>
      </c>
      <c r="M48" s="308">
        <f t="shared" si="65"/>
        <v>3122.67</v>
      </c>
      <c r="N48" s="308">
        <f t="shared" si="65"/>
        <v>3122.67</v>
      </c>
      <c r="O48" s="308">
        <f t="shared" si="65"/>
        <v>3122.67</v>
      </c>
      <c r="P48" s="308">
        <f t="shared" si="65"/>
        <v>3122.67</v>
      </c>
      <c r="Q48" s="308">
        <f t="shared" si="65"/>
        <v>3122.67</v>
      </c>
      <c r="R48" s="308">
        <f t="shared" si="65"/>
        <v>3122.67</v>
      </c>
      <c r="S48" s="308">
        <f t="shared" si="65"/>
        <v>3122.67</v>
      </c>
      <c r="T48" s="308">
        <f t="shared" si="65"/>
        <v>3122.67</v>
      </c>
      <c r="U48" s="308">
        <f t="shared" si="65"/>
        <v>3122.67</v>
      </c>
      <c r="V48" s="308">
        <f t="shared" si="65"/>
        <v>3122.67</v>
      </c>
      <c r="W48" s="308">
        <f t="shared" si="65"/>
        <v>3122.67</v>
      </c>
      <c r="X48" s="308">
        <f t="shared" si="66"/>
        <v>3122.67</v>
      </c>
      <c r="Y48" s="308">
        <f t="shared" si="66"/>
        <v>3122.67</v>
      </c>
      <c r="Z48" s="308">
        <f t="shared" si="66"/>
        <v>3122.67</v>
      </c>
      <c r="AA48" s="308">
        <f t="shared" si="66"/>
        <v>3122.67</v>
      </c>
      <c r="AB48" s="308">
        <f t="shared" si="66"/>
        <v>3122.67</v>
      </c>
      <c r="AC48" s="308">
        <f t="shared" si="66"/>
        <v>3122.67</v>
      </c>
      <c r="AD48" s="308">
        <f t="shared" si="66"/>
        <v>3122.67</v>
      </c>
      <c r="AE48" s="308"/>
      <c r="AF48" s="308"/>
      <c r="AG48" s="308"/>
      <c r="AH48" s="308"/>
      <c r="AI48" s="314">
        <f t="shared" si="67"/>
        <v>74944.079999999973</v>
      </c>
      <c r="AJ48" s="308">
        <f t="shared" si="68"/>
        <v>18735.920000000027</v>
      </c>
    </row>
    <row r="49" spans="2:36" ht="15" customHeight="1">
      <c r="B49" s="434" t="s">
        <v>499</v>
      </c>
      <c r="D49" s="308">
        <v>87500</v>
      </c>
      <c r="E49" s="356">
        <v>30</v>
      </c>
      <c r="F49" s="359">
        <f t="shared" si="69" ref="F49:F53">ROUND(D49/E49,2)</f>
        <v>2916.67</v>
      </c>
      <c r="G49" s="373">
        <f>+F49</f>
        <v>2916.67</v>
      </c>
      <c r="H49" s="308">
        <f t="shared" si="70" ref="H49:AD53">+$F49</f>
        <v>2916.67</v>
      </c>
      <c r="I49" s="308">
        <f t="shared" si="70"/>
        <v>2916.67</v>
      </c>
      <c r="J49" s="308">
        <f t="shared" si="70"/>
        <v>2916.67</v>
      </c>
      <c r="K49" s="308">
        <f t="shared" si="70"/>
        <v>2916.67</v>
      </c>
      <c r="L49" s="308">
        <f t="shared" si="70"/>
        <v>2916.67</v>
      </c>
      <c r="M49" s="308">
        <f t="shared" si="70"/>
        <v>2916.67</v>
      </c>
      <c r="N49" s="308">
        <f t="shared" si="70"/>
        <v>2916.67</v>
      </c>
      <c r="O49" s="308">
        <f t="shared" si="70"/>
        <v>2916.67</v>
      </c>
      <c r="P49" s="308">
        <f t="shared" si="70"/>
        <v>2916.67</v>
      </c>
      <c r="Q49" s="308">
        <f t="shared" si="70"/>
        <v>2916.67</v>
      </c>
      <c r="R49" s="308">
        <f t="shared" si="70"/>
        <v>2916.67</v>
      </c>
      <c r="S49" s="308">
        <f t="shared" si="70"/>
        <v>2916.67</v>
      </c>
      <c r="T49" s="308">
        <f t="shared" si="70"/>
        <v>2916.67</v>
      </c>
      <c r="U49" s="308">
        <f t="shared" si="70"/>
        <v>2916.67</v>
      </c>
      <c r="V49" s="308">
        <f t="shared" si="70"/>
        <v>2916.67</v>
      </c>
      <c r="W49" s="308">
        <f t="shared" si="70"/>
        <v>2916.67</v>
      </c>
      <c r="X49" s="308">
        <f t="shared" si="70"/>
        <v>2916.67</v>
      </c>
      <c r="Y49" s="308">
        <f t="shared" si="70"/>
        <v>2916.67</v>
      </c>
      <c r="Z49" s="308">
        <f t="shared" si="70"/>
        <v>2916.67</v>
      </c>
      <c r="AA49" s="308">
        <f t="shared" si="70"/>
        <v>2916.67</v>
      </c>
      <c r="AB49" s="308">
        <f t="shared" si="70"/>
        <v>2916.67</v>
      </c>
      <c r="AC49" s="308">
        <f t="shared" si="70"/>
        <v>2916.67</v>
      </c>
      <c r="AD49" s="308">
        <f t="shared" si="70"/>
        <v>2916.67</v>
      </c>
      <c r="AE49" s="308"/>
      <c r="AF49" s="308"/>
      <c r="AG49" s="308"/>
      <c r="AH49" s="308"/>
      <c r="AI49" s="314">
        <f t="shared" si="67"/>
        <v>70000.079999999973</v>
      </c>
      <c r="AJ49" s="308">
        <f t="shared" si="68"/>
        <v>17499.920000000027</v>
      </c>
    </row>
    <row r="50" spans="1:36" ht="15" customHeight="1">
      <c r="A50" s="336"/>
      <c r="B50" s="437" t="s">
        <v>501</v>
      </c>
      <c r="C50" s="311"/>
      <c r="D50" s="305">
        <v>278400</v>
      </c>
      <c r="E50" s="356">
        <v>30</v>
      </c>
      <c r="F50" s="359">
        <f>ROUND(D50/E50,2)</f>
        <v>9280</v>
      </c>
      <c r="G50" s="308">
        <f>+$F50</f>
        <v>9280</v>
      </c>
      <c r="H50" s="308">
        <f>+$F50</f>
        <v>9280</v>
      </c>
      <c r="I50" s="308">
        <f t="shared" si="70"/>
        <v>9280</v>
      </c>
      <c r="J50" s="308">
        <f t="shared" si="70"/>
        <v>9280</v>
      </c>
      <c r="K50" s="308">
        <f t="shared" si="70"/>
        <v>9280</v>
      </c>
      <c r="L50" s="308">
        <f t="shared" si="70"/>
        <v>9280</v>
      </c>
      <c r="M50" s="308">
        <f t="shared" si="70"/>
        <v>9280</v>
      </c>
      <c r="N50" s="308">
        <f t="shared" si="70"/>
        <v>9280</v>
      </c>
      <c r="O50" s="308">
        <f t="shared" si="70"/>
        <v>9280</v>
      </c>
      <c r="P50" s="308">
        <f t="shared" si="70"/>
        <v>9280</v>
      </c>
      <c r="Q50" s="308">
        <f t="shared" si="70"/>
        <v>9280</v>
      </c>
      <c r="R50" s="308">
        <f t="shared" si="70"/>
        <v>9280</v>
      </c>
      <c r="S50" s="308">
        <f t="shared" si="70"/>
        <v>9280</v>
      </c>
      <c r="T50" s="308">
        <f t="shared" si="70"/>
        <v>9280</v>
      </c>
      <c r="U50" s="308">
        <f t="shared" si="70"/>
        <v>9280</v>
      </c>
      <c r="V50" s="308">
        <f t="shared" si="70"/>
        <v>9280</v>
      </c>
      <c r="W50" s="308">
        <f t="shared" si="70"/>
        <v>9280</v>
      </c>
      <c r="X50" s="308">
        <f t="shared" si="70"/>
        <v>9280</v>
      </c>
      <c r="Y50" s="308">
        <f t="shared" si="70"/>
        <v>9280</v>
      </c>
      <c r="Z50" s="308">
        <f t="shared" si="70"/>
        <v>9280</v>
      </c>
      <c r="AA50" s="308">
        <f t="shared" si="70"/>
        <v>9280</v>
      </c>
      <c r="AB50" s="308">
        <f t="shared" si="70"/>
        <v>9280</v>
      </c>
      <c r="AC50" s="308">
        <f t="shared" si="70"/>
        <v>9280</v>
      </c>
      <c r="AD50" s="308">
        <f t="shared" si="70"/>
        <v>9280</v>
      </c>
      <c r="AE50" s="308"/>
      <c r="AF50" s="308"/>
      <c r="AG50" s="308"/>
      <c r="AH50" s="308"/>
      <c r="AI50" s="314">
        <f t="shared" si="67"/>
        <v>222720</v>
      </c>
      <c r="AJ50" s="308">
        <f t="shared" si="68"/>
        <v>55680</v>
      </c>
    </row>
    <row r="51" spans="1:36" ht="15" customHeight="1">
      <c r="A51" s="336"/>
      <c r="B51" s="437" t="s">
        <v>502</v>
      </c>
      <c r="C51" s="311"/>
      <c r="D51" s="305">
        <v>64900</v>
      </c>
      <c r="E51" s="356">
        <v>30</v>
      </c>
      <c r="F51" s="359">
        <f t="shared" si="71" ref="F51">ROUND(D51/E51,2)</f>
        <v>2163.33</v>
      </c>
      <c r="G51" s="308">
        <f>+F51</f>
        <v>2163.33</v>
      </c>
      <c r="H51" s="308">
        <f t="shared" si="72" ref="H51">+$F51</f>
        <v>2163.33</v>
      </c>
      <c r="I51" s="308">
        <f t="shared" si="70"/>
        <v>2163.33</v>
      </c>
      <c r="J51" s="308">
        <f t="shared" si="70"/>
        <v>2163.33</v>
      </c>
      <c r="K51" s="308">
        <f t="shared" si="70"/>
        <v>2163.33</v>
      </c>
      <c r="L51" s="308">
        <f t="shared" si="70"/>
        <v>2163.33</v>
      </c>
      <c r="M51" s="308">
        <f t="shared" si="70"/>
        <v>2163.33</v>
      </c>
      <c r="N51" s="308">
        <f t="shared" si="70"/>
        <v>2163.33</v>
      </c>
      <c r="O51" s="308">
        <f t="shared" si="70"/>
        <v>2163.33</v>
      </c>
      <c r="P51" s="308">
        <f t="shared" si="70"/>
        <v>2163.33</v>
      </c>
      <c r="Q51" s="308">
        <f t="shared" si="70"/>
        <v>2163.33</v>
      </c>
      <c r="R51" s="308">
        <f t="shared" si="70"/>
        <v>2163.33</v>
      </c>
      <c r="S51" s="308">
        <f t="shared" si="70"/>
        <v>2163.33</v>
      </c>
      <c r="T51" s="308">
        <f t="shared" si="70"/>
        <v>2163.33</v>
      </c>
      <c r="U51" s="308">
        <f t="shared" si="70"/>
        <v>2163.33</v>
      </c>
      <c r="V51" s="308">
        <f t="shared" si="70"/>
        <v>2163.33</v>
      </c>
      <c r="W51" s="308">
        <f t="shared" si="70"/>
        <v>2163.33</v>
      </c>
      <c r="X51" s="308">
        <f t="shared" si="70"/>
        <v>2163.33</v>
      </c>
      <c r="Y51" s="308">
        <f t="shared" si="70"/>
        <v>2163.33</v>
      </c>
      <c r="Z51" s="308">
        <f t="shared" si="70"/>
        <v>2163.33</v>
      </c>
      <c r="AA51" s="308">
        <f t="shared" si="70"/>
        <v>2163.33</v>
      </c>
      <c r="AB51" s="308">
        <f t="shared" si="70"/>
        <v>2163.33</v>
      </c>
      <c r="AC51" s="308">
        <f t="shared" si="70"/>
        <v>2163.33</v>
      </c>
      <c r="AD51" s="308">
        <f t="shared" si="70"/>
        <v>2163.33</v>
      </c>
      <c r="AE51" s="308"/>
      <c r="AF51" s="308"/>
      <c r="AG51" s="308"/>
      <c r="AH51" s="308"/>
      <c r="AI51" s="314">
        <f t="shared" si="67"/>
        <v>51919.920000000027</v>
      </c>
      <c r="AJ51" s="308">
        <f t="shared" si="68"/>
        <v>12980.079999999973</v>
      </c>
    </row>
    <row r="52" spans="2:36" ht="15" customHeight="1">
      <c r="B52" s="434" t="s">
        <v>500</v>
      </c>
      <c r="D52" s="308">
        <v>9450</v>
      </c>
      <c r="E52" s="356">
        <v>30</v>
      </c>
      <c r="F52" s="359">
        <f t="shared" si="69"/>
        <v>315</v>
      </c>
      <c r="G52" s="373">
        <f>+F52</f>
        <v>315</v>
      </c>
      <c r="H52" s="308">
        <f t="shared" si="70"/>
        <v>315</v>
      </c>
      <c r="I52" s="308">
        <f t="shared" si="70"/>
        <v>315</v>
      </c>
      <c r="J52" s="308">
        <f t="shared" si="70"/>
        <v>315</v>
      </c>
      <c r="K52" s="308">
        <f t="shared" si="70"/>
        <v>315</v>
      </c>
      <c r="L52" s="308">
        <f t="shared" si="70"/>
        <v>315</v>
      </c>
      <c r="M52" s="308">
        <f t="shared" si="70"/>
        <v>315</v>
      </c>
      <c r="N52" s="308">
        <f t="shared" si="70"/>
        <v>315</v>
      </c>
      <c r="O52" s="308">
        <f t="shared" si="70"/>
        <v>315</v>
      </c>
      <c r="P52" s="308">
        <f t="shared" si="70"/>
        <v>315</v>
      </c>
      <c r="Q52" s="308">
        <f t="shared" si="70"/>
        <v>315</v>
      </c>
      <c r="R52" s="308">
        <f t="shared" si="70"/>
        <v>315</v>
      </c>
      <c r="S52" s="308">
        <f t="shared" si="70"/>
        <v>315</v>
      </c>
      <c r="T52" s="308">
        <f t="shared" si="70"/>
        <v>315</v>
      </c>
      <c r="U52" s="308">
        <f t="shared" si="70"/>
        <v>315</v>
      </c>
      <c r="V52" s="308">
        <f t="shared" si="70"/>
        <v>315</v>
      </c>
      <c r="W52" s="308">
        <f t="shared" si="70"/>
        <v>315</v>
      </c>
      <c r="X52" s="308">
        <f t="shared" si="70"/>
        <v>315</v>
      </c>
      <c r="Y52" s="308">
        <f t="shared" si="70"/>
        <v>315</v>
      </c>
      <c r="Z52" s="308">
        <f t="shared" si="70"/>
        <v>315</v>
      </c>
      <c r="AA52" s="308">
        <f t="shared" si="70"/>
        <v>315</v>
      </c>
      <c r="AB52" s="308">
        <f t="shared" si="70"/>
        <v>315</v>
      </c>
      <c r="AC52" s="308">
        <f t="shared" si="70"/>
        <v>315</v>
      </c>
      <c r="AD52" s="308">
        <f t="shared" si="70"/>
        <v>315</v>
      </c>
      <c r="AE52" s="308"/>
      <c r="AF52" s="308"/>
      <c r="AG52" s="308"/>
      <c r="AH52" s="308"/>
      <c r="AI52" s="314">
        <f t="shared" si="67"/>
        <v>7560</v>
      </c>
      <c r="AJ52" s="308">
        <f t="shared" si="68"/>
        <v>1890</v>
      </c>
    </row>
    <row r="53" spans="1:36" ht="15" customHeight="1">
      <c r="A53" s="336"/>
      <c r="B53" s="612" t="s">
        <v>663</v>
      </c>
      <c r="C53" s="311"/>
      <c r="D53" s="305">
        <f>+'GWE OH Allocation'!D9</f>
        <v>785280.91517957544</v>
      </c>
      <c r="E53" s="356">
        <v>30</v>
      </c>
      <c r="F53" s="359">
        <f t="shared" si="69"/>
        <v>26176.03</v>
      </c>
      <c r="G53" s="373">
        <f>+F53</f>
        <v>26176.03</v>
      </c>
      <c r="H53" s="308">
        <f t="shared" si="70"/>
        <v>26176.03</v>
      </c>
      <c r="I53" s="308">
        <f t="shared" si="70"/>
        <v>26176.03</v>
      </c>
      <c r="J53" s="308">
        <f t="shared" si="70"/>
        <v>26176.03</v>
      </c>
      <c r="K53" s="308">
        <f t="shared" si="70"/>
        <v>26176.03</v>
      </c>
      <c r="L53" s="308">
        <f t="shared" si="70"/>
        <v>26176.03</v>
      </c>
      <c r="M53" s="308">
        <f t="shared" si="70"/>
        <v>26176.03</v>
      </c>
      <c r="N53" s="308">
        <f t="shared" si="70"/>
        <v>26176.03</v>
      </c>
      <c r="O53" s="308">
        <f t="shared" si="70"/>
        <v>26176.03</v>
      </c>
      <c r="P53" s="308">
        <f t="shared" si="70"/>
        <v>26176.03</v>
      </c>
      <c r="Q53" s="308">
        <f t="shared" si="70"/>
        <v>26176.03</v>
      </c>
      <c r="R53" s="308">
        <f t="shared" si="70"/>
        <v>26176.03</v>
      </c>
      <c r="S53" s="308">
        <f t="shared" si="70"/>
        <v>26176.03</v>
      </c>
      <c r="T53" s="308">
        <f t="shared" si="70"/>
        <v>26176.03</v>
      </c>
      <c r="U53" s="308">
        <f t="shared" si="70"/>
        <v>26176.03</v>
      </c>
      <c r="V53" s="308">
        <f t="shared" si="70"/>
        <v>26176.03</v>
      </c>
      <c r="W53" s="308">
        <f t="shared" si="70"/>
        <v>26176.03</v>
      </c>
      <c r="X53" s="308">
        <f t="shared" si="70"/>
        <v>26176.03</v>
      </c>
      <c r="Y53" s="308">
        <f t="shared" si="70"/>
        <v>26176.03</v>
      </c>
      <c r="Z53" s="308">
        <f t="shared" si="70"/>
        <v>26176.03</v>
      </c>
      <c r="AA53" s="308">
        <f t="shared" si="70"/>
        <v>26176.03</v>
      </c>
      <c r="AB53" s="308">
        <f t="shared" si="70"/>
        <v>26176.03</v>
      </c>
      <c r="AC53" s="308">
        <f t="shared" si="70"/>
        <v>26176.03</v>
      </c>
      <c r="AD53" s="308">
        <f t="shared" si="70"/>
        <v>26176.03</v>
      </c>
      <c r="AE53" s="308"/>
      <c r="AF53" s="308"/>
      <c r="AG53" s="308"/>
      <c r="AH53" s="308"/>
      <c r="AI53" s="314">
        <f t="shared" si="67"/>
        <v>628224.72000000032</v>
      </c>
      <c r="AJ53" s="308">
        <f t="shared" si="68"/>
        <v>157056.19517957512</v>
      </c>
    </row>
    <row r="54" spans="2:38" ht="15" customHeight="1">
      <c r="B54" s="586" t="s">
        <v>647</v>
      </c>
      <c r="D54" s="306">
        <f>SUM(D42:D53)</f>
        <v>3466812.9151795753</v>
      </c>
      <c r="E54" s="356"/>
      <c r="F54" s="357">
        <f>SUM(F42:F53)</f>
        <v>115560.43999999999</v>
      </c>
      <c r="G54" s="363">
        <f>SUM(G42:G53)</f>
        <v>115560.43999999999</v>
      </c>
      <c r="H54" s="306">
        <f>SUM(H42:H53)</f>
        <v>115560.43999999999</v>
      </c>
      <c r="I54" s="306">
        <f t="shared" si="73" ref="I54:AC54">SUM(I42:I53)</f>
        <v>115560.43999999999</v>
      </c>
      <c r="J54" s="306">
        <f t="shared" si="73"/>
        <v>115560.43999999999</v>
      </c>
      <c r="K54" s="306">
        <f t="shared" si="73"/>
        <v>115560.43999999999</v>
      </c>
      <c r="L54" s="306">
        <f t="shared" si="73"/>
        <v>115560.43999999999</v>
      </c>
      <c r="M54" s="306">
        <f t="shared" si="73"/>
        <v>115560.43999999999</v>
      </c>
      <c r="N54" s="306">
        <f t="shared" si="73"/>
        <v>115560.43999999999</v>
      </c>
      <c r="O54" s="306">
        <f t="shared" si="73"/>
        <v>115560.43999999999</v>
      </c>
      <c r="P54" s="306">
        <f t="shared" si="73"/>
        <v>115560.43999999999</v>
      </c>
      <c r="Q54" s="306">
        <f t="shared" si="73"/>
        <v>115560.43999999999</v>
      </c>
      <c r="R54" s="306">
        <f t="shared" si="73"/>
        <v>115560.43999999999</v>
      </c>
      <c r="S54" s="306">
        <f t="shared" si="73"/>
        <v>115560.43999999999</v>
      </c>
      <c r="T54" s="306">
        <f t="shared" si="73"/>
        <v>115560.43999999999</v>
      </c>
      <c r="U54" s="306">
        <f t="shared" si="73"/>
        <v>115560.43999999999</v>
      </c>
      <c r="V54" s="306">
        <f t="shared" si="73"/>
        <v>115560.43999999999</v>
      </c>
      <c r="W54" s="306">
        <f t="shared" si="73"/>
        <v>115560.43999999999</v>
      </c>
      <c r="X54" s="306">
        <f t="shared" si="73"/>
        <v>115560.43999999999</v>
      </c>
      <c r="Y54" s="306">
        <f t="shared" si="73"/>
        <v>115560.43999999999</v>
      </c>
      <c r="Z54" s="306">
        <f t="shared" si="73"/>
        <v>115560.43999999999</v>
      </c>
      <c r="AA54" s="306">
        <f t="shared" si="73"/>
        <v>115560.43999999999</v>
      </c>
      <c r="AB54" s="306">
        <f t="shared" si="73"/>
        <v>115560.43999999999</v>
      </c>
      <c r="AC54" s="306">
        <f t="shared" si="73"/>
        <v>115560.43999999999</v>
      </c>
      <c r="AD54" s="306">
        <f t="shared" si="74" ref="AD54">SUM(AD42:AD53)</f>
        <v>115560.43999999999</v>
      </c>
      <c r="AE54" s="306"/>
      <c r="AF54" s="306"/>
      <c r="AG54" s="306"/>
      <c r="AH54" s="306"/>
      <c r="AI54" s="306">
        <f>SUM(AI42:AI53)</f>
        <v>2773450.56</v>
      </c>
      <c r="AJ54" s="306">
        <f>SUM(AJ42:AJ53)</f>
        <v>693362.35517957539</v>
      </c>
      <c r="AL54" s="314">
        <f>+AI54+AJ54</f>
        <v>3466812.9151795753</v>
      </c>
    </row>
    <row r="55" spans="1:36" ht="15" customHeight="1">
      <c r="A55" s="336"/>
      <c r="B55" s="312" t="s">
        <v>120</v>
      </c>
      <c r="C55" s="311"/>
      <c r="D55" s="307"/>
      <c r="E55" s="356"/>
      <c r="F55" s="362"/>
      <c r="G55" s="307">
        <f>+G54</f>
        <v>115560.43999999999</v>
      </c>
      <c r="H55" s="307">
        <f>+H54+G55</f>
        <v>231120.87999999998</v>
      </c>
      <c r="I55" s="307">
        <f t="shared" si="75" ref="I55">+I54+H55</f>
        <v>346681.31999999995</v>
      </c>
      <c r="J55" s="307">
        <f t="shared" si="76" ref="J55">+J54+I55</f>
        <v>462241.75999999995</v>
      </c>
      <c r="K55" s="307">
        <f t="shared" si="77" ref="K55">+K54+J55</f>
        <v>577802.19999999995</v>
      </c>
      <c r="L55" s="307">
        <f t="shared" si="78" ref="L55">+L54+K55</f>
        <v>693362.6399999999</v>
      </c>
      <c r="M55" s="307">
        <f t="shared" si="79" ref="M55">+M54+L55</f>
        <v>808923.07999999984</v>
      </c>
      <c r="N55" s="307">
        <f t="shared" si="80" ref="N55">+N54+M55</f>
        <v>924483.51999999979</v>
      </c>
      <c r="O55" s="307">
        <f t="shared" si="81" ref="O55">+O54+N55</f>
        <v>1040043.9599999997</v>
      </c>
      <c r="P55" s="307">
        <f t="shared" si="82" ref="P55">+P54+O55</f>
        <v>1155604.3999999997</v>
      </c>
      <c r="Q55" s="307">
        <f t="shared" si="83" ref="Q55">+Q54+P55</f>
        <v>1271164.8399999996</v>
      </c>
      <c r="R55" s="307">
        <f t="shared" si="84" ref="R55">+R54+Q55</f>
        <v>1386725.2799999996</v>
      </c>
      <c r="S55" s="307">
        <f t="shared" si="85" ref="S55">+S54+R55</f>
        <v>1502285.7199999995</v>
      </c>
      <c r="T55" s="307">
        <f t="shared" si="86" ref="T55">+T54+S55</f>
        <v>1617846.1599999995</v>
      </c>
      <c r="U55" s="307">
        <f t="shared" si="87" ref="U55">+U54+T55</f>
        <v>1733406.5999999994</v>
      </c>
      <c r="V55" s="307">
        <f t="shared" si="88" ref="V55">+V54+U55</f>
        <v>1848967.0399999993</v>
      </c>
      <c r="W55" s="307">
        <f t="shared" si="89" ref="W55">+W54+V55</f>
        <v>1964527.4799999993</v>
      </c>
      <c r="X55" s="307">
        <f t="shared" si="90" ref="X55">+X54+W55</f>
        <v>2080087.9199999992</v>
      </c>
      <c r="Y55" s="307">
        <f t="shared" si="91" ref="Y55">+Y54+X55</f>
        <v>2195648.3599999994</v>
      </c>
      <c r="Z55" s="307">
        <f t="shared" si="92" ref="Z55">+Z54+Y55</f>
        <v>2311208.7999999993</v>
      </c>
      <c r="AA55" s="307">
        <f t="shared" si="93" ref="AA55">+AA54+Z55</f>
        <v>2426769.2399999993</v>
      </c>
      <c r="AB55" s="307">
        <f t="shared" si="94" ref="AB55">+AB54+AA55</f>
        <v>2542329.6799999992</v>
      </c>
      <c r="AC55" s="307">
        <f t="shared" si="95" ref="AC55">+AC54+AB55</f>
        <v>2657890.1199999992</v>
      </c>
      <c r="AD55" s="307">
        <f t="shared" si="96" ref="AD55">+AD54+AC55</f>
        <v>2773450.5599999991</v>
      </c>
      <c r="AE55" s="307"/>
      <c r="AF55" s="307"/>
      <c r="AG55" s="307"/>
      <c r="AH55" s="307"/>
      <c r="AI55" s="307"/>
      <c r="AJ55" s="307"/>
    </row>
    <row r="56" spans="1:36" ht="15" customHeight="1">
      <c r="A56" s="336"/>
      <c r="B56" s="312"/>
      <c r="C56" s="311"/>
      <c r="D56" s="307"/>
      <c r="E56" s="356"/>
      <c r="F56" s="362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  <c r="AI56" s="307"/>
      <c r="AJ56" s="307"/>
    </row>
    <row r="57" spans="1:34" ht="15" customHeight="1">
      <c r="A57" s="360" t="s">
        <v>415</v>
      </c>
      <c r="D57" s="308"/>
      <c r="E57" s="356"/>
      <c r="F57" s="358"/>
      <c r="G57" s="373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8"/>
      <c r="AC57" s="308"/>
      <c r="AD57" s="308"/>
      <c r="AE57" s="308"/>
      <c r="AF57" s="308"/>
      <c r="AG57" s="308"/>
      <c r="AH57" s="308"/>
    </row>
    <row r="58" spans="2:36" ht="15" customHeight="1">
      <c r="B58" s="436" t="s">
        <v>504</v>
      </c>
      <c r="D58" s="308">
        <v>950000</v>
      </c>
      <c r="E58" s="356">
        <v>38</v>
      </c>
      <c r="F58" s="359">
        <f t="shared" si="97" ref="F58:F59">ROUND(D58/E58,2)</f>
        <v>25000</v>
      </c>
      <c r="G58" s="373">
        <f>+F58</f>
        <v>25000</v>
      </c>
      <c r="H58" s="308">
        <f t="shared" si="98" ref="H58:AD59">+$F58</f>
        <v>25000</v>
      </c>
      <c r="I58" s="308">
        <f t="shared" si="98"/>
        <v>25000</v>
      </c>
      <c r="J58" s="308">
        <f t="shared" si="98"/>
        <v>25000</v>
      </c>
      <c r="K58" s="308">
        <f t="shared" si="98"/>
        <v>25000</v>
      </c>
      <c r="L58" s="308">
        <f t="shared" si="98"/>
        <v>25000</v>
      </c>
      <c r="M58" s="308">
        <f t="shared" si="98"/>
        <v>25000</v>
      </c>
      <c r="N58" s="308">
        <f t="shared" si="98"/>
        <v>25000</v>
      </c>
      <c r="O58" s="308">
        <f t="shared" si="98"/>
        <v>25000</v>
      </c>
      <c r="P58" s="308">
        <f t="shared" si="98"/>
        <v>25000</v>
      </c>
      <c r="Q58" s="308">
        <f t="shared" si="98"/>
        <v>25000</v>
      </c>
      <c r="R58" s="308">
        <f t="shared" si="98"/>
        <v>25000</v>
      </c>
      <c r="S58" s="308">
        <f t="shared" si="98"/>
        <v>25000</v>
      </c>
      <c r="T58" s="308">
        <f t="shared" si="98"/>
        <v>25000</v>
      </c>
      <c r="U58" s="308">
        <f t="shared" si="98"/>
        <v>25000</v>
      </c>
      <c r="V58" s="308">
        <f t="shared" si="98"/>
        <v>25000</v>
      </c>
      <c r="W58" s="308">
        <f t="shared" si="98"/>
        <v>25000</v>
      </c>
      <c r="X58" s="308">
        <f t="shared" si="98"/>
        <v>25000</v>
      </c>
      <c r="Y58" s="308">
        <f t="shared" si="98"/>
        <v>25000</v>
      </c>
      <c r="Z58" s="308">
        <f t="shared" si="98"/>
        <v>25000</v>
      </c>
      <c r="AA58" s="308">
        <f t="shared" si="98"/>
        <v>25000</v>
      </c>
      <c r="AB58" s="308">
        <f t="shared" si="98"/>
        <v>25000</v>
      </c>
      <c r="AC58" s="308">
        <f t="shared" si="98"/>
        <v>25000</v>
      </c>
      <c r="AD58" s="308">
        <f t="shared" si="98"/>
        <v>25000</v>
      </c>
      <c r="AE58" s="308"/>
      <c r="AF58" s="308"/>
      <c r="AG58" s="308"/>
      <c r="AH58" s="308"/>
      <c r="AI58" s="314">
        <f>SUM(G58:AH58)</f>
        <v>600000</v>
      </c>
      <c r="AJ58" s="308">
        <f>+D58-AI58</f>
        <v>350000</v>
      </c>
    </row>
    <row r="59" spans="1:36" ht="15" customHeight="1">
      <c r="A59" s="336"/>
      <c r="B59" s="612" t="s">
        <v>663</v>
      </c>
      <c r="C59" s="311"/>
      <c r="D59" s="305">
        <f>+'GWE OH Allocation'!D11</f>
        <v>278205.46964220324</v>
      </c>
      <c r="E59" s="356">
        <v>38</v>
      </c>
      <c r="F59" s="359">
        <f t="shared" si="97"/>
        <v>7321.20</v>
      </c>
      <c r="G59" s="373">
        <f>+F59</f>
        <v>7321.20</v>
      </c>
      <c r="H59" s="308">
        <f t="shared" si="98"/>
        <v>7321.20</v>
      </c>
      <c r="I59" s="308">
        <f t="shared" si="98"/>
        <v>7321.20</v>
      </c>
      <c r="J59" s="308">
        <f t="shared" si="98"/>
        <v>7321.20</v>
      </c>
      <c r="K59" s="308">
        <f t="shared" si="98"/>
        <v>7321.20</v>
      </c>
      <c r="L59" s="308">
        <f t="shared" si="98"/>
        <v>7321.20</v>
      </c>
      <c r="M59" s="308">
        <f t="shared" si="98"/>
        <v>7321.20</v>
      </c>
      <c r="N59" s="308">
        <f t="shared" si="98"/>
        <v>7321.20</v>
      </c>
      <c r="O59" s="308">
        <f t="shared" si="98"/>
        <v>7321.20</v>
      </c>
      <c r="P59" s="308">
        <f t="shared" si="98"/>
        <v>7321.20</v>
      </c>
      <c r="Q59" s="308">
        <f t="shared" si="98"/>
        <v>7321.20</v>
      </c>
      <c r="R59" s="308">
        <f t="shared" si="98"/>
        <v>7321.20</v>
      </c>
      <c r="S59" s="308">
        <f t="shared" si="98"/>
        <v>7321.20</v>
      </c>
      <c r="T59" s="308">
        <f t="shared" si="98"/>
        <v>7321.20</v>
      </c>
      <c r="U59" s="308">
        <f t="shared" si="98"/>
        <v>7321.20</v>
      </c>
      <c r="V59" s="308">
        <f t="shared" si="98"/>
        <v>7321.20</v>
      </c>
      <c r="W59" s="308">
        <f t="shared" si="98"/>
        <v>7321.20</v>
      </c>
      <c r="X59" s="308">
        <f t="shared" si="98"/>
        <v>7321.20</v>
      </c>
      <c r="Y59" s="308">
        <f t="shared" si="98"/>
        <v>7321.20</v>
      </c>
      <c r="Z59" s="308">
        <f t="shared" si="98"/>
        <v>7321.20</v>
      </c>
      <c r="AA59" s="308">
        <f t="shared" si="98"/>
        <v>7321.20</v>
      </c>
      <c r="AB59" s="308">
        <f t="shared" si="98"/>
        <v>7321.20</v>
      </c>
      <c r="AC59" s="308">
        <f t="shared" si="98"/>
        <v>7321.20</v>
      </c>
      <c r="AD59" s="308">
        <f t="shared" si="98"/>
        <v>7321.20</v>
      </c>
      <c r="AE59" s="308"/>
      <c r="AF59" s="308"/>
      <c r="AG59" s="308"/>
      <c r="AH59" s="308"/>
      <c r="AI59" s="314">
        <f>SUM(G59:AH59)</f>
        <v>175708.80000000005</v>
      </c>
      <c r="AJ59" s="308">
        <f>+D59-AI59</f>
        <v>102496.6696422032</v>
      </c>
    </row>
    <row r="60" spans="1:36" ht="15" customHeight="1">
      <c r="A60" s="336"/>
      <c r="B60" s="176"/>
      <c r="C60" s="311"/>
      <c r="D60" s="315"/>
      <c r="E60" s="356"/>
      <c r="F60" s="359"/>
      <c r="G60" s="373"/>
      <c r="H60" s="308"/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8"/>
      <c r="AB60" s="308"/>
      <c r="AC60" s="308"/>
      <c r="AD60" s="308"/>
      <c r="AE60" s="308"/>
      <c r="AF60" s="308"/>
      <c r="AG60" s="308"/>
      <c r="AH60" s="308"/>
      <c r="AJ60" s="308"/>
    </row>
    <row r="61" spans="2:38" ht="15" customHeight="1">
      <c r="B61" s="312" t="s">
        <v>416</v>
      </c>
      <c r="D61" s="306">
        <f>SUM(D58:D60)</f>
        <v>1228205.4696422033</v>
      </c>
      <c r="E61" s="356"/>
      <c r="F61" s="357">
        <f t="shared" si="99" ref="F61:AJ61">SUM(F58:F60)</f>
        <v>32321.20</v>
      </c>
      <c r="G61" s="363">
        <f t="shared" si="99"/>
        <v>32321.20</v>
      </c>
      <c r="H61" s="306">
        <f t="shared" si="99"/>
        <v>32321.20</v>
      </c>
      <c r="I61" s="306">
        <f t="shared" si="99"/>
        <v>32321.20</v>
      </c>
      <c r="J61" s="306">
        <f t="shared" si="99"/>
        <v>32321.20</v>
      </c>
      <c r="K61" s="306">
        <f t="shared" si="100" ref="K61:AC61">SUM(K58:K60)</f>
        <v>32321.20</v>
      </c>
      <c r="L61" s="306">
        <f t="shared" si="100"/>
        <v>32321.20</v>
      </c>
      <c r="M61" s="306">
        <f t="shared" si="100"/>
        <v>32321.20</v>
      </c>
      <c r="N61" s="306">
        <f t="shared" si="100"/>
        <v>32321.20</v>
      </c>
      <c r="O61" s="306">
        <f t="shared" si="100"/>
        <v>32321.20</v>
      </c>
      <c r="P61" s="306">
        <f t="shared" si="100"/>
        <v>32321.20</v>
      </c>
      <c r="Q61" s="306">
        <f t="shared" si="100"/>
        <v>32321.20</v>
      </c>
      <c r="R61" s="306">
        <f t="shared" si="100"/>
        <v>32321.20</v>
      </c>
      <c r="S61" s="306">
        <f t="shared" si="100"/>
        <v>32321.20</v>
      </c>
      <c r="T61" s="306">
        <f t="shared" si="100"/>
        <v>32321.20</v>
      </c>
      <c r="U61" s="306">
        <f t="shared" si="100"/>
        <v>32321.20</v>
      </c>
      <c r="V61" s="306">
        <f t="shared" si="100"/>
        <v>32321.20</v>
      </c>
      <c r="W61" s="306">
        <f t="shared" si="100"/>
        <v>32321.20</v>
      </c>
      <c r="X61" s="306">
        <f t="shared" si="100"/>
        <v>32321.20</v>
      </c>
      <c r="Y61" s="306">
        <f t="shared" si="100"/>
        <v>32321.20</v>
      </c>
      <c r="Z61" s="306">
        <f t="shared" si="100"/>
        <v>32321.20</v>
      </c>
      <c r="AA61" s="306">
        <f t="shared" si="100"/>
        <v>32321.20</v>
      </c>
      <c r="AB61" s="306">
        <f t="shared" si="100"/>
        <v>32321.20</v>
      </c>
      <c r="AC61" s="306">
        <f t="shared" si="100"/>
        <v>32321.20</v>
      </c>
      <c r="AD61" s="306">
        <f t="shared" si="101" ref="AD61">SUM(AD58:AD60)</f>
        <v>32321.20</v>
      </c>
      <c r="AE61" s="306"/>
      <c r="AF61" s="306"/>
      <c r="AG61" s="306"/>
      <c r="AH61" s="306"/>
      <c r="AI61" s="306">
        <f t="shared" si="99"/>
        <v>775708.80</v>
      </c>
      <c r="AJ61" s="306">
        <f t="shared" si="99"/>
        <v>452496.6696422032</v>
      </c>
      <c r="AL61" s="314">
        <f>+AI61+AJ61</f>
        <v>1228205.4696422033</v>
      </c>
    </row>
    <row r="62" spans="1:36" ht="15" customHeight="1">
      <c r="A62" s="336"/>
      <c r="B62" s="312" t="s">
        <v>120</v>
      </c>
      <c r="C62" s="311"/>
      <c r="D62" s="307"/>
      <c r="E62" s="356"/>
      <c r="F62" s="362"/>
      <c r="G62" s="307">
        <f>+G61</f>
        <v>32321.20</v>
      </c>
      <c r="H62" s="307">
        <f>+H61+G62</f>
        <v>64642.40</v>
      </c>
      <c r="I62" s="307">
        <f t="shared" si="102" ref="I62">+I61+H62</f>
        <v>96963.60</v>
      </c>
      <c r="J62" s="307">
        <f t="shared" si="103" ref="J62">+J61+I62</f>
        <v>129284.80</v>
      </c>
      <c r="K62" s="307">
        <f t="shared" si="104" ref="K62">+K61+J62</f>
        <v>161606</v>
      </c>
      <c r="L62" s="307">
        <f t="shared" si="105" ref="L62">+L61+K62</f>
        <v>193927.20</v>
      </c>
      <c r="M62" s="307">
        <f t="shared" si="106" ref="M62">+M61+L62</f>
        <v>226248.40000000002</v>
      </c>
      <c r="N62" s="307">
        <f t="shared" si="107" ref="N62">+N61+M62</f>
        <v>258569.60000000004</v>
      </c>
      <c r="O62" s="307">
        <f t="shared" si="108" ref="O62">+O61+N62</f>
        <v>290890.80000000005</v>
      </c>
      <c r="P62" s="307">
        <f t="shared" si="109" ref="P62">+P61+O62</f>
        <v>323212.00000000006</v>
      </c>
      <c r="Q62" s="307">
        <f t="shared" si="110" ref="Q62">+Q61+P62</f>
        <v>355533.20000000007</v>
      </c>
      <c r="R62" s="307">
        <f t="shared" si="111" ref="R62">+R61+Q62</f>
        <v>387854.40000000008</v>
      </c>
      <c r="S62" s="307">
        <f t="shared" si="112" ref="S62">+S61+R62</f>
        <v>420175.60000000009</v>
      </c>
      <c r="T62" s="307">
        <f t="shared" si="113" ref="T62">+T61+S62</f>
        <v>452496.8000000001</v>
      </c>
      <c r="U62" s="307">
        <f t="shared" si="114" ref="U62">+U61+T62</f>
        <v>484818.00000000012</v>
      </c>
      <c r="V62" s="307">
        <f t="shared" si="115" ref="V62">+V61+U62</f>
        <v>517139.20000000013</v>
      </c>
      <c r="W62" s="307">
        <f t="shared" si="116" ref="W62">+W61+V62</f>
        <v>549460.40000000014</v>
      </c>
      <c r="X62" s="307">
        <f t="shared" si="117" ref="X62">+X61+W62</f>
        <v>581781.60000000009</v>
      </c>
      <c r="Y62" s="307">
        <f t="shared" si="118" ref="Y62">+Y61+X62</f>
        <v>614102.80000000005</v>
      </c>
      <c r="Z62" s="307">
        <f t="shared" si="119" ref="Z62">+Z61+Y62</f>
        <v>646424</v>
      </c>
      <c r="AA62" s="307">
        <f t="shared" si="120" ref="AA62">+AA61+Z62</f>
        <v>678745.20</v>
      </c>
      <c r="AB62" s="307">
        <f t="shared" si="121" ref="AB62">+AB61+AA62</f>
        <v>711066.39999999991</v>
      </c>
      <c r="AC62" s="307">
        <f t="shared" si="122" ref="AC62">+AC61+AB62</f>
        <v>743387.59999999986</v>
      </c>
      <c r="AD62" s="307">
        <f t="shared" si="123" ref="AD62">+AD61+AC62</f>
        <v>775708.79999999981</v>
      </c>
      <c r="AE62" s="307"/>
      <c r="AF62" s="307"/>
      <c r="AG62" s="307"/>
      <c r="AH62" s="307"/>
      <c r="AI62" s="307"/>
      <c r="AJ62" s="307"/>
    </row>
    <row r="63" spans="1:36" ht="15" customHeight="1">
      <c r="A63" s="336"/>
      <c r="B63" s="312"/>
      <c r="C63" s="311"/>
      <c r="D63" s="307"/>
      <c r="E63" s="356"/>
      <c r="F63" s="362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T63" s="307"/>
      <c r="U63" s="307"/>
      <c r="V63" s="307"/>
      <c r="W63" s="307"/>
      <c r="X63" s="307"/>
      <c r="Y63" s="307"/>
      <c r="Z63" s="307"/>
      <c r="AA63" s="307"/>
      <c r="AB63" s="307"/>
      <c r="AC63" s="307"/>
      <c r="AD63" s="307"/>
      <c r="AE63" s="307"/>
      <c r="AF63" s="307"/>
      <c r="AG63" s="307"/>
      <c r="AH63" s="307"/>
      <c r="AI63" s="307"/>
      <c r="AJ63" s="307"/>
    </row>
    <row r="64" spans="1:34" ht="15" customHeight="1" hidden="1">
      <c r="A64" s="360" t="s">
        <v>417</v>
      </c>
      <c r="D64" s="308"/>
      <c r="E64" s="356"/>
      <c r="F64" s="358"/>
      <c r="G64" s="373"/>
      <c r="H64" s="308"/>
      <c r="I64" s="308"/>
      <c r="J64" s="308"/>
      <c r="K64" s="308"/>
      <c r="L64" s="308"/>
      <c r="M64" s="308"/>
      <c r="N64" s="308"/>
      <c r="O64" s="308"/>
      <c r="P64" s="308"/>
      <c r="Q64" s="308"/>
      <c r="R64" s="308"/>
      <c r="S64" s="308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</row>
    <row r="65" spans="4:36" ht="15" customHeight="1" hidden="1">
      <c r="D65" s="308"/>
      <c r="E65" s="356">
        <v>30</v>
      </c>
      <c r="F65" s="359">
        <f t="shared" si="124" ref="F65:F66">ROUND(D65/E65,2)</f>
        <v>0</v>
      </c>
      <c r="G65" s="373">
        <f>+F65</f>
        <v>0</v>
      </c>
      <c r="H65" s="308">
        <f t="shared" si="125" ref="H65:AD66">+$F65</f>
        <v>0</v>
      </c>
      <c r="I65" s="308">
        <f t="shared" si="125"/>
        <v>0</v>
      </c>
      <c r="J65" s="308">
        <f t="shared" si="125"/>
        <v>0</v>
      </c>
      <c r="K65" s="308">
        <f t="shared" si="125"/>
        <v>0</v>
      </c>
      <c r="L65" s="308">
        <f t="shared" si="125"/>
        <v>0</v>
      </c>
      <c r="M65" s="308">
        <f t="shared" si="125"/>
        <v>0</v>
      </c>
      <c r="N65" s="308">
        <f t="shared" si="125"/>
        <v>0</v>
      </c>
      <c r="O65" s="308">
        <f t="shared" si="125"/>
        <v>0</v>
      </c>
      <c r="P65" s="308">
        <f t="shared" si="125"/>
        <v>0</v>
      </c>
      <c r="Q65" s="308">
        <f t="shared" si="125"/>
        <v>0</v>
      </c>
      <c r="R65" s="308">
        <f t="shared" si="125"/>
        <v>0</v>
      </c>
      <c r="S65" s="308">
        <f t="shared" si="125"/>
        <v>0</v>
      </c>
      <c r="T65" s="308">
        <f t="shared" si="125"/>
        <v>0</v>
      </c>
      <c r="U65" s="308">
        <f t="shared" si="125"/>
        <v>0</v>
      </c>
      <c r="V65" s="308">
        <f t="shared" si="125"/>
        <v>0</v>
      </c>
      <c r="W65" s="308">
        <f t="shared" si="125"/>
        <v>0</v>
      </c>
      <c r="X65" s="308">
        <f t="shared" si="125"/>
        <v>0</v>
      </c>
      <c r="Y65" s="308">
        <f t="shared" si="125"/>
        <v>0</v>
      </c>
      <c r="Z65" s="308">
        <f t="shared" si="125"/>
        <v>0</v>
      </c>
      <c r="AA65" s="308">
        <f t="shared" si="125"/>
        <v>0</v>
      </c>
      <c r="AB65" s="308">
        <f t="shared" si="125"/>
        <v>0</v>
      </c>
      <c r="AC65" s="308">
        <f t="shared" si="125"/>
        <v>0</v>
      </c>
      <c r="AD65" s="308">
        <f t="shared" si="125"/>
        <v>0</v>
      </c>
      <c r="AE65" s="308"/>
      <c r="AF65" s="308"/>
      <c r="AG65" s="308"/>
      <c r="AH65" s="308"/>
      <c r="AI65" s="314">
        <f>SUM(G65:AH65)</f>
        <v>0</v>
      </c>
      <c r="AJ65" s="308">
        <f>+D65-AI65</f>
        <v>0</v>
      </c>
    </row>
    <row r="66" spans="1:36" ht="15" customHeight="1" hidden="1">
      <c r="A66" s="336"/>
      <c r="B66" s="176"/>
      <c r="C66" s="311"/>
      <c r="D66" s="315"/>
      <c r="E66" s="356">
        <v>30</v>
      </c>
      <c r="F66" s="359">
        <f t="shared" si="124"/>
        <v>0</v>
      </c>
      <c r="G66" s="373">
        <f>+F66</f>
        <v>0</v>
      </c>
      <c r="H66" s="308">
        <f t="shared" si="125"/>
        <v>0</v>
      </c>
      <c r="I66" s="308">
        <f t="shared" si="125"/>
        <v>0</v>
      </c>
      <c r="J66" s="308">
        <f t="shared" si="125"/>
        <v>0</v>
      </c>
      <c r="K66" s="308">
        <f t="shared" si="125"/>
        <v>0</v>
      </c>
      <c r="L66" s="308">
        <f t="shared" si="125"/>
        <v>0</v>
      </c>
      <c r="M66" s="308">
        <f t="shared" si="125"/>
        <v>0</v>
      </c>
      <c r="N66" s="308">
        <f t="shared" si="125"/>
        <v>0</v>
      </c>
      <c r="O66" s="308">
        <f t="shared" si="125"/>
        <v>0</v>
      </c>
      <c r="P66" s="308">
        <f t="shared" si="125"/>
        <v>0</v>
      </c>
      <c r="Q66" s="308">
        <f t="shared" si="125"/>
        <v>0</v>
      </c>
      <c r="R66" s="308">
        <f t="shared" si="125"/>
        <v>0</v>
      </c>
      <c r="S66" s="308">
        <f t="shared" si="125"/>
        <v>0</v>
      </c>
      <c r="T66" s="308">
        <f t="shared" si="125"/>
        <v>0</v>
      </c>
      <c r="U66" s="308">
        <f t="shared" si="125"/>
        <v>0</v>
      </c>
      <c r="V66" s="308">
        <f t="shared" si="125"/>
        <v>0</v>
      </c>
      <c r="W66" s="308">
        <f t="shared" si="125"/>
        <v>0</v>
      </c>
      <c r="X66" s="308">
        <f t="shared" si="125"/>
        <v>0</v>
      </c>
      <c r="Y66" s="308">
        <f t="shared" si="125"/>
        <v>0</v>
      </c>
      <c r="Z66" s="308">
        <f t="shared" si="125"/>
        <v>0</v>
      </c>
      <c r="AA66" s="308">
        <f t="shared" si="125"/>
        <v>0</v>
      </c>
      <c r="AB66" s="308">
        <f t="shared" si="125"/>
        <v>0</v>
      </c>
      <c r="AC66" s="308">
        <f t="shared" si="125"/>
        <v>0</v>
      </c>
      <c r="AD66" s="308">
        <f t="shared" si="125"/>
        <v>0</v>
      </c>
      <c r="AE66" s="308"/>
      <c r="AF66" s="308"/>
      <c r="AG66" s="308"/>
      <c r="AH66" s="308"/>
      <c r="AI66" s="314">
        <f>SUM(G66:AH66)</f>
        <v>0</v>
      </c>
      <c r="AJ66" s="308">
        <f>+D66-AI66</f>
        <v>0</v>
      </c>
    </row>
    <row r="67" spans="2:36" ht="15" customHeight="1" hidden="1">
      <c r="B67" s="312" t="s">
        <v>418</v>
      </c>
      <c r="D67" s="306">
        <f>SUM(D64:D66)</f>
        <v>0</v>
      </c>
      <c r="E67" s="356"/>
      <c r="F67" s="357">
        <f>SUM(F64:F66)</f>
        <v>0</v>
      </c>
      <c r="G67" s="363">
        <f>SUM(G64:G66)</f>
        <v>0</v>
      </c>
      <c r="H67" s="306">
        <f t="shared" si="126" ref="H67:J67">SUM(H64:H66)</f>
        <v>0</v>
      </c>
      <c r="I67" s="306">
        <f t="shared" si="126"/>
        <v>0</v>
      </c>
      <c r="J67" s="306">
        <f t="shared" si="126"/>
        <v>0</v>
      </c>
      <c r="K67" s="306">
        <f t="shared" si="127" ref="K67:AC67">SUM(K64:K66)</f>
        <v>0</v>
      </c>
      <c r="L67" s="306">
        <f t="shared" si="127"/>
        <v>0</v>
      </c>
      <c r="M67" s="306">
        <f t="shared" si="127"/>
        <v>0</v>
      </c>
      <c r="N67" s="306">
        <f t="shared" si="127"/>
        <v>0</v>
      </c>
      <c r="O67" s="306">
        <f t="shared" si="127"/>
        <v>0</v>
      </c>
      <c r="P67" s="306">
        <f t="shared" si="127"/>
        <v>0</v>
      </c>
      <c r="Q67" s="306">
        <f t="shared" si="127"/>
        <v>0</v>
      </c>
      <c r="R67" s="306">
        <f t="shared" si="127"/>
        <v>0</v>
      </c>
      <c r="S67" s="306">
        <f t="shared" si="127"/>
        <v>0</v>
      </c>
      <c r="T67" s="306">
        <f t="shared" si="127"/>
        <v>0</v>
      </c>
      <c r="U67" s="306">
        <f t="shared" si="127"/>
        <v>0</v>
      </c>
      <c r="V67" s="306">
        <f t="shared" si="127"/>
        <v>0</v>
      </c>
      <c r="W67" s="306">
        <f t="shared" si="127"/>
        <v>0</v>
      </c>
      <c r="X67" s="306">
        <f t="shared" si="127"/>
        <v>0</v>
      </c>
      <c r="Y67" s="306">
        <f t="shared" si="127"/>
        <v>0</v>
      </c>
      <c r="Z67" s="306">
        <f t="shared" si="127"/>
        <v>0</v>
      </c>
      <c r="AA67" s="306">
        <f t="shared" si="127"/>
        <v>0</v>
      </c>
      <c r="AB67" s="306">
        <f t="shared" si="127"/>
        <v>0</v>
      </c>
      <c r="AC67" s="306">
        <f t="shared" si="127"/>
        <v>0</v>
      </c>
      <c r="AD67" s="306">
        <f t="shared" si="128" ref="AD67">SUM(AD64:AD66)</f>
        <v>0</v>
      </c>
      <c r="AE67" s="306"/>
      <c r="AF67" s="306"/>
      <c r="AG67" s="306"/>
      <c r="AH67" s="306"/>
      <c r="AI67" s="306">
        <f t="shared" si="129" ref="AI67">SUM(AI64:AI66)</f>
        <v>0</v>
      </c>
      <c r="AJ67" s="306">
        <f t="shared" si="130" ref="AJ67">SUM(AJ64:AJ66)</f>
        <v>0</v>
      </c>
    </row>
    <row r="68" spans="1:36" ht="15" customHeight="1" hidden="1">
      <c r="A68" s="336"/>
      <c r="B68" s="312" t="s">
        <v>120</v>
      </c>
      <c r="C68" s="311"/>
      <c r="D68" s="307"/>
      <c r="E68" s="356"/>
      <c r="F68" s="362"/>
      <c r="G68" s="307">
        <f>+G67</f>
        <v>0</v>
      </c>
      <c r="H68" s="307">
        <f t="shared" si="131" ref="H68:AD68">+H67+G68</f>
        <v>0</v>
      </c>
      <c r="I68" s="307">
        <f t="shared" si="131"/>
        <v>0</v>
      </c>
      <c r="J68" s="307">
        <f t="shared" si="131"/>
        <v>0</v>
      </c>
      <c r="K68" s="307">
        <f t="shared" si="131"/>
        <v>0</v>
      </c>
      <c r="L68" s="307">
        <f t="shared" si="131"/>
        <v>0</v>
      </c>
      <c r="M68" s="307">
        <f t="shared" si="131"/>
        <v>0</v>
      </c>
      <c r="N68" s="307">
        <f t="shared" si="131"/>
        <v>0</v>
      </c>
      <c r="O68" s="307">
        <f t="shared" si="131"/>
        <v>0</v>
      </c>
      <c r="P68" s="307">
        <f t="shared" si="131"/>
        <v>0</v>
      </c>
      <c r="Q68" s="307">
        <f t="shared" si="131"/>
        <v>0</v>
      </c>
      <c r="R68" s="307">
        <f t="shared" si="131"/>
        <v>0</v>
      </c>
      <c r="S68" s="307">
        <f t="shared" si="131"/>
        <v>0</v>
      </c>
      <c r="T68" s="307">
        <f t="shared" si="131"/>
        <v>0</v>
      </c>
      <c r="U68" s="307">
        <f t="shared" si="131"/>
        <v>0</v>
      </c>
      <c r="V68" s="307">
        <f t="shared" si="131"/>
        <v>0</v>
      </c>
      <c r="W68" s="307">
        <f t="shared" si="131"/>
        <v>0</v>
      </c>
      <c r="X68" s="307">
        <f t="shared" si="131"/>
        <v>0</v>
      </c>
      <c r="Y68" s="307">
        <f t="shared" si="131"/>
        <v>0</v>
      </c>
      <c r="Z68" s="307">
        <f t="shared" si="131"/>
        <v>0</v>
      </c>
      <c r="AA68" s="307">
        <f t="shared" si="131"/>
        <v>0</v>
      </c>
      <c r="AB68" s="307">
        <f t="shared" si="131"/>
        <v>0</v>
      </c>
      <c r="AC68" s="307">
        <f t="shared" si="131"/>
        <v>0</v>
      </c>
      <c r="AD68" s="307">
        <f t="shared" si="131"/>
        <v>0</v>
      </c>
      <c r="AE68" s="307"/>
      <c r="AF68" s="307"/>
      <c r="AG68" s="307"/>
      <c r="AH68" s="307"/>
      <c r="AI68" s="307"/>
      <c r="AJ68" s="307"/>
    </row>
    <row r="69" spans="1:36" ht="15" customHeight="1">
      <c r="A69" s="336"/>
      <c r="B69" s="312"/>
      <c r="C69" s="311"/>
      <c r="D69" s="307"/>
      <c r="E69" s="356"/>
      <c r="F69" s="362"/>
      <c r="G69" s="307"/>
      <c r="H69" s="307"/>
      <c r="I69" s="307"/>
      <c r="J69" s="307"/>
      <c r="K69" s="307"/>
      <c r="L69" s="307"/>
      <c r="M69" s="307"/>
      <c r="N69" s="307"/>
      <c r="O69" s="307"/>
      <c r="P69" s="307"/>
      <c r="Q69" s="307"/>
      <c r="R69" s="307"/>
      <c r="S69" s="307"/>
      <c r="T69" s="307"/>
      <c r="U69" s="307"/>
      <c r="V69" s="307"/>
      <c r="W69" s="307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  <c r="AI69" s="307"/>
      <c r="AJ69" s="307"/>
    </row>
    <row r="70" spans="1:36" ht="15" customHeight="1">
      <c r="A70" s="336"/>
      <c r="B70" s="312"/>
      <c r="C70" s="311"/>
      <c r="D70" s="307"/>
      <c r="E70" s="356"/>
      <c r="F70" s="362"/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U70" s="307"/>
      <c r="V70" s="307"/>
      <c r="W70" s="307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  <c r="AI70" s="307"/>
      <c r="AJ70" s="307"/>
    </row>
    <row r="71" spans="1:36" ht="15" customHeight="1">
      <c r="A71" s="360" t="s">
        <v>522</v>
      </c>
      <c r="B71" s="316"/>
      <c r="D71" s="308"/>
      <c r="E71" s="356"/>
      <c r="F71" s="362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307"/>
      <c r="W71" s="307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  <c r="AI71" s="307"/>
      <c r="AJ71" s="307"/>
    </row>
    <row r="72" spans="1:36" ht="15" customHeight="1">
      <c r="A72" s="360"/>
      <c r="B72" s="440" t="s">
        <v>523</v>
      </c>
      <c r="D72" s="308">
        <v>2000</v>
      </c>
      <c r="E72" s="356">
        <v>6</v>
      </c>
      <c r="F72" s="359">
        <f t="shared" si="132" ref="F72:F75">ROUND(D72/E72,2)</f>
        <v>333.33</v>
      </c>
      <c r="G72" s="373">
        <f>+F72</f>
        <v>333.33</v>
      </c>
      <c r="H72" s="308">
        <f t="shared" si="133" ref="H72:U75">+$F72</f>
        <v>333.33</v>
      </c>
      <c r="I72" s="308">
        <f t="shared" si="133"/>
        <v>333.33</v>
      </c>
      <c r="J72" s="308">
        <f t="shared" si="133"/>
        <v>333.33</v>
      </c>
      <c r="K72" s="308">
        <f t="shared" si="133"/>
        <v>333.33</v>
      </c>
      <c r="L72" s="308">
        <f t="shared" si="133"/>
        <v>333.33</v>
      </c>
      <c r="M72" s="308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308"/>
      <c r="AC72" s="308"/>
      <c r="AD72" s="308"/>
      <c r="AE72" s="308"/>
      <c r="AF72" s="308"/>
      <c r="AG72" s="308"/>
      <c r="AH72" s="308"/>
      <c r="AI72" s="314">
        <f>SUM(G72:AH72)</f>
        <v>1999.9799999999998</v>
      </c>
      <c r="AJ72" s="308">
        <f>+D72-AI72</f>
        <v>0.020000000000209184</v>
      </c>
    </row>
    <row r="73" spans="1:36" ht="15" customHeight="1">
      <c r="A73" s="360"/>
      <c r="B73" s="629" t="s">
        <v>686</v>
      </c>
      <c r="D73" s="308">
        <f>-D72</f>
        <v>-2000</v>
      </c>
      <c r="E73" s="356"/>
      <c r="F73" s="359"/>
      <c r="G73" s="373"/>
      <c r="H73" s="308"/>
      <c r="I73" s="308"/>
      <c r="J73" s="308"/>
      <c r="K73" s="308"/>
      <c r="L73" s="308"/>
      <c r="M73" s="308">
        <f>+D73</f>
        <v>-2000</v>
      </c>
      <c r="N73" s="308"/>
      <c r="O73" s="308"/>
      <c r="P73" s="308"/>
      <c r="Q73" s="308"/>
      <c r="R73" s="308"/>
      <c r="S73" s="308"/>
      <c r="T73" s="308"/>
      <c r="U73" s="308"/>
      <c r="V73" s="308"/>
      <c r="W73" s="308"/>
      <c r="X73" s="308"/>
      <c r="Y73" s="308"/>
      <c r="Z73" s="308"/>
      <c r="AA73" s="308"/>
      <c r="AB73" s="308"/>
      <c r="AC73" s="308"/>
      <c r="AD73" s="308"/>
      <c r="AE73" s="308"/>
      <c r="AF73" s="308"/>
      <c r="AG73" s="308"/>
      <c r="AH73" s="308"/>
      <c r="AI73" s="314">
        <f t="shared" si="134" ref="AI73:AI75">SUM(G73:AH73)</f>
        <v>-2000</v>
      </c>
      <c r="AJ73" s="308"/>
    </row>
    <row r="74" spans="1:36" ht="15" customHeight="1">
      <c r="A74" s="360"/>
      <c r="B74" s="621" t="s">
        <v>683</v>
      </c>
      <c r="D74" s="308">
        <v>2000</v>
      </c>
      <c r="E74" s="356">
        <v>6</v>
      </c>
      <c r="F74" s="359">
        <f t="shared" si="132"/>
        <v>333.33</v>
      </c>
      <c r="G74" s="373"/>
      <c r="H74" s="308"/>
      <c r="I74" s="308"/>
      <c r="J74" s="308"/>
      <c r="K74" s="308"/>
      <c r="L74" s="308"/>
      <c r="M74" s="308">
        <f t="shared" si="133"/>
        <v>333.33</v>
      </c>
      <c r="N74" s="308">
        <f t="shared" si="133"/>
        <v>333.33</v>
      </c>
      <c r="O74" s="308">
        <f t="shared" si="133"/>
        <v>333.33</v>
      </c>
      <c r="P74" s="308">
        <f t="shared" si="133"/>
        <v>333.33</v>
      </c>
      <c r="Q74" s="308">
        <f t="shared" si="133"/>
        <v>333.33</v>
      </c>
      <c r="R74" s="308">
        <f t="shared" si="133"/>
        <v>333.33</v>
      </c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08"/>
      <c r="AF74" s="308"/>
      <c r="AG74" s="308"/>
      <c r="AH74" s="308"/>
      <c r="AI74" s="314">
        <f t="shared" si="134"/>
        <v>1999.9799999999998</v>
      </c>
      <c r="AJ74" s="308"/>
    </row>
    <row r="75" spans="1:36" ht="15" customHeight="1">
      <c r="A75" s="360"/>
      <c r="B75" s="439" t="s">
        <v>524</v>
      </c>
      <c r="C75" s="311"/>
      <c r="D75" s="305">
        <f>2000+1000</f>
        <v>3000</v>
      </c>
      <c r="E75" s="356">
        <v>15</v>
      </c>
      <c r="F75" s="359">
        <f t="shared" si="132"/>
        <v>200</v>
      </c>
      <c r="G75" s="373">
        <f>+F75</f>
        <v>200</v>
      </c>
      <c r="H75" s="308">
        <f t="shared" si="133"/>
        <v>200</v>
      </c>
      <c r="I75" s="308">
        <f t="shared" si="133"/>
        <v>200</v>
      </c>
      <c r="J75" s="308">
        <f t="shared" si="133"/>
        <v>200</v>
      </c>
      <c r="K75" s="308">
        <f t="shared" si="133"/>
        <v>200</v>
      </c>
      <c r="L75" s="308">
        <f t="shared" si="133"/>
        <v>200</v>
      </c>
      <c r="M75" s="308">
        <f t="shared" si="133"/>
        <v>200</v>
      </c>
      <c r="N75" s="308">
        <f t="shared" si="133"/>
        <v>200</v>
      </c>
      <c r="O75" s="308">
        <f t="shared" si="133"/>
        <v>200</v>
      </c>
      <c r="P75" s="308">
        <f t="shared" si="133"/>
        <v>200</v>
      </c>
      <c r="Q75" s="308">
        <f t="shared" si="133"/>
        <v>200</v>
      </c>
      <c r="R75" s="308">
        <f t="shared" si="133"/>
        <v>200</v>
      </c>
      <c r="S75" s="308">
        <f t="shared" si="133"/>
        <v>200</v>
      </c>
      <c r="T75" s="308">
        <f t="shared" si="133"/>
        <v>200</v>
      </c>
      <c r="U75" s="308">
        <f t="shared" si="133"/>
        <v>200</v>
      </c>
      <c r="V75" s="308"/>
      <c r="W75" s="308"/>
      <c r="X75" s="308"/>
      <c r="Y75" s="308"/>
      <c r="Z75" s="308"/>
      <c r="AA75" s="308"/>
      <c r="AB75" s="308"/>
      <c r="AC75" s="308"/>
      <c r="AD75" s="308"/>
      <c r="AE75" s="308"/>
      <c r="AF75" s="308"/>
      <c r="AG75" s="308"/>
      <c r="AH75" s="308"/>
      <c r="AI75" s="314">
        <f t="shared" si="134"/>
        <v>3000</v>
      </c>
      <c r="AJ75" s="308">
        <f>+D75-AI75</f>
        <v>0</v>
      </c>
    </row>
    <row r="76" spans="1:36" ht="15" customHeight="1">
      <c r="A76" s="360"/>
      <c r="B76" s="317"/>
      <c r="D76" s="308"/>
      <c r="E76" s="356"/>
      <c r="F76" s="359"/>
      <c r="G76" s="308"/>
      <c r="AJ76" s="308"/>
    </row>
    <row r="77" spans="1:38" ht="15" customHeight="1">
      <c r="A77" s="360"/>
      <c r="B77" s="459" t="s">
        <v>538</v>
      </c>
      <c r="D77" s="306">
        <f>SUM(D72:D76)</f>
        <v>5000</v>
      </c>
      <c r="E77" s="637"/>
      <c r="F77" s="357">
        <f>SUM(F72:F76)</f>
        <v>866.66</v>
      </c>
      <c r="G77" s="363">
        <f t="shared" si="135" ref="G77:AJ77">SUM(G72:G76)</f>
        <v>533.32999999999993</v>
      </c>
      <c r="H77" s="306">
        <f t="shared" si="135"/>
        <v>533.32999999999993</v>
      </c>
      <c r="I77" s="306">
        <f t="shared" si="135"/>
        <v>533.32999999999993</v>
      </c>
      <c r="J77" s="306">
        <f t="shared" si="135"/>
        <v>533.32999999999993</v>
      </c>
      <c r="K77" s="306">
        <f t="shared" si="136" ref="K77:AC77">SUM(K72:K76)</f>
        <v>533.32999999999993</v>
      </c>
      <c r="L77" s="306">
        <f t="shared" si="136"/>
        <v>533.32999999999993</v>
      </c>
      <c r="M77" s="306">
        <f t="shared" si="136"/>
        <v>-1466.67</v>
      </c>
      <c r="N77" s="306">
        <f t="shared" si="136"/>
        <v>533.32999999999993</v>
      </c>
      <c r="O77" s="306">
        <f t="shared" si="136"/>
        <v>533.32999999999993</v>
      </c>
      <c r="P77" s="306">
        <f t="shared" si="136"/>
        <v>533.32999999999993</v>
      </c>
      <c r="Q77" s="306">
        <f t="shared" si="136"/>
        <v>533.32999999999993</v>
      </c>
      <c r="R77" s="306">
        <f t="shared" si="136"/>
        <v>533.32999999999993</v>
      </c>
      <c r="S77" s="306">
        <f t="shared" si="136"/>
        <v>200</v>
      </c>
      <c r="T77" s="306">
        <f t="shared" si="136"/>
        <v>200</v>
      </c>
      <c r="U77" s="306">
        <f t="shared" si="136"/>
        <v>200</v>
      </c>
      <c r="V77" s="306">
        <f t="shared" si="136"/>
        <v>0</v>
      </c>
      <c r="W77" s="306">
        <f t="shared" si="136"/>
        <v>0</v>
      </c>
      <c r="X77" s="306">
        <f t="shared" si="136"/>
        <v>0</v>
      </c>
      <c r="Y77" s="306">
        <f t="shared" si="136"/>
        <v>0</v>
      </c>
      <c r="Z77" s="306">
        <f t="shared" si="136"/>
        <v>0</v>
      </c>
      <c r="AA77" s="306">
        <f t="shared" si="136"/>
        <v>0</v>
      </c>
      <c r="AB77" s="306">
        <f t="shared" si="136"/>
        <v>0</v>
      </c>
      <c r="AC77" s="306">
        <f t="shared" si="136"/>
        <v>0</v>
      </c>
      <c r="AD77" s="306">
        <f t="shared" si="137" ref="AD77">SUM(AD72:AD76)</f>
        <v>0</v>
      </c>
      <c r="AE77" s="306"/>
      <c r="AF77" s="306"/>
      <c r="AG77" s="306"/>
      <c r="AH77" s="306"/>
      <c r="AI77" s="306">
        <f t="shared" si="135"/>
        <v>4999.9599999999991</v>
      </c>
      <c r="AJ77" s="306">
        <f t="shared" si="135"/>
        <v>0.020000000000209184</v>
      </c>
      <c r="AL77" s="314">
        <f>+AI77+AJ77</f>
        <v>4999.9799999999996</v>
      </c>
    </row>
    <row r="78" spans="1:36" ht="15" customHeight="1">
      <c r="A78" s="336"/>
      <c r="B78" s="312" t="s">
        <v>120</v>
      </c>
      <c r="C78" s="311"/>
      <c r="D78" s="307"/>
      <c r="E78" s="356"/>
      <c r="F78" s="362"/>
      <c r="G78" s="307">
        <f>+G77</f>
        <v>533.32999999999993</v>
      </c>
      <c r="H78" s="307">
        <f>+H77+G78</f>
        <v>1066.6599999999999</v>
      </c>
      <c r="I78" s="307">
        <f t="shared" si="138" ref="I78">+I77+H78</f>
        <v>1599.9899999999998</v>
      </c>
      <c r="J78" s="307">
        <f t="shared" si="139" ref="J78">+J77+I78</f>
        <v>2133.3199999999997</v>
      </c>
      <c r="K78" s="307">
        <f t="shared" si="140" ref="K78">+K77+J78</f>
        <v>2666.6499999999996</v>
      </c>
      <c r="L78" s="307">
        <f t="shared" si="141" ref="L78">+L77+K78</f>
        <v>3199.9799999999996</v>
      </c>
      <c r="M78" s="307">
        <f t="shared" si="142" ref="M78">+M77+L78</f>
        <v>1733.3099999999995</v>
      </c>
      <c r="N78" s="307">
        <f t="shared" si="143" ref="N78">+N77+M78</f>
        <v>2266.6399999999994</v>
      </c>
      <c r="O78" s="307">
        <f t="shared" si="144" ref="O78">+O77+N78</f>
        <v>2799.9699999999993</v>
      </c>
      <c r="P78" s="307">
        <f t="shared" si="145" ref="P78">+P77+O78</f>
        <v>3333.2999999999993</v>
      </c>
      <c r="Q78" s="307">
        <f t="shared" si="146" ref="Q78">+Q77+P78</f>
        <v>3866.6299999999992</v>
      </c>
      <c r="R78" s="307">
        <f t="shared" si="147" ref="R78">+R77+Q78</f>
        <v>4399.9599999999991</v>
      </c>
      <c r="S78" s="307">
        <f t="shared" si="148" ref="S78">+S77+R78</f>
        <v>4599.9599999999991</v>
      </c>
      <c r="T78" s="307">
        <f t="shared" si="149" ref="T78">+T77+S78</f>
        <v>4799.9599999999991</v>
      </c>
      <c r="U78" s="307">
        <f t="shared" si="150" ref="U78">+U77+T78</f>
        <v>4999.9599999999991</v>
      </c>
      <c r="V78" s="307">
        <f t="shared" si="151" ref="V78">+V77+U78</f>
        <v>4999.9599999999991</v>
      </c>
      <c r="W78" s="307">
        <f t="shared" si="152" ref="W78">+W77+V78</f>
        <v>4999.9599999999991</v>
      </c>
      <c r="X78" s="307">
        <f t="shared" si="153" ref="X78">+X77+W78</f>
        <v>4999.9599999999991</v>
      </c>
      <c r="Y78" s="307">
        <f t="shared" si="154" ref="Y78">+Y77+X78</f>
        <v>4999.9599999999991</v>
      </c>
      <c r="Z78" s="307">
        <f t="shared" si="155" ref="Z78">+Z77+Y78</f>
        <v>4999.9599999999991</v>
      </c>
      <c r="AA78" s="307">
        <f t="shared" si="156" ref="AA78">+AA77+Z78</f>
        <v>4999.9599999999991</v>
      </c>
      <c r="AB78" s="307">
        <f t="shared" si="157" ref="AB78">+AB77+AA78</f>
        <v>4999.9599999999991</v>
      </c>
      <c r="AC78" s="307">
        <f t="shared" si="158" ref="AC78">+AC77+AB78</f>
        <v>4999.9599999999991</v>
      </c>
      <c r="AD78" s="307">
        <f t="shared" si="159" ref="AD78">+AD77+AC78</f>
        <v>4999.9599999999991</v>
      </c>
      <c r="AE78" s="307"/>
      <c r="AF78" s="307"/>
      <c r="AG78" s="307"/>
      <c r="AH78" s="307"/>
      <c r="AI78" s="307"/>
      <c r="AJ78" s="307"/>
    </row>
    <row r="79" spans="1:36" ht="15" customHeight="1">
      <c r="A79" s="336"/>
      <c r="B79" s="312"/>
      <c r="C79" s="311"/>
      <c r="D79" s="307"/>
      <c r="E79" s="356"/>
      <c r="F79" s="362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</row>
    <row r="80" spans="1:36" ht="15" customHeight="1">
      <c r="A80" s="360" t="s">
        <v>437</v>
      </c>
      <c r="B80" s="316"/>
      <c r="D80" s="308"/>
      <c r="E80" s="356"/>
      <c r="F80" s="362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</row>
    <row r="81" spans="1:36" ht="15" customHeight="1">
      <c r="A81" s="360"/>
      <c r="B81" s="440" t="s">
        <v>515</v>
      </c>
      <c r="D81" s="308">
        <v>100000</v>
      </c>
      <c r="E81" s="356">
        <v>6</v>
      </c>
      <c r="F81" s="359">
        <f t="shared" si="160" ref="F81:F82">ROUND(D81/E81,2)</f>
        <v>16666.669999999998</v>
      </c>
      <c r="G81" s="373">
        <f>+F81</f>
        <v>16666.669999999998</v>
      </c>
      <c r="H81" s="308">
        <f t="shared" si="161" ref="H81:R89">+$F81</f>
        <v>16666.669999999998</v>
      </c>
      <c r="I81" s="308">
        <f t="shared" si="161"/>
        <v>16666.669999999998</v>
      </c>
      <c r="J81" s="308">
        <f t="shared" si="161"/>
        <v>16666.669999999998</v>
      </c>
      <c r="K81" s="308">
        <f t="shared" si="161"/>
        <v>16666.669999999998</v>
      </c>
      <c r="L81" s="308">
        <f t="shared" si="161"/>
        <v>16666.669999999998</v>
      </c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14">
        <f>SUM(G81:AH81)</f>
        <v>100000.01999999999</v>
      </c>
      <c r="AJ81" s="308">
        <f>+D81-AI81</f>
        <v>-0.019999999989522621</v>
      </c>
    </row>
    <row r="82" spans="1:36" ht="15" customHeight="1">
      <c r="A82" s="360"/>
      <c r="B82" s="440" t="s">
        <v>516</v>
      </c>
      <c r="D82" s="308">
        <v>40000</v>
      </c>
      <c r="E82" s="356">
        <v>6</v>
      </c>
      <c r="F82" s="359">
        <f t="shared" si="160"/>
        <v>6666.67</v>
      </c>
      <c r="G82" s="373">
        <f>+F82</f>
        <v>6666.67</v>
      </c>
      <c r="H82" s="308">
        <f t="shared" si="161"/>
        <v>6666.67</v>
      </c>
      <c r="I82" s="308">
        <f t="shared" si="161"/>
        <v>6666.67</v>
      </c>
      <c r="J82" s="308">
        <f t="shared" si="161"/>
        <v>6666.67</v>
      </c>
      <c r="K82" s="308">
        <f t="shared" si="161"/>
        <v>6666.67</v>
      </c>
      <c r="L82" s="308">
        <f t="shared" si="161"/>
        <v>6666.67</v>
      </c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14">
        <f>SUM(G82:AH82)</f>
        <v>40000.019999999997</v>
      </c>
      <c r="AJ82" s="308">
        <f>+D82-AI82</f>
        <v>-0.019999999996798579</v>
      </c>
    </row>
    <row r="83" spans="1:36" ht="15" customHeight="1">
      <c r="A83" s="360"/>
      <c r="B83" s="439" t="s">
        <v>518</v>
      </c>
      <c r="C83" s="311"/>
      <c r="D83" s="305">
        <v>10000</v>
      </c>
      <c r="E83" s="356">
        <v>6</v>
      </c>
      <c r="F83" s="359">
        <f t="shared" si="162" ref="F83">ROUND(D83/E83,2)</f>
        <v>1666.67</v>
      </c>
      <c r="G83" s="373">
        <f>+F83</f>
        <v>1666.67</v>
      </c>
      <c r="H83" s="308">
        <f t="shared" si="161"/>
        <v>1666.67</v>
      </c>
      <c r="I83" s="308">
        <f t="shared" si="161"/>
        <v>1666.67</v>
      </c>
      <c r="J83" s="308">
        <f t="shared" si="161"/>
        <v>1666.67</v>
      </c>
      <c r="K83" s="308">
        <f t="shared" si="161"/>
        <v>1666.67</v>
      </c>
      <c r="L83" s="308">
        <f t="shared" si="161"/>
        <v>1666.67</v>
      </c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14">
        <f>SUM(G83:AH83)</f>
        <v>10000.02</v>
      </c>
      <c r="AJ83" s="308">
        <f>+D83-AI83</f>
        <v>-0.020000000000436557</v>
      </c>
    </row>
    <row r="84" spans="1:36" ht="15" customHeight="1">
      <c r="A84" s="360"/>
      <c r="B84" s="439" t="s">
        <v>528</v>
      </c>
      <c r="D84" s="314">
        <v>30000</v>
      </c>
      <c r="E84" s="356">
        <v>6</v>
      </c>
      <c r="F84" s="359">
        <f t="shared" si="163" ref="F84:F89">ROUND(D84/E84,2)</f>
        <v>5000</v>
      </c>
      <c r="G84" s="373">
        <f>+F84</f>
        <v>5000</v>
      </c>
      <c r="H84" s="308">
        <f t="shared" si="161"/>
        <v>5000</v>
      </c>
      <c r="I84" s="308">
        <f t="shared" si="161"/>
        <v>5000</v>
      </c>
      <c r="J84" s="308">
        <f t="shared" si="161"/>
        <v>5000</v>
      </c>
      <c r="K84" s="308">
        <f t="shared" si="161"/>
        <v>5000</v>
      </c>
      <c r="L84" s="308">
        <f t="shared" si="161"/>
        <v>5000</v>
      </c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14">
        <f>SUM(G84:AH84)</f>
        <v>30000</v>
      </c>
      <c r="AJ84" s="308">
        <f>+D84-AI84</f>
        <v>0</v>
      </c>
    </row>
    <row r="85" spans="1:36" ht="15" customHeight="1">
      <c r="A85" s="360"/>
      <c r="B85" s="629" t="s">
        <v>686</v>
      </c>
      <c r="D85" s="314">
        <f>-SUM(D81:D84)</f>
        <v>-180000</v>
      </c>
      <c r="E85" s="356"/>
      <c r="F85" s="359"/>
      <c r="G85" s="373"/>
      <c r="H85" s="308"/>
      <c r="I85" s="308"/>
      <c r="J85" s="308"/>
      <c r="K85" s="308"/>
      <c r="L85" s="308"/>
      <c r="M85" s="308">
        <f>+D85</f>
        <v>-180000</v>
      </c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14">
        <f>SUM(G85:AH85)</f>
        <v>-180000</v>
      </c>
      <c r="AJ85" s="308"/>
    </row>
    <row r="86" spans="1:36" ht="15" customHeight="1">
      <c r="A86" s="360"/>
      <c r="B86" s="622" t="s">
        <v>679</v>
      </c>
      <c r="D86" s="308">
        <v>100000</v>
      </c>
      <c r="E86" s="356">
        <v>6</v>
      </c>
      <c r="F86" s="359">
        <f t="shared" si="163"/>
        <v>16666.669999999998</v>
      </c>
      <c r="G86" s="373"/>
      <c r="H86" s="308"/>
      <c r="I86" s="308"/>
      <c r="J86" s="308"/>
      <c r="K86" s="308"/>
      <c r="L86" s="308"/>
      <c r="M86" s="308">
        <f t="shared" si="161"/>
        <v>16666.669999999998</v>
      </c>
      <c r="N86" s="308">
        <f t="shared" si="161"/>
        <v>16666.669999999998</v>
      </c>
      <c r="O86" s="308">
        <f t="shared" si="161"/>
        <v>16666.669999999998</v>
      </c>
      <c r="P86" s="308">
        <f t="shared" si="161"/>
        <v>16666.669999999998</v>
      </c>
      <c r="Q86" s="308">
        <f t="shared" si="161"/>
        <v>16666.669999999998</v>
      </c>
      <c r="R86" s="308">
        <f t="shared" si="161"/>
        <v>16666.669999999998</v>
      </c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14">
        <f t="shared" si="164" ref="AI86:AI89">SUM(G86:AH86)</f>
        <v>100000.01999999999</v>
      </c>
      <c r="AJ86" s="308"/>
    </row>
    <row r="87" spans="1:36" ht="15" customHeight="1">
      <c r="A87" s="360"/>
      <c r="B87" s="622" t="s">
        <v>680</v>
      </c>
      <c r="D87" s="308">
        <v>40000</v>
      </c>
      <c r="E87" s="356">
        <v>6</v>
      </c>
      <c r="F87" s="359">
        <f t="shared" si="163"/>
        <v>6666.67</v>
      </c>
      <c r="G87" s="373"/>
      <c r="H87" s="308"/>
      <c r="I87" s="308"/>
      <c r="J87" s="308"/>
      <c r="K87" s="308"/>
      <c r="L87" s="308"/>
      <c r="M87" s="308">
        <f t="shared" si="161"/>
        <v>6666.67</v>
      </c>
      <c r="N87" s="308">
        <f t="shared" si="161"/>
        <v>6666.67</v>
      </c>
      <c r="O87" s="308">
        <f t="shared" si="161"/>
        <v>6666.67</v>
      </c>
      <c r="P87" s="308">
        <f t="shared" si="161"/>
        <v>6666.67</v>
      </c>
      <c r="Q87" s="308">
        <f t="shared" si="161"/>
        <v>6666.67</v>
      </c>
      <c r="R87" s="308">
        <f t="shared" si="161"/>
        <v>6666.67</v>
      </c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14">
        <f t="shared" si="164"/>
        <v>40000.019999999997</v>
      </c>
      <c r="AJ87" s="308"/>
    </row>
    <row r="88" spans="1:36" ht="15" customHeight="1">
      <c r="A88" s="360"/>
      <c r="B88" s="623" t="s">
        <v>681</v>
      </c>
      <c r="D88" s="305">
        <v>10000</v>
      </c>
      <c r="E88" s="356">
        <v>6</v>
      </c>
      <c r="F88" s="359">
        <f t="shared" si="163"/>
        <v>1666.67</v>
      </c>
      <c r="G88" s="373"/>
      <c r="H88" s="308"/>
      <c r="I88" s="308"/>
      <c r="J88" s="308"/>
      <c r="K88" s="308"/>
      <c r="L88" s="308"/>
      <c r="M88" s="308">
        <f t="shared" si="161"/>
        <v>1666.67</v>
      </c>
      <c r="N88" s="308">
        <f t="shared" si="161"/>
        <v>1666.67</v>
      </c>
      <c r="O88" s="308">
        <f t="shared" si="161"/>
        <v>1666.67</v>
      </c>
      <c r="P88" s="308">
        <f t="shared" si="161"/>
        <v>1666.67</v>
      </c>
      <c r="Q88" s="308">
        <f t="shared" si="161"/>
        <v>1666.67</v>
      </c>
      <c r="R88" s="308">
        <f t="shared" si="161"/>
        <v>1666.67</v>
      </c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14">
        <f t="shared" si="164"/>
        <v>10000.02</v>
      </c>
      <c r="AJ88" s="308"/>
    </row>
    <row r="89" spans="1:36" ht="15" customHeight="1">
      <c r="A89" s="360"/>
      <c r="B89" s="623" t="s">
        <v>682</v>
      </c>
      <c r="D89" s="314">
        <v>30000</v>
      </c>
      <c r="E89" s="356">
        <v>6</v>
      </c>
      <c r="F89" s="359">
        <f t="shared" si="163"/>
        <v>5000</v>
      </c>
      <c r="G89" s="373"/>
      <c r="H89" s="308"/>
      <c r="I89" s="308"/>
      <c r="J89" s="308"/>
      <c r="K89" s="308"/>
      <c r="L89" s="308"/>
      <c r="M89" s="308">
        <f t="shared" si="161"/>
        <v>5000</v>
      </c>
      <c r="N89" s="308">
        <f t="shared" si="161"/>
        <v>5000</v>
      </c>
      <c r="O89" s="308">
        <f t="shared" si="161"/>
        <v>5000</v>
      </c>
      <c r="P89" s="308">
        <f t="shared" si="161"/>
        <v>5000</v>
      </c>
      <c r="Q89" s="308">
        <f t="shared" si="161"/>
        <v>5000</v>
      </c>
      <c r="R89" s="308">
        <f t="shared" si="161"/>
        <v>5000</v>
      </c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14">
        <f t="shared" si="164"/>
        <v>30000</v>
      </c>
      <c r="AJ89" s="308"/>
    </row>
    <row r="90" spans="1:38" ht="15" customHeight="1">
      <c r="A90" s="360"/>
      <c r="B90" s="318" t="s">
        <v>436</v>
      </c>
      <c r="D90" s="306">
        <f>SUM(D81:D89)</f>
        <v>180000</v>
      </c>
      <c r="E90" s="637"/>
      <c r="F90" s="357">
        <f>SUM(F81:F89)</f>
        <v>60000.01999999999</v>
      </c>
      <c r="G90" s="363">
        <f>SUM(G81:G89)</f>
        <v>30000.009999999995</v>
      </c>
      <c r="H90" s="306">
        <f t="shared" si="165" ref="H90:AD90">SUM(H81:H89)</f>
        <v>30000.009999999995</v>
      </c>
      <c r="I90" s="306">
        <f t="shared" si="165"/>
        <v>30000.009999999995</v>
      </c>
      <c r="J90" s="306">
        <f t="shared" si="165"/>
        <v>30000.009999999995</v>
      </c>
      <c r="K90" s="306">
        <f t="shared" si="165"/>
        <v>30000.009999999995</v>
      </c>
      <c r="L90" s="306">
        <f t="shared" si="165"/>
        <v>30000.009999999995</v>
      </c>
      <c r="M90" s="306">
        <f t="shared" si="165"/>
        <v>-149999.99</v>
      </c>
      <c r="N90" s="306">
        <f t="shared" si="165"/>
        <v>30000.009999999995</v>
      </c>
      <c r="O90" s="306">
        <f t="shared" si="165"/>
        <v>30000.009999999995</v>
      </c>
      <c r="P90" s="306">
        <f t="shared" si="165"/>
        <v>30000.009999999995</v>
      </c>
      <c r="Q90" s="306">
        <f t="shared" si="165"/>
        <v>30000.009999999995</v>
      </c>
      <c r="R90" s="306">
        <f t="shared" si="165"/>
        <v>30000.009999999995</v>
      </c>
      <c r="S90" s="306">
        <f t="shared" si="165"/>
        <v>0</v>
      </c>
      <c r="T90" s="306">
        <f t="shared" si="165"/>
        <v>0</v>
      </c>
      <c r="U90" s="306">
        <f t="shared" si="165"/>
        <v>0</v>
      </c>
      <c r="V90" s="306">
        <f t="shared" si="165"/>
        <v>0</v>
      </c>
      <c r="W90" s="306">
        <f t="shared" si="165"/>
        <v>0</v>
      </c>
      <c r="X90" s="306">
        <f t="shared" si="165"/>
        <v>0</v>
      </c>
      <c r="Y90" s="306">
        <f t="shared" si="165"/>
        <v>0</v>
      </c>
      <c r="Z90" s="306">
        <f t="shared" si="165"/>
        <v>0</v>
      </c>
      <c r="AA90" s="306">
        <f t="shared" si="165"/>
        <v>0</v>
      </c>
      <c r="AB90" s="306">
        <f t="shared" si="165"/>
        <v>0</v>
      </c>
      <c r="AC90" s="306">
        <f t="shared" si="165"/>
        <v>0</v>
      </c>
      <c r="AD90" s="306">
        <f t="shared" si="165"/>
        <v>0</v>
      </c>
      <c r="AE90" s="306"/>
      <c r="AF90" s="306"/>
      <c r="AG90" s="306"/>
      <c r="AH90" s="306"/>
      <c r="AI90" s="306">
        <f>SUM(AI81:AI89)</f>
        <v>180000.11999999994</v>
      </c>
      <c r="AJ90" s="306">
        <f t="shared" si="166" ref="AJ90">SUM(AJ81:AJ84)</f>
        <v>-0.059999999986757757</v>
      </c>
      <c r="AL90" s="314">
        <f>+AI90+AJ90</f>
        <v>180000.05999999994</v>
      </c>
    </row>
    <row r="91" spans="1:36" ht="15" customHeight="1">
      <c r="A91" s="336"/>
      <c r="B91" s="312" t="s">
        <v>120</v>
      </c>
      <c r="C91" s="311"/>
      <c r="D91" s="307"/>
      <c r="E91" s="356"/>
      <c r="F91" s="362"/>
      <c r="G91" s="307">
        <f>+G90</f>
        <v>30000.009999999995</v>
      </c>
      <c r="H91" s="307">
        <f>+H90+G91</f>
        <v>60000.01999999999</v>
      </c>
      <c r="I91" s="307">
        <f t="shared" si="167" ref="I91">+I90+H91</f>
        <v>90000.029999999984</v>
      </c>
      <c r="J91" s="307">
        <f t="shared" si="168" ref="J91">+J90+I91</f>
        <v>120000.03999999998</v>
      </c>
      <c r="K91" s="307">
        <f t="shared" si="169" ref="K91">+K90+J91</f>
        <v>150000.04999999999</v>
      </c>
      <c r="L91" s="307">
        <f t="shared" si="170" ref="L91">+L90+K91</f>
        <v>180000.06</v>
      </c>
      <c r="M91" s="307">
        <f t="shared" si="171" ref="M91">+M90+L91</f>
        <v>30000.070000000007</v>
      </c>
      <c r="N91" s="307">
        <f t="shared" si="172" ref="N91">+N90+M91</f>
        <v>60000.08</v>
      </c>
      <c r="O91" s="307">
        <f t="shared" si="173" ref="O91">+O90+N91</f>
        <v>90000.09</v>
      </c>
      <c r="P91" s="307">
        <f t="shared" si="174" ref="P91">+P90+O91</f>
        <v>120000.09999999999</v>
      </c>
      <c r="Q91" s="307">
        <f t="shared" si="175" ref="Q91">+Q90+P91</f>
        <v>150000.10999999999</v>
      </c>
      <c r="R91" s="307">
        <f t="shared" si="176" ref="R91">+R90+Q91</f>
        <v>180000.12</v>
      </c>
      <c r="S91" s="307">
        <f t="shared" si="177" ref="S91">+S90+R91</f>
        <v>180000.12</v>
      </c>
      <c r="T91" s="307">
        <f t="shared" si="178" ref="T91">+T90+S91</f>
        <v>180000.12</v>
      </c>
      <c r="U91" s="307">
        <f t="shared" si="179" ref="U91">+U90+T91</f>
        <v>180000.12</v>
      </c>
      <c r="V91" s="307">
        <f t="shared" si="180" ref="V91">+V90+U91</f>
        <v>180000.12</v>
      </c>
      <c r="W91" s="307">
        <f t="shared" si="181" ref="W91">+W90+V91</f>
        <v>180000.12</v>
      </c>
      <c r="X91" s="307">
        <f t="shared" si="182" ref="X91">+X90+W91</f>
        <v>180000.12</v>
      </c>
      <c r="Y91" s="307">
        <f t="shared" si="183" ref="Y91">+Y90+X91</f>
        <v>180000.12</v>
      </c>
      <c r="Z91" s="307">
        <f t="shared" si="184" ref="Z91">+Z90+Y91</f>
        <v>180000.12</v>
      </c>
      <c r="AA91" s="307">
        <f t="shared" si="185" ref="AA91">+AA90+Z91</f>
        <v>180000.12</v>
      </c>
      <c r="AB91" s="307">
        <f t="shared" si="186" ref="AB91">+AB90+AA91</f>
        <v>180000.12</v>
      </c>
      <c r="AC91" s="307">
        <f t="shared" si="187" ref="AC91">+AC90+AB91</f>
        <v>180000.12</v>
      </c>
      <c r="AD91" s="307">
        <f t="shared" si="188" ref="AD91">+AD90+AC91</f>
        <v>180000.12</v>
      </c>
      <c r="AE91" s="307"/>
      <c r="AF91" s="307"/>
      <c r="AG91" s="307"/>
      <c r="AH91" s="307"/>
      <c r="AI91" s="307"/>
      <c r="AJ91" s="307"/>
    </row>
    <row r="92" spans="1:36" ht="15" customHeight="1">
      <c r="A92" s="336"/>
      <c r="B92" s="312"/>
      <c r="C92" s="311"/>
      <c r="D92" s="307"/>
      <c r="E92" s="356"/>
      <c r="F92" s="362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</row>
    <row r="93" spans="1:34" ht="15" customHeight="1">
      <c r="A93" s="360" t="s">
        <v>520</v>
      </c>
      <c r="B93" s="176"/>
      <c r="C93" s="319"/>
      <c r="E93" s="356"/>
      <c r="F93" s="358"/>
      <c r="G93" s="373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</row>
    <row r="94" spans="1:36" ht="15" customHeight="1">
      <c r="A94" s="336"/>
      <c r="B94" s="439" t="s">
        <v>521</v>
      </c>
      <c r="C94" s="319"/>
      <c r="D94" s="314">
        <v>50000</v>
      </c>
      <c r="E94" s="356">
        <v>16</v>
      </c>
      <c r="F94" s="359">
        <f t="shared" si="189" ref="F94:F95">ROUND(D94/E94,2)</f>
        <v>3125</v>
      </c>
      <c r="G94" s="373">
        <f>+F94</f>
        <v>3125</v>
      </c>
      <c r="H94" s="308">
        <f t="shared" si="190" ref="H94:V95">+$F94</f>
        <v>3125</v>
      </c>
      <c r="I94" s="308">
        <f t="shared" si="190"/>
        <v>3125</v>
      </c>
      <c r="J94" s="308">
        <f t="shared" si="190"/>
        <v>3125</v>
      </c>
      <c r="K94" s="308">
        <f t="shared" si="190"/>
        <v>3125</v>
      </c>
      <c r="L94" s="308">
        <f t="shared" si="190"/>
        <v>3125</v>
      </c>
      <c r="M94" s="308">
        <f t="shared" si="190"/>
        <v>3125</v>
      </c>
      <c r="N94" s="308">
        <f t="shared" si="190"/>
        <v>3125</v>
      </c>
      <c r="O94" s="308">
        <f t="shared" si="190"/>
        <v>3125</v>
      </c>
      <c r="P94" s="308">
        <f t="shared" si="190"/>
        <v>3125</v>
      </c>
      <c r="Q94" s="308">
        <f t="shared" si="190"/>
        <v>3125</v>
      </c>
      <c r="R94" s="308">
        <f t="shared" si="190"/>
        <v>3125</v>
      </c>
      <c r="S94" s="308">
        <f t="shared" si="190"/>
        <v>3125</v>
      </c>
      <c r="T94" s="308">
        <f t="shared" si="190"/>
        <v>3125</v>
      </c>
      <c r="U94" s="308">
        <f t="shared" si="190"/>
        <v>3125</v>
      </c>
      <c r="V94" s="308">
        <f t="shared" si="190"/>
        <v>3125</v>
      </c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14">
        <f>SUM(G94:AH94)</f>
        <v>50000</v>
      </c>
      <c r="AJ94" s="308">
        <f>+D94-AI94</f>
        <v>0</v>
      </c>
    </row>
    <row r="95" spans="1:36" ht="15" customHeight="1">
      <c r="A95" s="336"/>
      <c r="B95" s="458" t="s">
        <v>527</v>
      </c>
      <c r="C95" s="311"/>
      <c r="D95" s="305">
        <v>25000</v>
      </c>
      <c r="E95" s="356">
        <v>16</v>
      </c>
      <c r="F95" s="359">
        <f t="shared" si="189"/>
        <v>1562.50</v>
      </c>
      <c r="G95" s="373">
        <f>+F95</f>
        <v>1562.50</v>
      </c>
      <c r="H95" s="308">
        <f t="shared" si="190"/>
        <v>1562.50</v>
      </c>
      <c r="I95" s="308">
        <f t="shared" si="190"/>
        <v>1562.50</v>
      </c>
      <c r="J95" s="308">
        <f t="shared" si="190"/>
        <v>1562.50</v>
      </c>
      <c r="K95" s="308">
        <f t="shared" si="190"/>
        <v>1562.50</v>
      </c>
      <c r="L95" s="308">
        <f t="shared" si="190"/>
        <v>1562.50</v>
      </c>
      <c r="M95" s="308">
        <f t="shared" si="190"/>
        <v>1562.50</v>
      </c>
      <c r="N95" s="308">
        <f t="shared" si="190"/>
        <v>1562.50</v>
      </c>
      <c r="O95" s="308">
        <f t="shared" si="190"/>
        <v>1562.50</v>
      </c>
      <c r="P95" s="308">
        <f t="shared" si="190"/>
        <v>1562.50</v>
      </c>
      <c r="Q95" s="308">
        <f t="shared" si="190"/>
        <v>1562.50</v>
      </c>
      <c r="R95" s="308">
        <f t="shared" si="190"/>
        <v>1562.50</v>
      </c>
      <c r="S95" s="308">
        <f t="shared" si="190"/>
        <v>1562.50</v>
      </c>
      <c r="T95" s="308">
        <f t="shared" si="190"/>
        <v>1562.50</v>
      </c>
      <c r="U95" s="308">
        <f t="shared" si="190"/>
        <v>1562.50</v>
      </c>
      <c r="V95" s="308">
        <f t="shared" si="190"/>
        <v>1562.50</v>
      </c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14">
        <f>SUM(G95:AH95)</f>
        <v>25000</v>
      </c>
      <c r="AJ95" s="308">
        <f>+D95-AI95</f>
        <v>0</v>
      </c>
    </row>
    <row r="96" spans="1:38" ht="15" customHeight="1">
      <c r="A96" s="336"/>
      <c r="B96" s="176" t="s">
        <v>412</v>
      </c>
      <c r="C96" s="319"/>
      <c r="D96" s="306">
        <f>SUM(D93:D95)</f>
        <v>75000</v>
      </c>
      <c r="E96" s="356"/>
      <c r="F96" s="357">
        <f>SUM(F93:F95)</f>
        <v>4687.50</v>
      </c>
      <c r="G96" s="363">
        <f>SUM(G93:G95)</f>
        <v>4687.50</v>
      </c>
      <c r="H96" s="306">
        <f t="shared" si="191" ref="H96:AJ96">SUM(H93:H95)</f>
        <v>4687.50</v>
      </c>
      <c r="I96" s="306">
        <f t="shared" si="191"/>
        <v>4687.50</v>
      </c>
      <c r="J96" s="306">
        <f t="shared" si="191"/>
        <v>4687.50</v>
      </c>
      <c r="K96" s="306">
        <f t="shared" si="192" ref="K96:AC96">SUM(K93:K95)</f>
        <v>4687.50</v>
      </c>
      <c r="L96" s="306">
        <f t="shared" si="192"/>
        <v>4687.50</v>
      </c>
      <c r="M96" s="306">
        <f t="shared" si="192"/>
        <v>4687.50</v>
      </c>
      <c r="N96" s="306">
        <f t="shared" si="192"/>
        <v>4687.50</v>
      </c>
      <c r="O96" s="306">
        <f t="shared" si="192"/>
        <v>4687.50</v>
      </c>
      <c r="P96" s="306">
        <f t="shared" si="192"/>
        <v>4687.50</v>
      </c>
      <c r="Q96" s="306">
        <f t="shared" si="192"/>
        <v>4687.50</v>
      </c>
      <c r="R96" s="306">
        <f t="shared" si="192"/>
        <v>4687.50</v>
      </c>
      <c r="S96" s="306">
        <f t="shared" si="192"/>
        <v>4687.50</v>
      </c>
      <c r="T96" s="306">
        <f t="shared" si="192"/>
        <v>4687.50</v>
      </c>
      <c r="U96" s="306">
        <f t="shared" si="192"/>
        <v>4687.50</v>
      </c>
      <c r="V96" s="306">
        <f t="shared" si="192"/>
        <v>4687.50</v>
      </c>
      <c r="W96" s="306">
        <f t="shared" si="192"/>
        <v>0</v>
      </c>
      <c r="X96" s="306">
        <f t="shared" si="192"/>
        <v>0</v>
      </c>
      <c r="Y96" s="306">
        <f t="shared" si="192"/>
        <v>0</v>
      </c>
      <c r="Z96" s="306">
        <f t="shared" si="192"/>
        <v>0</v>
      </c>
      <c r="AA96" s="306">
        <f t="shared" si="192"/>
        <v>0</v>
      </c>
      <c r="AB96" s="306">
        <f t="shared" si="192"/>
        <v>0</v>
      </c>
      <c r="AC96" s="306">
        <f t="shared" si="192"/>
        <v>0</v>
      </c>
      <c r="AD96" s="306">
        <f t="shared" si="193" ref="AD96">SUM(AD93:AD95)</f>
        <v>0</v>
      </c>
      <c r="AE96" s="306"/>
      <c r="AF96" s="306"/>
      <c r="AG96" s="306"/>
      <c r="AH96" s="306"/>
      <c r="AI96" s="306">
        <f t="shared" si="191"/>
        <v>75000</v>
      </c>
      <c r="AJ96" s="306">
        <f t="shared" si="191"/>
        <v>0</v>
      </c>
      <c r="AL96" s="314">
        <f>+AI96+AJ96</f>
        <v>75000</v>
      </c>
    </row>
    <row r="97" spans="1:36" ht="15" customHeight="1">
      <c r="A97" s="336"/>
      <c r="B97" s="312" t="s">
        <v>120</v>
      </c>
      <c r="C97" s="311"/>
      <c r="D97" s="307"/>
      <c r="E97" s="356"/>
      <c r="F97" s="362"/>
      <c r="G97" s="307">
        <f>+G96</f>
        <v>4687.50</v>
      </c>
      <c r="H97" s="307">
        <f>+H96+G97</f>
        <v>9375</v>
      </c>
      <c r="I97" s="307">
        <f t="shared" si="194" ref="I97">+I96+H97</f>
        <v>14062.50</v>
      </c>
      <c r="J97" s="307">
        <f t="shared" si="195" ref="J97">+J96+I97</f>
        <v>18750</v>
      </c>
      <c r="K97" s="307">
        <f t="shared" si="196" ref="K97">+K96+J97</f>
        <v>23437.50</v>
      </c>
      <c r="L97" s="307">
        <f t="shared" si="197" ref="L97">+L96+K97</f>
        <v>28125</v>
      </c>
      <c r="M97" s="307">
        <f t="shared" si="198" ref="M97">+M96+L97</f>
        <v>32812.50</v>
      </c>
      <c r="N97" s="307">
        <f t="shared" si="199" ref="N97">+N96+M97</f>
        <v>37500</v>
      </c>
      <c r="O97" s="307">
        <f t="shared" si="200" ref="O97">+O96+N97</f>
        <v>42187.50</v>
      </c>
      <c r="P97" s="307">
        <f t="shared" si="201" ref="P97">+P96+O97</f>
        <v>46875</v>
      </c>
      <c r="Q97" s="307">
        <f t="shared" si="202" ref="Q97">+Q96+P97</f>
        <v>51562.50</v>
      </c>
      <c r="R97" s="307">
        <f t="shared" si="203" ref="R97">+R96+Q97</f>
        <v>56250</v>
      </c>
      <c r="S97" s="307">
        <f t="shared" si="204" ref="S97">+S96+R97</f>
        <v>60937.50</v>
      </c>
      <c r="T97" s="307">
        <f t="shared" si="205" ref="T97">+T96+S97</f>
        <v>65625</v>
      </c>
      <c r="U97" s="307">
        <f t="shared" si="206" ref="U97">+U96+T97</f>
        <v>70312.50</v>
      </c>
      <c r="V97" s="307">
        <f t="shared" si="207" ref="V97">+V96+U97</f>
        <v>75000</v>
      </c>
      <c r="W97" s="307">
        <f t="shared" si="208" ref="W97">+W96+V97</f>
        <v>75000</v>
      </c>
      <c r="X97" s="307">
        <f t="shared" si="209" ref="X97">+X96+W97</f>
        <v>75000</v>
      </c>
      <c r="Y97" s="307">
        <f t="shared" si="210" ref="Y97">+Y96+X97</f>
        <v>75000</v>
      </c>
      <c r="Z97" s="307">
        <f t="shared" si="211" ref="Z97">+Z96+Y97</f>
        <v>75000</v>
      </c>
      <c r="AA97" s="307">
        <f t="shared" si="212" ref="AA97">+AA96+Z97</f>
        <v>75000</v>
      </c>
      <c r="AB97" s="307">
        <f t="shared" si="213" ref="AB97">+AB96+AA97</f>
        <v>75000</v>
      </c>
      <c r="AC97" s="307">
        <f t="shared" si="214" ref="AC97">+AC96+AB97</f>
        <v>75000</v>
      </c>
      <c r="AD97" s="307">
        <f t="shared" si="215" ref="AD97">+AD96+AC97</f>
        <v>75000</v>
      </c>
      <c r="AE97" s="307"/>
      <c r="AF97" s="307"/>
      <c r="AG97" s="307"/>
      <c r="AH97" s="307"/>
      <c r="AI97" s="307"/>
      <c r="AJ97" s="307"/>
    </row>
    <row r="98" spans="1:36" ht="15" customHeight="1">
      <c r="A98" s="336"/>
      <c r="B98" s="312"/>
      <c r="C98" s="311"/>
      <c r="D98" s="307"/>
      <c r="E98" s="356"/>
      <c r="F98" s="362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</row>
    <row r="99" spans="1:34" ht="15" customHeight="1">
      <c r="A99" s="360" t="s">
        <v>517</v>
      </c>
      <c r="B99" s="176"/>
      <c r="C99" s="319"/>
      <c r="E99" s="356"/>
      <c r="F99" s="358"/>
      <c r="G99" s="373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</row>
    <row r="100" spans="1:36" ht="15" customHeight="1">
      <c r="A100" s="336"/>
      <c r="B100" s="439" t="s">
        <v>519</v>
      </c>
      <c r="C100" s="319"/>
      <c r="D100" s="314">
        <v>100000</v>
      </c>
      <c r="E100" s="356">
        <v>12</v>
      </c>
      <c r="F100" s="359">
        <f t="shared" si="216" ref="F100">ROUND(D100/E100,2)</f>
        <v>8333.33</v>
      </c>
      <c r="G100" s="373">
        <f>+F100</f>
        <v>8333.33</v>
      </c>
      <c r="H100" s="308">
        <f t="shared" si="217" ref="H100:R100">+$F100</f>
        <v>8333.33</v>
      </c>
      <c r="I100" s="308">
        <f t="shared" si="217"/>
        <v>8333.33</v>
      </c>
      <c r="J100" s="308">
        <f t="shared" si="217"/>
        <v>8333.33</v>
      </c>
      <c r="K100" s="308">
        <f t="shared" si="217"/>
        <v>8333.33</v>
      </c>
      <c r="L100" s="308">
        <f t="shared" si="217"/>
        <v>8333.33</v>
      </c>
      <c r="M100" s="308">
        <f t="shared" si="217"/>
        <v>8333.33</v>
      </c>
      <c r="N100" s="308">
        <f t="shared" si="217"/>
        <v>8333.33</v>
      </c>
      <c r="O100" s="308">
        <f t="shared" si="217"/>
        <v>8333.33</v>
      </c>
      <c r="P100" s="308">
        <f t="shared" si="217"/>
        <v>8333.33</v>
      </c>
      <c r="Q100" s="308">
        <f t="shared" si="217"/>
        <v>8333.33</v>
      </c>
      <c r="R100" s="308">
        <f t="shared" si="217"/>
        <v>8333.33</v>
      </c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14">
        <f>SUM(G100:AH100)</f>
        <v>99999.96</v>
      </c>
      <c r="AJ100" s="308">
        <f>+D100-AI100</f>
        <v>0.039999999993597157</v>
      </c>
    </row>
    <row r="101" spans="1:36" ht="15" customHeight="1">
      <c r="A101" s="336"/>
      <c r="B101" s="439"/>
      <c r="C101" s="311"/>
      <c r="D101" s="305"/>
      <c r="E101" s="356"/>
      <c r="F101" s="359"/>
      <c r="G101" s="373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J101" s="308"/>
    </row>
    <row r="102" spans="1:38" ht="15" customHeight="1">
      <c r="A102" s="336"/>
      <c r="B102" s="629" t="s">
        <v>688</v>
      </c>
      <c r="C102" s="319"/>
      <c r="D102" s="306">
        <f>SUM(D99:D101)</f>
        <v>100000</v>
      </c>
      <c r="E102" s="356"/>
      <c r="F102" s="357">
        <f>SUM(F99:F101)</f>
        <v>8333.33</v>
      </c>
      <c r="G102" s="363">
        <f>SUM(G99:G101)</f>
        <v>8333.33</v>
      </c>
      <c r="H102" s="306">
        <f t="shared" si="218" ref="H102:J102">SUM(H99:H101)</f>
        <v>8333.33</v>
      </c>
      <c r="I102" s="306">
        <f t="shared" si="218"/>
        <v>8333.33</v>
      </c>
      <c r="J102" s="306">
        <f t="shared" si="218"/>
        <v>8333.33</v>
      </c>
      <c r="K102" s="306">
        <f t="shared" si="219" ref="K102:AC102">SUM(K99:K101)</f>
        <v>8333.33</v>
      </c>
      <c r="L102" s="306">
        <f t="shared" si="219"/>
        <v>8333.33</v>
      </c>
      <c r="M102" s="306">
        <f t="shared" si="219"/>
        <v>8333.33</v>
      </c>
      <c r="N102" s="306">
        <f t="shared" si="219"/>
        <v>8333.33</v>
      </c>
      <c r="O102" s="306">
        <f t="shared" si="219"/>
        <v>8333.33</v>
      </c>
      <c r="P102" s="306">
        <f t="shared" si="219"/>
        <v>8333.33</v>
      </c>
      <c r="Q102" s="306">
        <f t="shared" si="219"/>
        <v>8333.33</v>
      </c>
      <c r="R102" s="306">
        <f t="shared" si="219"/>
        <v>8333.33</v>
      </c>
      <c r="S102" s="306">
        <f t="shared" si="219"/>
        <v>0</v>
      </c>
      <c r="T102" s="306">
        <f t="shared" si="219"/>
        <v>0</v>
      </c>
      <c r="U102" s="306">
        <f t="shared" si="219"/>
        <v>0</v>
      </c>
      <c r="V102" s="306">
        <f t="shared" si="219"/>
        <v>0</v>
      </c>
      <c r="W102" s="306">
        <f t="shared" si="219"/>
        <v>0</v>
      </c>
      <c r="X102" s="306">
        <f t="shared" si="219"/>
        <v>0</v>
      </c>
      <c r="Y102" s="306">
        <f t="shared" si="219"/>
        <v>0</v>
      </c>
      <c r="Z102" s="306">
        <f t="shared" si="219"/>
        <v>0</v>
      </c>
      <c r="AA102" s="306">
        <f t="shared" si="219"/>
        <v>0</v>
      </c>
      <c r="AB102" s="306">
        <f t="shared" si="219"/>
        <v>0</v>
      </c>
      <c r="AC102" s="306">
        <f t="shared" si="219"/>
        <v>0</v>
      </c>
      <c r="AD102" s="306">
        <f t="shared" si="220" ref="AD102">SUM(AD99:AD101)</f>
        <v>0</v>
      </c>
      <c r="AE102" s="306"/>
      <c r="AF102" s="306"/>
      <c r="AG102" s="306"/>
      <c r="AH102" s="306"/>
      <c r="AI102" s="306">
        <f t="shared" si="221" ref="AI102:AJ102">SUM(AI99:AI101)</f>
        <v>99999.96</v>
      </c>
      <c r="AJ102" s="306">
        <f t="shared" si="221"/>
        <v>0.039999999993597157</v>
      </c>
      <c r="AL102" s="314">
        <f>+AI102+AJ102</f>
        <v>100000</v>
      </c>
    </row>
    <row r="103" spans="1:36" ht="15" customHeight="1">
      <c r="A103" s="336"/>
      <c r="B103" s="312" t="s">
        <v>120</v>
      </c>
      <c r="C103" s="311"/>
      <c r="D103" s="307"/>
      <c r="E103" s="356"/>
      <c r="F103" s="362"/>
      <c r="G103" s="307">
        <f>+G102</f>
        <v>8333.33</v>
      </c>
      <c r="H103" s="307">
        <f>+H102+G103</f>
        <v>16666.66</v>
      </c>
      <c r="I103" s="307">
        <f t="shared" si="222" ref="I103">+I102+H103</f>
        <v>24999.989999999998</v>
      </c>
      <c r="J103" s="307">
        <f t="shared" si="223" ref="J103">+J102+I103</f>
        <v>33333.32</v>
      </c>
      <c r="K103" s="307">
        <f t="shared" si="224" ref="K103">+K102+J103</f>
        <v>41666.65</v>
      </c>
      <c r="L103" s="307">
        <f t="shared" si="225" ref="L103">+L102+K103</f>
        <v>49999.98</v>
      </c>
      <c r="M103" s="307">
        <f t="shared" si="226" ref="M103">+M102+L103</f>
        <v>58333.310000000005</v>
      </c>
      <c r="N103" s="307">
        <f t="shared" si="227" ref="N103">+N102+M103</f>
        <v>66666.64</v>
      </c>
      <c r="O103" s="307">
        <f t="shared" si="228" ref="O103">+O102+N103</f>
        <v>74999.97</v>
      </c>
      <c r="P103" s="307">
        <f t="shared" si="229" ref="P103">+P102+O103</f>
        <v>83333.30</v>
      </c>
      <c r="Q103" s="307">
        <f t="shared" si="230" ref="Q103">+Q102+P103</f>
        <v>91666.63</v>
      </c>
      <c r="R103" s="307">
        <f t="shared" si="231" ref="R103">+R102+Q103</f>
        <v>99999.96</v>
      </c>
      <c r="S103" s="307">
        <f t="shared" si="232" ref="S103">+S102+R103</f>
        <v>99999.96</v>
      </c>
      <c r="T103" s="307">
        <f t="shared" si="233" ref="T103">+T102+S103</f>
        <v>99999.96</v>
      </c>
      <c r="U103" s="307">
        <f t="shared" si="234" ref="U103">+U102+T103</f>
        <v>99999.96</v>
      </c>
      <c r="V103" s="307">
        <f t="shared" si="235" ref="V103">+V102+U103</f>
        <v>99999.96</v>
      </c>
      <c r="W103" s="307">
        <f t="shared" si="236" ref="W103">+W102+V103</f>
        <v>99999.96</v>
      </c>
      <c r="X103" s="307">
        <f t="shared" si="237" ref="X103">+X102+W103</f>
        <v>99999.96</v>
      </c>
      <c r="Y103" s="307">
        <f t="shared" si="238" ref="Y103">+Y102+X103</f>
        <v>99999.96</v>
      </c>
      <c r="Z103" s="307">
        <f>+Z102+Y103</f>
        <v>99999.96</v>
      </c>
      <c r="AA103" s="307">
        <f t="shared" si="239" ref="AA103">+AA102+Z103</f>
        <v>99999.96</v>
      </c>
      <c r="AB103" s="307">
        <f t="shared" si="240" ref="AB103">+AB102+AA103</f>
        <v>99999.96</v>
      </c>
      <c r="AC103" s="307">
        <f t="shared" si="241" ref="AC103">+AC102+AB103</f>
        <v>99999.96</v>
      </c>
      <c r="AD103" s="307">
        <f t="shared" si="242" ref="AD103">+AD102+AC103</f>
        <v>99999.96</v>
      </c>
      <c r="AE103" s="307"/>
      <c r="AF103" s="307"/>
      <c r="AG103" s="307"/>
      <c r="AH103" s="307"/>
      <c r="AI103" s="307"/>
      <c r="AJ103" s="307"/>
    </row>
    <row r="104" spans="1:34" ht="15" customHeight="1">
      <c r="A104" s="336"/>
      <c r="B104" s="176"/>
      <c r="C104" s="319"/>
      <c r="E104" s="356"/>
      <c r="F104" s="35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</row>
    <row r="105" spans="1:40" s="321" customFormat="1" ht="15" customHeight="1" thickBot="1">
      <c r="A105" s="364"/>
      <c r="B105" s="320" t="s">
        <v>407</v>
      </c>
      <c r="D105" s="310">
        <f>SUM(D7:D102)/2</f>
        <v>21958147.999999993</v>
      </c>
      <c r="E105" s="365"/>
      <c r="F105" s="374">
        <f>SUM(F7:F102)/2</f>
        <v>721729.44999999984</v>
      </c>
      <c r="G105" s="310">
        <f t="shared" si="243" ref="G105:AD105">+G21+G29+G54+G61+G67+G38+G90+G102+G96+G77</f>
        <v>691396.10999999987</v>
      </c>
      <c r="H105" s="310">
        <f t="shared" si="243"/>
        <v>691396.10999999987</v>
      </c>
      <c r="I105" s="310">
        <f t="shared" si="243"/>
        <v>691396.10999999987</v>
      </c>
      <c r="J105" s="310">
        <f t="shared" si="243"/>
        <v>691396.10999999987</v>
      </c>
      <c r="K105" s="310">
        <f t="shared" si="243"/>
        <v>691396.10999999987</v>
      </c>
      <c r="L105" s="310">
        <f t="shared" si="243"/>
        <v>691396.10999999987</v>
      </c>
      <c r="M105" s="310">
        <f t="shared" si="243"/>
        <v>509396.11</v>
      </c>
      <c r="N105" s="310">
        <f t="shared" si="243"/>
        <v>691396.10999999987</v>
      </c>
      <c r="O105" s="310">
        <f t="shared" si="243"/>
        <v>691396.10999999987</v>
      </c>
      <c r="P105" s="310">
        <f t="shared" si="243"/>
        <v>691396.10999999987</v>
      </c>
      <c r="Q105" s="310">
        <f t="shared" si="243"/>
        <v>691396.10999999987</v>
      </c>
      <c r="R105" s="310">
        <f t="shared" si="243"/>
        <v>691396.10999999987</v>
      </c>
      <c r="S105" s="310">
        <f t="shared" si="243"/>
        <v>652729.43999999994</v>
      </c>
      <c r="T105" s="310">
        <f t="shared" si="243"/>
        <v>652729.43999999994</v>
      </c>
      <c r="U105" s="310">
        <f t="shared" si="243"/>
        <v>652729.43999999994</v>
      </c>
      <c r="V105" s="310">
        <f t="shared" si="243"/>
        <v>652529.43999999994</v>
      </c>
      <c r="W105" s="310">
        <f t="shared" si="243"/>
        <v>647841.93999999994</v>
      </c>
      <c r="X105" s="310">
        <f t="shared" si="243"/>
        <v>647841.93999999994</v>
      </c>
      <c r="Y105" s="310">
        <f t="shared" si="243"/>
        <v>647841.93999999994</v>
      </c>
      <c r="Z105" s="310">
        <f t="shared" si="243"/>
        <v>647841.93999999994</v>
      </c>
      <c r="AA105" s="310">
        <f t="shared" si="243"/>
        <v>647841.93999999994</v>
      </c>
      <c r="AB105" s="310">
        <f t="shared" si="243"/>
        <v>647841.93999999994</v>
      </c>
      <c r="AC105" s="310">
        <f t="shared" si="243"/>
        <v>647841.93999999994</v>
      </c>
      <c r="AD105" s="310">
        <f t="shared" si="243"/>
        <v>647841.93999999994</v>
      </c>
      <c r="AE105" s="310"/>
      <c r="AF105" s="310"/>
      <c r="AG105" s="310"/>
      <c r="AH105" s="310"/>
      <c r="AI105" s="310">
        <f>+AI21+AI29+AI54+AI61+AI67+AI38+AI90+AI102+AI96+AI77</f>
        <v>15908206.6</v>
      </c>
      <c r="AJ105" s="310">
        <f>+AJ21+AJ29+AJ54+AJ61+AJ67+AJ38+AJ90+AJ102+AJ96+AJ77+AJ12</f>
        <v>6049941.4399999995</v>
      </c>
      <c r="AK105" s="366"/>
      <c r="AL105" s="310">
        <f>+AL21+AL29+AL54+AL61+AL67+AL38+AL90+AL102+AL96+AL77+AL12</f>
        <v>21958148.039999999</v>
      </c>
      <c r="AN105" s="321">
        <f>+AI105+AJ105</f>
        <v>21958148.039999999</v>
      </c>
    </row>
    <row r="106" spans="1:40" s="323" customFormat="1" ht="15" customHeight="1" thickTop="1">
      <c r="A106" s="336"/>
      <c r="B106" s="322"/>
      <c r="D106" s="324"/>
      <c r="E106" s="367"/>
      <c r="F106" s="375"/>
      <c r="G106" s="368">
        <f>+G105</f>
        <v>691396.10999999987</v>
      </c>
      <c r="H106" s="368">
        <f t="shared" si="244" ref="H106:J106">+H105+G106</f>
        <v>1382792.2199999997</v>
      </c>
      <c r="I106" s="368">
        <f t="shared" si="244"/>
        <v>2074188.3299999996</v>
      </c>
      <c r="J106" s="368">
        <f t="shared" si="244"/>
        <v>2765584.4399999995</v>
      </c>
      <c r="K106" s="368">
        <f t="shared" si="245" ref="K106">+K105+J106</f>
        <v>3456980.5499999993</v>
      </c>
      <c r="L106" s="368">
        <f t="shared" si="246" ref="L106">+L105+K106</f>
        <v>4148376.6599999992</v>
      </c>
      <c r="M106" s="368">
        <f t="shared" si="247" ref="M106">+M105+L106</f>
        <v>4657772.7699999996</v>
      </c>
      <c r="N106" s="368">
        <f t="shared" si="248" ref="N106">+N105+M106</f>
        <v>5349168.879999999</v>
      </c>
      <c r="O106" s="368">
        <f t="shared" si="249" ref="O106">+O105+N106</f>
        <v>6040564.9899999984</v>
      </c>
      <c r="P106" s="368">
        <f t="shared" si="250" ref="P106">+P105+O106</f>
        <v>6731961.0999999978</v>
      </c>
      <c r="Q106" s="368">
        <f t="shared" si="251" ref="Q106">+Q105+P106</f>
        <v>7423357.2099999972</v>
      </c>
      <c r="R106" s="368">
        <f t="shared" si="252" ref="R106">+R105+Q106</f>
        <v>8114753.3199999966</v>
      </c>
      <c r="S106" s="368">
        <f t="shared" si="253" ref="S106">+S105+R106</f>
        <v>8767482.7599999961</v>
      </c>
      <c r="T106" s="368">
        <f t="shared" si="254" ref="T106">+T105+S106</f>
        <v>9420212.1999999955</v>
      </c>
      <c r="U106" s="368">
        <f t="shared" si="255" ref="U106">+U105+T106</f>
        <v>10072941.639999995</v>
      </c>
      <c r="V106" s="368">
        <f t="shared" si="256" ref="V106">+V105+U106</f>
        <v>10725471.079999995</v>
      </c>
      <c r="W106" s="368">
        <f t="shared" si="257" ref="W106">+W105+V106</f>
        <v>11373313.019999994</v>
      </c>
      <c r="X106" s="368">
        <f t="shared" si="258" ref="X106">+X105+W106</f>
        <v>12021154.959999993</v>
      </c>
      <c r="Y106" s="368">
        <f t="shared" si="259" ref="Y106">+Y105+X106</f>
        <v>12668996.899999993</v>
      </c>
      <c r="Z106" s="368">
        <f t="shared" si="260" ref="Z106">+Z105+Y106</f>
        <v>13316838.839999992</v>
      </c>
      <c r="AA106" s="368">
        <f t="shared" si="261" ref="AA106">+AA105+Z106</f>
        <v>13964680.779999992</v>
      </c>
      <c r="AB106" s="368">
        <f t="shared" si="262" ref="AB106">+AB105+AA106</f>
        <v>14612522.719999991</v>
      </c>
      <c r="AC106" s="368">
        <f t="shared" si="263" ref="AC106">+AC105+AB106</f>
        <v>15260364.659999991</v>
      </c>
      <c r="AD106" s="368">
        <f t="shared" si="264" ref="AD106">+AD105+AC106</f>
        <v>15908206.59999999</v>
      </c>
      <c r="AE106" s="368"/>
      <c r="AF106" s="368"/>
      <c r="AG106" s="368"/>
      <c r="AH106" s="368"/>
      <c r="AI106" s="324"/>
      <c r="AJ106" s="324"/>
      <c r="AN106" s="321">
        <f>+AL105-AN105</f>
        <v>0</v>
      </c>
    </row>
    <row r="107" spans="6:38" ht="15" customHeight="1"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L107" s="314">
        <f>+AL105-D105</f>
        <v>0.040000006556510925</v>
      </c>
    </row>
    <row r="108" spans="2:37" ht="15" customHeight="1">
      <c r="B108" s="441" t="s">
        <v>525</v>
      </c>
      <c r="D108" s="314">
        <v>17776148</v>
      </c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J108" s="590"/>
      <c r="AK108" s="591"/>
    </row>
    <row r="109" spans="2:37" ht="15" customHeight="1">
      <c r="B109" s="548" t="s">
        <v>615</v>
      </c>
      <c r="D109" s="314">
        <v>1700000</v>
      </c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587"/>
      <c r="AJ109" s="308"/>
      <c r="AK109" s="592"/>
    </row>
    <row r="110" spans="2:37" ht="15" customHeight="1">
      <c r="B110" s="457" t="s">
        <v>537</v>
      </c>
      <c r="D110" s="587">
        <f>105000-15000</f>
        <v>90000</v>
      </c>
      <c r="E110" s="596" t="s">
        <v>648</v>
      </c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592"/>
      <c r="AJ110" s="308"/>
      <c r="AK110" s="308"/>
    </row>
    <row r="111" spans="2:37" ht="15" customHeight="1">
      <c r="B111" s="586" t="s">
        <v>644</v>
      </c>
      <c r="D111" s="314">
        <f>75000+100000+100000</f>
        <v>275000</v>
      </c>
      <c r="E111" s="588" t="s">
        <v>645</v>
      </c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</row>
    <row r="112" spans="2:40" ht="15" customHeight="1">
      <c r="B112" s="441" t="s">
        <v>526</v>
      </c>
      <c r="D112" s="549">
        <f>1867000+250000</f>
        <v>2117000</v>
      </c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598"/>
      <c r="AL112" s="456"/>
      <c r="AN112" s="314"/>
    </row>
    <row r="113" spans="4:37" ht="15" customHeight="1" thickBot="1">
      <c r="D113" s="442">
        <f>SUM(D108:D112)</f>
        <v>21958148</v>
      </c>
      <c r="AI113" s="592"/>
      <c r="AJ113" s="599"/>
      <c r="AK113" s="598"/>
    </row>
    <row r="114" spans="5:40" ht="15" customHeight="1" thickTop="1">
      <c r="E114" s="308"/>
      <c r="AI114" s="308"/>
      <c r="AJ114" s="308"/>
      <c r="AK114" s="547"/>
      <c r="AN114" s="456"/>
    </row>
    <row r="115" spans="2:37" ht="15" customHeight="1">
      <c r="B115" s="441"/>
      <c r="E115" s="308"/>
      <c r="AI115" s="308"/>
      <c r="AJ115" s="308"/>
      <c r="AK115" s="598"/>
    </row>
    <row r="116" spans="2:5" ht="14.4">
      <c r="B116" s="441"/>
      <c r="D116" s="314">
        <f>+D105-D113</f>
        <v>0</v>
      </c>
      <c r="E116" s="308"/>
    </row>
    <row r="117" spans="2:37" ht="15" customHeight="1">
      <c r="B117" s="483"/>
      <c r="D117" s="533"/>
      <c r="E117" s="308"/>
      <c r="AJ117" s="597" t="s">
        <v>649</v>
      </c>
      <c r="AK117" s="547">
        <f>+F105/(D105-D12)</f>
        <v>0.034111182604451021</v>
      </c>
    </row>
    <row r="118" spans="2:37" ht="14.4">
      <c r="B118" s="323"/>
      <c r="E118" s="308"/>
      <c r="AK118" s="584"/>
    </row>
    <row r="119" ht="14.4">
      <c r="E119" s="308"/>
    </row>
    <row r="120" ht="14.4">
      <c r="E120" s="308"/>
    </row>
    <row r="121" ht="14.4">
      <c r="E121" s="308"/>
    </row>
    <row r="122" ht="14.4">
      <c r="E122" s="308"/>
    </row>
    <row r="123" ht="14.4">
      <c r="E123" s="308"/>
    </row>
    <row r="124" ht="14.4">
      <c r="E124" s="308"/>
    </row>
    <row r="125" ht="14.4">
      <c r="E125" s="308"/>
    </row>
    <row r="126" ht="14.4">
      <c r="E126" s="308"/>
    </row>
    <row r="127" ht="14.4">
      <c r="E127" s="308"/>
    </row>
    <row r="128" ht="14.4">
      <c r="E128" s="308"/>
    </row>
    <row r="129" ht="14.4">
      <c r="E129" s="308"/>
    </row>
    <row r="130" ht="14.4">
      <c r="E130" s="308"/>
    </row>
    <row r="131" ht="14.4">
      <c r="E131" s="308"/>
    </row>
    <row r="132" ht="14.4">
      <c r="E132" s="308"/>
    </row>
    <row r="133" ht="14.4">
      <c r="E133" s="308"/>
    </row>
  </sheetData>
  <pageMargins left="0.7" right="0.7" top="0.75" bottom="0.75" header="0.3" footer="0.3"/>
  <pageSetup fitToHeight="2" fitToWidth="2" orientation="landscape" scale="75" r:id="rId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outlinePr summaryBelow="0" summaryRight="0"/>
  </sheetPr>
  <dimension ref="A1:MI63"/>
  <sheetViews>
    <sheetView tabSelected="1" workbookViewId="0" topLeftCell="A1">
      <selection pane="topLeft" activeCell="A18" sqref="A18"/>
    </sheetView>
  </sheetViews>
  <sheetFormatPr defaultColWidth="8.69921875" defaultRowHeight="14.25"/>
  <cols>
    <col min="1" max="1" width="28.75" style="184" customWidth="1"/>
    <col min="2" max="2" width="11.75" style="184" customWidth="1"/>
    <col min="3" max="25" width="10.75" style="184" customWidth="1"/>
    <col min="26" max="28" width="10.75" style="184" hidden="1" customWidth="1"/>
    <col min="29" max="29" width="1.75" style="184" hidden="1" customWidth="1"/>
    <col min="30" max="30" width="10.75" style="184" hidden="1" customWidth="1"/>
    <col min="31" max="31" width="1.875" style="184" customWidth="1"/>
    <col min="32" max="32" width="19.25" style="184" hidden="1" customWidth="1"/>
    <col min="33" max="87" width="10.75" style="184" customWidth="1"/>
    <col min="88" max="88" width="2.875" style="184" hidden="1" customWidth="1"/>
    <col min="89" max="89" width="3.5" style="184" customWidth="1"/>
    <col min="90" max="90" width="19.25" style="184" hidden="1" customWidth="1"/>
    <col min="91" max="117" width="10.75" style="184" hidden="1" customWidth="1"/>
    <col min="118" max="347" width="8.25" style="184" customWidth="1"/>
    <col min="348" max="16384" width="8.75" style="185"/>
  </cols>
  <sheetData>
    <row r="1" spans="1:117" s="223" customFormat="1" ht="15" customHeight="1">
      <c r="A1" s="222" t="str">
        <f>+'Schedule No. 7 Rev Proof'!A3:I3</f>
        <v>Environmental Utilities, LLC</v>
      </c>
      <c r="B1" s="269"/>
      <c r="C1" s="269"/>
      <c r="D1" s="269"/>
      <c r="AD1" s="412"/>
      <c r="AF1" s="222" t="str">
        <f>+A1</f>
        <v>Environmental Utilities, LLC</v>
      </c>
      <c r="CJ1" s="417"/>
      <c r="CL1" s="222"/>
      <c r="CM1" s="222"/>
      <c r="DM1" s="412"/>
    </row>
    <row r="2" spans="1:117" s="223" customFormat="1" ht="15" customHeight="1">
      <c r="A2" s="222" t="s">
        <v>700</v>
      </c>
      <c r="B2" s="269"/>
      <c r="C2" s="269"/>
      <c r="D2" s="269"/>
      <c r="AD2" s="412"/>
      <c r="AF2" s="222" t="s">
        <v>336</v>
      </c>
      <c r="CJ2" s="417"/>
      <c r="CL2" s="222"/>
      <c r="CM2" s="222"/>
      <c r="DM2" s="412"/>
    </row>
    <row r="3" spans="1:117" s="223" customFormat="1" ht="15" customHeight="1">
      <c r="A3" s="224" t="s">
        <v>704</v>
      </c>
      <c r="AD3" s="412"/>
      <c r="CJ3" s="417"/>
      <c r="CK3" s="417"/>
      <c r="DM3" s="412"/>
    </row>
    <row r="4" spans="1:138" s="225" customFormat="1" ht="15" customHeight="1" hidden="1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CJ4" s="418"/>
      <c r="CK4" s="418"/>
      <c r="CL4" s="417"/>
      <c r="CM4" s="418"/>
      <c r="CN4" s="418"/>
      <c r="CO4" s="418"/>
      <c r="CP4" s="418"/>
      <c r="CQ4" s="418"/>
      <c r="CR4" s="418"/>
      <c r="CS4" s="418"/>
      <c r="CT4" s="418"/>
      <c r="CU4" s="418"/>
      <c r="CV4" s="418"/>
      <c r="CW4" s="418"/>
      <c r="CX4" s="418"/>
      <c r="CY4" s="418"/>
      <c r="CZ4" s="418"/>
      <c r="DA4" s="418"/>
      <c r="DB4" s="418"/>
      <c r="DC4" s="418"/>
      <c r="DD4" s="418"/>
      <c r="DE4" s="418"/>
      <c r="DF4" s="418"/>
      <c r="DG4" s="418"/>
      <c r="DH4" s="418"/>
      <c r="DI4" s="418"/>
      <c r="DJ4" s="418"/>
      <c r="DK4" s="418"/>
      <c r="DL4" s="418"/>
      <c r="DM4" s="418"/>
      <c r="DN4" s="417"/>
      <c r="DO4" s="417"/>
      <c r="DP4" s="417"/>
      <c r="DQ4" s="417"/>
      <c r="DR4" s="417"/>
      <c r="DS4" s="417"/>
      <c r="DT4" s="417"/>
      <c r="DU4" s="417"/>
      <c r="DV4" s="417"/>
      <c r="DW4" s="418"/>
      <c r="DX4" s="418"/>
      <c r="DY4" s="418"/>
      <c r="DZ4" s="418"/>
      <c r="EA4" s="418"/>
      <c r="EB4" s="418"/>
      <c r="EC4" s="418"/>
      <c r="ED4" s="418"/>
      <c r="EE4" s="418"/>
      <c r="EF4" s="418"/>
      <c r="EG4" s="418"/>
      <c r="EH4" s="418"/>
    </row>
    <row r="5" spans="1:138" s="225" customFormat="1" ht="15" customHeight="1" hidden="1" thickBot="1">
      <c r="A5" s="223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3"/>
      <c r="AF5" s="224"/>
      <c r="CJ5" s="633"/>
      <c r="CK5" s="633"/>
      <c r="CL5" s="526"/>
      <c r="CM5" s="643"/>
      <c r="CN5" s="643"/>
      <c r="CO5" s="643"/>
      <c r="CP5" s="643"/>
      <c r="CQ5" s="643"/>
      <c r="CR5" s="643"/>
      <c r="CS5" s="643"/>
      <c r="CT5" s="643"/>
      <c r="CU5" s="643"/>
      <c r="CV5" s="643"/>
      <c r="CW5" s="643"/>
      <c r="CX5" s="643"/>
      <c r="CY5" s="643"/>
      <c r="CZ5" s="643"/>
      <c r="DA5" s="643"/>
      <c r="DB5" s="643"/>
      <c r="DC5" s="643"/>
      <c r="DD5" s="643"/>
      <c r="DE5" s="643"/>
      <c r="DF5" s="643"/>
      <c r="DG5" s="643"/>
      <c r="DH5" s="643"/>
      <c r="DI5" s="643"/>
      <c r="DJ5" s="643"/>
      <c r="DK5" s="643"/>
      <c r="DL5" s="643"/>
      <c r="DM5" s="643"/>
      <c r="DN5" s="417"/>
      <c r="DO5" s="417"/>
      <c r="DP5" s="417"/>
      <c r="DQ5" s="417"/>
      <c r="DR5" s="417"/>
      <c r="DS5" s="417"/>
      <c r="DT5" s="417"/>
      <c r="DU5" s="417"/>
      <c r="DV5" s="417"/>
      <c r="DW5" s="418"/>
      <c r="DX5" s="418"/>
      <c r="DY5" s="418"/>
      <c r="DZ5" s="418"/>
      <c r="EA5" s="418"/>
      <c r="EB5" s="418"/>
      <c r="EC5" s="418"/>
      <c r="ED5" s="418"/>
      <c r="EE5" s="418"/>
      <c r="EF5" s="418"/>
      <c r="EG5" s="418"/>
      <c r="EH5" s="418"/>
    </row>
    <row r="6" spans="1:138" s="225" customFormat="1" ht="15" customHeight="1" hidden="1" thickBot="1">
      <c r="A6" s="226" t="s">
        <v>123</v>
      </c>
      <c r="B6" s="227">
        <v>2021</v>
      </c>
      <c r="C6" s="228">
        <v>2022</v>
      </c>
      <c r="D6" s="228">
        <v>2023</v>
      </c>
      <c r="E6" s="228">
        <v>2024</v>
      </c>
      <c r="F6" s="228">
        <v>2025</v>
      </c>
      <c r="G6" s="228">
        <v>2026</v>
      </c>
      <c r="H6" s="228">
        <v>2027</v>
      </c>
      <c r="I6" s="228">
        <v>2028</v>
      </c>
      <c r="J6" s="228">
        <v>2029</v>
      </c>
      <c r="K6" s="228">
        <v>2030</v>
      </c>
      <c r="L6" s="228">
        <v>2031</v>
      </c>
      <c r="M6" s="228">
        <v>2032</v>
      </c>
      <c r="N6" s="228">
        <v>2033</v>
      </c>
      <c r="O6" s="228">
        <v>2034</v>
      </c>
      <c r="P6" s="228">
        <v>2035</v>
      </c>
      <c r="Q6" s="228">
        <v>2036</v>
      </c>
      <c r="R6" s="228">
        <v>2037</v>
      </c>
      <c r="S6" s="228">
        <v>2038</v>
      </c>
      <c r="T6" s="228">
        <v>2039</v>
      </c>
      <c r="U6" s="228">
        <v>2040</v>
      </c>
      <c r="V6" s="228">
        <v>2041</v>
      </c>
      <c r="W6" s="228">
        <v>2042</v>
      </c>
      <c r="X6" s="228">
        <v>2043</v>
      </c>
      <c r="Y6" s="228">
        <v>2044</v>
      </c>
      <c r="Z6" s="228"/>
      <c r="AA6" s="228"/>
      <c r="AB6" s="228"/>
      <c r="AC6" s="228"/>
      <c r="AD6" s="229" t="s">
        <v>118</v>
      </c>
      <c r="AE6" s="230"/>
      <c r="AF6" s="525" t="s">
        <v>123</v>
      </c>
      <c r="CJ6" s="421"/>
      <c r="CK6" s="421"/>
      <c r="CL6" s="527"/>
      <c r="CM6" s="421"/>
      <c r="CN6" s="421"/>
      <c r="CO6" s="421"/>
      <c r="CP6" s="421"/>
      <c r="CQ6" s="421"/>
      <c r="CR6" s="421"/>
      <c r="CS6" s="421"/>
      <c r="CT6" s="421"/>
      <c r="CU6" s="421"/>
      <c r="CV6" s="421"/>
      <c r="CW6" s="421"/>
      <c r="CX6" s="421"/>
      <c r="CY6" s="421"/>
      <c r="CZ6" s="421"/>
      <c r="DA6" s="421"/>
      <c r="DB6" s="421"/>
      <c r="DC6" s="421"/>
      <c r="DD6" s="421"/>
      <c r="DE6" s="421"/>
      <c r="DF6" s="421"/>
      <c r="DG6" s="421"/>
      <c r="DH6" s="421"/>
      <c r="DI6" s="421"/>
      <c r="DJ6" s="421"/>
      <c r="DK6" s="421"/>
      <c r="DL6" s="421"/>
      <c r="DM6" s="421"/>
      <c r="DN6" s="418"/>
      <c r="DO6" s="418"/>
      <c r="DP6" s="418"/>
      <c r="DQ6" s="418"/>
      <c r="DR6" s="418"/>
      <c r="DS6" s="418"/>
      <c r="DT6" s="418"/>
      <c r="DU6" s="418"/>
      <c r="DV6" s="418"/>
      <c r="DW6" s="418"/>
      <c r="DX6" s="418"/>
      <c r="DY6" s="418"/>
      <c r="DZ6" s="418"/>
      <c r="EA6" s="418"/>
      <c r="EB6" s="418"/>
      <c r="EC6" s="418"/>
      <c r="ED6" s="418"/>
      <c r="EE6" s="418"/>
      <c r="EF6" s="418"/>
      <c r="EG6" s="418"/>
      <c r="EH6" s="418"/>
    </row>
    <row r="7" spans="1:138" s="225" customFormat="1" ht="15" customHeight="1" hidden="1">
      <c r="A7" s="233" t="s">
        <v>124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5"/>
      <c r="AF7" s="525" t="s">
        <v>124</v>
      </c>
      <c r="CJ7" s="418"/>
      <c r="CK7" s="418"/>
      <c r="CL7" s="527"/>
      <c r="CM7" s="418"/>
      <c r="CN7" s="418"/>
      <c r="CO7" s="418"/>
      <c r="CP7" s="418"/>
      <c r="CQ7" s="418"/>
      <c r="CR7" s="418"/>
      <c r="CS7" s="418"/>
      <c r="CT7" s="418"/>
      <c r="CU7" s="418"/>
      <c r="CV7" s="418"/>
      <c r="CW7" s="418"/>
      <c r="CX7" s="418"/>
      <c r="CY7" s="418"/>
      <c r="CZ7" s="418"/>
      <c r="DA7" s="418"/>
      <c r="DB7" s="418"/>
      <c r="DC7" s="418"/>
      <c r="DD7" s="418"/>
      <c r="DE7" s="418"/>
      <c r="DF7" s="418"/>
      <c r="DG7" s="418"/>
      <c r="DH7" s="418"/>
      <c r="DI7" s="418"/>
      <c r="DJ7" s="418"/>
      <c r="DK7" s="418"/>
      <c r="DL7" s="418"/>
      <c r="DM7" s="418"/>
      <c r="DN7" s="418"/>
      <c r="DO7" s="418"/>
      <c r="DP7" s="418"/>
      <c r="DQ7" s="418"/>
      <c r="DR7" s="418"/>
      <c r="DS7" s="418"/>
      <c r="DT7" s="418"/>
      <c r="DU7" s="418"/>
      <c r="DV7" s="418"/>
      <c r="DW7" s="418"/>
      <c r="DX7" s="418"/>
      <c r="DY7" s="418"/>
      <c r="DZ7" s="418"/>
      <c r="EA7" s="418"/>
      <c r="EB7" s="418"/>
      <c r="EC7" s="418"/>
      <c r="ED7" s="418"/>
      <c r="EE7" s="418"/>
      <c r="EF7" s="418"/>
      <c r="EG7" s="418"/>
      <c r="EH7" s="418"/>
    </row>
    <row r="8" spans="1:138" s="225" customFormat="1" ht="15" customHeight="1" hidden="1">
      <c r="A8" s="231" t="s">
        <v>306</v>
      </c>
      <c r="B8" s="236">
        <f>+'Depreciation Schedule'!D61</f>
        <v>1228205.4696422033</v>
      </c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7">
        <f>SUM(B8:AC8)</f>
        <v>1228205.4696422033</v>
      </c>
      <c r="AE8" s="270"/>
      <c r="AF8" s="525" t="s">
        <v>306</v>
      </c>
      <c r="CJ8" s="422"/>
      <c r="CK8" s="422"/>
      <c r="CL8" s="527"/>
      <c r="CM8" s="422"/>
      <c r="CN8" s="422"/>
      <c r="CO8" s="422"/>
      <c r="CP8" s="422"/>
      <c r="CQ8" s="422"/>
      <c r="CR8" s="422"/>
      <c r="CS8" s="422"/>
      <c r="CT8" s="422"/>
      <c r="CU8" s="422"/>
      <c r="CV8" s="422"/>
      <c r="CW8" s="422"/>
      <c r="CX8" s="422"/>
      <c r="CY8" s="422"/>
      <c r="CZ8" s="422"/>
      <c r="DA8" s="422"/>
      <c r="DB8" s="422"/>
      <c r="DC8" s="422"/>
      <c r="DD8" s="422"/>
      <c r="DE8" s="422"/>
      <c r="DF8" s="422"/>
      <c r="DG8" s="422"/>
      <c r="DH8" s="422"/>
      <c r="DI8" s="422"/>
      <c r="DJ8" s="422"/>
      <c r="DK8" s="422"/>
      <c r="DL8" s="422"/>
      <c r="DM8" s="422"/>
      <c r="DN8" s="418"/>
      <c r="DO8" s="418"/>
      <c r="DP8" s="418"/>
      <c r="DQ8" s="418"/>
      <c r="DR8" s="418"/>
      <c r="DS8" s="418"/>
      <c r="DT8" s="418"/>
      <c r="DU8" s="418"/>
      <c r="DV8" s="418"/>
      <c r="DW8" s="418"/>
      <c r="DX8" s="418"/>
      <c r="DY8" s="418"/>
      <c r="DZ8" s="418"/>
      <c r="EA8" s="418"/>
      <c r="EB8" s="418"/>
      <c r="EC8" s="418"/>
      <c r="ED8" s="418"/>
      <c r="EE8" s="418"/>
      <c r="EF8" s="418"/>
      <c r="EG8" s="418"/>
      <c r="EH8" s="418"/>
    </row>
    <row r="9" spans="1:138" s="225" customFormat="1" ht="15" customHeight="1" hidden="1">
      <c r="A9" s="231" t="s">
        <v>596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7">
        <f>SUM(B9:AC9)</f>
        <v>0</v>
      </c>
      <c r="AE9" s="270"/>
      <c r="AF9" s="525" t="s">
        <v>593</v>
      </c>
      <c r="CJ9" s="422"/>
      <c r="CK9" s="422"/>
      <c r="CL9" s="527"/>
      <c r="CM9" s="422"/>
      <c r="CN9" s="422"/>
      <c r="CO9" s="422"/>
      <c r="CP9" s="422"/>
      <c r="CQ9" s="422"/>
      <c r="CR9" s="422"/>
      <c r="CS9" s="422"/>
      <c r="CT9" s="422"/>
      <c r="CU9" s="422"/>
      <c r="CV9" s="422"/>
      <c r="CW9" s="422"/>
      <c r="CX9" s="422"/>
      <c r="CY9" s="422"/>
      <c r="CZ9" s="422"/>
      <c r="DA9" s="422"/>
      <c r="DB9" s="422"/>
      <c r="DC9" s="422"/>
      <c r="DD9" s="422"/>
      <c r="DE9" s="422"/>
      <c r="DF9" s="422"/>
      <c r="DG9" s="422"/>
      <c r="DH9" s="422"/>
      <c r="DI9" s="422"/>
      <c r="DJ9" s="422"/>
      <c r="DK9" s="422"/>
      <c r="DL9" s="422"/>
      <c r="DM9" s="422"/>
      <c r="DN9" s="418"/>
      <c r="DO9" s="418"/>
      <c r="DP9" s="418"/>
      <c r="DQ9" s="418"/>
      <c r="DR9" s="418"/>
      <c r="DS9" s="418"/>
      <c r="DT9" s="418"/>
      <c r="DU9" s="418"/>
      <c r="DV9" s="418"/>
      <c r="DW9" s="418"/>
      <c r="DX9" s="418"/>
      <c r="DY9" s="418"/>
      <c r="DZ9" s="418"/>
      <c r="EA9" s="418"/>
      <c r="EB9" s="418"/>
      <c r="EC9" s="418"/>
      <c r="ED9" s="418"/>
      <c r="EE9" s="418"/>
      <c r="EF9" s="418"/>
      <c r="EG9" s="418"/>
      <c r="EH9" s="418"/>
    </row>
    <row r="10" spans="1:138" s="225" customFormat="1" ht="13.8" hidden="1">
      <c r="A10" s="231" t="s">
        <v>592</v>
      </c>
      <c r="B10" s="236">
        <f>+'Depreciation Schedule'!D54</f>
        <v>3466812.9151795753</v>
      </c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7">
        <f>SUM(B10:AC10)</f>
        <v>3466812.9151795753</v>
      </c>
      <c r="AE10" s="270"/>
      <c r="AF10" s="525" t="s">
        <v>594</v>
      </c>
      <c r="CJ10" s="422"/>
      <c r="CK10" s="422"/>
      <c r="CL10" s="527"/>
      <c r="CM10" s="422"/>
      <c r="CN10" s="422"/>
      <c r="CO10" s="422"/>
      <c r="CP10" s="422"/>
      <c r="CQ10" s="422"/>
      <c r="CR10" s="422"/>
      <c r="CS10" s="422"/>
      <c r="CT10" s="422"/>
      <c r="CU10" s="422"/>
      <c r="CV10" s="422"/>
      <c r="CW10" s="422"/>
      <c r="CX10" s="422"/>
      <c r="CY10" s="422"/>
      <c r="CZ10" s="422"/>
      <c r="DA10" s="422"/>
      <c r="DB10" s="422"/>
      <c r="DC10" s="422"/>
      <c r="DD10" s="422"/>
      <c r="DE10" s="422"/>
      <c r="DF10" s="422"/>
      <c r="DG10" s="422"/>
      <c r="DH10" s="422"/>
      <c r="DI10" s="422"/>
      <c r="DJ10" s="422"/>
      <c r="DK10" s="422"/>
      <c r="DL10" s="422"/>
      <c r="DM10" s="422"/>
      <c r="DN10" s="418"/>
      <c r="DO10" s="418"/>
      <c r="DP10" s="418"/>
      <c r="DQ10" s="418"/>
      <c r="DR10" s="418"/>
      <c r="DS10" s="418"/>
      <c r="DT10" s="418"/>
      <c r="DU10" s="418"/>
      <c r="DV10" s="418"/>
      <c r="DW10" s="418"/>
      <c r="DX10" s="418"/>
      <c r="DY10" s="418"/>
      <c r="DZ10" s="418"/>
      <c r="EA10" s="418"/>
      <c r="EB10" s="418"/>
      <c r="EC10" s="418"/>
      <c r="ED10" s="418"/>
      <c r="EE10" s="418"/>
      <c r="EF10" s="418"/>
      <c r="EG10" s="418"/>
      <c r="EH10" s="418"/>
    </row>
    <row r="11" spans="1:138" ht="13.8" hidden="1">
      <c r="A11" s="23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36"/>
      <c r="AD11" s="237"/>
      <c r="AE11" s="270"/>
      <c r="AF11" s="525"/>
      <c r="CJ11" s="422"/>
      <c r="CK11" s="422"/>
      <c r="CL11" s="527"/>
      <c r="CM11" s="422"/>
      <c r="CN11" s="422"/>
      <c r="CO11" s="422"/>
      <c r="CP11" s="422"/>
      <c r="CQ11" s="422"/>
      <c r="CR11" s="422"/>
      <c r="CS11" s="422"/>
      <c r="CT11" s="422"/>
      <c r="CU11" s="422"/>
      <c r="CV11" s="422"/>
      <c r="CW11" s="422"/>
      <c r="CX11" s="422"/>
      <c r="CY11" s="422"/>
      <c r="CZ11" s="422"/>
      <c r="DA11" s="422"/>
      <c r="DB11" s="422"/>
      <c r="DC11" s="422"/>
      <c r="DD11" s="422"/>
      <c r="DE11" s="422"/>
      <c r="DF11" s="422"/>
      <c r="DG11" s="422"/>
      <c r="DH11" s="422"/>
      <c r="DI11" s="422"/>
      <c r="DJ11" s="422"/>
      <c r="DK11" s="422"/>
      <c r="DL11" s="422"/>
      <c r="DM11" s="422"/>
      <c r="DN11" s="418"/>
      <c r="DO11" s="418"/>
      <c r="DP11" s="418"/>
      <c r="DQ11" s="418"/>
      <c r="DR11" s="418"/>
      <c r="DS11" s="418"/>
      <c r="DT11" s="418"/>
      <c r="DU11" s="418"/>
      <c r="DV11" s="418"/>
      <c r="DW11" s="419"/>
      <c r="DX11" s="419"/>
      <c r="DY11" s="419"/>
      <c r="DZ11" s="419"/>
      <c r="EA11" s="419"/>
      <c r="EB11" s="419"/>
      <c r="EC11" s="419"/>
      <c r="ED11" s="419"/>
      <c r="EE11" s="419"/>
      <c r="EF11" s="419"/>
      <c r="EG11" s="419"/>
      <c r="EH11" s="419"/>
    </row>
    <row r="12" spans="1:138" s="184" customFormat="1" ht="13.8" hidden="1">
      <c r="A12" s="231"/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37"/>
      <c r="AE12" s="270"/>
      <c r="AF12" s="525"/>
      <c r="CJ12" s="422"/>
      <c r="CK12" s="422"/>
      <c r="CL12" s="527"/>
      <c r="CM12" s="422"/>
      <c r="CN12" s="422"/>
      <c r="CO12" s="422"/>
      <c r="CP12" s="422"/>
      <c r="CQ12" s="422"/>
      <c r="CR12" s="422"/>
      <c r="CS12" s="422"/>
      <c r="CT12" s="422"/>
      <c r="CU12" s="422"/>
      <c r="CV12" s="422"/>
      <c r="CW12" s="422"/>
      <c r="CX12" s="422"/>
      <c r="CY12" s="422"/>
      <c r="CZ12" s="422"/>
      <c r="DA12" s="422"/>
      <c r="DB12" s="422"/>
      <c r="DC12" s="422"/>
      <c r="DD12" s="422"/>
      <c r="DE12" s="422"/>
      <c r="DF12" s="422"/>
      <c r="DG12" s="422"/>
      <c r="DH12" s="422"/>
      <c r="DI12" s="422"/>
      <c r="DJ12" s="422"/>
      <c r="DK12" s="422"/>
      <c r="DL12" s="422"/>
      <c r="DM12" s="422"/>
      <c r="DN12" s="418"/>
      <c r="DO12" s="418"/>
      <c r="DP12" s="418"/>
      <c r="DQ12" s="418"/>
      <c r="DR12" s="418"/>
      <c r="DS12" s="418"/>
      <c r="DT12" s="418"/>
      <c r="DU12" s="418"/>
      <c r="DV12" s="418"/>
      <c r="DW12" s="419"/>
      <c r="DX12" s="419"/>
      <c r="DY12" s="419"/>
      <c r="DZ12" s="419"/>
      <c r="EA12" s="419"/>
      <c r="EB12" s="419"/>
      <c r="EC12" s="419"/>
      <c r="ED12" s="419"/>
      <c r="EE12" s="419"/>
      <c r="EF12" s="419"/>
      <c r="EG12" s="419"/>
      <c r="EH12" s="419"/>
    </row>
    <row r="13" spans="88:138" s="184" customFormat="1" ht="13.8" hidden="1" thickBot="1">
      <c r="CJ13" s="419"/>
      <c r="CK13" s="419"/>
      <c r="CL13" s="419"/>
      <c r="CM13" s="419"/>
      <c r="CN13" s="419"/>
      <c r="CO13" s="419"/>
      <c r="CP13" s="419"/>
      <c r="CQ13" s="419"/>
      <c r="CR13" s="419"/>
      <c r="CS13" s="419"/>
      <c r="CT13" s="419"/>
      <c r="CU13" s="419"/>
      <c r="CV13" s="419"/>
      <c r="CW13" s="419"/>
      <c r="CX13" s="419"/>
      <c r="CY13" s="419"/>
      <c r="CZ13" s="419"/>
      <c r="DA13" s="419"/>
      <c r="DB13" s="419"/>
      <c r="DC13" s="419"/>
      <c r="DD13" s="419"/>
      <c r="DE13" s="419"/>
      <c r="DF13" s="419"/>
      <c r="DG13" s="419"/>
      <c r="DH13" s="419"/>
      <c r="DI13" s="419"/>
      <c r="DJ13" s="419"/>
      <c r="DK13" s="419"/>
      <c r="DL13" s="419"/>
      <c r="DM13" s="419"/>
      <c r="DN13" s="419"/>
      <c r="DO13" s="419"/>
      <c r="DP13" s="419"/>
      <c r="DQ13" s="419"/>
      <c r="DR13" s="419"/>
      <c r="DS13" s="419"/>
      <c r="DT13" s="419"/>
      <c r="DU13" s="419"/>
      <c r="DV13" s="419"/>
      <c r="DW13" s="419"/>
      <c r="DX13" s="419"/>
      <c r="DY13" s="419"/>
      <c r="DZ13" s="419"/>
      <c r="EA13" s="419"/>
      <c r="EB13" s="419"/>
      <c r="EC13" s="419"/>
      <c r="ED13" s="419"/>
      <c r="EE13" s="419"/>
      <c r="EF13" s="419"/>
      <c r="EG13" s="419"/>
      <c r="EH13" s="419"/>
    </row>
    <row r="14" spans="1:138" ht="14.4" hidden="1" thickBot="1">
      <c r="A14" s="272" t="s">
        <v>125</v>
      </c>
      <c r="B14" s="273">
        <f>SUM(B7:B13)</f>
        <v>4695018.3848217782</v>
      </c>
      <c r="C14" s="273">
        <f>SUM(C10:C13)</f>
        <v>0</v>
      </c>
      <c r="D14" s="273">
        <f>SUM(D10:D13)</f>
        <v>0</v>
      </c>
      <c r="E14" s="273">
        <f>SUM(E10:E13)</f>
        <v>0</v>
      </c>
      <c r="F14" s="273">
        <f t="shared" si="0" ref="F14:Y14">SUM(F10:F13)</f>
        <v>0</v>
      </c>
      <c r="G14" s="273">
        <f t="shared" si="0"/>
        <v>0</v>
      </c>
      <c r="H14" s="273">
        <f t="shared" si="0"/>
        <v>0</v>
      </c>
      <c r="I14" s="273">
        <f t="shared" si="0"/>
        <v>0</v>
      </c>
      <c r="J14" s="273">
        <f t="shared" si="0"/>
        <v>0</v>
      </c>
      <c r="K14" s="273">
        <f t="shared" si="0"/>
        <v>0</v>
      </c>
      <c r="L14" s="273">
        <f t="shared" si="0"/>
        <v>0</v>
      </c>
      <c r="M14" s="273">
        <f t="shared" si="0"/>
        <v>0</v>
      </c>
      <c r="N14" s="273">
        <f t="shared" si="0"/>
        <v>0</v>
      </c>
      <c r="O14" s="273">
        <f t="shared" si="0"/>
        <v>0</v>
      </c>
      <c r="P14" s="273">
        <f t="shared" si="0"/>
        <v>0</v>
      </c>
      <c r="Q14" s="273">
        <f t="shared" si="0"/>
        <v>0</v>
      </c>
      <c r="R14" s="273">
        <f t="shared" si="0"/>
        <v>0</v>
      </c>
      <c r="S14" s="273">
        <f t="shared" si="0"/>
        <v>0</v>
      </c>
      <c r="T14" s="273">
        <f t="shared" si="0"/>
        <v>0</v>
      </c>
      <c r="U14" s="273">
        <f t="shared" si="0"/>
        <v>0</v>
      </c>
      <c r="V14" s="273">
        <f t="shared" si="0"/>
        <v>0</v>
      </c>
      <c r="W14" s="273">
        <f t="shared" si="0"/>
        <v>0</v>
      </c>
      <c r="X14" s="273">
        <f t="shared" si="0"/>
        <v>0</v>
      </c>
      <c r="Y14" s="273">
        <f t="shared" si="0"/>
        <v>0</v>
      </c>
      <c r="Z14" s="273"/>
      <c r="AA14" s="273"/>
      <c r="AB14" s="273"/>
      <c r="AC14" s="273"/>
      <c r="AD14" s="264">
        <f>SUM(AD8:AD13)</f>
        <v>4695018.3848217782</v>
      </c>
      <c r="AF14" s="241" t="s">
        <v>125</v>
      </c>
      <c r="CJ14" s="423"/>
      <c r="CK14" s="419"/>
      <c r="CL14" s="527"/>
      <c r="CM14" s="419"/>
      <c r="CN14" s="419"/>
      <c r="CO14" s="419"/>
      <c r="CP14" s="528"/>
      <c r="CQ14" s="528"/>
      <c r="CR14" s="528"/>
      <c r="CS14" s="528"/>
      <c r="CT14" s="528"/>
      <c r="CU14" s="528"/>
      <c r="CV14" s="528"/>
      <c r="CW14" s="528"/>
      <c r="CX14" s="528"/>
      <c r="CY14" s="528"/>
      <c r="CZ14" s="528"/>
      <c r="DA14" s="528"/>
      <c r="DB14" s="528"/>
      <c r="DC14" s="528"/>
      <c r="DD14" s="528"/>
      <c r="DE14" s="528"/>
      <c r="DF14" s="528"/>
      <c r="DG14" s="528"/>
      <c r="DH14" s="528"/>
      <c r="DI14" s="528"/>
      <c r="DJ14" s="528"/>
      <c r="DK14" s="528"/>
      <c r="DL14" s="528"/>
      <c r="DM14" s="528"/>
      <c r="DN14" s="419"/>
      <c r="DO14" s="419"/>
      <c r="DP14" s="419"/>
      <c r="DQ14" s="419"/>
      <c r="DR14" s="419"/>
      <c r="DS14" s="419"/>
      <c r="DT14" s="419"/>
      <c r="DU14" s="419"/>
      <c r="DV14" s="419"/>
      <c r="DW14" s="419"/>
      <c r="DX14" s="419"/>
      <c r="DY14" s="419"/>
      <c r="DZ14" s="419"/>
      <c r="EA14" s="419"/>
      <c r="EB14" s="419"/>
      <c r="EC14" s="419"/>
      <c r="ED14" s="419"/>
      <c r="EE14" s="419"/>
      <c r="EF14" s="419"/>
      <c r="EG14" s="419"/>
      <c r="EH14" s="419"/>
    </row>
    <row r="15" spans="1:138" ht="13.8">
      <c r="A15" s="239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F15" s="239"/>
      <c r="CJ15" s="423"/>
      <c r="CK15" s="419"/>
      <c r="CL15" s="527"/>
      <c r="CM15" s="419"/>
      <c r="CN15" s="419"/>
      <c r="CO15" s="419"/>
      <c r="CP15" s="419"/>
      <c r="CQ15" s="419"/>
      <c r="CR15" s="419"/>
      <c r="CS15" s="419"/>
      <c r="CT15" s="419"/>
      <c r="CU15" s="419"/>
      <c r="CV15" s="419"/>
      <c r="CW15" s="419"/>
      <c r="CX15" s="419"/>
      <c r="CY15" s="419"/>
      <c r="CZ15" s="419"/>
      <c r="DA15" s="419"/>
      <c r="DB15" s="419"/>
      <c r="DC15" s="419"/>
      <c r="DD15" s="419"/>
      <c r="DE15" s="419"/>
      <c r="DF15" s="419"/>
      <c r="DG15" s="419"/>
      <c r="DH15" s="419"/>
      <c r="DI15" s="419"/>
      <c r="DJ15" s="419"/>
      <c r="DK15" s="419"/>
      <c r="DL15" s="419"/>
      <c r="DM15" s="423"/>
      <c r="DN15" s="419"/>
      <c r="DO15" s="419"/>
      <c r="DP15" s="419"/>
      <c r="DQ15" s="419"/>
      <c r="DR15" s="419"/>
      <c r="DS15" s="419"/>
      <c r="DT15" s="419"/>
      <c r="DU15" s="419"/>
      <c r="DV15" s="419"/>
      <c r="DW15" s="419"/>
      <c r="DX15" s="419"/>
      <c r="DY15" s="419"/>
      <c r="DZ15" s="419"/>
      <c r="EA15" s="419"/>
      <c r="EB15" s="419"/>
      <c r="EC15" s="419"/>
      <c r="ED15" s="419"/>
      <c r="EE15" s="419"/>
      <c r="EF15" s="419"/>
      <c r="EG15" s="419"/>
      <c r="EH15" s="419"/>
    </row>
    <row r="16" spans="1:138" ht="13.8">
      <c r="A16" s="243" t="s">
        <v>598</v>
      </c>
      <c r="AF16" s="185"/>
      <c r="CJ16" s="423"/>
      <c r="CK16" s="419"/>
      <c r="CL16" s="419"/>
      <c r="CM16" s="419"/>
      <c r="CN16" s="419"/>
      <c r="CO16" s="419"/>
      <c r="CP16" s="419"/>
      <c r="CQ16" s="419"/>
      <c r="CR16" s="419"/>
      <c r="CS16" s="419"/>
      <c r="CT16" s="419"/>
      <c r="CU16" s="419"/>
      <c r="CV16" s="419"/>
      <c r="CW16" s="419"/>
      <c r="CX16" s="419"/>
      <c r="CY16" s="419"/>
      <c r="CZ16" s="419"/>
      <c r="DA16" s="419"/>
      <c r="DB16" s="419"/>
      <c r="DC16" s="419"/>
      <c r="DD16" s="419"/>
      <c r="DE16" s="419"/>
      <c r="DF16" s="419"/>
      <c r="DG16" s="419"/>
      <c r="DH16" s="419"/>
      <c r="DI16" s="419"/>
      <c r="DJ16" s="419"/>
      <c r="DK16" s="419"/>
      <c r="DL16" s="419"/>
      <c r="DM16" s="419"/>
      <c r="DN16" s="419"/>
      <c r="DO16" s="419"/>
      <c r="DP16" s="419"/>
      <c r="DQ16" s="419"/>
      <c r="DR16" s="419"/>
      <c r="DS16" s="419"/>
      <c r="DT16" s="419"/>
      <c r="DU16" s="419"/>
      <c r="DV16" s="419"/>
      <c r="DW16" s="419"/>
      <c r="DX16" s="419"/>
      <c r="DY16" s="419"/>
      <c r="DZ16" s="419"/>
      <c r="EA16" s="419"/>
      <c r="EB16" s="419"/>
      <c r="EC16" s="419"/>
      <c r="ED16" s="419"/>
      <c r="EE16" s="419"/>
      <c r="EF16" s="419"/>
      <c r="EG16" s="419"/>
      <c r="EH16" s="419"/>
    </row>
    <row r="17" spans="1:89" ht="13.8">
      <c r="A17" s="243" t="s">
        <v>677</v>
      </c>
      <c r="B17" s="471">
        <f>+'Schedule No. 4 SVC Avail- SWR'!D37</f>
        <v>11927.850078340018</v>
      </c>
      <c r="C17" s="244"/>
      <c r="G17" s="268"/>
      <c r="CJ17" s="419"/>
      <c r="CK17" s="419"/>
    </row>
    <row r="18" spans="1:89" ht="13.8">
      <c r="A18" s="243" t="s">
        <v>542</v>
      </c>
      <c r="B18" s="471">
        <v>2251</v>
      </c>
      <c r="C18" s="244"/>
      <c r="G18" s="268"/>
      <c r="CJ18" s="419"/>
      <c r="CK18" s="419"/>
    </row>
    <row r="19" spans="1:89" ht="13.8">
      <c r="A19" s="243" t="s">
        <v>543</v>
      </c>
      <c r="B19" s="472">
        <f>+'Schedule 1 Rate Base'!E11</f>
        <v>21958147.999999993</v>
      </c>
      <c r="C19" s="244" t="s">
        <v>127</v>
      </c>
      <c r="G19" s="268"/>
      <c r="CJ19" s="419"/>
      <c r="CK19" s="419"/>
    </row>
    <row r="20" spans="1:89" ht="14.4" thickBot="1">
      <c r="A20" s="243" t="s">
        <v>183</v>
      </c>
      <c r="B20" s="245">
        <f>+'Factored ERC'!AY16</f>
        <v>1248</v>
      </c>
      <c r="C20" s="244" t="s">
        <v>184</v>
      </c>
      <c r="CJ20" s="419"/>
      <c r="CK20" s="419"/>
    </row>
    <row r="21" spans="1:90" ht="14.4" thickBot="1">
      <c r="A21" s="243"/>
      <c r="B21" s="246"/>
      <c r="C21" s="244"/>
      <c r="AF21" s="247" t="s">
        <v>126</v>
      </c>
      <c r="CJ21" s="419"/>
      <c r="CK21" s="419"/>
      <c r="CL21" s="247" t="s">
        <v>599</v>
      </c>
    </row>
    <row r="22" spans="1:117" ht="14.4" thickBot="1">
      <c r="A22" s="243" t="s">
        <v>128</v>
      </c>
      <c r="B22" s="227">
        <v>2024</v>
      </c>
      <c r="C22" s="228">
        <f>+B22+1</f>
        <v>2025</v>
      </c>
      <c r="D22" s="228">
        <f t="shared" si="1" ref="D22:Y22">+C22+1</f>
        <v>2026</v>
      </c>
      <c r="E22" s="228">
        <f t="shared" si="1"/>
        <v>2027</v>
      </c>
      <c r="F22" s="228">
        <f t="shared" si="1"/>
        <v>2028</v>
      </c>
      <c r="G22" s="228">
        <f t="shared" si="1"/>
        <v>2029</v>
      </c>
      <c r="H22" s="228">
        <f t="shared" si="1"/>
        <v>2030</v>
      </c>
      <c r="I22" s="228">
        <f t="shared" si="1"/>
        <v>2031</v>
      </c>
      <c r="J22" s="228">
        <f t="shared" si="1"/>
        <v>2032</v>
      </c>
      <c r="K22" s="228">
        <f t="shared" si="1"/>
        <v>2033</v>
      </c>
      <c r="L22" s="228">
        <f t="shared" si="1"/>
        <v>2034</v>
      </c>
      <c r="M22" s="228">
        <f t="shared" si="1"/>
        <v>2035</v>
      </c>
      <c r="N22" s="228">
        <f t="shared" si="1"/>
        <v>2036</v>
      </c>
      <c r="O22" s="228">
        <f t="shared" si="1"/>
        <v>2037</v>
      </c>
      <c r="P22" s="228">
        <f t="shared" si="1"/>
        <v>2038</v>
      </c>
      <c r="Q22" s="228">
        <f t="shared" si="1"/>
        <v>2039</v>
      </c>
      <c r="R22" s="228">
        <f t="shared" si="1"/>
        <v>2040</v>
      </c>
      <c r="S22" s="228">
        <f t="shared" si="1"/>
        <v>2041</v>
      </c>
      <c r="T22" s="228">
        <f t="shared" si="1"/>
        <v>2042</v>
      </c>
      <c r="U22" s="228">
        <f t="shared" si="1"/>
        <v>2043</v>
      </c>
      <c r="V22" s="228">
        <f t="shared" si="1"/>
        <v>2044</v>
      </c>
      <c r="W22" s="228">
        <f t="shared" si="1"/>
        <v>2045</v>
      </c>
      <c r="X22" s="228">
        <f t="shared" si="1"/>
        <v>2046</v>
      </c>
      <c r="Y22" s="228">
        <f t="shared" si="1"/>
        <v>2047</v>
      </c>
      <c r="Z22" s="228"/>
      <c r="AA22" s="228"/>
      <c r="AB22" s="228"/>
      <c r="AC22" s="228"/>
      <c r="AD22" s="229" t="s">
        <v>118</v>
      </c>
      <c r="AE22" s="232"/>
      <c r="AF22" s="248" t="s">
        <v>128</v>
      </c>
      <c r="CJ22" s="249">
        <v>2023</v>
      </c>
      <c r="CK22" s="421"/>
      <c r="CL22" s="274" t="s">
        <v>128</v>
      </c>
      <c r="CM22" s="227">
        <v>2021</v>
      </c>
      <c r="CN22" s="228">
        <f>+CM22+1</f>
        <v>2022</v>
      </c>
      <c r="CO22" s="228">
        <f t="shared" si="2" ref="CO22:DM22">+CN22+1</f>
        <v>2023</v>
      </c>
      <c r="CP22" s="228">
        <f t="shared" si="2"/>
        <v>2024</v>
      </c>
      <c r="CQ22" s="228">
        <f t="shared" si="2"/>
        <v>2025</v>
      </c>
      <c r="CR22" s="228">
        <f t="shared" si="2"/>
        <v>2026</v>
      </c>
      <c r="CS22" s="228">
        <f t="shared" si="2"/>
        <v>2027</v>
      </c>
      <c r="CT22" s="228">
        <f t="shared" si="2"/>
        <v>2028</v>
      </c>
      <c r="CU22" s="228">
        <f t="shared" si="2"/>
        <v>2029</v>
      </c>
      <c r="CV22" s="228">
        <f t="shared" si="2"/>
        <v>2030</v>
      </c>
      <c r="CW22" s="228">
        <f t="shared" si="2"/>
        <v>2031</v>
      </c>
      <c r="CX22" s="228">
        <f t="shared" si="2"/>
        <v>2032</v>
      </c>
      <c r="CY22" s="228">
        <f t="shared" si="2"/>
        <v>2033</v>
      </c>
      <c r="CZ22" s="228">
        <f t="shared" si="2"/>
        <v>2034</v>
      </c>
      <c r="DA22" s="228">
        <f t="shared" si="2"/>
        <v>2035</v>
      </c>
      <c r="DB22" s="228">
        <f t="shared" si="2"/>
        <v>2036</v>
      </c>
      <c r="DC22" s="228">
        <f t="shared" si="2"/>
        <v>2037</v>
      </c>
      <c r="DD22" s="228">
        <f t="shared" si="2"/>
        <v>2038</v>
      </c>
      <c r="DE22" s="228">
        <f t="shared" si="2"/>
        <v>2039</v>
      </c>
      <c r="DF22" s="228">
        <f t="shared" si="2"/>
        <v>2040</v>
      </c>
      <c r="DG22" s="228">
        <f t="shared" si="2"/>
        <v>2041</v>
      </c>
      <c r="DH22" s="228">
        <f t="shared" si="2"/>
        <v>2042</v>
      </c>
      <c r="DI22" s="228">
        <f t="shared" si="2"/>
        <v>2043</v>
      </c>
      <c r="DJ22" s="228">
        <f t="shared" si="2"/>
        <v>2044</v>
      </c>
      <c r="DK22" s="228">
        <f t="shared" si="2"/>
        <v>2045</v>
      </c>
      <c r="DL22" s="228">
        <f t="shared" si="2"/>
        <v>2046</v>
      </c>
      <c r="DM22" s="228">
        <f t="shared" si="2"/>
        <v>2047</v>
      </c>
    </row>
    <row r="23" spans="1:117" ht="14.4" thickBot="1">
      <c r="A23" s="243" t="s">
        <v>130</v>
      </c>
      <c r="B23" s="250">
        <f>+'Factored ERC'!E15</f>
        <v>860</v>
      </c>
      <c r="C23" s="251">
        <f>+'Factored ERC'!G15</f>
        <v>17</v>
      </c>
      <c r="D23" s="251">
        <f>+'Factored ERC'!I15</f>
        <v>17</v>
      </c>
      <c r="E23" s="251">
        <f>+'Factored ERC'!K15</f>
        <v>17</v>
      </c>
      <c r="F23" s="251">
        <f>+'Factored ERC'!M15</f>
        <v>17</v>
      </c>
      <c r="G23" s="251">
        <f>+'Factored ERC'!O15</f>
        <v>17</v>
      </c>
      <c r="H23" s="251">
        <f>+'Factored ERC'!Q15</f>
        <v>17</v>
      </c>
      <c r="I23" s="251">
        <f>+'Factored ERC'!S15</f>
        <v>17</v>
      </c>
      <c r="J23" s="251">
        <f>+'Factored ERC'!U15</f>
        <v>17</v>
      </c>
      <c r="K23" s="251">
        <f>+'Factored ERC'!W15</f>
        <v>17</v>
      </c>
      <c r="L23" s="251">
        <f>+'Factored ERC'!Y15</f>
        <v>17</v>
      </c>
      <c r="M23" s="251">
        <f>+'Factored ERC'!AA15</f>
        <v>17</v>
      </c>
      <c r="N23" s="251">
        <f>+'Factored ERC'!AC15</f>
        <v>17</v>
      </c>
      <c r="O23" s="251">
        <f>+'Factored ERC'!AE15</f>
        <v>17</v>
      </c>
      <c r="P23" s="251">
        <f>+'Factored ERC'!AG15</f>
        <v>17</v>
      </c>
      <c r="Q23" s="251">
        <f>+'Factored ERC'!AI15</f>
        <v>17</v>
      </c>
      <c r="R23" s="251">
        <f>+'Factored ERC'!AK15</f>
        <v>17</v>
      </c>
      <c r="S23" s="251">
        <f>+'Factored ERC'!AM15</f>
        <v>17</v>
      </c>
      <c r="T23" s="251">
        <f>+'Factored ERC'!AO15</f>
        <v>17</v>
      </c>
      <c r="U23" s="251">
        <f>+'Factored ERC'!AQ15</f>
        <v>17</v>
      </c>
      <c r="V23" s="251">
        <f>+'Factored ERC'!AS15</f>
        <v>17</v>
      </c>
      <c r="W23" s="251">
        <f>+'Factored ERC'!AU15</f>
        <v>17</v>
      </c>
      <c r="X23" s="251">
        <f>+'Factored ERC'!AW15</f>
        <v>17</v>
      </c>
      <c r="Y23" s="251">
        <f>+'Factored ERC'!AY15</f>
        <v>14</v>
      </c>
      <c r="Z23" s="251"/>
      <c r="AA23" s="251"/>
      <c r="AB23" s="251"/>
      <c r="AC23" s="251"/>
      <c r="AD23" s="250">
        <f>SUM(B23:AC23)</f>
        <v>1248</v>
      </c>
      <c r="AE23" s="252"/>
      <c r="AF23" s="253"/>
      <c r="CJ23" s="257"/>
      <c r="CK23" s="422"/>
      <c r="CL23" s="275"/>
      <c r="CM23" s="258"/>
      <c r="CN23" s="255"/>
      <c r="CO23" s="255"/>
      <c r="CP23" s="255"/>
      <c r="CQ23" s="257"/>
      <c r="CR23" s="257"/>
      <c r="CS23" s="257"/>
      <c r="CT23" s="257"/>
      <c r="CU23" s="257"/>
      <c r="CV23" s="257"/>
      <c r="CW23" s="257"/>
      <c r="CX23" s="257"/>
      <c r="CY23" s="257"/>
      <c r="CZ23" s="257"/>
      <c r="DA23" s="257"/>
      <c r="DB23" s="257"/>
      <c r="DC23" s="257"/>
      <c r="DD23" s="257"/>
      <c r="DE23" s="257"/>
      <c r="DF23" s="257"/>
      <c r="DG23" s="257"/>
      <c r="DH23" s="257"/>
      <c r="DI23" s="257"/>
      <c r="DJ23" s="257"/>
      <c r="DK23" s="257"/>
      <c r="DL23" s="257"/>
      <c r="DM23" s="259"/>
    </row>
    <row r="24" spans="1:117" ht="14.4" thickBot="1">
      <c r="A24" s="537" t="s">
        <v>643</v>
      </c>
      <c r="B24" s="538">
        <f>+($B$17)*B23</f>
        <v>10257951.067372415</v>
      </c>
      <c r="C24" s="538">
        <f t="shared" si="3" ref="C24:Y24">+($B$17)*C23</f>
        <v>202773.45133178029</v>
      </c>
      <c r="D24" s="538">
        <f t="shared" si="3"/>
        <v>202773.45133178029</v>
      </c>
      <c r="E24" s="538">
        <f t="shared" si="3"/>
        <v>202773.45133178029</v>
      </c>
      <c r="F24" s="538">
        <f t="shared" si="3"/>
        <v>202773.45133178029</v>
      </c>
      <c r="G24" s="538">
        <f t="shared" si="3"/>
        <v>202773.45133178029</v>
      </c>
      <c r="H24" s="538">
        <f t="shared" si="3"/>
        <v>202773.45133178029</v>
      </c>
      <c r="I24" s="538">
        <f t="shared" si="3"/>
        <v>202773.45133178029</v>
      </c>
      <c r="J24" s="538">
        <f t="shared" si="3"/>
        <v>202773.45133178029</v>
      </c>
      <c r="K24" s="538">
        <f t="shared" si="3"/>
        <v>202773.45133178029</v>
      </c>
      <c r="L24" s="538">
        <f t="shared" si="3"/>
        <v>202773.45133178029</v>
      </c>
      <c r="M24" s="538">
        <f t="shared" si="3"/>
        <v>202773.45133178029</v>
      </c>
      <c r="N24" s="538">
        <f t="shared" si="3"/>
        <v>202773.45133178029</v>
      </c>
      <c r="O24" s="538">
        <f t="shared" si="3"/>
        <v>202773.45133178029</v>
      </c>
      <c r="P24" s="538">
        <f t="shared" si="3"/>
        <v>202773.45133178029</v>
      </c>
      <c r="Q24" s="538">
        <f t="shared" si="3"/>
        <v>202773.45133178029</v>
      </c>
      <c r="R24" s="538">
        <f t="shared" si="3"/>
        <v>202773.45133178029</v>
      </c>
      <c r="S24" s="538">
        <f t="shared" si="3"/>
        <v>202773.45133178029</v>
      </c>
      <c r="T24" s="538">
        <f t="shared" si="3"/>
        <v>202773.45133178029</v>
      </c>
      <c r="U24" s="538">
        <f t="shared" si="3"/>
        <v>202773.45133178029</v>
      </c>
      <c r="V24" s="538">
        <f t="shared" si="3"/>
        <v>202773.45133178029</v>
      </c>
      <c r="W24" s="538">
        <f t="shared" si="3"/>
        <v>202773.45133178029</v>
      </c>
      <c r="X24" s="538">
        <f t="shared" si="3"/>
        <v>202773.45133178029</v>
      </c>
      <c r="Y24" s="538">
        <f t="shared" si="3"/>
        <v>166989.90109676024</v>
      </c>
      <c r="Z24" s="538"/>
      <c r="AA24" s="538"/>
      <c r="AB24" s="538"/>
      <c r="AC24" s="539"/>
      <c r="AD24" s="539">
        <f>SUM(B24:AC24)</f>
        <v>14885956.897768321</v>
      </c>
      <c r="AE24" s="260"/>
      <c r="AF24" s="261" t="s">
        <v>131</v>
      </c>
      <c r="CJ24" s="265" t="e">
        <f>+($B38*5.5)+($C38*4.5)+($D38*3.5)+($E38*2.5)+(#REF!*0.5)+(AB38*1.5)</f>
        <v>#REF!</v>
      </c>
      <c r="CK24" s="422"/>
      <c r="CL24" s="261" t="s">
        <v>131</v>
      </c>
      <c r="CM24" s="266">
        <f>+B45</f>
        <v>378781.16676920024</v>
      </c>
      <c r="CN24" s="266">
        <f t="shared" si="4" ref="CN24:DM24">+C45-B45</f>
        <v>386268.70146114961</v>
      </c>
      <c r="CO24" s="267">
        <f t="shared" si="4"/>
        <v>393756.23615309899</v>
      </c>
      <c r="CP24" s="463">
        <f t="shared" si="4"/>
        <v>401243.77084504836</v>
      </c>
      <c r="CQ24" s="463">
        <f t="shared" si="4"/>
        <v>408731.3055369975</v>
      </c>
      <c r="CR24" s="463">
        <f t="shared" si="4"/>
        <v>416218.84022894688</v>
      </c>
      <c r="CS24" s="463">
        <f t="shared" si="4"/>
        <v>423706.37492089625</v>
      </c>
      <c r="CT24" s="463">
        <f t="shared" si="4"/>
        <v>431193.90961284563</v>
      </c>
      <c r="CU24" s="463">
        <f t="shared" si="4"/>
        <v>438681.444304795</v>
      </c>
      <c r="CV24" s="463">
        <f t="shared" si="4"/>
        <v>446168.97899674438</v>
      </c>
      <c r="CW24" s="463">
        <f t="shared" si="4"/>
        <v>453656.51368869375</v>
      </c>
      <c r="CX24" s="463">
        <f t="shared" si="4"/>
        <v>461144.04838064313</v>
      </c>
      <c r="CY24" s="463">
        <f t="shared" si="4"/>
        <v>468631.5830725925</v>
      </c>
      <c r="CZ24" s="463">
        <f t="shared" si="4"/>
        <v>476119.11776454188</v>
      </c>
      <c r="DA24" s="463">
        <f t="shared" si="4"/>
        <v>483606.65245649125</v>
      </c>
      <c r="DB24" s="463">
        <f t="shared" si="4"/>
        <v>491094.18714844063</v>
      </c>
      <c r="DC24" s="463">
        <f t="shared" si="4"/>
        <v>498581.72184039</v>
      </c>
      <c r="DD24" s="463">
        <f t="shared" si="4"/>
        <v>506069.25653233845</v>
      </c>
      <c r="DE24" s="463">
        <f t="shared" si="4"/>
        <v>513556.79122428875</v>
      </c>
      <c r="DF24" s="463">
        <f t="shared" si="4"/>
        <v>521044.32591623813</v>
      </c>
      <c r="DG24" s="463">
        <f t="shared" si="4"/>
        <v>528531.86060818657</v>
      </c>
      <c r="DH24" s="463">
        <f t="shared" si="4"/>
        <v>536019.39530013688</v>
      </c>
      <c r="DI24" s="463">
        <f t="shared" si="4"/>
        <v>543506.92999208532</v>
      </c>
      <c r="DJ24" s="463">
        <f t="shared" si="4"/>
        <v>549673.13503251411</v>
      </c>
      <c r="DK24" s="463">
        <f t="shared" si="4"/>
        <v>-11155986.247787304</v>
      </c>
      <c r="DL24" s="463">
        <f t="shared" si="4"/>
        <v>0</v>
      </c>
      <c r="DM24" s="463">
        <f t="shared" si="4"/>
        <v>0</v>
      </c>
    </row>
    <row r="25" spans="1:117" ht="13.8">
      <c r="A25" s="529"/>
      <c r="B25" s="528"/>
      <c r="C25" s="528"/>
      <c r="D25" s="528"/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8"/>
      <c r="Q25" s="528"/>
      <c r="R25" s="528"/>
      <c r="S25" s="528"/>
      <c r="T25" s="528"/>
      <c r="U25" s="528"/>
      <c r="V25" s="528"/>
      <c r="W25" s="528"/>
      <c r="X25" s="528"/>
      <c r="Y25" s="528"/>
      <c r="Z25" s="528"/>
      <c r="AA25" s="528"/>
      <c r="AB25" s="528"/>
      <c r="AC25" s="528"/>
      <c r="AD25" s="528"/>
      <c r="AE25" s="260"/>
      <c r="AF25" s="529"/>
      <c r="CJ25" s="422"/>
      <c r="CK25" s="422"/>
      <c r="CL25" s="529"/>
      <c r="CM25" s="534"/>
      <c r="CN25" s="534"/>
      <c r="CO25" s="534"/>
      <c r="CP25" s="535"/>
      <c r="CQ25" s="535"/>
      <c r="CR25" s="535"/>
      <c r="CS25" s="535"/>
      <c r="CT25" s="535"/>
      <c r="CU25" s="535"/>
      <c r="CV25" s="535"/>
      <c r="CW25" s="535"/>
      <c r="CX25" s="535"/>
      <c r="CY25" s="535"/>
      <c r="CZ25" s="535"/>
      <c r="DA25" s="535"/>
      <c r="DB25" s="535"/>
      <c r="DC25" s="535"/>
      <c r="DD25" s="535"/>
      <c r="DE25" s="535"/>
      <c r="DF25" s="535"/>
      <c r="DG25" s="535"/>
      <c r="DH25" s="535"/>
      <c r="DI25" s="535"/>
      <c r="DJ25" s="535"/>
      <c r="DK25" s="535"/>
      <c r="DL25" s="535"/>
      <c r="DM25" s="535"/>
    </row>
    <row r="26" spans="1:117" ht="13.8">
      <c r="A26" s="529" t="s">
        <v>678</v>
      </c>
      <c r="B26" s="528">
        <f>+'Schedule 5 Laterals'!F16</f>
        <v>984.13899811073986</v>
      </c>
      <c r="C26" s="528"/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528"/>
      <c r="V26" s="528"/>
      <c r="W26" s="528"/>
      <c r="X26" s="528"/>
      <c r="Y26" s="528"/>
      <c r="Z26" s="528"/>
      <c r="AA26" s="528"/>
      <c r="AB26" s="528"/>
      <c r="AC26" s="528"/>
      <c r="AD26" s="528"/>
      <c r="AE26" s="260"/>
      <c r="AF26" s="529"/>
      <c r="CJ26" s="422"/>
      <c r="CK26" s="422"/>
      <c r="CL26" s="529"/>
      <c r="CM26" s="534"/>
      <c r="CN26" s="534"/>
      <c r="CO26" s="534"/>
      <c r="CP26" s="535"/>
      <c r="CQ26" s="535"/>
      <c r="CR26" s="535"/>
      <c r="CS26" s="535"/>
      <c r="CT26" s="535"/>
      <c r="CU26" s="535"/>
      <c r="CV26" s="535"/>
      <c r="CW26" s="535"/>
      <c r="CX26" s="535"/>
      <c r="CY26" s="535"/>
      <c r="CZ26" s="535"/>
      <c r="DA26" s="535"/>
      <c r="DB26" s="535"/>
      <c r="DC26" s="535"/>
      <c r="DD26" s="535"/>
      <c r="DE26" s="535"/>
      <c r="DF26" s="535"/>
      <c r="DG26" s="535"/>
      <c r="DH26" s="535"/>
      <c r="DI26" s="535"/>
      <c r="DJ26" s="535"/>
      <c r="DK26" s="535"/>
      <c r="DL26" s="535"/>
      <c r="DM26" s="535"/>
    </row>
    <row r="27" spans="1:117" ht="13.8">
      <c r="A27" s="536" t="s">
        <v>661</v>
      </c>
      <c r="B27" s="540">
        <f>+B23*$B$26</f>
        <v>846359.53837523633</v>
      </c>
      <c r="C27" s="540">
        <f t="shared" si="5" ref="C27:Y27">+C23*$B$26</f>
        <v>16730.362967882578</v>
      </c>
      <c r="D27" s="540">
        <f t="shared" si="5"/>
        <v>16730.362967882578</v>
      </c>
      <c r="E27" s="540">
        <f t="shared" si="5"/>
        <v>16730.362967882578</v>
      </c>
      <c r="F27" s="540">
        <f t="shared" si="5"/>
        <v>16730.362967882578</v>
      </c>
      <c r="G27" s="540">
        <f t="shared" si="5"/>
        <v>16730.362967882578</v>
      </c>
      <c r="H27" s="540">
        <f t="shared" si="5"/>
        <v>16730.362967882578</v>
      </c>
      <c r="I27" s="540">
        <f t="shared" si="5"/>
        <v>16730.362967882578</v>
      </c>
      <c r="J27" s="540">
        <f t="shared" si="5"/>
        <v>16730.362967882578</v>
      </c>
      <c r="K27" s="540">
        <f t="shared" si="5"/>
        <v>16730.362967882578</v>
      </c>
      <c r="L27" s="540">
        <f t="shared" si="5"/>
        <v>16730.362967882578</v>
      </c>
      <c r="M27" s="540">
        <f t="shared" si="5"/>
        <v>16730.362967882578</v>
      </c>
      <c r="N27" s="540">
        <f t="shared" si="5"/>
        <v>16730.362967882578</v>
      </c>
      <c r="O27" s="540">
        <f t="shared" si="5"/>
        <v>16730.362967882578</v>
      </c>
      <c r="P27" s="540">
        <f t="shared" si="5"/>
        <v>16730.362967882578</v>
      </c>
      <c r="Q27" s="540">
        <f t="shared" si="5"/>
        <v>16730.362967882578</v>
      </c>
      <c r="R27" s="540">
        <f t="shared" si="5"/>
        <v>16730.362967882578</v>
      </c>
      <c r="S27" s="540">
        <f t="shared" si="5"/>
        <v>16730.362967882578</v>
      </c>
      <c r="T27" s="540">
        <f t="shared" si="5"/>
        <v>16730.362967882578</v>
      </c>
      <c r="U27" s="540">
        <f t="shared" si="5"/>
        <v>16730.362967882578</v>
      </c>
      <c r="V27" s="540">
        <f t="shared" si="5"/>
        <v>16730.362967882578</v>
      </c>
      <c r="W27" s="540">
        <f t="shared" si="5"/>
        <v>16730.362967882578</v>
      </c>
      <c r="X27" s="540">
        <f t="shared" si="5"/>
        <v>16730.362967882578</v>
      </c>
      <c r="Y27" s="540">
        <f t="shared" si="5"/>
        <v>13777.945973550359</v>
      </c>
      <c r="Z27" s="540"/>
      <c r="AA27" s="540"/>
      <c r="AB27" s="540"/>
      <c r="AC27" s="540"/>
      <c r="AD27" s="540">
        <f>SUM(B27:AC27)</f>
        <v>1228205.4696422026</v>
      </c>
      <c r="AE27" s="260"/>
      <c r="AF27" s="529"/>
      <c r="CJ27" s="422"/>
      <c r="CK27" s="422"/>
      <c r="CL27" s="529"/>
      <c r="CM27" s="534"/>
      <c r="CN27" s="534"/>
      <c r="CO27" s="534"/>
      <c r="CP27" s="535"/>
      <c r="CQ27" s="535"/>
      <c r="CR27" s="535"/>
      <c r="CS27" s="535"/>
      <c r="CT27" s="535"/>
      <c r="CU27" s="535"/>
      <c r="CV27" s="535"/>
      <c r="CW27" s="535"/>
      <c r="CX27" s="535"/>
      <c r="CY27" s="535"/>
      <c r="CZ27" s="535"/>
      <c r="DA27" s="535"/>
      <c r="DB27" s="535"/>
      <c r="DC27" s="535"/>
      <c r="DD27" s="535"/>
      <c r="DE27" s="535"/>
      <c r="DF27" s="535"/>
      <c r="DG27" s="535"/>
      <c r="DH27" s="535"/>
      <c r="DI27" s="535"/>
      <c r="DJ27" s="535"/>
      <c r="DK27" s="535"/>
      <c r="DL27" s="535"/>
      <c r="DM27" s="535"/>
    </row>
    <row r="28" spans="1:117" ht="13.8">
      <c r="A28" s="536"/>
      <c r="B28" s="528"/>
      <c r="C28" s="528"/>
      <c r="D28" s="528"/>
      <c r="E28" s="528"/>
      <c r="F28" s="528"/>
      <c r="G28" s="528"/>
      <c r="H28" s="528"/>
      <c r="I28" s="528"/>
      <c r="J28" s="528"/>
      <c r="K28" s="528"/>
      <c r="L28" s="528"/>
      <c r="M28" s="528"/>
      <c r="N28" s="528"/>
      <c r="O28" s="528"/>
      <c r="P28" s="528"/>
      <c r="Q28" s="528"/>
      <c r="R28" s="528"/>
      <c r="S28" s="528"/>
      <c r="T28" s="528"/>
      <c r="U28" s="528"/>
      <c r="V28" s="528"/>
      <c r="W28" s="528"/>
      <c r="X28" s="528"/>
      <c r="Y28" s="528"/>
      <c r="Z28" s="528"/>
      <c r="AA28" s="528"/>
      <c r="AB28" s="528"/>
      <c r="AC28" s="528"/>
      <c r="AD28" s="528"/>
      <c r="AE28" s="260"/>
      <c r="AF28" s="529"/>
      <c r="CJ28" s="422"/>
      <c r="CK28" s="422"/>
      <c r="CL28" s="529"/>
      <c r="CM28" s="534"/>
      <c r="CN28" s="534"/>
      <c r="CO28" s="534"/>
      <c r="CP28" s="535"/>
      <c r="CQ28" s="535"/>
      <c r="CR28" s="535"/>
      <c r="CS28" s="535"/>
      <c r="CT28" s="535"/>
      <c r="CU28" s="535"/>
      <c r="CV28" s="535"/>
      <c r="CW28" s="535"/>
      <c r="CX28" s="535"/>
      <c r="CY28" s="535"/>
      <c r="CZ28" s="535"/>
      <c r="DA28" s="535"/>
      <c r="DB28" s="535"/>
      <c r="DC28" s="535"/>
      <c r="DD28" s="535"/>
      <c r="DE28" s="535"/>
      <c r="DF28" s="535"/>
      <c r="DG28" s="535"/>
      <c r="DH28" s="535"/>
      <c r="DI28" s="535"/>
      <c r="DJ28" s="535"/>
      <c r="DK28" s="535"/>
      <c r="DL28" s="535"/>
      <c r="DM28" s="535"/>
    </row>
    <row r="29" spans="1:89" ht="14.4" thickBot="1">
      <c r="A29" s="222" t="s">
        <v>608</v>
      </c>
      <c r="B29" s="542">
        <f>+B24+B27</f>
        <v>11104310.605747651</v>
      </c>
      <c r="C29" s="542">
        <f t="shared" si="6" ref="C29:AD29">+C24+C27</f>
        <v>219503.81429966286</v>
      </c>
      <c r="D29" s="542">
        <f>+D24+D27</f>
        <v>219503.81429966286</v>
      </c>
      <c r="E29" s="542">
        <f t="shared" si="6"/>
        <v>219503.81429966286</v>
      </c>
      <c r="F29" s="542">
        <f t="shared" si="6"/>
        <v>219503.81429966286</v>
      </c>
      <c r="G29" s="542">
        <f t="shared" si="6"/>
        <v>219503.81429966286</v>
      </c>
      <c r="H29" s="542">
        <f t="shared" si="6"/>
        <v>219503.81429966286</v>
      </c>
      <c r="I29" s="542">
        <f t="shared" si="6"/>
        <v>219503.81429966286</v>
      </c>
      <c r="J29" s="542">
        <f t="shared" si="6"/>
        <v>219503.81429966286</v>
      </c>
      <c r="K29" s="542">
        <f t="shared" si="6"/>
        <v>219503.81429966286</v>
      </c>
      <c r="L29" s="542">
        <f t="shared" si="6"/>
        <v>219503.81429966286</v>
      </c>
      <c r="M29" s="542">
        <f t="shared" si="6"/>
        <v>219503.81429966286</v>
      </c>
      <c r="N29" s="542">
        <f t="shared" si="6"/>
        <v>219503.81429966286</v>
      </c>
      <c r="O29" s="542">
        <f t="shared" si="6"/>
        <v>219503.81429966286</v>
      </c>
      <c r="P29" s="542">
        <f t="shared" si="6"/>
        <v>219503.81429966286</v>
      </c>
      <c r="Q29" s="542">
        <f t="shared" si="6"/>
        <v>219503.81429966286</v>
      </c>
      <c r="R29" s="542">
        <f t="shared" si="6"/>
        <v>219503.81429966286</v>
      </c>
      <c r="S29" s="542">
        <f t="shared" si="6"/>
        <v>219503.81429966286</v>
      </c>
      <c r="T29" s="542">
        <f t="shared" si="6"/>
        <v>219503.81429966286</v>
      </c>
      <c r="U29" s="542">
        <f t="shared" si="6"/>
        <v>219503.81429966286</v>
      </c>
      <c r="V29" s="542">
        <f t="shared" si="6"/>
        <v>219503.81429966286</v>
      </c>
      <c r="W29" s="542">
        <f t="shared" si="6"/>
        <v>219503.81429966286</v>
      </c>
      <c r="X29" s="542">
        <f t="shared" si="6"/>
        <v>219503.81429966286</v>
      </c>
      <c r="Y29" s="542">
        <f t="shared" si="6"/>
        <v>180767.84707031059</v>
      </c>
      <c r="Z29" s="542"/>
      <c r="AA29" s="542"/>
      <c r="AB29" s="542"/>
      <c r="AC29" s="268"/>
      <c r="AD29" s="462">
        <f t="shared" si="6"/>
        <v>16114162.367410524</v>
      </c>
      <c r="AE29" s="268"/>
      <c r="CJ29" s="419"/>
      <c r="CK29" s="419"/>
    </row>
    <row r="30" spans="1:89" ht="14.4" thickBot="1">
      <c r="A30" s="222"/>
      <c r="B30" s="583"/>
      <c r="C30" s="583"/>
      <c r="D30" s="583"/>
      <c r="E30" s="583"/>
      <c r="F30" s="583"/>
      <c r="G30" s="583"/>
      <c r="H30" s="583"/>
      <c r="I30" s="583"/>
      <c r="J30" s="583"/>
      <c r="K30" s="583"/>
      <c r="L30" s="583"/>
      <c r="M30" s="583"/>
      <c r="N30" s="583"/>
      <c r="O30" s="583"/>
      <c r="P30" s="583"/>
      <c r="Q30" s="583"/>
      <c r="R30" s="583"/>
      <c r="S30" s="583"/>
      <c r="T30" s="583"/>
      <c r="U30" s="583"/>
      <c r="V30" s="583"/>
      <c r="W30" s="583"/>
      <c r="X30" s="583"/>
      <c r="Y30" s="583"/>
      <c r="Z30" s="583"/>
      <c r="AA30" s="583"/>
      <c r="AB30" s="583"/>
      <c r="AC30" s="268"/>
      <c r="AD30" s="462"/>
      <c r="AE30" s="268"/>
      <c r="CJ30" s="419"/>
      <c r="CK30" s="419"/>
    </row>
    <row r="31" spans="1:89" ht="14.4" thickBot="1">
      <c r="A31" s="412" t="s">
        <v>607</v>
      </c>
      <c r="B31" s="541">
        <f>+B29</f>
        <v>11104310.605747651</v>
      </c>
      <c r="C31" s="541">
        <f>+C29+B31</f>
        <v>11323814.420047315</v>
      </c>
      <c r="D31" s="541">
        <f t="shared" si="7" ref="D31:Y31">+D29+C31</f>
        <v>11543318.234346978</v>
      </c>
      <c r="E31" s="541">
        <f t="shared" si="7"/>
        <v>11762822.048646642</v>
      </c>
      <c r="F31" s="541">
        <f t="shared" si="7"/>
        <v>11982325.862946305</v>
      </c>
      <c r="G31" s="541">
        <f t="shared" si="7"/>
        <v>12201829.677245969</v>
      </c>
      <c r="H31" s="541">
        <f t="shared" si="7"/>
        <v>12421333.491545633</v>
      </c>
      <c r="I31" s="541">
        <f t="shared" si="7"/>
        <v>12640837.305845296</v>
      </c>
      <c r="J31" s="541">
        <f t="shared" si="7"/>
        <v>12860341.12014496</v>
      </c>
      <c r="K31" s="541">
        <f t="shared" si="7"/>
        <v>13079844.934444623</v>
      </c>
      <c r="L31" s="541">
        <f t="shared" si="7"/>
        <v>13299348.748744287</v>
      </c>
      <c r="M31" s="541">
        <f t="shared" si="7"/>
        <v>13518852.56304395</v>
      </c>
      <c r="N31" s="541">
        <f t="shared" si="7"/>
        <v>13738356.377343614</v>
      </c>
      <c r="O31" s="541">
        <f t="shared" si="7"/>
        <v>13957860.191643277</v>
      </c>
      <c r="P31" s="541">
        <f t="shared" si="7"/>
        <v>14177364.005942941</v>
      </c>
      <c r="Q31" s="541">
        <f t="shared" si="7"/>
        <v>14396867.820242604</v>
      </c>
      <c r="R31" s="541">
        <f t="shared" si="7"/>
        <v>14616371.634542268</v>
      </c>
      <c r="S31" s="541">
        <f t="shared" si="7"/>
        <v>14835875.448841931</v>
      </c>
      <c r="T31" s="541">
        <f t="shared" si="7"/>
        <v>15055379.263141595</v>
      </c>
      <c r="U31" s="541">
        <f t="shared" si="7"/>
        <v>15274883.077441258</v>
      </c>
      <c r="V31" s="541">
        <f t="shared" si="7"/>
        <v>15494386.891740922</v>
      </c>
      <c r="W31" s="541">
        <f t="shared" si="7"/>
        <v>15713890.706040585</v>
      </c>
      <c r="X31" s="541">
        <f t="shared" si="7"/>
        <v>15933394.520340249</v>
      </c>
      <c r="Y31" s="541">
        <f t="shared" si="7"/>
        <v>16114162.367410559</v>
      </c>
      <c r="Z31" s="541"/>
      <c r="AA31" s="541"/>
      <c r="AB31" s="541"/>
      <c r="AC31" s="276"/>
      <c r="AD31" s="276"/>
      <c r="AE31" s="276"/>
      <c r="CJ31" s="419"/>
      <c r="CK31" s="419"/>
    </row>
    <row r="32" spans="2:89" ht="14.4" thickTop="1">
      <c r="B32" s="260"/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40"/>
      <c r="AE32" s="240"/>
      <c r="AG32" s="240"/>
      <c r="CK32" s="419"/>
    </row>
    <row r="33" spans="1:30" ht="13.8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D33" s="419"/>
    </row>
    <row r="34" spans="1:30" ht="13.8">
      <c r="A34" s="222" t="s">
        <v>601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D34" s="578"/>
    </row>
    <row r="35" spans="1:30" ht="14.4" thickBot="1">
      <c r="A35" s="419"/>
      <c r="AD35" s="419"/>
    </row>
    <row r="36" spans="1:28" ht="14.4" thickBot="1">
      <c r="A36" s="420"/>
      <c r="B36" s="227">
        <v>2024</v>
      </c>
      <c r="C36" s="228">
        <f>+B36+1</f>
        <v>2025</v>
      </c>
      <c r="D36" s="228">
        <f t="shared" si="8" ref="D36:Y36">+C36+1</f>
        <v>2026</v>
      </c>
      <c r="E36" s="228">
        <f t="shared" si="8"/>
        <v>2027</v>
      </c>
      <c r="F36" s="228">
        <f t="shared" si="8"/>
        <v>2028</v>
      </c>
      <c r="G36" s="228">
        <f t="shared" si="8"/>
        <v>2029</v>
      </c>
      <c r="H36" s="228">
        <f t="shared" si="8"/>
        <v>2030</v>
      </c>
      <c r="I36" s="228">
        <f t="shared" si="8"/>
        <v>2031</v>
      </c>
      <c r="J36" s="228">
        <f t="shared" si="8"/>
        <v>2032</v>
      </c>
      <c r="K36" s="228">
        <f t="shared" si="8"/>
        <v>2033</v>
      </c>
      <c r="L36" s="228">
        <f t="shared" si="8"/>
        <v>2034</v>
      </c>
      <c r="M36" s="228">
        <f t="shared" si="8"/>
        <v>2035</v>
      </c>
      <c r="N36" s="228">
        <f t="shared" si="8"/>
        <v>2036</v>
      </c>
      <c r="O36" s="228">
        <f t="shared" si="8"/>
        <v>2037</v>
      </c>
      <c r="P36" s="228">
        <f t="shared" si="8"/>
        <v>2038</v>
      </c>
      <c r="Q36" s="228">
        <f t="shared" si="8"/>
        <v>2039</v>
      </c>
      <c r="R36" s="228">
        <f t="shared" si="8"/>
        <v>2040</v>
      </c>
      <c r="S36" s="228">
        <f t="shared" si="8"/>
        <v>2041</v>
      </c>
      <c r="T36" s="228">
        <f t="shared" si="8"/>
        <v>2042</v>
      </c>
      <c r="U36" s="228">
        <f t="shared" si="8"/>
        <v>2043</v>
      </c>
      <c r="V36" s="228">
        <f t="shared" si="8"/>
        <v>2044</v>
      </c>
      <c r="W36" s="228">
        <f t="shared" si="8"/>
        <v>2045</v>
      </c>
      <c r="X36" s="228">
        <f t="shared" si="8"/>
        <v>2046</v>
      </c>
      <c r="Y36" s="228">
        <f t="shared" si="8"/>
        <v>2047</v>
      </c>
      <c r="Z36" s="228"/>
      <c r="AA36" s="228"/>
      <c r="AB36" s="228"/>
    </row>
    <row r="37" spans="1:28" ht="13.8">
      <c r="A37" s="530" t="s">
        <v>646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</row>
    <row r="38" spans="1:28" ht="14.4" thickBot="1">
      <c r="A38" s="589">
        <f>+'Depreciation Schedule'!AK117</f>
        <v>0.034111182604451021</v>
      </c>
      <c r="B38" s="262">
        <f>(+B31)*$A38</f>
        <v>378781.16676920024</v>
      </c>
      <c r="C38" s="262">
        <f>(+C31)*$A38</f>
        <v>386268.70146114961</v>
      </c>
      <c r="D38" s="262">
        <f t="shared" si="9" ref="D38:Y38">(+D31)*$A38</f>
        <v>393756.23615309893</v>
      </c>
      <c r="E38" s="262">
        <f t="shared" si="9"/>
        <v>401243.77084504825</v>
      </c>
      <c r="F38" s="262">
        <f t="shared" si="9"/>
        <v>408731.30553699756</v>
      </c>
      <c r="G38" s="262">
        <f t="shared" si="9"/>
        <v>416218.84022894694</v>
      </c>
      <c r="H38" s="262">
        <f t="shared" si="9"/>
        <v>423706.37492089625</v>
      </c>
      <c r="I38" s="262">
        <f t="shared" si="9"/>
        <v>431193.90961284557</v>
      </c>
      <c r="J38" s="262">
        <f t="shared" si="9"/>
        <v>438681.44430479489</v>
      </c>
      <c r="K38" s="262">
        <f>(+K31)*$A38</f>
        <v>446168.9789967442</v>
      </c>
      <c r="L38" s="262">
        <f t="shared" si="9"/>
        <v>453656.51368869358</v>
      </c>
      <c r="M38" s="262">
        <f t="shared" si="9"/>
        <v>461144.0483806429</v>
      </c>
      <c r="N38" s="262">
        <f t="shared" si="9"/>
        <v>468631.58307259221</v>
      </c>
      <c r="O38" s="262">
        <f t="shared" si="9"/>
        <v>476119.11776454153</v>
      </c>
      <c r="P38" s="262">
        <f t="shared" si="9"/>
        <v>483606.65245649091</v>
      </c>
      <c r="Q38" s="262">
        <f t="shared" si="9"/>
        <v>491094.18714844022</v>
      </c>
      <c r="R38" s="262">
        <f t="shared" si="9"/>
        <v>498581.72184038954</v>
      </c>
      <c r="S38" s="262">
        <f t="shared" si="9"/>
        <v>506069.25653233886</v>
      </c>
      <c r="T38" s="262">
        <f t="shared" si="9"/>
        <v>513556.79122428817</v>
      </c>
      <c r="U38" s="262">
        <f t="shared" si="9"/>
        <v>521044.32591623755</v>
      </c>
      <c r="V38" s="262">
        <f t="shared" si="9"/>
        <v>528531.86060818681</v>
      </c>
      <c r="W38" s="262">
        <f t="shared" si="9"/>
        <v>536019.39530013618</v>
      </c>
      <c r="X38" s="262">
        <f t="shared" si="9"/>
        <v>543506.92999208556</v>
      </c>
      <c r="Y38" s="262">
        <f t="shared" si="9"/>
        <v>549673.13503251434</v>
      </c>
      <c r="Z38" s="262"/>
      <c r="AA38" s="262"/>
      <c r="AB38" s="262"/>
    </row>
    <row r="39" spans="1:2" ht="13.8">
      <c r="A39" s="585"/>
      <c r="B39" s="268"/>
    </row>
    <row r="40" spans="1:27" ht="13.8">
      <c r="A40" s="529"/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412"/>
    </row>
    <row r="41" spans="1:27" ht="13.8">
      <c r="A41" s="529" t="s">
        <v>600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412"/>
    </row>
    <row r="42" ht="14.4" thickBot="1">
      <c r="A42" s="419"/>
    </row>
    <row r="43" spans="1:28" ht="14.4" thickBot="1">
      <c r="A43" s="419"/>
      <c r="B43" s="227">
        <v>2024</v>
      </c>
      <c r="C43" s="228">
        <f>+B43+1</f>
        <v>2025</v>
      </c>
      <c r="D43" s="228">
        <f t="shared" si="10" ref="D43:Y43">+C43+1</f>
        <v>2026</v>
      </c>
      <c r="E43" s="228">
        <f t="shared" si="10"/>
        <v>2027</v>
      </c>
      <c r="F43" s="228">
        <f t="shared" si="10"/>
        <v>2028</v>
      </c>
      <c r="G43" s="228">
        <f t="shared" si="10"/>
        <v>2029</v>
      </c>
      <c r="H43" s="228">
        <f t="shared" si="10"/>
        <v>2030</v>
      </c>
      <c r="I43" s="228">
        <f t="shared" si="10"/>
        <v>2031</v>
      </c>
      <c r="J43" s="228">
        <f t="shared" si="10"/>
        <v>2032</v>
      </c>
      <c r="K43" s="228">
        <f t="shared" si="10"/>
        <v>2033</v>
      </c>
      <c r="L43" s="228">
        <f t="shared" si="10"/>
        <v>2034</v>
      </c>
      <c r="M43" s="228">
        <f t="shared" si="10"/>
        <v>2035</v>
      </c>
      <c r="N43" s="228">
        <f t="shared" si="10"/>
        <v>2036</v>
      </c>
      <c r="O43" s="228">
        <f t="shared" si="10"/>
        <v>2037</v>
      </c>
      <c r="P43" s="228">
        <f t="shared" si="10"/>
        <v>2038</v>
      </c>
      <c r="Q43" s="228">
        <f t="shared" si="10"/>
        <v>2039</v>
      </c>
      <c r="R43" s="228">
        <f t="shared" si="10"/>
        <v>2040</v>
      </c>
      <c r="S43" s="228">
        <f t="shared" si="10"/>
        <v>2041</v>
      </c>
      <c r="T43" s="228">
        <f t="shared" si="10"/>
        <v>2042</v>
      </c>
      <c r="U43" s="228">
        <f t="shared" si="10"/>
        <v>2043</v>
      </c>
      <c r="V43" s="228">
        <f t="shared" si="10"/>
        <v>2044</v>
      </c>
      <c r="W43" s="228">
        <f t="shared" si="10"/>
        <v>2045</v>
      </c>
      <c r="X43" s="228">
        <f t="shared" si="10"/>
        <v>2046</v>
      </c>
      <c r="Y43" s="228">
        <f t="shared" si="10"/>
        <v>2047</v>
      </c>
      <c r="Z43" s="228"/>
      <c r="AA43" s="228"/>
      <c r="AB43" s="228"/>
    </row>
    <row r="44" spans="1:28" ht="13.8">
      <c r="A44" s="419"/>
      <c r="B44" s="454"/>
      <c r="C44" s="255"/>
      <c r="D44" s="255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</row>
    <row r="45" spans="1:28" ht="14.4" thickBot="1">
      <c r="A45" s="419"/>
      <c r="B45" s="455">
        <f>+B38</f>
        <v>378781.16676920024</v>
      </c>
      <c r="C45" s="263">
        <f t="shared" si="11" ref="C45:Y45">+B45+C38</f>
        <v>765049.86823034985</v>
      </c>
      <c r="D45" s="263">
        <f t="shared" si="11"/>
        <v>1158806.1043834488</v>
      </c>
      <c r="E45" s="263">
        <f t="shared" si="11"/>
        <v>1560049.8752284972</v>
      </c>
      <c r="F45" s="263">
        <f t="shared" si="11"/>
        <v>1968781.1807654947</v>
      </c>
      <c r="G45" s="263">
        <f t="shared" si="11"/>
        <v>2385000.0209944416</v>
      </c>
      <c r="H45" s="263">
        <f t="shared" si="11"/>
        <v>2808706.3959153378</v>
      </c>
      <c r="I45" s="263">
        <f t="shared" si="11"/>
        <v>3239900.3055281835</v>
      </c>
      <c r="J45" s="263">
        <f t="shared" si="11"/>
        <v>3678581.7498329785</v>
      </c>
      <c r="K45" s="263">
        <f>+J45+K38</f>
        <v>4124750.7288297229</v>
      </c>
      <c r="L45" s="263">
        <f t="shared" si="11"/>
        <v>4578407.2425184166</v>
      </c>
      <c r="M45" s="263">
        <f t="shared" si="11"/>
        <v>5039551.2908990597</v>
      </c>
      <c r="N45" s="263">
        <f t="shared" si="11"/>
        <v>5508182.8739716522</v>
      </c>
      <c r="O45" s="263">
        <f t="shared" si="11"/>
        <v>5984301.9917361941</v>
      </c>
      <c r="P45" s="263">
        <f t="shared" si="11"/>
        <v>6467908.6441926854</v>
      </c>
      <c r="Q45" s="263">
        <f t="shared" si="11"/>
        <v>6959002.831341126</v>
      </c>
      <c r="R45" s="263">
        <f t="shared" si="11"/>
        <v>7457584.553181516</v>
      </c>
      <c r="S45" s="263">
        <f t="shared" si="11"/>
        <v>7963653.8097138545</v>
      </c>
      <c r="T45" s="263">
        <f t="shared" si="11"/>
        <v>8477210.6009381432</v>
      </c>
      <c r="U45" s="263">
        <f t="shared" si="11"/>
        <v>8998254.9268543813</v>
      </c>
      <c r="V45" s="263">
        <f t="shared" si="11"/>
        <v>9526786.7874625679</v>
      </c>
      <c r="W45" s="263">
        <f t="shared" si="11"/>
        <v>10062806.182762705</v>
      </c>
      <c r="X45" s="263">
        <f t="shared" si="11"/>
        <v>10606313.11275479</v>
      </c>
      <c r="Y45" s="263">
        <f t="shared" si="11"/>
        <v>11155986.247787304</v>
      </c>
      <c r="Z45" s="263"/>
      <c r="AA45" s="263"/>
      <c r="AB45" s="263"/>
    </row>
    <row r="46" ht="13.8">
      <c r="A46" s="242"/>
    </row>
    <row r="48" spans="1:347" s="571" customFormat="1" ht="13.8">
      <c r="A48" s="222" t="s">
        <v>638</v>
      </c>
      <c r="B48" s="462"/>
      <c r="C48" s="222"/>
      <c r="D48" s="569"/>
      <c r="E48" s="569"/>
      <c r="F48" s="569"/>
      <c r="G48" s="569"/>
      <c r="H48" s="569"/>
      <c r="I48" s="569"/>
      <c r="J48" s="569"/>
      <c r="K48" s="569"/>
      <c r="L48" s="569"/>
      <c r="M48" s="569"/>
      <c r="N48" s="569"/>
      <c r="O48" s="569"/>
      <c r="P48" s="569"/>
      <c r="Q48" s="569"/>
      <c r="R48" s="569"/>
      <c r="S48" s="569"/>
      <c r="T48" s="569"/>
      <c r="U48" s="569"/>
      <c r="V48" s="569"/>
      <c r="W48" s="569"/>
      <c r="X48" s="569"/>
      <c r="Y48" s="569"/>
      <c r="Z48" s="569"/>
      <c r="AA48" s="569"/>
      <c r="AB48" s="569"/>
      <c r="AC48" s="569"/>
      <c r="AD48" s="570"/>
      <c r="AE48" s="570"/>
      <c r="AF48" s="222"/>
      <c r="AG48" s="570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529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2"/>
      <c r="CW48" s="222"/>
      <c r="CX48" s="222"/>
      <c r="CY48" s="222"/>
      <c r="CZ48" s="222"/>
      <c r="DA48" s="222"/>
      <c r="DB48" s="222"/>
      <c r="DC48" s="222"/>
      <c r="DD48" s="222"/>
      <c r="DE48" s="222"/>
      <c r="DF48" s="222"/>
      <c r="DG48" s="222"/>
      <c r="DH48" s="222"/>
      <c r="DI48" s="222"/>
      <c r="DJ48" s="222"/>
      <c r="DK48" s="222"/>
      <c r="DL48" s="222"/>
      <c r="DM48" s="222"/>
      <c r="DN48" s="222"/>
      <c r="DO48" s="222"/>
      <c r="DP48" s="222"/>
      <c r="DQ48" s="222"/>
      <c r="DR48" s="222"/>
      <c r="DS48" s="222"/>
      <c r="DT48" s="222"/>
      <c r="DU48" s="222"/>
      <c r="DV48" s="222"/>
      <c r="DW48" s="222"/>
      <c r="DX48" s="222"/>
      <c r="DY48" s="222"/>
      <c r="DZ48" s="222"/>
      <c r="EA48" s="222"/>
      <c r="EB48" s="222"/>
      <c r="EC48" s="222"/>
      <c r="ED48" s="222"/>
      <c r="EE48" s="222"/>
      <c r="EF48" s="222"/>
      <c r="EG48" s="222"/>
      <c r="EH48" s="222"/>
      <c r="EI48" s="222"/>
      <c r="EJ48" s="222"/>
      <c r="EK48" s="222"/>
      <c r="EL48" s="222"/>
      <c r="EM48" s="222"/>
      <c r="EN48" s="222"/>
      <c r="EO48" s="222"/>
      <c r="EP48" s="222"/>
      <c r="EQ48" s="222"/>
      <c r="ER48" s="222"/>
      <c r="ES48" s="222"/>
      <c r="ET48" s="222"/>
      <c r="EU48" s="222"/>
      <c r="EV48" s="222"/>
      <c r="EW48" s="222"/>
      <c r="EX48" s="222"/>
      <c r="EY48" s="222"/>
      <c r="EZ48" s="222"/>
      <c r="FA48" s="222"/>
      <c r="FB48" s="222"/>
      <c r="FC48" s="222"/>
      <c r="FD48" s="222"/>
      <c r="FE48" s="222"/>
      <c r="FF48" s="222"/>
      <c r="FG48" s="222"/>
      <c r="FH48" s="222"/>
      <c r="FI48" s="222"/>
      <c r="FJ48" s="222"/>
      <c r="FK48" s="222"/>
      <c r="FL48" s="222"/>
      <c r="FM48" s="222"/>
      <c r="FN48" s="222"/>
      <c r="FO48" s="222"/>
      <c r="FP48" s="222"/>
      <c r="FQ48" s="222"/>
      <c r="FR48" s="222"/>
      <c r="FS48" s="222"/>
      <c r="FT48" s="222"/>
      <c r="FU48" s="222"/>
      <c r="FV48" s="222"/>
      <c r="FW48" s="222"/>
      <c r="FX48" s="222"/>
      <c r="FY48" s="222"/>
      <c r="FZ48" s="222"/>
      <c r="GA48" s="222"/>
      <c r="GB48" s="222"/>
      <c r="GC48" s="222"/>
      <c r="GD48" s="222"/>
      <c r="GE48" s="222"/>
      <c r="GF48" s="222"/>
      <c r="GG48" s="222"/>
      <c r="GH48" s="222"/>
      <c r="GI48" s="222"/>
      <c r="GJ48" s="222"/>
      <c r="GK48" s="222"/>
      <c r="GL48" s="222"/>
      <c r="GM48" s="222"/>
      <c r="GN48" s="222"/>
      <c r="GO48" s="222"/>
      <c r="GP48" s="222"/>
      <c r="GQ48" s="222"/>
      <c r="GR48" s="222"/>
      <c r="GS48" s="222"/>
      <c r="GT48" s="222"/>
      <c r="GU48" s="222"/>
      <c r="GV48" s="222"/>
      <c r="GW48" s="222"/>
      <c r="GX48" s="222"/>
      <c r="GY48" s="222"/>
      <c r="GZ48" s="222"/>
      <c r="HA48" s="222"/>
      <c r="HB48" s="222"/>
      <c r="HC48" s="222"/>
      <c r="HD48" s="222"/>
      <c r="HE48" s="222"/>
      <c r="HF48" s="222"/>
      <c r="HG48" s="222"/>
      <c r="HH48" s="222"/>
      <c r="HI48" s="222"/>
      <c r="HJ48" s="222"/>
      <c r="HK48" s="222"/>
      <c r="HL48" s="222"/>
      <c r="HM48" s="222"/>
      <c r="HN48" s="222"/>
      <c r="HO48" s="222"/>
      <c r="HP48" s="222"/>
      <c r="HQ48" s="222"/>
      <c r="HR48" s="222"/>
      <c r="HS48" s="222"/>
      <c r="HT48" s="222"/>
      <c r="HU48" s="222"/>
      <c r="HV48" s="222"/>
      <c r="HW48" s="222"/>
      <c r="HX48" s="222"/>
      <c r="HY48" s="222"/>
      <c r="HZ48" s="222"/>
      <c r="IA48" s="222"/>
      <c r="IB48" s="222"/>
      <c r="IC48" s="222"/>
      <c r="ID48" s="222"/>
      <c r="IE48" s="222"/>
      <c r="IF48" s="222"/>
      <c r="IG48" s="222"/>
      <c r="IH48" s="222"/>
      <c r="II48" s="222"/>
      <c r="IJ48" s="222"/>
      <c r="IK48" s="222"/>
      <c r="IL48" s="222"/>
      <c r="IM48" s="222"/>
      <c r="IN48" s="222"/>
      <c r="IO48" s="222"/>
      <c r="IP48" s="222"/>
      <c r="IQ48" s="222"/>
      <c r="IR48" s="222"/>
      <c r="IS48" s="222"/>
      <c r="IT48" s="222"/>
      <c r="IU48" s="222"/>
      <c r="IV48" s="222"/>
      <c r="IW48" s="222"/>
      <c r="IX48" s="222"/>
      <c r="IY48" s="222"/>
      <c r="IZ48" s="222"/>
      <c r="JA48" s="222"/>
      <c r="JB48" s="222"/>
      <c r="JC48" s="222"/>
      <c r="JD48" s="222"/>
      <c r="JE48" s="222"/>
      <c r="JF48" s="222"/>
      <c r="JG48" s="222"/>
      <c r="JH48" s="222"/>
      <c r="JI48" s="222"/>
      <c r="JJ48" s="222"/>
      <c r="JK48" s="222"/>
      <c r="JL48" s="222"/>
      <c r="JM48" s="222"/>
      <c r="JN48" s="222"/>
      <c r="JO48" s="222"/>
      <c r="JP48" s="222"/>
      <c r="JQ48" s="222"/>
      <c r="JR48" s="222"/>
      <c r="JS48" s="222"/>
      <c r="JT48" s="222"/>
      <c r="JU48" s="222"/>
      <c r="JV48" s="222"/>
      <c r="JW48" s="222"/>
      <c r="JX48" s="222"/>
      <c r="JY48" s="222"/>
      <c r="JZ48" s="222"/>
      <c r="KA48" s="222"/>
      <c r="KB48" s="222"/>
      <c r="KC48" s="222"/>
      <c r="KD48" s="222"/>
      <c r="KE48" s="222"/>
      <c r="KF48" s="222"/>
      <c r="KG48" s="222"/>
      <c r="KH48" s="222"/>
      <c r="KI48" s="222"/>
      <c r="KJ48" s="222"/>
      <c r="KK48" s="222"/>
      <c r="KL48" s="222"/>
      <c r="KM48" s="222"/>
      <c r="KN48" s="222"/>
      <c r="KO48" s="222"/>
      <c r="KP48" s="222"/>
      <c r="KQ48" s="222"/>
      <c r="KR48" s="222"/>
      <c r="KS48" s="222"/>
      <c r="KT48" s="222"/>
      <c r="KU48" s="222"/>
      <c r="KV48" s="222"/>
      <c r="KW48" s="222"/>
      <c r="KX48" s="222"/>
      <c r="KY48" s="222"/>
      <c r="KZ48" s="222"/>
      <c r="LA48" s="222"/>
      <c r="LB48" s="222"/>
      <c r="LC48" s="222"/>
      <c r="LD48" s="222"/>
      <c r="LE48" s="222"/>
      <c r="LF48" s="222"/>
      <c r="LG48" s="222"/>
      <c r="LH48" s="222"/>
      <c r="LI48" s="222"/>
      <c r="LJ48" s="222"/>
      <c r="LK48" s="222"/>
      <c r="LL48" s="222"/>
      <c r="LM48" s="222"/>
      <c r="LN48" s="222"/>
      <c r="LO48" s="222"/>
      <c r="LP48" s="222"/>
      <c r="LQ48" s="222"/>
      <c r="LR48" s="222"/>
      <c r="LS48" s="222"/>
      <c r="LT48" s="222"/>
      <c r="LU48" s="222"/>
      <c r="LV48" s="222"/>
      <c r="LW48" s="222"/>
      <c r="LX48" s="222"/>
      <c r="LY48" s="222"/>
      <c r="LZ48" s="222"/>
      <c r="MA48" s="222"/>
      <c r="MB48" s="222"/>
      <c r="MC48" s="222"/>
      <c r="MD48" s="222"/>
      <c r="ME48" s="222"/>
      <c r="MF48" s="222"/>
      <c r="MG48" s="222"/>
      <c r="MH48" s="222"/>
      <c r="MI48" s="222"/>
    </row>
    <row r="49" spans="1:347" s="571" customFormat="1" ht="13.8">
      <c r="A49" s="572" t="s">
        <v>639</v>
      </c>
      <c r="B49" s="462">
        <f>+B23*('Schedule No. 4 SVC Avail- SWR'!$D$40)</f>
        <v>3482523.2041062727</v>
      </c>
      <c r="C49" s="462">
        <f>+C23*('Schedule No. 4 SVC Avail- SWR'!$D$40)</f>
        <v>68840.574964891435</v>
      </c>
      <c r="D49" s="462">
        <f>+D23*('Schedule No. 4 SVC Avail- SWR'!$D$40)</f>
        <v>68840.574964891435</v>
      </c>
      <c r="E49" s="462">
        <f>+E23*('Schedule No. 4 SVC Avail- SWR'!$D$40)</f>
        <v>68840.574964891435</v>
      </c>
      <c r="F49" s="462">
        <f>+F23*('Schedule No. 4 SVC Avail- SWR'!$D$40)</f>
        <v>68840.574964891435</v>
      </c>
      <c r="G49" s="462">
        <f>+G23*('Schedule No. 4 SVC Avail- SWR'!$D$40)</f>
        <v>68840.574964891435</v>
      </c>
      <c r="H49" s="462">
        <f>+H23*('Schedule No. 4 SVC Avail- SWR'!$D$40)</f>
        <v>68840.574964891435</v>
      </c>
      <c r="I49" s="462">
        <f>+I23*('Schedule No. 4 SVC Avail- SWR'!$D$40)</f>
        <v>68840.574964891435</v>
      </c>
      <c r="J49" s="462">
        <f>+J23*('Schedule No. 4 SVC Avail- SWR'!$D$40)</f>
        <v>68840.574964891435</v>
      </c>
      <c r="K49" s="462">
        <f>+K23*('Schedule No. 4 SVC Avail- SWR'!$D$40)</f>
        <v>68840.574964891435</v>
      </c>
      <c r="L49" s="462">
        <f>+L23*('Schedule No. 4 SVC Avail- SWR'!$D$40)</f>
        <v>68840.574964891435</v>
      </c>
      <c r="M49" s="462">
        <f>+M23*('Schedule No. 4 SVC Avail- SWR'!$D$40)</f>
        <v>68840.574964891435</v>
      </c>
      <c r="N49" s="462">
        <f>+N23*('Schedule No. 4 SVC Avail- SWR'!$D$40)</f>
        <v>68840.574964891435</v>
      </c>
      <c r="O49" s="462">
        <f>+O23*('Schedule No. 4 SVC Avail- SWR'!$D$40)</f>
        <v>68840.574964891435</v>
      </c>
      <c r="P49" s="462">
        <f>+P23*('Schedule No. 4 SVC Avail- SWR'!$D$40)</f>
        <v>68840.574964891435</v>
      </c>
      <c r="Q49" s="462">
        <f>+Q23*('Schedule No. 4 SVC Avail- SWR'!$D$40)</f>
        <v>68840.574964891435</v>
      </c>
      <c r="R49" s="462">
        <f>+R23*('Schedule No. 4 SVC Avail- SWR'!$D$40)</f>
        <v>68840.574964891435</v>
      </c>
      <c r="S49" s="462">
        <f>+S23*('Schedule No. 4 SVC Avail- SWR'!$D$40)</f>
        <v>68840.574964891435</v>
      </c>
      <c r="T49" s="462">
        <f>+T23*('Schedule No. 4 SVC Avail- SWR'!$D$40)</f>
        <v>68840.574964891435</v>
      </c>
      <c r="U49" s="462">
        <f>+U23*('Schedule No. 4 SVC Avail- SWR'!$D$40)</f>
        <v>68840.574964891435</v>
      </c>
      <c r="V49" s="462">
        <f>+V23*('Schedule No. 4 SVC Avail- SWR'!$D$40)</f>
        <v>68840.574964891435</v>
      </c>
      <c r="W49" s="462">
        <f>+W23*('Schedule No. 4 SVC Avail- SWR'!$D$40)</f>
        <v>68840.574964891435</v>
      </c>
      <c r="X49" s="462">
        <f>+X23*('Schedule No. 4 SVC Avail- SWR'!$D$40)</f>
        <v>68840.574964891435</v>
      </c>
      <c r="Y49" s="462">
        <f>+Y23*('Schedule No. 4 SVC Avail- SWR'!$D$40)</f>
        <v>56692.238206381182</v>
      </c>
      <c r="Z49" s="462"/>
      <c r="AA49" s="462"/>
      <c r="AB49" s="462"/>
      <c r="AC49" s="569"/>
      <c r="AD49" s="576"/>
      <c r="AE49" s="570"/>
      <c r="AF49" s="222"/>
      <c r="AG49" s="570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529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2"/>
      <c r="CW49" s="222"/>
      <c r="CX49" s="222"/>
      <c r="CY49" s="222"/>
      <c r="CZ49" s="222"/>
      <c r="DA49" s="222"/>
      <c r="DB49" s="222"/>
      <c r="DC49" s="222"/>
      <c r="DD49" s="222"/>
      <c r="DE49" s="222"/>
      <c r="DF49" s="222"/>
      <c r="DG49" s="222"/>
      <c r="DH49" s="222"/>
      <c r="DI49" s="222"/>
      <c r="DJ49" s="222"/>
      <c r="DK49" s="222"/>
      <c r="DL49" s="222"/>
      <c r="DM49" s="222"/>
      <c r="DN49" s="222"/>
      <c r="DO49" s="222"/>
      <c r="DP49" s="222"/>
      <c r="DQ49" s="222"/>
      <c r="DR49" s="222"/>
      <c r="DS49" s="222"/>
      <c r="DT49" s="222"/>
      <c r="DU49" s="222"/>
      <c r="DV49" s="222"/>
      <c r="DW49" s="222"/>
      <c r="DX49" s="222"/>
      <c r="DY49" s="222"/>
      <c r="DZ49" s="222"/>
      <c r="EA49" s="222"/>
      <c r="EB49" s="222"/>
      <c r="EC49" s="222"/>
      <c r="ED49" s="222"/>
      <c r="EE49" s="222"/>
      <c r="EF49" s="222"/>
      <c r="EG49" s="222"/>
      <c r="EH49" s="222"/>
      <c r="EI49" s="222"/>
      <c r="EJ49" s="222"/>
      <c r="EK49" s="222"/>
      <c r="EL49" s="222"/>
      <c r="EM49" s="222"/>
      <c r="EN49" s="222"/>
      <c r="EO49" s="222"/>
      <c r="EP49" s="222"/>
      <c r="EQ49" s="222"/>
      <c r="ER49" s="222"/>
      <c r="ES49" s="222"/>
      <c r="ET49" s="222"/>
      <c r="EU49" s="222"/>
      <c r="EV49" s="222"/>
      <c r="EW49" s="222"/>
      <c r="EX49" s="222"/>
      <c r="EY49" s="222"/>
      <c r="EZ49" s="222"/>
      <c r="FA49" s="222"/>
      <c r="FB49" s="222"/>
      <c r="FC49" s="222"/>
      <c r="FD49" s="222"/>
      <c r="FE49" s="222"/>
      <c r="FF49" s="222"/>
      <c r="FG49" s="222"/>
      <c r="FH49" s="222"/>
      <c r="FI49" s="222"/>
      <c r="FJ49" s="222"/>
      <c r="FK49" s="222"/>
      <c r="FL49" s="222"/>
      <c r="FM49" s="222"/>
      <c r="FN49" s="222"/>
      <c r="FO49" s="222"/>
      <c r="FP49" s="222"/>
      <c r="FQ49" s="222"/>
      <c r="FR49" s="222"/>
      <c r="FS49" s="222"/>
      <c r="FT49" s="222"/>
      <c r="FU49" s="222"/>
      <c r="FV49" s="222"/>
      <c r="FW49" s="222"/>
      <c r="FX49" s="222"/>
      <c r="FY49" s="222"/>
      <c r="FZ49" s="222"/>
      <c r="GA49" s="222"/>
      <c r="GB49" s="222"/>
      <c r="GC49" s="222"/>
      <c r="GD49" s="222"/>
      <c r="GE49" s="222"/>
      <c r="GF49" s="222"/>
      <c r="GG49" s="222"/>
      <c r="GH49" s="222"/>
      <c r="GI49" s="222"/>
      <c r="GJ49" s="222"/>
      <c r="GK49" s="222"/>
      <c r="GL49" s="222"/>
      <c r="GM49" s="222"/>
      <c r="GN49" s="222"/>
      <c r="GO49" s="222"/>
      <c r="GP49" s="222"/>
      <c r="GQ49" s="222"/>
      <c r="GR49" s="222"/>
      <c r="GS49" s="222"/>
      <c r="GT49" s="222"/>
      <c r="GU49" s="222"/>
      <c r="GV49" s="222"/>
      <c r="GW49" s="222"/>
      <c r="GX49" s="222"/>
      <c r="GY49" s="222"/>
      <c r="GZ49" s="222"/>
      <c r="HA49" s="222"/>
      <c r="HB49" s="222"/>
      <c r="HC49" s="222"/>
      <c r="HD49" s="222"/>
      <c r="HE49" s="222"/>
      <c r="HF49" s="222"/>
      <c r="HG49" s="222"/>
      <c r="HH49" s="222"/>
      <c r="HI49" s="222"/>
      <c r="HJ49" s="222"/>
      <c r="HK49" s="222"/>
      <c r="HL49" s="222"/>
      <c r="HM49" s="222"/>
      <c r="HN49" s="222"/>
      <c r="HO49" s="222"/>
      <c r="HP49" s="222"/>
      <c r="HQ49" s="222"/>
      <c r="HR49" s="222"/>
      <c r="HS49" s="222"/>
      <c r="HT49" s="222"/>
      <c r="HU49" s="222"/>
      <c r="HV49" s="222"/>
      <c r="HW49" s="222"/>
      <c r="HX49" s="222"/>
      <c r="HY49" s="222"/>
      <c r="HZ49" s="222"/>
      <c r="IA49" s="222"/>
      <c r="IB49" s="222"/>
      <c r="IC49" s="222"/>
      <c r="ID49" s="222"/>
      <c r="IE49" s="222"/>
      <c r="IF49" s="222"/>
      <c r="IG49" s="222"/>
      <c r="IH49" s="222"/>
      <c r="II49" s="222"/>
      <c r="IJ49" s="222"/>
      <c r="IK49" s="222"/>
      <c r="IL49" s="222"/>
      <c r="IM49" s="222"/>
      <c r="IN49" s="222"/>
      <c r="IO49" s="222"/>
      <c r="IP49" s="222"/>
      <c r="IQ49" s="222"/>
      <c r="IR49" s="222"/>
      <c r="IS49" s="222"/>
      <c r="IT49" s="222"/>
      <c r="IU49" s="222"/>
      <c r="IV49" s="222"/>
      <c r="IW49" s="222"/>
      <c r="IX49" s="222"/>
      <c r="IY49" s="222"/>
      <c r="IZ49" s="222"/>
      <c r="JA49" s="222"/>
      <c r="JB49" s="222"/>
      <c r="JC49" s="222"/>
      <c r="JD49" s="222"/>
      <c r="JE49" s="222"/>
      <c r="JF49" s="222"/>
      <c r="JG49" s="222"/>
      <c r="JH49" s="222"/>
      <c r="JI49" s="222"/>
      <c r="JJ49" s="222"/>
      <c r="JK49" s="222"/>
      <c r="JL49" s="222"/>
      <c r="JM49" s="222"/>
      <c r="JN49" s="222"/>
      <c r="JO49" s="222"/>
      <c r="JP49" s="222"/>
      <c r="JQ49" s="222"/>
      <c r="JR49" s="222"/>
      <c r="JS49" s="222"/>
      <c r="JT49" s="222"/>
      <c r="JU49" s="222"/>
      <c r="JV49" s="222"/>
      <c r="JW49" s="222"/>
      <c r="JX49" s="222"/>
      <c r="JY49" s="222"/>
      <c r="JZ49" s="222"/>
      <c r="KA49" s="222"/>
      <c r="KB49" s="222"/>
      <c r="KC49" s="222"/>
      <c r="KD49" s="222"/>
      <c r="KE49" s="222"/>
      <c r="KF49" s="222"/>
      <c r="KG49" s="222"/>
      <c r="KH49" s="222"/>
      <c r="KI49" s="222"/>
      <c r="KJ49" s="222"/>
      <c r="KK49" s="222"/>
      <c r="KL49" s="222"/>
      <c r="KM49" s="222"/>
      <c r="KN49" s="222"/>
      <c r="KO49" s="222"/>
      <c r="KP49" s="222"/>
      <c r="KQ49" s="222"/>
      <c r="KR49" s="222"/>
      <c r="KS49" s="222"/>
      <c r="KT49" s="222"/>
      <c r="KU49" s="222"/>
      <c r="KV49" s="222"/>
      <c r="KW49" s="222"/>
      <c r="KX49" s="222"/>
      <c r="KY49" s="222"/>
      <c r="KZ49" s="222"/>
      <c r="LA49" s="222"/>
      <c r="LB49" s="222"/>
      <c r="LC49" s="222"/>
      <c r="LD49" s="222"/>
      <c r="LE49" s="222"/>
      <c r="LF49" s="222"/>
      <c r="LG49" s="222"/>
      <c r="LH49" s="222"/>
      <c r="LI49" s="222"/>
      <c r="LJ49" s="222"/>
      <c r="LK49" s="222"/>
      <c r="LL49" s="222"/>
      <c r="LM49" s="222"/>
      <c r="LN49" s="222"/>
      <c r="LO49" s="222"/>
      <c r="LP49" s="222"/>
      <c r="LQ49" s="222"/>
      <c r="LR49" s="222"/>
      <c r="LS49" s="222"/>
      <c r="LT49" s="222"/>
      <c r="LU49" s="222"/>
      <c r="LV49" s="222"/>
      <c r="LW49" s="222"/>
      <c r="LX49" s="222"/>
      <c r="LY49" s="222"/>
      <c r="LZ49" s="222"/>
      <c r="MA49" s="222"/>
      <c r="MB49" s="222"/>
      <c r="MC49" s="222"/>
      <c r="MD49" s="222"/>
      <c r="ME49" s="222"/>
      <c r="MF49" s="222"/>
      <c r="MG49" s="222"/>
      <c r="MH49" s="222"/>
      <c r="MI49" s="222"/>
    </row>
    <row r="50" spans="1:89" ht="13.8">
      <c r="A50" s="572" t="s">
        <v>641</v>
      </c>
      <c r="B50" s="462">
        <f>+'Schedule 5 Laterals'!$F$19*'Sched 1 Coll _Trans Estimate'!B23</f>
        <v>287334.84026683221</v>
      </c>
      <c r="C50" s="462">
        <f>+'Schedule 5 Laterals'!$F$19*'Sched 1 Coll _Trans Estimate'!C23</f>
        <v>5679.8747494606368</v>
      </c>
      <c r="D50" s="462">
        <f>+'Schedule 5 Laterals'!$F$19*'Sched 1 Coll _Trans Estimate'!D23</f>
        <v>5679.8747494606368</v>
      </c>
      <c r="E50" s="462">
        <f>+'Schedule 5 Laterals'!$F$19*'Sched 1 Coll _Trans Estimate'!E23</f>
        <v>5679.8747494606368</v>
      </c>
      <c r="F50" s="462">
        <f>+'Schedule 5 Laterals'!$F$19*'Sched 1 Coll _Trans Estimate'!F23</f>
        <v>5679.8747494606368</v>
      </c>
      <c r="G50" s="462">
        <f>+'Schedule 5 Laterals'!$F$19*'Sched 1 Coll _Trans Estimate'!G23</f>
        <v>5679.8747494606368</v>
      </c>
      <c r="H50" s="462">
        <f>+'Schedule 5 Laterals'!$F$19*'Sched 1 Coll _Trans Estimate'!H23</f>
        <v>5679.8747494606368</v>
      </c>
      <c r="I50" s="462">
        <f>+'Schedule 5 Laterals'!$F$19*'Sched 1 Coll _Trans Estimate'!I23</f>
        <v>5679.8747494606368</v>
      </c>
      <c r="J50" s="462">
        <f>+'Schedule 5 Laterals'!$F$19*'Sched 1 Coll _Trans Estimate'!J23</f>
        <v>5679.8747494606368</v>
      </c>
      <c r="K50" s="462">
        <f>+'Schedule 5 Laterals'!$F$19*'Sched 1 Coll _Trans Estimate'!K23</f>
        <v>5679.8747494606368</v>
      </c>
      <c r="L50" s="462">
        <f>+'Schedule 5 Laterals'!$F$19*'Sched 1 Coll _Trans Estimate'!L23</f>
        <v>5679.8747494606368</v>
      </c>
      <c r="M50" s="462">
        <f>+'Schedule 5 Laterals'!$F$19*'Sched 1 Coll _Trans Estimate'!M23</f>
        <v>5679.8747494606368</v>
      </c>
      <c r="N50" s="462">
        <f>+'Schedule 5 Laterals'!$F$19*'Sched 1 Coll _Trans Estimate'!N23</f>
        <v>5679.8747494606368</v>
      </c>
      <c r="O50" s="462">
        <f>+'Schedule 5 Laterals'!$F$19*'Sched 1 Coll _Trans Estimate'!O23</f>
        <v>5679.8747494606368</v>
      </c>
      <c r="P50" s="462">
        <f>+'Schedule 5 Laterals'!$F$19*'Sched 1 Coll _Trans Estimate'!P23</f>
        <v>5679.8747494606368</v>
      </c>
      <c r="Q50" s="462">
        <f>+'Schedule 5 Laterals'!$F$19*'Sched 1 Coll _Trans Estimate'!Q23</f>
        <v>5679.8747494606368</v>
      </c>
      <c r="R50" s="462">
        <f>+'Schedule 5 Laterals'!$F$19*'Sched 1 Coll _Trans Estimate'!R23</f>
        <v>5679.8747494606368</v>
      </c>
      <c r="S50" s="462">
        <f>+'Schedule 5 Laterals'!$F$19*'Sched 1 Coll _Trans Estimate'!S23</f>
        <v>5679.8747494606368</v>
      </c>
      <c r="T50" s="462">
        <f>+'Schedule 5 Laterals'!$F$19*'Sched 1 Coll _Trans Estimate'!T23</f>
        <v>5679.8747494606368</v>
      </c>
      <c r="U50" s="462">
        <f>+'Schedule 5 Laterals'!$F$19*'Sched 1 Coll _Trans Estimate'!U23</f>
        <v>5679.8747494606368</v>
      </c>
      <c r="V50" s="462">
        <f>+'Schedule 5 Laterals'!$F$19*'Sched 1 Coll _Trans Estimate'!V23</f>
        <v>5679.8747494606368</v>
      </c>
      <c r="W50" s="462">
        <f>+'Schedule 5 Laterals'!$F$19*'Sched 1 Coll _Trans Estimate'!W23</f>
        <v>5679.8747494606368</v>
      </c>
      <c r="X50" s="462">
        <f>+'Schedule 5 Laterals'!$F$19*'Sched 1 Coll _Trans Estimate'!X23</f>
        <v>5679.8747494606368</v>
      </c>
      <c r="Y50" s="462">
        <f>+'Schedule 5 Laterals'!$F$19*'Sched 1 Coll _Trans Estimate'!Y23</f>
        <v>4677.5439113205248</v>
      </c>
      <c r="Z50" s="462"/>
      <c r="AA50" s="462"/>
      <c r="AB50" s="462"/>
      <c r="AC50" s="277"/>
      <c r="AD50" s="577"/>
      <c r="AE50" s="240"/>
      <c r="AG50" s="240"/>
      <c r="CK50" s="419"/>
    </row>
    <row r="51" spans="1:30" ht="14.4" thickBot="1">
      <c r="A51" s="573" t="s">
        <v>640</v>
      </c>
      <c r="B51" s="575">
        <f>+B49+B50</f>
        <v>3769858.0443731048</v>
      </c>
      <c r="C51" s="575">
        <f>+C49+C50</f>
        <v>74520.449714352071</v>
      </c>
      <c r="D51" s="575">
        <f t="shared" si="12" ref="D51:Y51">+D49+D50</f>
        <v>74520.449714352071</v>
      </c>
      <c r="E51" s="575">
        <f t="shared" si="12"/>
        <v>74520.449714352071</v>
      </c>
      <c r="F51" s="575">
        <f t="shared" si="12"/>
        <v>74520.449714352071</v>
      </c>
      <c r="G51" s="575">
        <f t="shared" si="12"/>
        <v>74520.449714352071</v>
      </c>
      <c r="H51" s="575">
        <f t="shared" si="12"/>
        <v>74520.449714352071</v>
      </c>
      <c r="I51" s="575">
        <f t="shared" si="12"/>
        <v>74520.449714352071</v>
      </c>
      <c r="J51" s="575">
        <f t="shared" si="12"/>
        <v>74520.449714352071</v>
      </c>
      <c r="K51" s="575">
        <f t="shared" si="12"/>
        <v>74520.449714352071</v>
      </c>
      <c r="L51" s="575">
        <f t="shared" si="12"/>
        <v>74520.449714352071</v>
      </c>
      <c r="M51" s="575">
        <f t="shared" si="12"/>
        <v>74520.449714352071</v>
      </c>
      <c r="N51" s="575">
        <f t="shared" si="12"/>
        <v>74520.449714352071</v>
      </c>
      <c r="O51" s="575">
        <f t="shared" si="12"/>
        <v>74520.449714352071</v>
      </c>
      <c r="P51" s="575">
        <f t="shared" si="12"/>
        <v>74520.449714352071</v>
      </c>
      <c r="Q51" s="575">
        <f t="shared" si="12"/>
        <v>74520.449714352071</v>
      </c>
      <c r="R51" s="575">
        <f t="shared" si="12"/>
        <v>74520.449714352071</v>
      </c>
      <c r="S51" s="575">
        <f t="shared" si="12"/>
        <v>74520.449714352071</v>
      </c>
      <c r="T51" s="575">
        <f t="shared" si="12"/>
        <v>74520.449714352071</v>
      </c>
      <c r="U51" s="575">
        <f t="shared" si="12"/>
        <v>74520.449714352071</v>
      </c>
      <c r="V51" s="575">
        <f t="shared" si="12"/>
        <v>74520.449714352071</v>
      </c>
      <c r="W51" s="575">
        <f t="shared" si="12"/>
        <v>74520.449714352071</v>
      </c>
      <c r="X51" s="575">
        <f t="shared" si="12"/>
        <v>74520.449714352071</v>
      </c>
      <c r="Y51" s="575">
        <f t="shared" si="12"/>
        <v>61369.782117701703</v>
      </c>
      <c r="Z51" s="575"/>
      <c r="AA51" s="575"/>
      <c r="AB51" s="575"/>
      <c r="AC51" s="574"/>
      <c r="AD51" s="419"/>
    </row>
    <row r="52" spans="1:347" s="582" customFormat="1" ht="14.4" thickTop="1">
      <c r="A52" s="412"/>
      <c r="B52" s="579">
        <f>+B51</f>
        <v>3769858.0443731048</v>
      </c>
      <c r="C52" s="579">
        <f>+C51+B52</f>
        <v>3844378.4940874567</v>
      </c>
      <c r="D52" s="579">
        <f t="shared" si="13" ref="D52:Y52">+D51+C52</f>
        <v>3918898.9438018086</v>
      </c>
      <c r="E52" s="579">
        <f t="shared" si="13"/>
        <v>3993419.3935161605</v>
      </c>
      <c r="F52" s="579">
        <f t="shared" si="13"/>
        <v>4067939.8432305125</v>
      </c>
      <c r="G52" s="579">
        <f t="shared" si="13"/>
        <v>4142460.2929448644</v>
      </c>
      <c r="H52" s="579">
        <f t="shared" si="13"/>
        <v>4216980.7426592167</v>
      </c>
      <c r="I52" s="579">
        <f t="shared" si="13"/>
        <v>4291501.1923735691</v>
      </c>
      <c r="J52" s="579">
        <f t="shared" si="13"/>
        <v>4366021.6420879215</v>
      </c>
      <c r="K52" s="579">
        <f t="shared" si="13"/>
        <v>4440542.0918022739</v>
      </c>
      <c r="L52" s="579">
        <f t="shared" si="13"/>
        <v>4515062.5415166263</v>
      </c>
      <c r="M52" s="579">
        <f t="shared" si="13"/>
        <v>4589582.9912309786</v>
      </c>
      <c r="N52" s="579">
        <f t="shared" si="13"/>
        <v>4664103.440945331</v>
      </c>
      <c r="O52" s="579">
        <f t="shared" si="13"/>
        <v>4738623.8906596834</v>
      </c>
      <c r="P52" s="579">
        <f t="shared" si="13"/>
        <v>4813144.3403740358</v>
      </c>
      <c r="Q52" s="579">
        <f t="shared" si="13"/>
        <v>4887664.7900883881</v>
      </c>
      <c r="R52" s="579">
        <f t="shared" si="13"/>
        <v>4962185.2398027405</v>
      </c>
      <c r="S52" s="579">
        <f t="shared" si="13"/>
        <v>5036705.6895170929</v>
      </c>
      <c r="T52" s="579">
        <f t="shared" si="13"/>
        <v>5111226.1392314453</v>
      </c>
      <c r="U52" s="579">
        <f t="shared" si="13"/>
        <v>5185746.5889457976</v>
      </c>
      <c r="V52" s="579">
        <f t="shared" si="13"/>
        <v>5260267.03866015</v>
      </c>
      <c r="W52" s="579">
        <f t="shared" si="13"/>
        <v>5334787.4883745024</v>
      </c>
      <c r="X52" s="579">
        <f t="shared" si="13"/>
        <v>5409307.9380888548</v>
      </c>
      <c r="Y52" s="579">
        <f t="shared" si="13"/>
        <v>5470677.7202065568</v>
      </c>
      <c r="Z52" s="579"/>
      <c r="AA52" s="579"/>
      <c r="AB52" s="579"/>
      <c r="AC52" s="580"/>
      <c r="AD52" s="581"/>
      <c r="AE52" s="580"/>
      <c r="AF52" s="580"/>
      <c r="AG52" s="580"/>
      <c r="AH52" s="580"/>
      <c r="AI52" s="580"/>
      <c r="AJ52" s="580"/>
      <c r="AK52" s="580"/>
      <c r="AL52" s="580"/>
      <c r="AM52" s="580"/>
      <c r="AN52" s="580"/>
      <c r="AO52" s="580"/>
      <c r="AP52" s="580"/>
      <c r="AQ52" s="580"/>
      <c r="AR52" s="580"/>
      <c r="AS52" s="580"/>
      <c r="AT52" s="580"/>
      <c r="AU52" s="580"/>
      <c r="AV52" s="580"/>
      <c r="AW52" s="580"/>
      <c r="AX52" s="580"/>
      <c r="AY52" s="580"/>
      <c r="AZ52" s="580"/>
      <c r="BA52" s="580"/>
      <c r="BB52" s="580"/>
      <c r="BC52" s="580"/>
      <c r="BD52" s="580"/>
      <c r="BE52" s="580"/>
      <c r="BF52" s="580"/>
      <c r="BG52" s="580"/>
      <c r="BH52" s="580"/>
      <c r="BI52" s="580"/>
      <c r="BJ52" s="580"/>
      <c r="BK52" s="580"/>
      <c r="BL52" s="580"/>
      <c r="BM52" s="580"/>
      <c r="BN52" s="580"/>
      <c r="BO52" s="580"/>
      <c r="BP52" s="580"/>
      <c r="BQ52" s="580"/>
      <c r="BR52" s="580"/>
      <c r="BS52" s="580"/>
      <c r="BT52" s="580"/>
      <c r="BU52" s="580"/>
      <c r="BV52" s="580"/>
      <c r="BW52" s="580"/>
      <c r="BX52" s="580"/>
      <c r="BY52" s="580"/>
      <c r="BZ52" s="580"/>
      <c r="CA52" s="580"/>
      <c r="CB52" s="580"/>
      <c r="CC52" s="580"/>
      <c r="CD52" s="580"/>
      <c r="CE52" s="580"/>
      <c r="CF52" s="580"/>
      <c r="CG52" s="580"/>
      <c r="CH52" s="580"/>
      <c r="CI52" s="580"/>
      <c r="CJ52" s="580"/>
      <c r="CK52" s="580"/>
      <c r="CL52" s="580"/>
      <c r="CM52" s="580"/>
      <c r="CN52" s="580"/>
      <c r="CO52" s="580"/>
      <c r="CP52" s="580"/>
      <c r="CQ52" s="580"/>
      <c r="CR52" s="580"/>
      <c r="CS52" s="580"/>
      <c r="CT52" s="580"/>
      <c r="CU52" s="580"/>
      <c r="CV52" s="580"/>
      <c r="CW52" s="580"/>
      <c r="CX52" s="580"/>
      <c r="CY52" s="580"/>
      <c r="CZ52" s="580"/>
      <c r="DA52" s="580"/>
      <c r="DB52" s="580"/>
      <c r="DC52" s="580"/>
      <c r="DD52" s="580"/>
      <c r="DE52" s="580"/>
      <c r="DF52" s="580"/>
      <c r="DG52" s="580"/>
      <c r="DH52" s="580"/>
      <c r="DI52" s="580"/>
      <c r="DJ52" s="580"/>
      <c r="DK52" s="580"/>
      <c r="DL52" s="580"/>
      <c r="DM52" s="580"/>
      <c r="DN52" s="580"/>
      <c r="DO52" s="580"/>
      <c r="DP52" s="580"/>
      <c r="DQ52" s="580"/>
      <c r="DR52" s="580"/>
      <c r="DS52" s="580"/>
      <c r="DT52" s="580"/>
      <c r="DU52" s="580"/>
      <c r="DV52" s="580"/>
      <c r="DW52" s="580"/>
      <c r="DX52" s="580"/>
      <c r="DY52" s="580"/>
      <c r="DZ52" s="580"/>
      <c r="EA52" s="580"/>
      <c r="EB52" s="580"/>
      <c r="EC52" s="580"/>
      <c r="ED52" s="580"/>
      <c r="EE52" s="580"/>
      <c r="EF52" s="580"/>
      <c r="EG52" s="580"/>
      <c r="EH52" s="580"/>
      <c r="EI52" s="580"/>
      <c r="EJ52" s="580"/>
      <c r="EK52" s="580"/>
      <c r="EL52" s="580"/>
      <c r="EM52" s="580"/>
      <c r="EN52" s="580"/>
      <c r="EO52" s="580"/>
      <c r="EP52" s="580"/>
      <c r="EQ52" s="580"/>
      <c r="ER52" s="580"/>
      <c r="ES52" s="580"/>
      <c r="ET52" s="580"/>
      <c r="EU52" s="580"/>
      <c r="EV52" s="580"/>
      <c r="EW52" s="580"/>
      <c r="EX52" s="580"/>
      <c r="EY52" s="580"/>
      <c r="EZ52" s="580"/>
      <c r="FA52" s="580"/>
      <c r="FB52" s="580"/>
      <c r="FC52" s="580"/>
      <c r="FD52" s="580"/>
      <c r="FE52" s="580"/>
      <c r="FF52" s="580"/>
      <c r="FG52" s="580"/>
      <c r="FH52" s="580"/>
      <c r="FI52" s="580"/>
      <c r="FJ52" s="580"/>
      <c r="FK52" s="580"/>
      <c r="FL52" s="580"/>
      <c r="FM52" s="580"/>
      <c r="FN52" s="580"/>
      <c r="FO52" s="580"/>
      <c r="FP52" s="580"/>
      <c r="FQ52" s="580"/>
      <c r="FR52" s="580"/>
      <c r="FS52" s="580"/>
      <c r="FT52" s="580"/>
      <c r="FU52" s="580"/>
      <c r="FV52" s="580"/>
      <c r="FW52" s="580"/>
      <c r="FX52" s="580"/>
      <c r="FY52" s="580"/>
      <c r="FZ52" s="580"/>
      <c r="GA52" s="580"/>
      <c r="GB52" s="580"/>
      <c r="GC52" s="580"/>
      <c r="GD52" s="580"/>
      <c r="GE52" s="580"/>
      <c r="GF52" s="580"/>
      <c r="GG52" s="580"/>
      <c r="GH52" s="580"/>
      <c r="GI52" s="580"/>
      <c r="GJ52" s="580"/>
      <c r="GK52" s="580"/>
      <c r="GL52" s="580"/>
      <c r="GM52" s="580"/>
      <c r="GN52" s="580"/>
      <c r="GO52" s="580"/>
      <c r="GP52" s="580"/>
      <c r="GQ52" s="580"/>
      <c r="GR52" s="580"/>
      <c r="GS52" s="580"/>
      <c r="GT52" s="580"/>
      <c r="GU52" s="580"/>
      <c r="GV52" s="580"/>
      <c r="GW52" s="580"/>
      <c r="GX52" s="580"/>
      <c r="GY52" s="580"/>
      <c r="GZ52" s="580"/>
      <c r="HA52" s="580"/>
      <c r="HB52" s="580"/>
      <c r="HC52" s="580"/>
      <c r="HD52" s="580"/>
      <c r="HE52" s="580"/>
      <c r="HF52" s="580"/>
      <c r="HG52" s="580"/>
      <c r="HH52" s="580"/>
      <c r="HI52" s="580"/>
      <c r="HJ52" s="580"/>
      <c r="HK52" s="580"/>
      <c r="HL52" s="580"/>
      <c r="HM52" s="580"/>
      <c r="HN52" s="580"/>
      <c r="HO52" s="580"/>
      <c r="HP52" s="580"/>
      <c r="HQ52" s="580"/>
      <c r="HR52" s="580"/>
      <c r="HS52" s="580"/>
      <c r="HT52" s="580"/>
      <c r="HU52" s="580"/>
      <c r="HV52" s="580"/>
      <c r="HW52" s="580"/>
      <c r="HX52" s="580"/>
      <c r="HY52" s="580"/>
      <c r="HZ52" s="580"/>
      <c r="IA52" s="580"/>
      <c r="IB52" s="580"/>
      <c r="IC52" s="580"/>
      <c r="ID52" s="580"/>
      <c r="IE52" s="580"/>
      <c r="IF52" s="580"/>
      <c r="IG52" s="580"/>
      <c r="IH52" s="580"/>
      <c r="II52" s="580"/>
      <c r="IJ52" s="580"/>
      <c r="IK52" s="580"/>
      <c r="IL52" s="580"/>
      <c r="IM52" s="580"/>
      <c r="IN52" s="580"/>
      <c r="IO52" s="580"/>
      <c r="IP52" s="580"/>
      <c r="IQ52" s="580"/>
      <c r="IR52" s="580"/>
      <c r="IS52" s="580"/>
      <c r="IT52" s="580"/>
      <c r="IU52" s="580"/>
      <c r="IV52" s="580"/>
      <c r="IW52" s="580"/>
      <c r="IX52" s="580"/>
      <c r="IY52" s="580"/>
      <c r="IZ52" s="580"/>
      <c r="JA52" s="580"/>
      <c r="JB52" s="580"/>
      <c r="JC52" s="580"/>
      <c r="JD52" s="580"/>
      <c r="JE52" s="580"/>
      <c r="JF52" s="580"/>
      <c r="JG52" s="580"/>
      <c r="JH52" s="580"/>
      <c r="JI52" s="580"/>
      <c r="JJ52" s="580"/>
      <c r="JK52" s="580"/>
      <c r="JL52" s="580"/>
      <c r="JM52" s="580"/>
      <c r="JN52" s="580"/>
      <c r="JO52" s="580"/>
      <c r="JP52" s="580"/>
      <c r="JQ52" s="580"/>
      <c r="JR52" s="580"/>
      <c r="JS52" s="580"/>
      <c r="JT52" s="580"/>
      <c r="JU52" s="580"/>
      <c r="JV52" s="580"/>
      <c r="JW52" s="580"/>
      <c r="JX52" s="580"/>
      <c r="JY52" s="580"/>
      <c r="JZ52" s="580"/>
      <c r="KA52" s="580"/>
      <c r="KB52" s="580"/>
      <c r="KC52" s="580"/>
      <c r="KD52" s="580"/>
      <c r="KE52" s="580"/>
      <c r="KF52" s="580"/>
      <c r="KG52" s="580"/>
      <c r="KH52" s="580"/>
      <c r="KI52" s="580"/>
      <c r="KJ52" s="580"/>
      <c r="KK52" s="580"/>
      <c r="KL52" s="580"/>
      <c r="KM52" s="580"/>
      <c r="KN52" s="580"/>
      <c r="KO52" s="580"/>
      <c r="KP52" s="580"/>
      <c r="KQ52" s="580"/>
      <c r="KR52" s="580"/>
      <c r="KS52" s="580"/>
      <c r="KT52" s="580"/>
      <c r="KU52" s="580"/>
      <c r="KV52" s="580"/>
      <c r="KW52" s="580"/>
      <c r="KX52" s="580"/>
      <c r="KY52" s="580"/>
      <c r="KZ52" s="580"/>
      <c r="LA52" s="580"/>
      <c r="LB52" s="580"/>
      <c r="LC52" s="580"/>
      <c r="LD52" s="580"/>
      <c r="LE52" s="580"/>
      <c r="LF52" s="580"/>
      <c r="LG52" s="580"/>
      <c r="LH52" s="580"/>
      <c r="LI52" s="580"/>
      <c r="LJ52" s="580"/>
      <c r="LK52" s="580"/>
      <c r="LL52" s="580"/>
      <c r="LM52" s="580"/>
      <c r="LN52" s="580"/>
      <c r="LO52" s="580"/>
      <c r="LP52" s="580"/>
      <c r="LQ52" s="580"/>
      <c r="LR52" s="580"/>
      <c r="LS52" s="580"/>
      <c r="LT52" s="580"/>
      <c r="LU52" s="580"/>
      <c r="LV52" s="580"/>
      <c r="LW52" s="580"/>
      <c r="LX52" s="580"/>
      <c r="LY52" s="580"/>
      <c r="LZ52" s="580"/>
      <c r="MA52" s="580"/>
      <c r="MB52" s="580"/>
      <c r="MC52" s="580"/>
      <c r="MD52" s="580"/>
      <c r="ME52" s="580"/>
      <c r="MF52" s="580"/>
      <c r="MG52" s="580"/>
      <c r="MH52" s="580"/>
      <c r="MI52" s="580"/>
    </row>
    <row r="53" spans="1:30" ht="13.8">
      <c r="A53" s="222"/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D53" s="419"/>
    </row>
    <row r="54" ht="13.8">
      <c r="A54" s="222" t="s">
        <v>642</v>
      </c>
    </row>
    <row r="55" spans="2:30" ht="13.8">
      <c r="B55" s="268">
        <f>+B52*$A$38</f>
        <v>128594.3161444696</v>
      </c>
      <c r="C55" s="268">
        <f>+C52*$A$38</f>
        <v>131136.29681244167</v>
      </c>
      <c r="D55" s="268">
        <f t="shared" si="14" ref="D55:Y55">+D52*$A$38</f>
        <v>133678.27748041373</v>
      </c>
      <c r="E55" s="268">
        <f t="shared" si="14"/>
        <v>136220.25814838579</v>
      </c>
      <c r="F55" s="268">
        <f t="shared" si="14"/>
        <v>138762.23881635786</v>
      </c>
      <c r="G55" s="268">
        <f t="shared" si="14"/>
        <v>141304.21948432995</v>
      </c>
      <c r="H55" s="268">
        <f t="shared" si="14"/>
        <v>143846.20015230202</v>
      </c>
      <c r="I55" s="268">
        <f t="shared" si="14"/>
        <v>146388.18082027411</v>
      </c>
      <c r="J55" s="268">
        <f t="shared" si="14"/>
        <v>148930.1614882462</v>
      </c>
      <c r="K55" s="268">
        <f>+K52*$A$38</f>
        <v>151472.14215621827</v>
      </c>
      <c r="L55" s="268">
        <f t="shared" si="14"/>
        <v>154014.12282419036</v>
      </c>
      <c r="M55" s="268">
        <f t="shared" si="14"/>
        <v>156556.10349216245</v>
      </c>
      <c r="N55" s="268">
        <f t="shared" si="14"/>
        <v>159098.08416013452</v>
      </c>
      <c r="O55" s="268">
        <f t="shared" si="14"/>
        <v>161640.06482810661</v>
      </c>
      <c r="P55" s="268">
        <f t="shared" si="14"/>
        <v>164182.0454960787</v>
      </c>
      <c r="Q55" s="268">
        <f t="shared" si="14"/>
        <v>166724.02616405077</v>
      </c>
      <c r="R55" s="268">
        <f t="shared" si="14"/>
        <v>169266.00683202286</v>
      </c>
      <c r="S55" s="268">
        <f t="shared" si="14"/>
        <v>171807.98749999495</v>
      </c>
      <c r="T55" s="268">
        <f t="shared" si="14"/>
        <v>174349.96816796702</v>
      </c>
      <c r="U55" s="268">
        <f t="shared" si="14"/>
        <v>176891.94883593911</v>
      </c>
      <c r="V55" s="268">
        <f t="shared" si="14"/>
        <v>179433.9295039112</v>
      </c>
      <c r="W55" s="268">
        <f t="shared" si="14"/>
        <v>181975.91017188327</v>
      </c>
      <c r="X55" s="268">
        <f t="shared" si="14"/>
        <v>184517.89083985536</v>
      </c>
      <c r="Y55" s="268">
        <f t="shared" si="14"/>
        <v>186611.28668406766</v>
      </c>
      <c r="Z55" s="268"/>
      <c r="AA55" s="268"/>
      <c r="AB55" s="268"/>
      <c r="AD55" s="268"/>
    </row>
    <row r="57" ht="13.8">
      <c r="A57" s="222" t="s">
        <v>387</v>
      </c>
    </row>
    <row r="58" spans="2:30" ht="13.8">
      <c r="B58" s="268">
        <f>+B55</f>
        <v>128594.3161444696</v>
      </c>
      <c r="C58" s="268">
        <f>+B58+C55</f>
        <v>259730.61295691127</v>
      </c>
      <c r="D58" s="268">
        <f t="shared" si="15" ref="D58:Y58">+C58+D55</f>
        <v>393408.890437325</v>
      </c>
      <c r="E58" s="268">
        <f t="shared" si="15"/>
        <v>529629.14858571079</v>
      </c>
      <c r="F58" s="268">
        <f t="shared" si="15"/>
        <v>668391.38740206859</v>
      </c>
      <c r="G58" s="268">
        <f t="shared" si="15"/>
        <v>809695.60688639851</v>
      </c>
      <c r="H58" s="268">
        <f t="shared" si="15"/>
        <v>953541.80703870056</v>
      </c>
      <c r="I58" s="268">
        <f t="shared" si="15"/>
        <v>1099929.9878589746</v>
      </c>
      <c r="J58" s="268">
        <f t="shared" si="15"/>
        <v>1248860.1493472208</v>
      </c>
      <c r="K58" s="268">
        <f t="shared" si="15"/>
        <v>1400332.291503439</v>
      </c>
      <c r="L58" s="268">
        <f t="shared" si="15"/>
        <v>1554346.4143276294</v>
      </c>
      <c r="M58" s="268">
        <f t="shared" si="15"/>
        <v>1710902.5178197918</v>
      </c>
      <c r="N58" s="268">
        <f t="shared" si="15"/>
        <v>1870000.6019799262</v>
      </c>
      <c r="O58" s="268">
        <f t="shared" si="15"/>
        <v>2031640.6668080329</v>
      </c>
      <c r="P58" s="268">
        <f t="shared" si="15"/>
        <v>2195822.7123041116</v>
      </c>
      <c r="Q58" s="268">
        <f t="shared" si="15"/>
        <v>2362546.7384681622</v>
      </c>
      <c r="R58" s="268">
        <f t="shared" si="15"/>
        <v>2531812.7453001849</v>
      </c>
      <c r="S58" s="268">
        <f t="shared" si="15"/>
        <v>2703620.7328001801</v>
      </c>
      <c r="T58" s="268">
        <f t="shared" si="15"/>
        <v>2877970.7009681473</v>
      </c>
      <c r="U58" s="268">
        <f t="shared" si="15"/>
        <v>3054862.6498040864</v>
      </c>
      <c r="V58" s="268">
        <f t="shared" si="15"/>
        <v>3234296.5793079976</v>
      </c>
      <c r="W58" s="268">
        <f t="shared" si="15"/>
        <v>3416272.4894798808</v>
      </c>
      <c r="X58" s="268">
        <f t="shared" si="15"/>
        <v>3600790.380319736</v>
      </c>
      <c r="Y58" s="268">
        <f t="shared" si="15"/>
        <v>3787401.6670038034</v>
      </c>
      <c r="Z58" s="268"/>
      <c r="AA58" s="268"/>
      <c r="AB58" s="268"/>
      <c r="AD58" s="268"/>
    </row>
    <row r="60" spans="1:28" ht="13.8">
      <c r="A60" s="222" t="s">
        <v>387</v>
      </c>
      <c r="B60" s="268">
        <f>+B52-B55</f>
        <v>3641263.7282286352</v>
      </c>
      <c r="C60" s="268">
        <f>+C52-C58</f>
        <v>3584647.8811305454</v>
      </c>
      <c r="D60" s="268">
        <f t="shared" si="16" ref="D60:Y60">+D52-D58</f>
        <v>3525490.0533644836</v>
      </c>
      <c r="E60" s="268">
        <f t="shared" si="16"/>
        <v>3463790.2449304499</v>
      </c>
      <c r="F60" s="268">
        <f t="shared" si="16"/>
        <v>3399548.4558284441</v>
      </c>
      <c r="G60" s="268">
        <f t="shared" si="16"/>
        <v>3332764.6860584659</v>
      </c>
      <c r="H60" s="268">
        <f t="shared" si="16"/>
        <v>3263438.9356205161</v>
      </c>
      <c r="I60" s="268">
        <f t="shared" si="16"/>
        <v>3191571.2045145947</v>
      </c>
      <c r="J60" s="268">
        <f t="shared" si="16"/>
        <v>3117161.492740701</v>
      </c>
      <c r="K60" s="268">
        <f t="shared" si="16"/>
        <v>3040209.8002988352</v>
      </c>
      <c r="L60" s="268">
        <f t="shared" si="16"/>
        <v>2960716.1271889969</v>
      </c>
      <c r="M60" s="268">
        <f t="shared" si="16"/>
        <v>2878680.4734111866</v>
      </c>
      <c r="N60" s="268">
        <f>+N52-N58</f>
        <v>2794102.8389654048</v>
      </c>
      <c r="O60" s="268">
        <f t="shared" si="16"/>
        <v>2706983.2238516505</v>
      </c>
      <c r="P60" s="268">
        <f t="shared" si="16"/>
        <v>2617321.6280699242</v>
      </c>
      <c r="Q60" s="268">
        <f t="shared" si="16"/>
        <v>2525118.0516202259</v>
      </c>
      <c r="R60" s="268">
        <f t="shared" si="16"/>
        <v>2430372.4945025556</v>
      </c>
      <c r="S60" s="268">
        <f t="shared" si="16"/>
        <v>2333084.9567169128</v>
      </c>
      <c r="T60" s="268">
        <f t="shared" si="16"/>
        <v>2233255.438263298</v>
      </c>
      <c r="U60" s="268">
        <f t="shared" si="16"/>
        <v>2130883.9391417112</v>
      </c>
      <c r="V60" s="268">
        <f t="shared" si="16"/>
        <v>2025970.4593521524</v>
      </c>
      <c r="W60" s="268">
        <f t="shared" si="16"/>
        <v>1918514.9988946216</v>
      </c>
      <c r="X60" s="268">
        <f t="shared" si="16"/>
        <v>1808517.5577691188</v>
      </c>
      <c r="Y60" s="268">
        <f t="shared" si="16"/>
        <v>1683276.0532027534</v>
      </c>
      <c r="Z60" s="268"/>
      <c r="AA60" s="268"/>
      <c r="AB60" s="268"/>
    </row>
    <row r="61" spans="2:28" ht="13.8">
      <c r="B61" s="268"/>
      <c r="C61" s="26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8"/>
      <c r="V61" s="268"/>
      <c r="W61" s="268"/>
      <c r="X61" s="268"/>
      <c r="Y61" s="268"/>
      <c r="Z61" s="268"/>
      <c r="AA61" s="268"/>
      <c r="AB61" s="268"/>
    </row>
    <row r="63" ht="13.8">
      <c r="K63" s="615"/>
    </row>
  </sheetData>
  <mergeCells count="1">
    <mergeCell ref="CM5:DM5"/>
  </mergeCells>
  <pageMargins left="0.7" right="0.7" top="0.75" bottom="0.75" header="0.3" footer="0.3"/>
  <pageSetup fitToHeight="0" fitToWidth="3" orientation="landscape" scale="83" r:id="rId1"/>
  <colBreaks count="3" manualBreakCount="3">
    <brk id="30" max="1048575" man="1"/>
    <brk id="87" max="24" man="1"/>
    <brk id="8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27"/>
  <sheetViews>
    <sheetView workbookViewId="0" topLeftCell="A1">
      <selection pane="topLeft" activeCell="Q14" sqref="Q14"/>
    </sheetView>
  </sheetViews>
  <sheetFormatPr defaultColWidth="9" defaultRowHeight="14.25"/>
  <cols>
    <col min="1" max="1" width="4.5" style="3" customWidth="1"/>
    <col min="2" max="2" width="30.25" style="2" customWidth="1"/>
    <col min="3" max="3" width="12.5" style="2" customWidth="1"/>
    <col min="4" max="4" width="2.125" style="2" customWidth="1"/>
    <col min="5" max="5" width="12.75" style="2" customWidth="1"/>
    <col min="6" max="6" width="2.125" style="2" customWidth="1"/>
    <col min="7" max="7" width="12.875" style="2" customWidth="1"/>
    <col min="8" max="8" width="2.125" style="2" customWidth="1"/>
    <col min="9" max="9" width="12.875" style="2" hidden="1" customWidth="1"/>
    <col min="10" max="10" width="9" style="2"/>
    <col min="11" max="11" width="12.75" style="2" customWidth="1"/>
    <col min="12" max="12" width="12.125" style="2" bestFit="1" customWidth="1"/>
    <col min="13" max="16384" width="9" style="2"/>
  </cols>
  <sheetData>
    <row r="1" spans="7:8" ht="13.8">
      <c r="G1" s="25" t="s">
        <v>191</v>
      </c>
      <c r="H1" s="24"/>
    </row>
    <row r="2" spans="7:8" ht="13.8">
      <c r="G2" s="25" t="s">
        <v>631</v>
      </c>
      <c r="H2" s="25"/>
    </row>
    <row r="3" spans="7:8" ht="13.8">
      <c r="G3" s="161"/>
      <c r="H3" s="161"/>
    </row>
    <row r="4" spans="1:9" s="24" customFormat="1" ht="13.8">
      <c r="A4" s="12" t="str">
        <f>+'Schedule No. 7 Rev Proof'!A3:I3</f>
        <v>Environmental Utilities, LLC</v>
      </c>
      <c r="B4" s="12"/>
      <c r="C4" s="12"/>
      <c r="D4" s="12"/>
      <c r="E4" s="12"/>
      <c r="F4" s="12"/>
      <c r="G4" s="12"/>
      <c r="H4" s="12"/>
      <c r="I4" s="12"/>
    </row>
    <row r="5" spans="1:9" s="24" customFormat="1" ht="13.8">
      <c r="A5" s="12" t="s">
        <v>16</v>
      </c>
      <c r="B5" s="12"/>
      <c r="C5" s="12"/>
      <c r="D5" s="12"/>
      <c r="E5" s="12"/>
      <c r="F5" s="12"/>
      <c r="G5" s="12"/>
      <c r="H5" s="12"/>
      <c r="I5" s="12"/>
    </row>
    <row r="6" spans="1:9" s="24" customFormat="1" ht="13.8">
      <c r="A6" s="12" t="s">
        <v>266</v>
      </c>
      <c r="B6" s="12"/>
      <c r="C6" s="12"/>
      <c r="D6" s="12"/>
      <c r="E6" s="12"/>
      <c r="F6" s="12"/>
      <c r="G6" s="12"/>
      <c r="H6" s="12"/>
      <c r="I6" s="12"/>
    </row>
    <row r="7" spans="1:9" s="24" customFormat="1" ht="13.8">
      <c r="A7" s="12" t="s">
        <v>670</v>
      </c>
      <c r="B7" s="12"/>
      <c r="C7" s="12"/>
      <c r="D7" s="12"/>
      <c r="E7" s="12"/>
      <c r="F7" s="12"/>
      <c r="G7" s="12"/>
      <c r="H7" s="12"/>
      <c r="I7" s="12"/>
    </row>
    <row r="8" s="24" customFormat="1" ht="13.8">
      <c r="A8" s="14"/>
    </row>
    <row r="9" spans="1:9" s="24" customFormat="1" ht="41.4">
      <c r="A9" s="129" t="s">
        <v>255</v>
      </c>
      <c r="B9" s="130"/>
      <c r="C9" s="120" t="s">
        <v>144</v>
      </c>
      <c r="D9" s="120"/>
      <c r="E9" s="129" t="s">
        <v>371</v>
      </c>
      <c r="F9" s="130"/>
      <c r="G9" s="129" t="s">
        <v>369</v>
      </c>
      <c r="H9" s="166"/>
      <c r="I9" s="129" t="s">
        <v>370</v>
      </c>
    </row>
    <row r="10" spans="1:2" ht="13.8">
      <c r="A10" s="3">
        <v>1</v>
      </c>
      <c r="B10" s="21" t="s">
        <v>145</v>
      </c>
    </row>
    <row r="11" spans="1:9" ht="13.8">
      <c r="A11" s="3">
        <f t="shared" si="0" ref="A11:A25">+A10+1</f>
        <v>2</v>
      </c>
      <c r="B11" s="2" t="s">
        <v>137</v>
      </c>
      <c r="C11" s="54"/>
      <c r="E11" s="75">
        <f>+'Sewer Rev Requirements '!C31</f>
        <v>2142156.5496202363</v>
      </c>
      <c r="F11" s="7"/>
      <c r="G11" s="75">
        <f>+C11+E11</f>
        <v>2142156.5496202363</v>
      </c>
      <c r="H11" s="7"/>
      <c r="I11" s="75">
        <f>+'Schedule No. 7 Rev Proof'!I32</f>
        <v>0</v>
      </c>
    </row>
    <row r="12" ht="13.8">
      <c r="A12" s="3">
        <f t="shared" si="0"/>
        <v>3</v>
      </c>
    </row>
    <row r="13" spans="1:2" ht="13.8">
      <c r="A13" s="3">
        <f t="shared" si="0"/>
        <v>4</v>
      </c>
      <c r="B13" s="2" t="s">
        <v>138</v>
      </c>
    </row>
    <row r="14" spans="1:9" ht="13.8">
      <c r="A14" s="3">
        <f t="shared" si="0"/>
        <v>5</v>
      </c>
      <c r="B14" s="22" t="s">
        <v>139</v>
      </c>
      <c r="C14" s="7">
        <f>+'Schedule No. 7 WW Support'!D39</f>
        <v>1236731.1954112095</v>
      </c>
      <c r="G14" s="7">
        <f t="shared" si="1" ref="G14:G17">+C14+E14</f>
        <v>1236731.1954112095</v>
      </c>
      <c r="H14" s="7"/>
      <c r="I14" s="7">
        <f>+G14</f>
        <v>1236731.1954112095</v>
      </c>
    </row>
    <row r="15" spans="1:9" ht="13.8">
      <c r="A15" s="3">
        <f t="shared" si="0"/>
        <v>6</v>
      </c>
      <c r="B15" s="22" t="s">
        <v>146</v>
      </c>
      <c r="C15" s="6">
        <f>+'Schedule No. 7 WW Support'!D41</f>
        <v>232177.13100325567</v>
      </c>
      <c r="G15" s="6">
        <f t="shared" si="1"/>
        <v>232177.13100325567</v>
      </c>
      <c r="H15" s="6"/>
      <c r="I15" s="6">
        <f>+G15</f>
        <v>232177.13100325567</v>
      </c>
    </row>
    <row r="16" spans="1:9" ht="13.8">
      <c r="A16" s="3">
        <f t="shared" si="0"/>
        <v>7</v>
      </c>
      <c r="B16" s="22" t="s">
        <v>129</v>
      </c>
      <c r="C16" s="6">
        <f>+'Schedule No. 7 WW Support'!D43+'Schedule No. 7 WW Support'!D45</f>
        <v>17216.666666666668</v>
      </c>
      <c r="G16" s="6">
        <f t="shared" si="1"/>
        <v>17216.666666666668</v>
      </c>
      <c r="H16" s="6"/>
      <c r="I16" s="6">
        <f>+G16</f>
        <v>17216.666666666668</v>
      </c>
    </row>
    <row r="17" spans="1:9" ht="13.8">
      <c r="A17" s="3">
        <f t="shared" si="0"/>
        <v>8</v>
      </c>
      <c r="B17" s="22" t="s">
        <v>200</v>
      </c>
      <c r="C17" s="6">
        <f>+'Schedule No. 3 B Wastewater'!D47+'Schedule No. 3 B Wastewater'!D48</f>
        <v>236713.17350619371</v>
      </c>
      <c r="E17" s="6">
        <f>+E11*0.045</f>
        <v>96397.044732910625</v>
      </c>
      <c r="G17" s="6">
        <f t="shared" si="1"/>
        <v>333110.21823910432</v>
      </c>
      <c r="H17" s="6"/>
      <c r="I17" s="6">
        <f>+C17+(I11*0.045)</f>
        <v>236713.17350619371</v>
      </c>
    </row>
    <row r="18" spans="1:11" ht="13.8">
      <c r="A18" s="3">
        <f t="shared" si="0"/>
        <v>9</v>
      </c>
      <c r="B18" s="22" t="s">
        <v>622</v>
      </c>
      <c r="C18" s="6">
        <f>+'Sewer Rev Requirements '!C48</f>
        <v>81844.413199999995</v>
      </c>
      <c r="E18" s="6"/>
      <c r="G18" s="6">
        <f>+C18+E18</f>
        <v>81844.413199999995</v>
      </c>
      <c r="H18" s="6"/>
      <c r="I18" s="6"/>
      <c r="K18" s="80"/>
    </row>
    <row r="19" spans="1:9" ht="13.8">
      <c r="A19" s="3">
        <f t="shared" si="0"/>
        <v>10</v>
      </c>
      <c r="B19" s="2" t="s">
        <v>140</v>
      </c>
      <c r="C19" s="23">
        <f>SUM(C14:C17)</f>
        <v>1722838.1665873257</v>
      </c>
      <c r="E19" s="23">
        <f>SUM(E14:E17)</f>
        <v>96397.044732910625</v>
      </c>
      <c r="G19" s="23">
        <f>SUM(G14:G18)</f>
        <v>1901079.6245202364</v>
      </c>
      <c r="H19" s="7"/>
      <c r="I19" s="23">
        <f>SUM(I14:I17)</f>
        <v>1722838.1665873257</v>
      </c>
    </row>
    <row r="20" ht="13.8">
      <c r="A20" s="3">
        <f t="shared" si="0"/>
        <v>11</v>
      </c>
    </row>
    <row r="21" spans="1:12" ht="14.4" thickBot="1">
      <c r="A21" s="3">
        <f t="shared" si="0"/>
        <v>12</v>
      </c>
      <c r="B21" s="2" t="s">
        <v>141</v>
      </c>
      <c r="C21" s="27">
        <f>+C11-C19</f>
        <v>-1722838.1665873257</v>
      </c>
      <c r="E21" s="27">
        <f>+E11-E19</f>
        <v>2045759.5048873257</v>
      </c>
      <c r="G21" s="27">
        <f>+G11-G19</f>
        <v>241076.92509999988</v>
      </c>
      <c r="H21" s="7"/>
      <c r="I21" s="27">
        <f>+I11-I19</f>
        <v>-1722838.1665873257</v>
      </c>
      <c r="K21" s="7"/>
      <c r="L21" s="33"/>
    </row>
    <row r="22" ht="14.4" thickTop="1">
      <c r="A22" s="3">
        <f t="shared" si="0"/>
        <v>13</v>
      </c>
    </row>
    <row r="23" spans="1:9" ht="14.4" thickBot="1">
      <c r="A23" s="3">
        <f t="shared" si="0"/>
        <v>14</v>
      </c>
      <c r="B23" s="2" t="s">
        <v>142</v>
      </c>
      <c r="C23" s="27">
        <f>+'Schedule 1 Rate Base'!F16</f>
        <v>6445535.694385102</v>
      </c>
      <c r="E23" s="27"/>
      <c r="G23" s="27">
        <f>+C23+E23</f>
        <v>6445535.694385102</v>
      </c>
      <c r="H23" s="7"/>
      <c r="I23" s="27">
        <f>+G23</f>
        <v>6445535.694385102</v>
      </c>
    </row>
    <row r="24" ht="14.4" thickTop="1">
      <c r="A24" s="3">
        <f t="shared" si="0"/>
        <v>15</v>
      </c>
    </row>
    <row r="25" spans="1:18" ht="14.4" thickBot="1">
      <c r="A25" s="3">
        <f t="shared" si="0"/>
        <v>16</v>
      </c>
      <c r="B25" s="2" t="s">
        <v>424</v>
      </c>
      <c r="C25" s="55"/>
      <c r="D25" s="56"/>
      <c r="E25" s="55"/>
      <c r="F25" s="56"/>
      <c r="G25" s="55">
        <f>+G21/G23</f>
        <v>0.03740215500008931</v>
      </c>
      <c r="H25" s="56"/>
      <c r="I25" s="55">
        <f>+I21/I23</f>
        <v>-0.26729169587690615</v>
      </c>
      <c r="K25" s="199">
        <f>+G21/G23</f>
        <v>0.03740215500008931</v>
      </c>
      <c r="N25" s="186" t="s">
        <v>506</v>
      </c>
      <c r="O25" s="186"/>
      <c r="P25" s="186"/>
      <c r="Q25" s="187"/>
      <c r="R25" s="171"/>
    </row>
    <row r="26" spans="14:18" ht="14.4" thickTop="1">
      <c r="N26" s="188" t="s">
        <v>507</v>
      </c>
      <c r="O26" s="186"/>
      <c r="P26" s="186"/>
      <c r="Q26" s="187"/>
      <c r="R26" s="171"/>
    </row>
    <row r="27" spans="1:18" ht="13.8">
      <c r="A27" s="39" t="s">
        <v>625</v>
      </c>
      <c r="N27" s="188" t="s">
        <v>508</v>
      </c>
      <c r="O27" s="186"/>
      <c r="P27" s="186"/>
      <c r="Q27" s="187"/>
      <c r="R27" s="171"/>
    </row>
  </sheetData>
  <printOptions horizontalCentered="1"/>
  <pageMargins left="0.7" right="0.7" top="0.75" bottom="0.75" header="0.3" footer="0.3"/>
  <pageSetup orientation="portrait" scale="8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W143"/>
  <sheetViews>
    <sheetView workbookViewId="0" topLeftCell="A1">
      <selection pane="topLeft" activeCell="J33" sqref="J33"/>
    </sheetView>
  </sheetViews>
  <sheetFormatPr defaultColWidth="9" defaultRowHeight="14.25"/>
  <cols>
    <col min="1" max="1" width="5.375" style="2" customWidth="1"/>
    <col min="2" max="2" width="7.375" style="3" customWidth="1"/>
    <col min="3" max="3" width="35.125" style="2" customWidth="1"/>
    <col min="4" max="4" width="11.5" style="2" customWidth="1"/>
    <col min="5" max="5" width="1.75" style="2" customWidth="1"/>
    <col min="6" max="6" width="10" style="2" customWidth="1"/>
    <col min="7" max="7" width="9.875" style="2" customWidth="1"/>
    <col min="8" max="8" width="1.75" style="2" customWidth="1"/>
    <col min="9" max="9" width="10.5" style="2" customWidth="1"/>
    <col min="10" max="10" width="10.25" style="2" customWidth="1"/>
    <col min="11" max="11" width="7.75" style="2" customWidth="1"/>
    <col min="12" max="12" width="9" style="2"/>
    <col min="13" max="13" width="10.5" style="2" customWidth="1"/>
    <col min="14" max="14" width="15.875" style="2" customWidth="1"/>
    <col min="15" max="15" width="7.75" style="2" customWidth="1"/>
    <col min="16" max="16" width="9.25" style="2" customWidth="1"/>
    <col min="17" max="16384" width="9" style="2"/>
  </cols>
  <sheetData>
    <row r="1" spans="2:10" s="24" customFormat="1" ht="13.8">
      <c r="B1" s="14"/>
      <c r="J1" s="25" t="s">
        <v>191</v>
      </c>
    </row>
    <row r="2" spans="2:10" s="24" customFormat="1" ht="13.8">
      <c r="B2" s="14"/>
      <c r="J2" s="566" t="s">
        <v>632</v>
      </c>
    </row>
    <row r="3" spans="1:10" s="24" customFormat="1" ht="13.8">
      <c r="A3" s="14"/>
      <c r="B3" s="14"/>
      <c r="J3" s="161"/>
    </row>
    <row r="4" spans="2:13" s="24" customFormat="1" ht="13.8">
      <c r="B4" s="12" t="str">
        <f>+'Schedule 7  NOI'!A4</f>
        <v>Environmental Utilities, LLC</v>
      </c>
      <c r="C4" s="12"/>
      <c r="D4" s="12"/>
      <c r="E4" s="12"/>
      <c r="F4" s="12"/>
      <c r="G4" s="12"/>
      <c r="H4" s="12"/>
      <c r="I4" s="12"/>
      <c r="J4" s="12"/>
      <c r="M4" s="12"/>
    </row>
    <row r="5" spans="2:13" s="24" customFormat="1" ht="13.8">
      <c r="B5" s="12" t="s">
        <v>16</v>
      </c>
      <c r="C5" s="12"/>
      <c r="D5" s="12"/>
      <c r="E5" s="12"/>
      <c r="F5" s="12"/>
      <c r="G5" s="12"/>
      <c r="H5" s="12"/>
      <c r="I5" s="12"/>
      <c r="J5" s="12"/>
      <c r="M5" s="12"/>
    </row>
    <row r="6" spans="2:13" s="24" customFormat="1" ht="13.8">
      <c r="B6" s="12" t="s">
        <v>7</v>
      </c>
      <c r="C6" s="12"/>
      <c r="D6" s="12"/>
      <c r="E6" s="12"/>
      <c r="F6" s="12"/>
      <c r="G6" s="12"/>
      <c r="H6" s="12"/>
      <c r="I6" s="12"/>
      <c r="J6" s="12"/>
      <c r="M6" s="12"/>
    </row>
    <row r="7" spans="2:13" s="24" customFormat="1" ht="13.8">
      <c r="B7" s="12" t="s">
        <v>339</v>
      </c>
      <c r="C7" s="12"/>
      <c r="D7" s="12"/>
      <c r="E7" s="12"/>
      <c r="F7" s="12"/>
      <c r="G7" s="12"/>
      <c r="H7" s="12"/>
      <c r="I7" s="12"/>
      <c r="J7" s="12"/>
      <c r="M7" s="12"/>
    </row>
    <row r="8" spans="2:13" s="24" customFormat="1" ht="13.8">
      <c r="B8" s="12" t="s">
        <v>668</v>
      </c>
      <c r="C8" s="12"/>
      <c r="D8" s="12"/>
      <c r="E8" s="12"/>
      <c r="F8" s="12"/>
      <c r="G8" s="12"/>
      <c r="H8" s="12"/>
      <c r="I8" s="12"/>
      <c r="J8" s="12"/>
      <c r="M8" s="12"/>
    </row>
    <row r="9" spans="2:13" s="24" customFormat="1" ht="13.8">
      <c r="B9" s="12"/>
      <c r="C9" s="12"/>
      <c r="D9" s="12"/>
      <c r="F9" s="12" t="s">
        <v>97</v>
      </c>
      <c r="G9" s="12"/>
      <c r="I9" s="12" t="s">
        <v>99</v>
      </c>
      <c r="J9" s="12"/>
      <c r="M9" s="12"/>
    </row>
    <row r="10" spans="1:13" s="24" customFormat="1" ht="13.8">
      <c r="A10" s="414" t="s">
        <v>254</v>
      </c>
      <c r="B10" s="14" t="s">
        <v>2</v>
      </c>
      <c r="D10" s="14" t="s">
        <v>93</v>
      </c>
      <c r="F10" s="14" t="s">
        <v>98</v>
      </c>
      <c r="G10" s="14" t="s">
        <v>96</v>
      </c>
      <c r="I10" s="14" t="s">
        <v>98</v>
      </c>
      <c r="J10" s="14" t="s">
        <v>96</v>
      </c>
      <c r="M10" s="14"/>
    </row>
    <row r="11" spans="1:13" s="24" customFormat="1" ht="13.8">
      <c r="A11" s="120" t="s">
        <v>0</v>
      </c>
      <c r="B11" s="120" t="s">
        <v>3</v>
      </c>
      <c r="C11" s="120" t="s">
        <v>1</v>
      </c>
      <c r="D11" s="122" t="s">
        <v>94</v>
      </c>
      <c r="E11" s="130"/>
      <c r="F11" s="120" t="s">
        <v>95</v>
      </c>
      <c r="G11" s="120" t="s">
        <v>95</v>
      </c>
      <c r="H11" s="130"/>
      <c r="I11" s="120" t="s">
        <v>95</v>
      </c>
      <c r="J11" s="120" t="s">
        <v>95</v>
      </c>
      <c r="M11" s="121"/>
    </row>
    <row r="12" spans="1:13" ht="13.8">
      <c r="A12" s="3">
        <v>1</v>
      </c>
      <c r="C12" s="21" t="s">
        <v>100</v>
      </c>
      <c r="D12" s="15"/>
      <c r="F12" s="28"/>
      <c r="G12" s="28"/>
      <c r="I12" s="3"/>
      <c r="J12" s="3"/>
      <c r="M12" s="15"/>
    </row>
    <row r="13" spans="1:13" ht="15" customHeight="1">
      <c r="A13" s="3">
        <f>+A12+1</f>
        <v>2</v>
      </c>
      <c r="B13" s="3">
        <v>701</v>
      </c>
      <c r="C13" s="151" t="s">
        <v>82</v>
      </c>
      <c r="D13" s="8">
        <f>+J105</f>
        <v>164808.04558329115</v>
      </c>
      <c r="F13" s="29">
        <v>0.56000000000000005</v>
      </c>
      <c r="G13" s="29">
        <f>1-F13</f>
        <v>0.43999999999999995</v>
      </c>
      <c r="I13" s="6">
        <f>ROUND(D13*F13,2)</f>
        <v>92292.51</v>
      </c>
      <c r="J13" s="6">
        <f>ROUND(D13*G13,2)</f>
        <v>72515.539999999994</v>
      </c>
      <c r="M13" s="8"/>
    </row>
    <row r="14" spans="1:13" ht="15" customHeight="1">
      <c r="A14" s="3">
        <f t="shared" si="0" ref="A14:A79">+A13+1</f>
        <v>3</v>
      </c>
      <c r="B14" s="3">
        <v>703</v>
      </c>
      <c r="C14" s="151" t="s">
        <v>81</v>
      </c>
      <c r="D14" s="8">
        <f>+J106</f>
        <v>85329.609399633002</v>
      </c>
      <c r="F14" s="29">
        <v>0.56000000000000005</v>
      </c>
      <c r="G14" s="29">
        <f t="shared" si="1" ref="G14:G15">1-F14</f>
        <v>0.43999999999999995</v>
      </c>
      <c r="I14" s="6">
        <f>ROUND(D14*F14,2)</f>
        <v>47784.58</v>
      </c>
      <c r="J14" s="6">
        <f>ROUND(D14*G14,2)</f>
        <v>37545.03</v>
      </c>
      <c r="M14" s="8"/>
    </row>
    <row r="15" spans="1:13" ht="15" customHeight="1">
      <c r="A15" s="3">
        <f t="shared" si="0"/>
        <v>4</v>
      </c>
      <c r="B15" s="3">
        <v>704</v>
      </c>
      <c r="C15" s="151" t="s">
        <v>83</v>
      </c>
      <c r="D15" s="181">
        <f t="shared" si="2" ref="D15:D18">+J107</f>
        <v>86214.786886152258</v>
      </c>
      <c r="F15" s="29">
        <v>0.56000000000000005</v>
      </c>
      <c r="G15" s="29">
        <f t="shared" si="1"/>
        <v>0.43999999999999995</v>
      </c>
      <c r="I15" s="6">
        <f>ROUND(D15*F15,2)</f>
        <v>48280.28</v>
      </c>
      <c r="J15" s="6">
        <f>ROUND(D15*G15,2)</f>
        <v>37934.51</v>
      </c>
      <c r="M15" s="8"/>
    </row>
    <row r="16" spans="1:13" ht="15" customHeight="1">
      <c r="A16" s="3">
        <f t="shared" si="0"/>
        <v>5</v>
      </c>
      <c r="B16" s="3">
        <v>710</v>
      </c>
      <c r="C16" s="151" t="s">
        <v>307</v>
      </c>
      <c r="D16" s="8">
        <f t="shared" si="2"/>
        <v>524683.99066287337</v>
      </c>
      <c r="F16" s="29">
        <v>0.56000000000000005</v>
      </c>
      <c r="G16" s="29">
        <f t="shared" si="3" ref="G16:G17">1-F16</f>
        <v>0.43999999999999995</v>
      </c>
      <c r="I16" s="6">
        <f>ROUND(D16*F16,0)</f>
        <v>293823</v>
      </c>
      <c r="J16" s="6">
        <f>ROUND(D16*G16,0)</f>
        <v>230861</v>
      </c>
      <c r="M16" s="8"/>
    </row>
    <row r="17" spans="1:13" ht="15" customHeight="1">
      <c r="A17" s="3">
        <f t="shared" si="0"/>
        <v>6</v>
      </c>
      <c r="B17" s="3">
        <v>711</v>
      </c>
      <c r="C17" s="151" t="s">
        <v>92</v>
      </c>
      <c r="D17" s="8">
        <f t="shared" si="2"/>
        <v>212348.82796308669</v>
      </c>
      <c r="F17" s="29">
        <v>0.56000000000000005</v>
      </c>
      <c r="G17" s="29">
        <f t="shared" si="3"/>
        <v>0.43999999999999995</v>
      </c>
      <c r="I17" s="6">
        <f>ROUND(D17*F17,2)</f>
        <v>118915.34</v>
      </c>
      <c r="J17" s="6">
        <f>ROUND(D17*G17,2)</f>
        <v>93433.48</v>
      </c>
      <c r="M17" s="6"/>
    </row>
    <row r="18" spans="1:13" ht="15" customHeight="1">
      <c r="A18" s="3">
        <f t="shared" si="0"/>
        <v>7</v>
      </c>
      <c r="B18" s="3">
        <v>715</v>
      </c>
      <c r="C18" s="151" t="s">
        <v>4</v>
      </c>
      <c r="D18" s="8">
        <f t="shared" si="2"/>
        <v>18284.916299921355</v>
      </c>
      <c r="F18" s="29">
        <v>0.56000000000000005</v>
      </c>
      <c r="G18" s="29">
        <f>1-F18</f>
        <v>0.43999999999999995</v>
      </c>
      <c r="I18" s="6">
        <f>ROUND(D18*F18,0)</f>
        <v>10240</v>
      </c>
      <c r="J18" s="6">
        <f>ROUND(D18*G18,0)</f>
        <v>8045</v>
      </c>
      <c r="M18" s="20"/>
    </row>
    <row r="19" spans="1:13" ht="15" customHeight="1">
      <c r="A19" s="3">
        <f t="shared" si="0"/>
        <v>8</v>
      </c>
      <c r="B19" s="3">
        <v>716</v>
      </c>
      <c r="C19" s="151" t="s">
        <v>87</v>
      </c>
      <c r="D19" s="115"/>
      <c r="F19" s="29"/>
      <c r="G19" s="29"/>
      <c r="I19" s="6"/>
      <c r="J19" s="6"/>
      <c r="M19" s="6"/>
    </row>
    <row r="20" spans="1:13" ht="15" customHeight="1">
      <c r="A20" s="3">
        <f t="shared" si="0"/>
        <v>9</v>
      </c>
      <c r="B20" s="3">
        <v>718</v>
      </c>
      <c r="C20" s="151" t="s">
        <v>5</v>
      </c>
      <c r="D20" s="115"/>
      <c r="F20" s="29">
        <v>0.56000000000000005</v>
      </c>
      <c r="G20" s="29">
        <f t="shared" si="4" ref="G20">1-F20</f>
        <v>0.43999999999999995</v>
      </c>
      <c r="I20" s="6">
        <f t="shared" si="5" ref="I20:I27">ROUND(D20*F20,2)</f>
        <v>0</v>
      </c>
      <c r="J20" s="6">
        <f t="shared" si="6" ref="J20:J27">ROUND(D20*G20,2)</f>
        <v>0</v>
      </c>
      <c r="M20" s="6"/>
    </row>
    <row r="21" spans="1:13" ht="15" customHeight="1">
      <c r="A21" s="3">
        <f t="shared" si="0"/>
        <v>10</v>
      </c>
      <c r="B21" s="3">
        <v>720</v>
      </c>
      <c r="C21" s="151" t="s">
        <v>85</v>
      </c>
      <c r="D21" s="115">
        <f>+J111</f>
        <v>14627.933039937085</v>
      </c>
      <c r="F21" s="29">
        <v>0.56000000000000005</v>
      </c>
      <c r="G21" s="29">
        <f t="shared" si="7" ref="G21:G33">1-F21</f>
        <v>0.43999999999999995</v>
      </c>
      <c r="I21" s="6">
        <f t="shared" si="5"/>
        <v>8191.64</v>
      </c>
      <c r="J21" s="6">
        <f t="shared" si="6"/>
        <v>6436.29</v>
      </c>
      <c r="M21" s="20"/>
    </row>
    <row r="22" spans="1:13" ht="15" customHeight="1">
      <c r="A22" s="3">
        <f t="shared" si="0"/>
        <v>11</v>
      </c>
      <c r="B22" s="16">
        <v>731</v>
      </c>
      <c r="C22" s="22" t="s">
        <v>425</v>
      </c>
      <c r="D22" s="115"/>
      <c r="F22" s="29">
        <v>0.56000000000000005</v>
      </c>
      <c r="G22" s="29">
        <f t="shared" si="7"/>
        <v>0.43999999999999995</v>
      </c>
      <c r="I22" s="6">
        <f t="shared" si="5"/>
        <v>0</v>
      </c>
      <c r="J22" s="6">
        <f t="shared" si="6"/>
        <v>0</v>
      </c>
      <c r="M22" s="20"/>
    </row>
    <row r="23" spans="1:13" ht="15" customHeight="1">
      <c r="A23" s="3">
        <f t="shared" si="0"/>
        <v>12</v>
      </c>
      <c r="B23" s="16">
        <v>732</v>
      </c>
      <c r="C23" s="22" t="s">
        <v>426</v>
      </c>
      <c r="D23" s="115"/>
      <c r="F23" s="29">
        <v>0.56000000000000005</v>
      </c>
      <c r="G23" s="29">
        <f t="shared" si="7"/>
        <v>0.43999999999999995</v>
      </c>
      <c r="I23" s="6">
        <f t="shared" si="5"/>
        <v>0</v>
      </c>
      <c r="J23" s="6">
        <f t="shared" si="6"/>
        <v>0</v>
      </c>
      <c r="M23" s="20"/>
    </row>
    <row r="24" spans="1:13" ht="15" customHeight="1">
      <c r="A24" s="3">
        <f t="shared" si="0"/>
        <v>13</v>
      </c>
      <c r="B24" s="16">
        <v>733</v>
      </c>
      <c r="C24" s="22" t="s">
        <v>427</v>
      </c>
      <c r="D24" s="115"/>
      <c r="F24" s="29">
        <v>0.56000000000000005</v>
      </c>
      <c r="G24" s="29">
        <f t="shared" si="7"/>
        <v>0.43999999999999995</v>
      </c>
      <c r="I24" s="6">
        <f t="shared" si="5"/>
        <v>0</v>
      </c>
      <c r="J24" s="6">
        <f t="shared" si="6"/>
        <v>0</v>
      </c>
      <c r="M24" s="20"/>
    </row>
    <row r="25" spans="1:13" ht="15" customHeight="1">
      <c r="A25" s="3">
        <f t="shared" si="0"/>
        <v>14</v>
      </c>
      <c r="B25" s="16">
        <v>734</v>
      </c>
      <c r="C25" s="22" t="s">
        <v>428</v>
      </c>
      <c r="D25" s="115"/>
      <c r="F25" s="29">
        <v>0.56000000000000005</v>
      </c>
      <c r="G25" s="29">
        <f t="shared" si="7"/>
        <v>0.43999999999999995</v>
      </c>
      <c r="I25" s="6">
        <f t="shared" si="5"/>
        <v>0</v>
      </c>
      <c r="J25" s="6">
        <f t="shared" si="6"/>
        <v>0</v>
      </c>
      <c r="M25" s="20"/>
    </row>
    <row r="26" spans="1:13" ht="15" customHeight="1">
      <c r="A26" s="3">
        <f t="shared" si="0"/>
        <v>15</v>
      </c>
      <c r="B26" s="16">
        <v>735</v>
      </c>
      <c r="C26" s="22" t="s">
        <v>429</v>
      </c>
      <c r="D26" s="115"/>
      <c r="F26" s="29">
        <v>0.56000000000000005</v>
      </c>
      <c r="G26" s="29">
        <f t="shared" si="7"/>
        <v>0.43999999999999995</v>
      </c>
      <c r="I26" s="6">
        <f t="shared" si="5"/>
        <v>0</v>
      </c>
      <c r="J26" s="6">
        <f t="shared" si="6"/>
        <v>0</v>
      </c>
      <c r="M26" s="20"/>
    </row>
    <row r="27" spans="1:13" ht="15" customHeight="1">
      <c r="A27" s="3">
        <f t="shared" si="0"/>
        <v>16</v>
      </c>
      <c r="B27" s="16">
        <v>736</v>
      </c>
      <c r="C27" s="22" t="s">
        <v>531</v>
      </c>
      <c r="D27" s="115">
        <f>+J112</f>
        <v>29197.354347714423</v>
      </c>
      <c r="F27" s="29">
        <v>0.56000000000000005</v>
      </c>
      <c r="G27" s="29">
        <f t="shared" si="7"/>
        <v>0.43999999999999995</v>
      </c>
      <c r="I27" s="6">
        <f t="shared" si="5"/>
        <v>16350.52</v>
      </c>
      <c r="J27" s="6">
        <f t="shared" si="6"/>
        <v>12846.84</v>
      </c>
      <c r="M27" s="20"/>
    </row>
    <row r="28" spans="1:13" ht="15" customHeight="1">
      <c r="A28" s="3">
        <f t="shared" si="0"/>
        <v>17</v>
      </c>
      <c r="B28" s="3">
        <v>740</v>
      </c>
      <c r="C28" s="151" t="s">
        <v>88</v>
      </c>
      <c r="D28" s="115">
        <f t="shared" si="8" ref="D28:D31">+J113</f>
        <v>13896.53638794023</v>
      </c>
      <c r="F28" s="29">
        <v>0.56000000000000005</v>
      </c>
      <c r="G28" s="29">
        <f t="shared" si="7"/>
        <v>0.43999999999999995</v>
      </c>
      <c r="I28" s="6">
        <f t="shared" si="9" ref="I28">ROUND(D28*F28,0)</f>
        <v>7782</v>
      </c>
      <c r="J28" s="6">
        <f t="shared" si="10" ref="J28">ROUND(D28*G28,0)</f>
        <v>6114</v>
      </c>
      <c r="M28" s="6"/>
    </row>
    <row r="29" spans="1:13" ht="15" customHeight="1">
      <c r="A29" s="3">
        <f t="shared" si="0"/>
        <v>18</v>
      </c>
      <c r="B29" s="3">
        <v>750</v>
      </c>
      <c r="C29" s="22" t="s">
        <v>84</v>
      </c>
      <c r="D29" s="115">
        <f t="shared" si="8"/>
        <v>19016.312951918211</v>
      </c>
      <c r="F29" s="29">
        <v>0.56000000000000005</v>
      </c>
      <c r="G29" s="29">
        <f t="shared" si="7"/>
        <v>0.43999999999999995</v>
      </c>
      <c r="I29" s="6">
        <f>ROUND(D29*F29,2)</f>
        <v>10649.14</v>
      </c>
      <c r="J29" s="6">
        <f>ROUND(D29*G29,2)</f>
        <v>8367.18</v>
      </c>
      <c r="M29" s="6"/>
    </row>
    <row r="30" spans="1:13" ht="15" customHeight="1">
      <c r="A30" s="3">
        <f t="shared" si="0"/>
        <v>19</v>
      </c>
      <c r="B30" s="16">
        <v>756</v>
      </c>
      <c r="C30" s="151" t="s">
        <v>430</v>
      </c>
      <c r="D30" s="115">
        <f t="shared" si="8"/>
        <v>7313.9665199685423</v>
      </c>
      <c r="F30" s="29">
        <v>0.56000000000000005</v>
      </c>
      <c r="G30" s="29">
        <f t="shared" si="7"/>
        <v>0.43999999999999995</v>
      </c>
      <c r="I30" s="6">
        <f>ROUND(D30*F30,2)</f>
        <v>4095.82</v>
      </c>
      <c r="J30" s="6">
        <f>ROUND(D30*G30,2)</f>
        <v>3218.15</v>
      </c>
      <c r="M30" s="6"/>
    </row>
    <row r="31" spans="1:13" ht="15" customHeight="1">
      <c r="A31" s="3">
        <f t="shared" si="0"/>
        <v>20</v>
      </c>
      <c r="B31" s="16">
        <v>757</v>
      </c>
      <c r="C31" s="151" t="s">
        <v>431</v>
      </c>
      <c r="D31" s="115">
        <f t="shared" si="8"/>
        <v>19503.910719916115</v>
      </c>
      <c r="F31" s="29">
        <v>0.56000000000000005</v>
      </c>
      <c r="G31" s="29">
        <f t="shared" si="7"/>
        <v>0.43999999999999995</v>
      </c>
      <c r="I31" s="6">
        <f>ROUND(D31*F31,2)</f>
        <v>10922.19</v>
      </c>
      <c r="J31" s="6">
        <f>ROUND(D31*G31,2)</f>
        <v>8581.7199999999993</v>
      </c>
      <c r="M31" s="6"/>
    </row>
    <row r="32" spans="1:13" ht="15" customHeight="1">
      <c r="A32" s="3">
        <f t="shared" si="0"/>
        <v>21</v>
      </c>
      <c r="B32" s="16">
        <v>758</v>
      </c>
      <c r="C32" s="151" t="s">
        <v>432</v>
      </c>
      <c r="D32" s="467">
        <f>+J117</f>
        <v>22488.691696938477</v>
      </c>
      <c r="F32" s="29">
        <v>0.56000000000000005</v>
      </c>
      <c r="G32" s="29">
        <f t="shared" si="7"/>
        <v>0.43999999999999995</v>
      </c>
      <c r="I32" s="6">
        <f>ROUND(D32*F32,2)</f>
        <v>12593.67</v>
      </c>
      <c r="J32" s="6">
        <f>ROUND(D32*G32,2)</f>
        <v>9895.02</v>
      </c>
      <c r="M32" s="6"/>
    </row>
    <row r="33" spans="1:13" ht="15" customHeight="1">
      <c r="A33" s="3">
        <f t="shared" si="0"/>
        <v>22</v>
      </c>
      <c r="B33" s="16">
        <v>759</v>
      </c>
      <c r="C33" s="151" t="s">
        <v>433</v>
      </c>
      <c r="D33" s="115"/>
      <c r="F33" s="29">
        <v>0.56000000000000005</v>
      </c>
      <c r="G33" s="29">
        <f t="shared" si="7"/>
        <v>0.43999999999999995</v>
      </c>
      <c r="I33" s="6">
        <f>ROUND(D33*F33,2)</f>
        <v>0</v>
      </c>
      <c r="J33" s="6">
        <f>ROUND(D33*G33,2)</f>
        <v>0</v>
      </c>
      <c r="M33" s="6"/>
    </row>
    <row r="34" spans="1:14" ht="15" customHeight="1">
      <c r="A34" s="3">
        <f t="shared" si="0"/>
        <v>23</v>
      </c>
      <c r="B34" s="3">
        <v>766</v>
      </c>
      <c r="C34" s="22" t="s">
        <v>89</v>
      </c>
      <c r="D34" s="6"/>
      <c r="F34" s="29"/>
      <c r="G34" s="29"/>
      <c r="I34" s="6">
        <f>ROUND(D34*F34,0)</f>
        <v>0</v>
      </c>
      <c r="J34" s="6">
        <f>ROUND(D34*G34,0)</f>
        <v>0</v>
      </c>
      <c r="M34" s="6"/>
      <c r="N34" s="7"/>
    </row>
    <row r="35" spans="1:13" ht="15" customHeight="1">
      <c r="A35" s="3">
        <f t="shared" si="0"/>
        <v>24</v>
      </c>
      <c r="C35" s="22" t="s">
        <v>447</v>
      </c>
      <c r="D35" s="6"/>
      <c r="F35" s="29"/>
      <c r="G35" s="29"/>
      <c r="I35" s="6"/>
      <c r="J35" s="6"/>
      <c r="M35" s="6"/>
    </row>
    <row r="36" spans="1:13" ht="15" customHeight="1">
      <c r="A36" s="3">
        <f t="shared" si="0"/>
        <v>25</v>
      </c>
      <c r="B36" s="3">
        <v>767</v>
      </c>
      <c r="C36" s="22" t="s">
        <v>448</v>
      </c>
      <c r="D36" s="6"/>
      <c r="F36" s="29"/>
      <c r="G36" s="29"/>
      <c r="I36" s="6"/>
      <c r="J36" s="6"/>
      <c r="M36" s="6"/>
    </row>
    <row r="37" spans="1:13" ht="15" customHeight="1">
      <c r="A37" s="3">
        <f t="shared" si="0"/>
        <v>26</v>
      </c>
      <c r="B37" s="3">
        <v>770</v>
      </c>
      <c r="C37" s="22" t="s">
        <v>6</v>
      </c>
      <c r="D37" s="6"/>
      <c r="F37" s="29"/>
      <c r="G37" s="29"/>
      <c r="I37" s="6"/>
      <c r="J37" s="6"/>
      <c r="M37" s="6"/>
    </row>
    <row r="38" spans="1:13" ht="15" customHeight="1">
      <c r="A38" s="3">
        <f t="shared" si="0"/>
        <v>27</v>
      </c>
      <c r="B38" s="3">
        <v>775</v>
      </c>
      <c r="C38" s="22" t="s">
        <v>435</v>
      </c>
      <c r="D38" s="6">
        <f>+J118</f>
        <v>19016.312951918211</v>
      </c>
      <c r="F38" s="29">
        <v>0.56000000000000005</v>
      </c>
      <c r="G38" s="29">
        <f>1-F38</f>
        <v>0.43999999999999995</v>
      </c>
      <c r="I38" s="6">
        <f>ROUND(D38*F38,2)</f>
        <v>10649.14</v>
      </c>
      <c r="J38" s="6">
        <f>ROUND(D38*G38,2)</f>
        <v>8367.18</v>
      </c>
      <c r="M38" s="6"/>
    </row>
    <row r="39" spans="1:13" ht="13.8">
      <c r="A39" s="3">
        <f t="shared" si="0"/>
        <v>28</v>
      </c>
      <c r="C39" s="25" t="s">
        <v>101</v>
      </c>
      <c r="D39" s="23">
        <f>SUM(D13:D38)</f>
        <v>1236731.1954112095</v>
      </c>
      <c r="I39" s="23">
        <f>SUM(I13:I38)</f>
        <v>692569.83</v>
      </c>
      <c r="J39" s="23">
        <f>SUM(J13:J38)</f>
        <v>544160.94000000006</v>
      </c>
      <c r="M39" s="7">
        <f>+D39-I39-J39</f>
        <v>0.42541120946407318</v>
      </c>
    </row>
    <row r="40" spans="1:13" ht="12.75" customHeight="1">
      <c r="A40" s="3">
        <f t="shared" si="0"/>
        <v>29</v>
      </c>
      <c r="D40" s="6"/>
      <c r="M40" s="6"/>
    </row>
    <row r="41" spans="1:13" ht="12.75" customHeight="1">
      <c r="A41" s="3">
        <f t="shared" si="0"/>
        <v>30</v>
      </c>
      <c r="B41" s="3">
        <v>403</v>
      </c>
      <c r="C41" s="24" t="s">
        <v>102</v>
      </c>
      <c r="D41" s="6">
        <f>+'Schedule No. 3 B Wastewater'!D38</f>
        <v>232177.13100325567</v>
      </c>
      <c r="F41" s="29">
        <v>0.56000000000000005</v>
      </c>
      <c r="G41" s="29">
        <f>1-F41</f>
        <v>0.43999999999999995</v>
      </c>
      <c r="I41" s="6">
        <f>ROUND(D41*F41,0)</f>
        <v>130019</v>
      </c>
      <c r="J41" s="6">
        <f>ROUND(D41*G41,0)</f>
        <v>102158</v>
      </c>
      <c r="M41" s="6"/>
    </row>
    <row r="42" spans="1:13" ht="13.8">
      <c r="A42" s="3">
        <f t="shared" si="0"/>
        <v>31</v>
      </c>
      <c r="D42" s="6"/>
      <c r="F42" s="29"/>
      <c r="G42" s="29"/>
      <c r="M42" s="6"/>
    </row>
    <row r="43" spans="1:13" ht="15" customHeight="1">
      <c r="A43" s="3">
        <f t="shared" si="0"/>
        <v>32</v>
      </c>
      <c r="B43" s="3">
        <v>407</v>
      </c>
      <c r="C43" s="21" t="s">
        <v>104</v>
      </c>
      <c r="D43" s="6">
        <f>+'Schedule No. 3 B Wastewater'!D39</f>
        <v>13050</v>
      </c>
      <c r="F43" s="29">
        <v>0.56000000000000005</v>
      </c>
      <c r="G43" s="29">
        <f>1-F43</f>
        <v>0.43999999999999995</v>
      </c>
      <c r="I43" s="6">
        <f>ROUND(D43*F43,0)</f>
        <v>7308</v>
      </c>
      <c r="J43" s="6">
        <f>ROUND(D43*G43,0)</f>
        <v>5742</v>
      </c>
      <c r="M43" s="6"/>
    </row>
    <row r="44" spans="1:13" ht="13.8">
      <c r="A44" s="3">
        <f t="shared" si="0"/>
        <v>33</v>
      </c>
      <c r="D44" s="6"/>
      <c r="F44" s="29"/>
      <c r="G44" s="29"/>
      <c r="M44" s="6"/>
    </row>
    <row r="45" spans="1:13" ht="13.8">
      <c r="A45" s="3">
        <f t="shared" si="0"/>
        <v>34</v>
      </c>
      <c r="B45" s="3">
        <v>407</v>
      </c>
      <c r="C45" s="21" t="s">
        <v>556</v>
      </c>
      <c r="D45" s="6">
        <f>+'Schedule No. 3 B Wastewater'!D40</f>
        <v>4166.666666666667</v>
      </c>
      <c r="F45" s="29">
        <v>0.56000000000000005</v>
      </c>
      <c r="G45" s="29">
        <f>1-F45</f>
        <v>0.43999999999999995</v>
      </c>
      <c r="I45" s="6">
        <f>ROUND(D45*F45,0)</f>
        <v>2333</v>
      </c>
      <c r="J45" s="6">
        <f>ROUND(D45*G45,0)</f>
        <v>1833</v>
      </c>
      <c r="M45" s="6"/>
    </row>
    <row r="46" spans="1:13" ht="13.8">
      <c r="A46" s="3">
        <f t="shared" si="0"/>
        <v>35</v>
      </c>
      <c r="D46" s="6"/>
      <c r="F46" s="29"/>
      <c r="G46" s="29"/>
      <c r="M46" s="6"/>
    </row>
    <row r="47" spans="1:13" ht="13.8">
      <c r="A47" s="3">
        <f t="shared" si="0"/>
        <v>36</v>
      </c>
      <c r="B47" s="3">
        <v>408</v>
      </c>
      <c r="C47" s="21" t="s">
        <v>201</v>
      </c>
      <c r="D47" s="6">
        <f>+'Schedule No. 3 B Wastewater'!D41</f>
        <v>333110.21823910432</v>
      </c>
      <c r="F47" s="29">
        <v>0.56000000000000005</v>
      </c>
      <c r="G47" s="29">
        <f>1-F47</f>
        <v>0.43999999999999995</v>
      </c>
      <c r="I47" s="6">
        <f>ROUND(D47*F47,0)</f>
        <v>186542</v>
      </c>
      <c r="J47" s="6">
        <f>ROUND(D47*G47,0)</f>
        <v>146568</v>
      </c>
      <c r="M47" s="6"/>
    </row>
    <row r="48" spans="1:13" ht="13.8">
      <c r="A48" s="3">
        <f t="shared" si="0"/>
        <v>37</v>
      </c>
      <c r="C48" s="21"/>
      <c r="D48" s="6"/>
      <c r="F48" s="29"/>
      <c r="G48" s="29"/>
      <c r="I48" s="6"/>
      <c r="J48" s="6"/>
      <c r="M48" s="6"/>
    </row>
    <row r="49" spans="1:13" ht="13.8">
      <c r="A49" s="3">
        <f t="shared" si="0"/>
        <v>38</v>
      </c>
      <c r="C49" s="21" t="s">
        <v>396</v>
      </c>
      <c r="D49" s="6">
        <f>+'Sewer Rev Requirements '!C48</f>
        <v>81844.413199999995</v>
      </c>
      <c r="F49" s="29">
        <v>0.56000000000000005</v>
      </c>
      <c r="G49" s="29">
        <f>1-F49</f>
        <v>0.43999999999999995</v>
      </c>
      <c r="I49" s="6">
        <f>ROUND(D49*F49,0)</f>
        <v>45833</v>
      </c>
      <c r="J49" s="6">
        <f>ROUND(D49*G49,0)</f>
        <v>36012</v>
      </c>
      <c r="M49" s="6"/>
    </row>
    <row r="50" spans="1:13" ht="13.8">
      <c r="A50" s="3">
        <f t="shared" si="0"/>
        <v>39</v>
      </c>
      <c r="C50" s="21"/>
      <c r="D50" s="6"/>
      <c r="F50" s="29"/>
      <c r="G50" s="29"/>
      <c r="I50" s="6"/>
      <c r="J50" s="6"/>
      <c r="M50" s="6"/>
    </row>
    <row r="51" spans="1:13" ht="13.8">
      <c r="A51" s="3">
        <f t="shared" si="0"/>
        <v>40</v>
      </c>
      <c r="C51" s="24" t="s">
        <v>110</v>
      </c>
      <c r="D51" s="26">
        <f>IF(+'Schedule 7  NOI'!G21&lt;0,0,+'Schedule 7  NOI'!G21)</f>
        <v>241076.92509999988</v>
      </c>
      <c r="F51" s="29">
        <v>0.56000000000000005</v>
      </c>
      <c r="G51" s="29">
        <f>1-F51</f>
        <v>0.43999999999999995</v>
      </c>
      <c r="I51" s="26">
        <f>ROUND(D51*F51,0)</f>
        <v>135003</v>
      </c>
      <c r="J51" s="26">
        <f>ROUND(D51*G51,0)</f>
        <v>106074</v>
      </c>
      <c r="M51" s="6"/>
    </row>
    <row r="52" spans="1:13" ht="13.8">
      <c r="A52" s="3">
        <f t="shared" si="0"/>
        <v>41</v>
      </c>
      <c r="D52" s="6"/>
      <c r="I52" s="6"/>
      <c r="J52" s="6"/>
      <c r="M52" s="6"/>
    </row>
    <row r="53" spans="1:13" ht="13.8">
      <c r="A53" s="3">
        <f t="shared" si="0"/>
        <v>42</v>
      </c>
      <c r="C53" s="24" t="s">
        <v>320</v>
      </c>
      <c r="D53" s="26">
        <f>-'Factored ERC'!W15*'Schedule No. 6 Misc Svc Chrg'!C33</f>
        <v>-127.50</v>
      </c>
      <c r="F53" s="29">
        <v>1</v>
      </c>
      <c r="G53" s="29"/>
      <c r="I53" s="26">
        <f>ROUND(D53*F53,0)</f>
        <v>-128</v>
      </c>
      <c r="J53" s="26">
        <f>ROUND(D53*G53,0)</f>
        <v>0</v>
      </c>
      <c r="M53" s="6"/>
    </row>
    <row r="54" spans="1:16" ht="13.8">
      <c r="A54" s="3">
        <f t="shared" si="0"/>
        <v>43</v>
      </c>
      <c r="D54" s="6"/>
      <c r="I54" s="6"/>
      <c r="J54" s="6"/>
      <c r="M54" s="6"/>
      <c r="P54" s="6">
        <f>+'Sewer Rev Requirements '!C35</f>
        <v>2142156.5496202363</v>
      </c>
    </row>
    <row r="55" spans="1:17" ht="14.4" thickBot="1">
      <c r="A55" s="3">
        <f t="shared" si="0"/>
        <v>44</v>
      </c>
      <c r="C55" s="25" t="s">
        <v>107</v>
      </c>
      <c r="D55" s="27">
        <f>SUM(D39:D53)</f>
        <v>2142029.0496202363</v>
      </c>
      <c r="I55" s="27">
        <f>SUM(I39:I53)</f>
        <v>1199479.83</v>
      </c>
      <c r="J55" s="27">
        <f>SUM(J39:J53)</f>
        <v>942547.94000000006</v>
      </c>
      <c r="M55" s="7"/>
      <c r="O55" s="7"/>
      <c r="P55" s="7">
        <f>+P54-D55</f>
        <v>127.50</v>
      </c>
      <c r="Q55" s="7"/>
    </row>
    <row r="56" ht="14.4" thickTop="1">
      <c r="A56" s="3">
        <f t="shared" si="0"/>
        <v>45</v>
      </c>
    </row>
    <row r="57" spans="1:9" ht="13.8">
      <c r="A57" s="3">
        <f t="shared" si="0"/>
        <v>46</v>
      </c>
      <c r="C57" s="2" t="s">
        <v>317</v>
      </c>
      <c r="I57" s="10">
        <f>+G76*12</f>
        <v>11980.80</v>
      </c>
    </row>
    <row r="58" spans="1:10" ht="13.8">
      <c r="A58" s="3">
        <f t="shared" si="0"/>
        <v>47</v>
      </c>
      <c r="C58" s="2" t="s">
        <v>319</v>
      </c>
      <c r="J58" s="10">
        <f>+D81</f>
        <v>29517.696000000004</v>
      </c>
    </row>
    <row r="59" ht="13.8">
      <c r="A59" s="3">
        <f t="shared" si="0"/>
        <v>48</v>
      </c>
    </row>
    <row r="60" spans="1:15" ht="14.4" thickBot="1">
      <c r="A60" s="3">
        <f t="shared" si="0"/>
        <v>49</v>
      </c>
      <c r="C60" s="24" t="s">
        <v>103</v>
      </c>
      <c r="D60" s="24"/>
      <c r="E60" s="24"/>
      <c r="F60" s="24"/>
      <c r="G60" s="24"/>
      <c r="H60" s="24"/>
      <c r="I60" s="150">
        <f>ROUND(+I55/I57,4)</f>
        <v>100.1168</v>
      </c>
      <c r="O60" s="7"/>
    </row>
    <row r="61" ht="14.4" thickTop="1">
      <c r="A61" s="3">
        <f t="shared" si="0"/>
        <v>50</v>
      </c>
    </row>
    <row r="62" spans="1:14" ht="14.4" thickBot="1">
      <c r="A62" s="3">
        <f t="shared" si="0"/>
        <v>51</v>
      </c>
      <c r="C62" s="24" t="s">
        <v>362</v>
      </c>
      <c r="D62" s="31"/>
      <c r="E62" s="31"/>
      <c r="F62" s="31"/>
      <c r="J62" s="150">
        <f>+F86</f>
        <v>31.9316</v>
      </c>
      <c r="M62" s="10">
        <f>+D81</f>
        <v>29517.696000000004</v>
      </c>
      <c r="N62" s="327">
        <f>+J62*M62</f>
        <v>942547.26159360015</v>
      </c>
    </row>
    <row r="63" spans="1:14" ht="15" thickTop="1" thickBot="1">
      <c r="A63" s="3">
        <f t="shared" si="0"/>
        <v>52</v>
      </c>
      <c r="C63" s="24" t="s">
        <v>363</v>
      </c>
      <c r="D63" s="31"/>
      <c r="E63" s="31"/>
      <c r="F63" s="31"/>
      <c r="J63" s="326">
        <f>+F87</f>
        <v>38.317900000000002</v>
      </c>
      <c r="M63" s="328">
        <f>+D80</f>
        <v>0</v>
      </c>
      <c r="N63" s="327">
        <f>+J63*M63</f>
        <v>0</v>
      </c>
    </row>
    <row r="64" spans="1:14" ht="16.2" thickTop="1">
      <c r="A64" s="3">
        <f t="shared" si="0"/>
        <v>53</v>
      </c>
      <c r="C64" s="24"/>
      <c r="D64" s="31"/>
      <c r="E64" s="31"/>
      <c r="F64" s="31"/>
      <c r="J64" s="445"/>
      <c r="M64" s="10"/>
      <c r="N64" s="377"/>
    </row>
    <row r="65" spans="1:14" ht="13.8">
      <c r="A65" s="3">
        <f t="shared" si="0"/>
        <v>54</v>
      </c>
      <c r="C65" s="24"/>
      <c r="D65" s="31"/>
      <c r="E65" s="31"/>
      <c r="F65" s="31"/>
      <c r="J65" s="35"/>
      <c r="N65" s="80">
        <f>SUM(N62:N64)</f>
        <v>942547.26159360015</v>
      </c>
    </row>
    <row r="66" spans="1:10" ht="13.8">
      <c r="A66" s="3">
        <f t="shared" si="0"/>
        <v>55</v>
      </c>
      <c r="C66" s="149" t="s">
        <v>318</v>
      </c>
      <c r="F66" s="644">
        <v>0.80</v>
      </c>
      <c r="G66" s="644"/>
      <c r="H66" s="24"/>
      <c r="I66" s="644">
        <v>1</v>
      </c>
      <c r="J66" s="644"/>
    </row>
    <row r="67" spans="1:14" ht="13.8">
      <c r="A67" s="3">
        <f t="shared" si="0"/>
        <v>56</v>
      </c>
      <c r="E67" s="30"/>
      <c r="F67" s="83" t="s">
        <v>105</v>
      </c>
      <c r="G67" s="83" t="s">
        <v>106</v>
      </c>
      <c r="H67" s="3"/>
      <c r="I67" s="83" t="s">
        <v>105</v>
      </c>
      <c r="J67" s="83" t="s">
        <v>106</v>
      </c>
      <c r="N67" s="376">
        <f>+N65-J55</f>
        <v>-0.67840639990754426</v>
      </c>
    </row>
    <row r="68" spans="1:10" ht="13.8">
      <c r="A68" s="3">
        <f t="shared" si="0"/>
        <v>57</v>
      </c>
      <c r="C68" s="146" t="s">
        <v>341</v>
      </c>
      <c r="D68" s="30">
        <v>1</v>
      </c>
      <c r="F68" s="31">
        <f>+I68*0.8</f>
        <v>998.40000000000009</v>
      </c>
      <c r="G68" s="31">
        <f t="shared" si="11" ref="G68:G74">+J68*0.8</f>
        <v>998.40000000000009</v>
      </c>
      <c r="I68" s="31">
        <f>+'Factored ERC'!AX16</f>
        <v>1248</v>
      </c>
      <c r="J68" s="31">
        <f>+'Factored ERC'!AY16</f>
        <v>1248</v>
      </c>
    </row>
    <row r="69" spans="1:10" ht="13.8">
      <c r="A69" s="3">
        <f t="shared" si="0"/>
        <v>58</v>
      </c>
      <c r="C69" s="146" t="s">
        <v>342</v>
      </c>
      <c r="D69" s="30">
        <v>1</v>
      </c>
      <c r="F69" s="31">
        <f>+I69*0.8</f>
        <v>0</v>
      </c>
      <c r="G69" s="31">
        <f t="shared" si="12" ref="G69">+J69*0.8</f>
        <v>0</v>
      </c>
      <c r="I69" s="31">
        <f>+'Factored ERC'!BG8</f>
        <v>0</v>
      </c>
      <c r="J69" s="31">
        <f>+'Factored ERC'!BH8</f>
        <v>0</v>
      </c>
    </row>
    <row r="70" spans="1:10" ht="13.8">
      <c r="A70" s="3">
        <f t="shared" si="0"/>
        <v>59</v>
      </c>
      <c r="C70" s="146" t="s">
        <v>111</v>
      </c>
      <c r="D70" s="2">
        <v>1.50</v>
      </c>
      <c r="F70" s="31">
        <f t="shared" si="13" ref="F70:F74">+I70*0.8</f>
        <v>0</v>
      </c>
      <c r="G70" s="31">
        <f t="shared" si="11"/>
        <v>0</v>
      </c>
      <c r="I70" s="31">
        <f>+'Factored ERC'!BG9</f>
        <v>0</v>
      </c>
      <c r="J70" s="31">
        <f>+'Factored ERC'!BH9</f>
        <v>0</v>
      </c>
    </row>
    <row r="71" spans="1:10" ht="13.8">
      <c r="A71" s="3">
        <f t="shared" si="0"/>
        <v>60</v>
      </c>
      <c r="C71" s="146" t="s">
        <v>112</v>
      </c>
      <c r="D71" s="30">
        <v>2.50</v>
      </c>
      <c r="F71" s="31">
        <f t="shared" si="13"/>
        <v>0</v>
      </c>
      <c r="G71" s="31">
        <f t="shared" si="11"/>
        <v>0</v>
      </c>
      <c r="I71" s="31">
        <f>+'Factored ERC'!BG10</f>
        <v>0</v>
      </c>
      <c r="J71" s="31">
        <f>+'Factored ERC'!BH10</f>
        <v>0</v>
      </c>
    </row>
    <row r="72" spans="1:10" ht="13.8">
      <c r="A72" s="3">
        <f t="shared" si="0"/>
        <v>61</v>
      </c>
      <c r="C72" s="146" t="s">
        <v>349</v>
      </c>
      <c r="D72" s="30">
        <v>5</v>
      </c>
      <c r="F72" s="31">
        <f t="shared" si="13"/>
        <v>0</v>
      </c>
      <c r="G72" s="31">
        <f t="shared" si="11"/>
        <v>0</v>
      </c>
      <c r="I72" s="31">
        <f>+'Factored ERC'!BG11</f>
        <v>0</v>
      </c>
      <c r="J72" s="31">
        <f>+'Factored ERC'!BH11</f>
        <v>0</v>
      </c>
    </row>
    <row r="73" spans="1:10" ht="13.8">
      <c r="A73" s="3">
        <f t="shared" si="0"/>
        <v>62</v>
      </c>
      <c r="C73" s="147" t="s">
        <v>350</v>
      </c>
      <c r="D73" s="30">
        <v>8</v>
      </c>
      <c r="F73" s="31">
        <f t="shared" si="13"/>
        <v>0</v>
      </c>
      <c r="G73" s="31">
        <f t="shared" si="11"/>
        <v>0</v>
      </c>
      <c r="I73" s="31">
        <f>+'Factored ERC'!BG12</f>
        <v>0</v>
      </c>
      <c r="J73" s="31">
        <f>+'Factored ERC'!BH12</f>
        <v>0</v>
      </c>
    </row>
    <row r="74" spans="1:10" ht="13.8">
      <c r="A74" s="3">
        <f t="shared" si="0"/>
        <v>63</v>
      </c>
      <c r="C74" s="146" t="s">
        <v>351</v>
      </c>
      <c r="D74" s="30">
        <v>17.50</v>
      </c>
      <c r="F74" s="31">
        <f t="shared" si="13"/>
        <v>0</v>
      </c>
      <c r="G74" s="31">
        <f t="shared" si="11"/>
        <v>0</v>
      </c>
      <c r="I74" s="31">
        <f>+'Factored ERC'!BG13</f>
        <v>0</v>
      </c>
      <c r="J74" s="31">
        <f>+'Factored ERC'!BH13</f>
        <v>0</v>
      </c>
    </row>
    <row r="75" spans="1:10" ht="13.8">
      <c r="A75" s="3">
        <f t="shared" si="0"/>
        <v>64</v>
      </c>
      <c r="D75" s="1"/>
      <c r="E75" s="30"/>
      <c r="F75" s="31"/>
      <c r="G75" s="31"/>
      <c r="I75" s="31"/>
      <c r="J75" s="31"/>
    </row>
    <row r="76" spans="1:10" ht="13.8">
      <c r="A76" s="3">
        <f t="shared" si="0"/>
        <v>65</v>
      </c>
      <c r="E76" s="30"/>
      <c r="F76" s="32">
        <f>SUM(F68:F75)</f>
        <v>998.40000000000009</v>
      </c>
      <c r="G76" s="32">
        <f>SUM(G68:G75)</f>
        <v>998.40000000000009</v>
      </c>
      <c r="I76" s="32">
        <f>SUM(I68:I75)</f>
        <v>1248</v>
      </c>
      <c r="J76" s="32">
        <f>SUM(J68:J75)</f>
        <v>1248</v>
      </c>
    </row>
    <row r="77" spans="1:9" ht="13.8">
      <c r="A77" s="3">
        <f t="shared" si="0"/>
        <v>66</v>
      </c>
      <c r="D77" s="31"/>
      <c r="I77" s="31"/>
    </row>
    <row r="78" spans="1:16" ht="13.8">
      <c r="A78" s="3">
        <f t="shared" si="0"/>
        <v>67</v>
      </c>
      <c r="C78" s="145" t="s">
        <v>314</v>
      </c>
      <c r="D78" s="555" t="s">
        <v>617</v>
      </c>
      <c r="E78" s="145"/>
      <c r="F78" s="160" t="s">
        <v>358</v>
      </c>
      <c r="I78" s="160" t="s">
        <v>203</v>
      </c>
      <c r="J78" s="553"/>
      <c r="P78" s="33"/>
    </row>
    <row r="79" spans="1:16" ht="13.95" customHeight="1">
      <c r="A79" s="3">
        <f t="shared" si="0"/>
        <v>68</v>
      </c>
      <c r="C79" s="2" t="s">
        <v>534</v>
      </c>
      <c r="D79" s="10">
        <f>+(I79)*0.9</f>
        <v>29517.696000000004</v>
      </c>
      <c r="F79" s="10">
        <f>+D79*0.8</f>
        <v>23614.156800000004</v>
      </c>
      <c r="I79" s="10">
        <f>+(G68*(90)*365)/1000</f>
        <v>32797.44</v>
      </c>
      <c r="J79" s="554"/>
      <c r="P79" s="33"/>
    </row>
    <row r="80" spans="1:16" ht="13.8">
      <c r="A80" s="3">
        <f>+A79+1</f>
        <v>69</v>
      </c>
      <c r="C80" s="2" t="s">
        <v>108</v>
      </c>
      <c r="D80" s="10">
        <f>+I80</f>
        <v>0</v>
      </c>
      <c r="F80" s="328">
        <f>+D80*0.96</f>
        <v>0</v>
      </c>
      <c r="I80" s="10">
        <f>+((G76-G68)*216*365)/1000</f>
        <v>0</v>
      </c>
      <c r="J80" s="554"/>
      <c r="P80" s="33"/>
    </row>
    <row r="81" spans="1:16" ht="14.4" thickBot="1">
      <c r="A81" s="3">
        <f>+A80+1</f>
        <v>70</v>
      </c>
      <c r="D81" s="34">
        <f>SUM(D79:D80)</f>
        <v>29517.696000000004</v>
      </c>
      <c r="F81" s="34">
        <f>SUM(F79:F80)</f>
        <v>23614.156800000004</v>
      </c>
      <c r="G81" s="10"/>
      <c r="I81" s="34">
        <f>SUM(I79:I80)</f>
        <v>32797.44</v>
      </c>
      <c r="J81" s="554"/>
      <c r="P81" s="33"/>
    </row>
    <row r="82" spans="1:9" ht="14.4" thickTop="1">
      <c r="A82" s="3"/>
      <c r="D82" s="10"/>
      <c r="F82" s="10"/>
      <c r="G82" s="10"/>
      <c r="I82" s="31"/>
    </row>
    <row r="83" spans="1:9" ht="13.8">
      <c r="A83" s="39" t="s">
        <v>625</v>
      </c>
      <c r="D83" s="10"/>
      <c r="F83" s="7"/>
      <c r="G83" s="10"/>
      <c r="I83" s="31"/>
    </row>
    <row r="84" spans="1:9" ht="13.8">
      <c r="A84" s="3"/>
      <c r="D84" s="10"/>
      <c r="F84" s="10"/>
      <c r="G84" s="10"/>
      <c r="I84" s="31"/>
    </row>
    <row r="85" spans="1:10" ht="13.8">
      <c r="A85" s="3"/>
      <c r="C85" s="2" t="s">
        <v>359</v>
      </c>
      <c r="D85" s="10"/>
      <c r="F85" s="159">
        <f>((+J55)/F81)</f>
        <v>39.914528728800512</v>
      </c>
      <c r="J85" s="159"/>
    </row>
    <row r="86" spans="3:10" ht="13.8">
      <c r="C86" s="2" t="s">
        <v>360</v>
      </c>
      <c r="D86" s="10"/>
      <c r="F86" s="159">
        <f>ROUND(F85*0.8,4)</f>
        <v>31.9316</v>
      </c>
      <c r="J86" s="159"/>
    </row>
    <row r="87" spans="3:10" ht="13.8">
      <c r="C87" s="2" t="s">
        <v>361</v>
      </c>
      <c r="D87" s="10"/>
      <c r="F87" s="159">
        <f>ROUND(F85*0.96,4)</f>
        <v>38.317900000000002</v>
      </c>
      <c r="J87" s="159"/>
    </row>
    <row r="89" spans="3:4" ht="13.8">
      <c r="C89" s="2" t="s">
        <v>315</v>
      </c>
      <c r="D89" s="10">
        <f>+I81*1000/365</f>
        <v>89856.000000000015</v>
      </c>
    </row>
    <row r="103" ht="13.8">
      <c r="J103" s="2" t="s">
        <v>544</v>
      </c>
    </row>
    <row r="104" spans="9:13" ht="13.8">
      <c r="I104" s="148">
        <v>2023</v>
      </c>
      <c r="J104" s="148">
        <v>2033</v>
      </c>
      <c r="M104" s="2" t="s">
        <v>545</v>
      </c>
    </row>
    <row r="105" spans="4:21" ht="13.8">
      <c r="D105" s="11"/>
      <c r="G105" s="464" t="s">
        <v>82</v>
      </c>
      <c r="I105" s="8">
        <f>52000+41600+41600</f>
        <v>135200</v>
      </c>
      <c r="J105" s="6">
        <f t="shared" si="14" ref="J105:J118">+I105*1.02^10</f>
        <v>164808.04558329115</v>
      </c>
      <c r="K105" s="6"/>
      <c r="L105" s="6"/>
      <c r="M105" s="6">
        <f>+J105*0.0765</f>
        <v>12607.815487121774</v>
      </c>
      <c r="N105" s="56">
        <v>0.076499999999999999</v>
      </c>
      <c r="O105" s="6"/>
      <c r="P105" s="6"/>
      <c r="Q105" s="6"/>
      <c r="R105" s="6"/>
      <c r="S105" s="6"/>
      <c r="T105" s="6"/>
      <c r="U105" s="6"/>
    </row>
    <row r="106" spans="4:21" ht="13.8">
      <c r="D106" s="8"/>
      <c r="G106" s="464" t="s">
        <v>81</v>
      </c>
      <c r="I106" s="8">
        <v>70000</v>
      </c>
      <c r="J106" s="6">
        <f t="shared" si="14"/>
        <v>85329.609399633002</v>
      </c>
      <c r="K106" s="6"/>
      <c r="L106" s="6"/>
      <c r="M106" s="6">
        <f>+J106*0.0765</f>
        <v>6527.7151190719242</v>
      </c>
      <c r="N106" s="56">
        <v>0.076499999999999999</v>
      </c>
      <c r="O106" s="6"/>
      <c r="P106" s="6"/>
      <c r="Q106" s="6"/>
      <c r="R106" s="6"/>
      <c r="S106" s="6"/>
      <c r="T106" s="6"/>
      <c r="U106" s="6"/>
    </row>
    <row r="107" spans="4:21" ht="14.4" thickBot="1">
      <c r="D107" s="8"/>
      <c r="G107" s="464" t="s">
        <v>554</v>
      </c>
      <c r="I107" s="6">
        <f>+Q130</f>
        <v>70726.153846153844</v>
      </c>
      <c r="J107" s="6">
        <f t="shared" si="14"/>
        <v>86214.786886152258</v>
      </c>
      <c r="K107" s="6"/>
      <c r="L107" s="6"/>
      <c r="M107" s="468">
        <f>SUM(M105:M106)</f>
        <v>19135.530606193697</v>
      </c>
      <c r="N107" s="6"/>
      <c r="O107" s="6"/>
      <c r="P107" s="6"/>
      <c r="Q107" s="6"/>
      <c r="R107" s="6"/>
      <c r="S107" s="6"/>
      <c r="T107" s="6"/>
      <c r="U107" s="6"/>
    </row>
    <row r="108" spans="4:21" ht="13.8">
      <c r="D108" s="8"/>
      <c r="G108" s="464" t="s">
        <v>451</v>
      </c>
      <c r="I108" s="180">
        <f>+I127+I128</f>
        <v>430423.61971200001</v>
      </c>
      <c r="J108" s="6">
        <f t="shared" si="14"/>
        <v>524683.99066287337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4:21" ht="13.8">
      <c r="D109" s="181"/>
      <c r="G109" s="464" t="s">
        <v>92</v>
      </c>
      <c r="I109" s="115">
        <f>114000+60200</f>
        <v>174200</v>
      </c>
      <c r="J109" s="6">
        <f t="shared" si="14"/>
        <v>212348.82796308669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4:21" ht="13.8">
      <c r="D110" s="181"/>
      <c r="G110" s="465" t="s">
        <v>4</v>
      </c>
      <c r="I110" s="115">
        <v>15000</v>
      </c>
      <c r="J110" s="6">
        <f t="shared" si="14"/>
        <v>18284.916299921355</v>
      </c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4:21" ht="13.8">
      <c r="D111" s="8"/>
      <c r="G111" s="465" t="s">
        <v>85</v>
      </c>
      <c r="H111" s="466"/>
      <c r="I111" s="467">
        <v>12000</v>
      </c>
      <c r="J111" s="6">
        <f t="shared" si="14"/>
        <v>14627.933039937085</v>
      </c>
      <c r="K111" s="6"/>
      <c r="L111" s="6"/>
      <c r="M111" s="6"/>
      <c r="N111" s="6"/>
      <c r="O111" s="6"/>
      <c r="P111" s="6"/>
      <c r="Q111" s="6"/>
      <c r="R111" s="6"/>
      <c r="T111" s="6"/>
      <c r="U111" s="6"/>
    </row>
    <row r="112" spans="4:21" ht="13.8">
      <c r="D112" s="8"/>
      <c r="G112" s="464" t="s">
        <v>531</v>
      </c>
      <c r="I112" s="115">
        <f>+O121</f>
        <v>23952</v>
      </c>
      <c r="J112" s="6">
        <f t="shared" si="14"/>
        <v>29197.354347714423</v>
      </c>
      <c r="K112" s="6"/>
      <c r="L112" s="6"/>
      <c r="M112" s="6"/>
      <c r="N112" s="6"/>
      <c r="O112" s="6"/>
      <c r="P112" s="478" t="s">
        <v>551</v>
      </c>
      <c r="Q112" s="6"/>
      <c r="R112" s="6"/>
      <c r="T112" s="6"/>
      <c r="U112" s="6"/>
    </row>
    <row r="113" spans="4:21" ht="15.6">
      <c r="D113" s="8"/>
      <c r="G113" s="465" t="s">
        <v>88</v>
      </c>
      <c r="I113" s="115">
        <f>7200+4200</f>
        <v>11400</v>
      </c>
      <c r="J113" s="6">
        <f t="shared" si="14"/>
        <v>13896.53638794023</v>
      </c>
      <c r="K113" s="6"/>
      <c r="L113" s="6"/>
      <c r="M113" s="481" t="s">
        <v>432</v>
      </c>
      <c r="N113" s="482"/>
      <c r="O113" s="6"/>
      <c r="P113" s="478" t="s">
        <v>552</v>
      </c>
      <c r="Q113" s="6"/>
      <c r="R113" s="6"/>
      <c r="T113" s="6"/>
      <c r="U113" s="6"/>
    </row>
    <row r="114" spans="7:23" ht="13.8">
      <c r="G114" s="464" t="s">
        <v>84</v>
      </c>
      <c r="I114" s="115">
        <f>3600+12000</f>
        <v>15600</v>
      </c>
      <c r="J114" s="6">
        <f t="shared" si="14"/>
        <v>19016.312951918211</v>
      </c>
      <c r="K114" s="6"/>
      <c r="L114" s="6"/>
      <c r="M114" s="476" t="s">
        <v>546</v>
      </c>
      <c r="O114" s="148">
        <v>2023</v>
      </c>
      <c r="P114" s="479">
        <v>100</v>
      </c>
      <c r="Q114" s="148">
        <v>2023</v>
      </c>
      <c r="U114" s="6"/>
      <c r="V114" s="6"/>
      <c r="W114" s="117"/>
    </row>
    <row r="115" spans="7:21" ht="13.8">
      <c r="G115" s="465" t="s">
        <v>430</v>
      </c>
      <c r="I115" s="115">
        <f>4800+1200</f>
        <v>6000</v>
      </c>
      <c r="J115" s="6">
        <f t="shared" si="14"/>
        <v>7313.9665199685423</v>
      </c>
      <c r="K115" s="6"/>
      <c r="L115" s="6"/>
      <c r="M115" s="475" t="s">
        <v>549</v>
      </c>
      <c r="O115" s="6">
        <v>70000</v>
      </c>
      <c r="P115" s="3">
        <v>0.26</v>
      </c>
      <c r="Q115" s="6">
        <f>+(O115/100)*P115</f>
        <v>182</v>
      </c>
      <c r="R115" s="6"/>
      <c r="T115" s="6"/>
      <c r="U115" s="6"/>
    </row>
    <row r="116" spans="7:21" ht="13.8">
      <c r="G116" s="465" t="s">
        <v>431</v>
      </c>
      <c r="I116" s="115">
        <v>16000</v>
      </c>
      <c r="J116" s="6">
        <f t="shared" si="14"/>
        <v>19503.910719916115</v>
      </c>
      <c r="K116" s="6"/>
      <c r="L116" s="6"/>
      <c r="M116" s="22" t="s">
        <v>550</v>
      </c>
      <c r="O116" s="6">
        <v>52000</v>
      </c>
      <c r="P116" s="487">
        <v>19.40</v>
      </c>
      <c r="Q116" s="6">
        <f t="shared" si="15" ref="Q116:Q118">+(O116/100)*P116</f>
        <v>10088</v>
      </c>
      <c r="R116" s="6"/>
      <c r="U116" s="6"/>
    </row>
    <row r="117" spans="7:21" ht="13.8">
      <c r="G117" s="465" t="s">
        <v>432</v>
      </c>
      <c r="I117" s="6">
        <f>+Q119</f>
        <v>18448.56</v>
      </c>
      <c r="J117" s="6">
        <f t="shared" si="14"/>
        <v>22488.691696938477</v>
      </c>
      <c r="K117" s="6"/>
      <c r="L117" s="6"/>
      <c r="M117" s="475" t="s">
        <v>547</v>
      </c>
      <c r="N117" s="6"/>
      <c r="O117" s="6">
        <v>41600</v>
      </c>
      <c r="P117" s="3">
        <v>19.40</v>
      </c>
      <c r="Q117" s="6">
        <f t="shared" si="15"/>
        <v>8070.40</v>
      </c>
      <c r="R117" s="6"/>
      <c r="T117" s="6"/>
      <c r="U117" s="6"/>
    </row>
    <row r="118" spans="7:21" ht="13.8">
      <c r="G118" s="464" t="s">
        <v>435</v>
      </c>
      <c r="I118" s="6">
        <v>15600</v>
      </c>
      <c r="J118" s="6">
        <f t="shared" si="14"/>
        <v>19016.312951918211</v>
      </c>
      <c r="K118" s="6"/>
      <c r="L118" s="6"/>
      <c r="M118" s="475" t="s">
        <v>548</v>
      </c>
      <c r="N118" s="6"/>
      <c r="O118" s="6">
        <v>41600</v>
      </c>
      <c r="P118" s="3">
        <v>0.26</v>
      </c>
      <c r="Q118" s="6">
        <f t="shared" si="15"/>
        <v>108.16</v>
      </c>
      <c r="R118" s="6"/>
      <c r="T118" s="6"/>
      <c r="U118" s="6"/>
    </row>
    <row r="119" spans="9:18" ht="14.4" thickBot="1">
      <c r="I119" s="468">
        <f>SUM(I105:I118)</f>
        <v>1014550.3335581539</v>
      </c>
      <c r="J119" s="468">
        <f>SUM(J105:J118)</f>
        <v>1236731.1954112095</v>
      </c>
      <c r="M119" s="22"/>
      <c r="O119" s="477">
        <f>SUM(O115:O118)</f>
        <v>205200</v>
      </c>
      <c r="Q119" s="477">
        <f>SUM(Q115:Q118)</f>
        <v>18448.56</v>
      </c>
      <c r="R119" s="117">
        <f>+Q119/O119</f>
        <v>0.089905263157894738</v>
      </c>
    </row>
    <row r="121" spans="13:15" ht="27" customHeight="1">
      <c r="M121" s="645" t="s">
        <v>553</v>
      </c>
      <c r="N121" s="646"/>
      <c r="O121" s="6">
        <f>(998*2)*12</f>
        <v>23952</v>
      </c>
    </row>
    <row r="122" spans="13:15" ht="13.8" customHeight="1">
      <c r="M122" s="480"/>
      <c r="N122" s="473"/>
      <c r="O122" s="6"/>
    </row>
    <row r="123" spans="13:15" ht="13.8" customHeight="1">
      <c r="M123" s="647" t="s">
        <v>563</v>
      </c>
      <c r="N123" s="648"/>
      <c r="O123" s="6"/>
    </row>
    <row r="124" spans="13:17" ht="15.6">
      <c r="M124" s="647" t="s">
        <v>564</v>
      </c>
      <c r="N124" s="648"/>
      <c r="O124" s="6">
        <f>+I105+I106</f>
        <v>205200</v>
      </c>
      <c r="P124" s="6">
        <f>+P143</f>
        <v>60466.153846153844</v>
      </c>
      <c r="Q124" s="80"/>
    </row>
    <row r="125" spans="10:16" ht="13.8" customHeight="1">
      <c r="J125" s="6"/>
      <c r="M125" s="24" t="s">
        <v>571</v>
      </c>
      <c r="N125" s="24"/>
      <c r="P125" s="6"/>
    </row>
    <row r="126" spans="13:16" ht="13.8" customHeight="1">
      <c r="M126" s="475" t="s">
        <v>549</v>
      </c>
      <c r="O126" s="6">
        <v>70000</v>
      </c>
      <c r="P126" s="6">
        <f>+O126*0.05</f>
        <v>3500</v>
      </c>
    </row>
    <row r="127" spans="6:16" ht="13.8">
      <c r="F127" s="113" t="s">
        <v>684</v>
      </c>
      <c r="I127" s="6">
        <f>(998*12)*26.89</f>
        <v>322034.64</v>
      </c>
      <c r="J127" s="6">
        <f t="shared" si="16" ref="J127:J128">+I127*1.02^10</f>
        <v>392558.42920502042</v>
      </c>
      <c r="M127" s="22" t="s">
        <v>550</v>
      </c>
      <c r="O127" s="6">
        <v>52000</v>
      </c>
      <c r="P127" s="6">
        <f>+O127*0.05</f>
        <v>2600</v>
      </c>
    </row>
    <row r="128" spans="6:16" ht="14.4" thickBot="1">
      <c r="F128" s="2" t="s">
        <v>685</v>
      </c>
      <c r="G128" s="10">
        <f>+F79</f>
        <v>23614.156800000004</v>
      </c>
      <c r="I128" s="6">
        <f>+G128*4.59</f>
        <v>108388.97971200002</v>
      </c>
      <c r="J128" s="6">
        <f t="shared" si="16"/>
        <v>132125.56145785295</v>
      </c>
      <c r="M128" s="475" t="s">
        <v>547</v>
      </c>
      <c r="N128" s="6"/>
      <c r="O128" s="6">
        <v>41600</v>
      </c>
      <c r="P128" s="6">
        <f>+O128*0.05</f>
        <v>2080</v>
      </c>
    </row>
    <row r="129" spans="9:16" ht="14.4" thickBot="1">
      <c r="I129" s="624">
        <f>+I127+I128</f>
        <v>430423.61971200001</v>
      </c>
      <c r="J129" s="624">
        <f>+J127+J128</f>
        <v>524683.99066287337</v>
      </c>
      <c r="M129" s="475" t="s">
        <v>548</v>
      </c>
      <c r="N129" s="6"/>
      <c r="O129" s="6">
        <v>41600</v>
      </c>
      <c r="P129" s="6">
        <f>+O129*0.05</f>
        <v>2080</v>
      </c>
    </row>
    <row r="130" spans="13:17" ht="14.4" thickTop="1">
      <c r="M130" s="22"/>
      <c r="O130" s="213"/>
      <c r="P130" s="213"/>
      <c r="Q130" s="477">
        <f>SUM(P124:P129)</f>
        <v>70726.153846153844</v>
      </c>
    </row>
    <row r="131" ht="13.8">
      <c r="P131" s="153">
        <f>+Q130/(SUM(O124))</f>
        <v>0.3446693657219973</v>
      </c>
    </row>
    <row r="133" spans="13:15" ht="13.8">
      <c r="M133" s="24" t="s">
        <v>555</v>
      </c>
      <c r="O133" s="6">
        <f>25000/6</f>
        <v>4166.666666666667</v>
      </c>
    </row>
    <row r="135" spans="13:14" ht="15.6">
      <c r="M135" s="649" t="s">
        <v>565</v>
      </c>
      <c r="N135" s="648"/>
    </row>
    <row r="136" spans="15:16" ht="13.8">
      <c r="O136" s="2" t="s">
        <v>566</v>
      </c>
      <c r="P136" s="2" t="s">
        <v>562</v>
      </c>
    </row>
    <row r="137" spans="13:15" ht="13.8">
      <c r="M137" s="2" t="s">
        <v>558</v>
      </c>
      <c r="O137" s="2">
        <f>11*8</f>
        <v>88</v>
      </c>
    </row>
    <row r="138" spans="13:15" ht="13.8">
      <c r="M138" s="2" t="s">
        <v>559</v>
      </c>
      <c r="O138" s="2">
        <f>15*8</f>
        <v>120</v>
      </c>
    </row>
    <row r="139" spans="13:15" ht="13.8">
      <c r="M139" s="2" t="s">
        <v>560</v>
      </c>
      <c r="O139" s="2">
        <f>5*8</f>
        <v>40</v>
      </c>
    </row>
    <row r="140" spans="13:15" ht="13.8">
      <c r="M140" s="2" t="s">
        <v>568</v>
      </c>
      <c r="O140" s="2">
        <v>2080</v>
      </c>
    </row>
    <row r="141" spans="14:16" ht="13.8">
      <c r="N141" s="485" t="s">
        <v>569</v>
      </c>
      <c r="O141" s="153">
        <f>SUM(O137:O139)/O140</f>
        <v>0.11923076923076924</v>
      </c>
      <c r="P141" s="484">
        <f>+O141*O124</f>
        <v>24466.153846153848</v>
      </c>
    </row>
    <row r="142" spans="13:16" ht="13.8">
      <c r="M142" s="2" t="s">
        <v>561</v>
      </c>
      <c r="N142" s="146" t="s">
        <v>570</v>
      </c>
      <c r="O142" s="153">
        <f>+P142/O124</f>
        <v>0.17543859649122806</v>
      </c>
      <c r="P142" s="2">
        <f>(750*12)*4</f>
        <v>36000</v>
      </c>
    </row>
    <row r="143" spans="13:16" ht="13.8">
      <c r="M143" s="2" t="s">
        <v>567</v>
      </c>
      <c r="O143" s="153"/>
      <c r="P143" s="484">
        <f>SUM(P141:P142)</f>
        <v>60466.153846153844</v>
      </c>
    </row>
  </sheetData>
  <mergeCells count="6">
    <mergeCell ref="F66:G66"/>
    <mergeCell ref="I66:J66"/>
    <mergeCell ref="M121:N121"/>
    <mergeCell ref="M124:N124"/>
    <mergeCell ref="M135:N135"/>
    <mergeCell ref="M123:N123"/>
  </mergeCells>
  <printOptions horizontalCentered="1"/>
  <pageMargins left="0.7" right="0.7" top="0.75" bottom="0.75" header="0.3" footer="0.3"/>
  <pageSetup orientation="portrait" scale="58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</sheetPr>
  <dimension ref="A1:R43"/>
  <sheetViews>
    <sheetView workbookViewId="0" topLeftCell="A4">
      <selection pane="topLeft" activeCell="T21" sqref="T21"/>
    </sheetView>
  </sheetViews>
  <sheetFormatPr defaultColWidth="8" defaultRowHeight="14.25"/>
  <cols>
    <col min="1" max="1" width="8" style="171"/>
    <col min="2" max="2" width="1.5" style="171" customWidth="1"/>
    <col min="3" max="3" width="28" style="171" customWidth="1"/>
    <col min="4" max="4" width="1.5" style="171" customWidth="1"/>
    <col min="5" max="5" width="14" style="171" customWidth="1"/>
    <col min="6" max="6" width="1.5" style="171" customWidth="1"/>
    <col min="7" max="7" width="10.25" style="171" customWidth="1"/>
    <col min="8" max="8" width="1.5" style="171" customWidth="1"/>
    <col min="9" max="9" width="8.75" style="171" customWidth="1"/>
    <col min="10" max="10" width="1.5" style="171" customWidth="1"/>
    <col min="11" max="11" width="10.25" style="171" customWidth="1"/>
    <col min="12" max="12" width="1.75" style="171" customWidth="1"/>
    <col min="13" max="14" width="8" style="171"/>
    <col min="15" max="16" width="8" style="172"/>
    <col min="17" max="17" width="10.25" style="172" bestFit="1" customWidth="1"/>
    <col min="18" max="16384" width="8" style="172"/>
  </cols>
  <sheetData>
    <row r="1" spans="1:14" ht="14.4">
      <c r="A1" s="24"/>
      <c r="B1" s="24"/>
      <c r="C1" s="12"/>
      <c r="D1" s="12"/>
      <c r="E1" s="12"/>
      <c r="F1" s="12"/>
      <c r="G1" s="172"/>
      <c r="H1" s="170"/>
      <c r="J1" s="172"/>
      <c r="K1" s="25"/>
      <c r="L1" s="25"/>
      <c r="N1" s="172"/>
    </row>
    <row r="2" spans="1:17" ht="14.4">
      <c r="A2" s="650" t="str">
        <f>+'Schedule No. 7 WW Support'!B4</f>
        <v>Environmental Utilities, LLC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378"/>
      <c r="M2" s="379"/>
      <c r="N2" s="379"/>
      <c r="O2" s="379"/>
      <c r="P2" s="379"/>
      <c r="Q2" s="379"/>
    </row>
    <row r="3" spans="1:17" ht="14.4">
      <c r="A3" s="650" t="s">
        <v>16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378"/>
      <c r="M3" s="379"/>
      <c r="N3" s="379"/>
      <c r="O3" s="379"/>
      <c r="P3" s="379"/>
      <c r="Q3" s="379"/>
    </row>
    <row r="4" spans="1:17" ht="14.4">
      <c r="A4" s="650" t="s">
        <v>391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378"/>
      <c r="M4" s="379"/>
      <c r="N4" s="379"/>
      <c r="O4" s="379"/>
      <c r="P4" s="379"/>
      <c r="Q4" s="379"/>
    </row>
    <row r="5" spans="1:17" ht="14.4">
      <c r="A5" s="378"/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9"/>
      <c r="N5" s="379"/>
      <c r="O5" s="379"/>
      <c r="P5" s="379"/>
      <c r="Q5" s="379"/>
    </row>
    <row r="6" spans="1:17" ht="15" thickBot="1">
      <c r="A6" s="380"/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79"/>
      <c r="N6" s="379"/>
      <c r="O6" s="379"/>
      <c r="P6" s="379"/>
      <c r="Q6" s="379"/>
    </row>
    <row r="7" spans="1:17" ht="14.4">
      <c r="A7" s="381"/>
      <c r="B7" s="381"/>
      <c r="C7" s="382">
        <v>-1</v>
      </c>
      <c r="D7" s="382"/>
      <c r="E7" s="382">
        <v>-2</v>
      </c>
      <c r="F7" s="382"/>
      <c r="G7" s="382">
        <v>-3</v>
      </c>
      <c r="H7" s="382"/>
      <c r="I7" s="382">
        <v>-4</v>
      </c>
      <c r="J7" s="381"/>
      <c r="K7" s="382">
        <v>-5</v>
      </c>
      <c r="L7" s="383"/>
      <c r="M7" s="379"/>
      <c r="N7" s="379"/>
      <c r="O7" s="379"/>
      <c r="P7" s="379"/>
      <c r="Q7" s="379"/>
    </row>
    <row r="8" spans="1:17" ht="14.4">
      <c r="A8" s="380"/>
      <c r="B8" s="380"/>
      <c r="C8" s="380"/>
      <c r="D8" s="380"/>
      <c r="E8" s="384" t="s">
        <v>378</v>
      </c>
      <c r="F8" s="380"/>
      <c r="G8" s="380"/>
      <c r="H8" s="380"/>
      <c r="I8" s="380"/>
      <c r="J8" s="380"/>
      <c r="K8" s="380"/>
      <c r="L8" s="380"/>
      <c r="M8" s="83"/>
      <c r="N8" s="379"/>
      <c r="O8" s="379"/>
      <c r="P8" s="379"/>
      <c r="Q8" s="379"/>
    </row>
    <row r="9" spans="1:17" ht="14.4">
      <c r="A9" s="380"/>
      <c r="B9" s="380"/>
      <c r="C9" s="380"/>
      <c r="D9" s="380"/>
      <c r="E9" s="384" t="s">
        <v>389</v>
      </c>
      <c r="F9" s="380"/>
      <c r="G9" s="380"/>
      <c r="H9" s="380"/>
      <c r="I9" s="380"/>
      <c r="J9" s="380"/>
      <c r="K9" s="380"/>
      <c r="L9" s="380"/>
      <c r="M9" s="83"/>
      <c r="N9" s="379"/>
      <c r="O9" s="379"/>
      <c r="P9" s="379"/>
      <c r="Q9" s="379"/>
    </row>
    <row r="10" spans="1:17" ht="15" thickBot="1">
      <c r="A10" s="385" t="s">
        <v>255</v>
      </c>
      <c r="B10" s="386"/>
      <c r="C10" s="385" t="s">
        <v>379</v>
      </c>
      <c r="D10" s="386"/>
      <c r="E10" s="385" t="s">
        <v>671</v>
      </c>
      <c r="F10" s="386"/>
      <c r="G10" s="385" t="s">
        <v>380</v>
      </c>
      <c r="H10" s="386"/>
      <c r="I10" s="385" t="s">
        <v>381</v>
      </c>
      <c r="J10" s="386"/>
      <c r="K10" s="385" t="s">
        <v>382</v>
      </c>
      <c r="L10" s="387"/>
      <c r="M10" s="83"/>
      <c r="N10" s="379"/>
      <c r="O10" s="379"/>
      <c r="P10" s="379"/>
      <c r="Q10" s="379"/>
    </row>
    <row r="11" spans="1:17" ht="14.4">
      <c r="A11" s="416">
        <v>1</v>
      </c>
      <c r="B11" s="379"/>
      <c r="C11" s="379" t="s">
        <v>66</v>
      </c>
      <c r="D11" s="379"/>
      <c r="E11" s="389">
        <v>0</v>
      </c>
      <c r="F11" s="379"/>
      <c r="G11" s="390"/>
      <c r="H11" s="379"/>
      <c r="I11" s="391"/>
      <c r="J11" s="379"/>
      <c r="K11" s="391"/>
      <c r="L11" s="391"/>
      <c r="M11" s="392"/>
      <c r="N11" s="379"/>
      <c r="O11" s="379"/>
      <c r="P11" s="379"/>
      <c r="Q11" s="379"/>
    </row>
    <row r="12" spans="1:17" ht="14.4">
      <c r="A12" s="388">
        <f>+A11+1</f>
        <v>2</v>
      </c>
      <c r="B12" s="379"/>
      <c r="C12" s="379" t="s">
        <v>383</v>
      </c>
      <c r="D12" s="379"/>
      <c r="E12" s="393">
        <v>0</v>
      </c>
      <c r="F12" s="379"/>
      <c r="G12" s="390"/>
      <c r="H12" s="379"/>
      <c r="I12" s="391"/>
      <c r="J12" s="379"/>
      <c r="K12" s="391"/>
      <c r="L12" s="391"/>
      <c r="M12" s="392"/>
      <c r="N12" s="379"/>
      <c r="O12" s="379"/>
      <c r="P12" s="379"/>
      <c r="Q12" s="379"/>
    </row>
    <row r="13" spans="1:17" ht="14.4">
      <c r="A13" s="388">
        <f t="shared" si="0" ref="A13:A32">+A12+1</f>
        <v>3</v>
      </c>
      <c r="B13" s="379"/>
      <c r="C13" s="379" t="s">
        <v>384</v>
      </c>
      <c r="D13" s="379"/>
      <c r="E13" s="393">
        <v>0</v>
      </c>
      <c r="F13" s="379"/>
      <c r="G13" s="390"/>
      <c r="H13" s="379"/>
      <c r="I13" s="391"/>
      <c r="J13" s="379"/>
      <c r="K13" s="391"/>
      <c r="L13" s="391"/>
      <c r="M13" s="30"/>
      <c r="N13" s="379"/>
      <c r="O13" s="379"/>
      <c r="P13" s="379"/>
      <c r="Q13" s="379"/>
    </row>
    <row r="14" spans="1:17" ht="14.4">
      <c r="A14" s="388">
        <f t="shared" si="0"/>
        <v>4</v>
      </c>
      <c r="B14" s="379"/>
      <c r="C14" s="379" t="s">
        <v>423</v>
      </c>
      <c r="D14" s="379"/>
      <c r="E14" s="393">
        <f>+E21-E15-E18</f>
        <v>3399205.8940862669</v>
      </c>
      <c r="F14" s="379"/>
      <c r="G14" s="394">
        <f>IF(E14=0,"",+E14/E$21)</f>
        <v>0.52737368238413707</v>
      </c>
      <c r="H14" s="379"/>
      <c r="I14" s="174">
        <f>ROUND(IF(G14&lt;0.4,0.0995,0.0518+(0.0191)),4)</f>
        <v>0.070900000000000005</v>
      </c>
      <c r="J14" s="379"/>
      <c r="K14" s="391">
        <f>ROUND(G14*I14,4)</f>
        <v>0.037400000000000003</v>
      </c>
      <c r="L14" s="391"/>
      <c r="M14" s="392"/>
      <c r="N14" s="379"/>
      <c r="O14" s="379"/>
      <c r="P14" s="174">
        <f>ROUND(IF(G14&lt;0.4,0.0995,0.0518+(0.0191)),4)</f>
        <v>0.070900000000000005</v>
      </c>
      <c r="Q14" s="379">
        <v>2021</v>
      </c>
    </row>
    <row r="15" spans="1:17" ht="14.4">
      <c r="A15" s="388">
        <f t="shared" si="0"/>
        <v>5</v>
      </c>
      <c r="B15" s="379"/>
      <c r="C15" s="379" t="s">
        <v>68</v>
      </c>
      <c r="D15" s="379"/>
      <c r="E15" s="393">
        <f>+K32</f>
        <v>6120</v>
      </c>
      <c r="F15" s="379"/>
      <c r="G15" s="438">
        <f>IF(E15=0,"0%",+E15/E$21)</f>
        <v>0.00094949439273624907</v>
      </c>
      <c r="H15" s="379"/>
      <c r="I15" s="391">
        <v>0.02</v>
      </c>
      <c r="J15" s="379"/>
      <c r="K15" s="391">
        <f>ROUND(G15*I15,4)</f>
        <v>0</v>
      </c>
      <c r="L15" s="391"/>
      <c r="M15" s="392"/>
      <c r="N15" s="379"/>
      <c r="O15" s="379"/>
      <c r="P15" s="379"/>
      <c r="Q15" s="379"/>
    </row>
    <row r="16" spans="1:17" ht="14.4">
      <c r="A16" s="388">
        <f t="shared" si="0"/>
        <v>6</v>
      </c>
      <c r="B16" s="379"/>
      <c r="C16" s="379" t="s">
        <v>385</v>
      </c>
      <c r="D16" s="379"/>
      <c r="E16" s="393"/>
      <c r="F16" s="379"/>
      <c r="G16" s="391"/>
      <c r="H16" s="379"/>
      <c r="I16" s="391"/>
      <c r="J16" s="379"/>
      <c r="K16" s="391"/>
      <c r="L16" s="391"/>
      <c r="M16" s="392"/>
      <c r="N16" s="379"/>
      <c r="O16" s="379"/>
      <c r="P16" s="174">
        <f>ROUND(IF(G14&lt;0.4,0.1055,0.0605+(0.018)),4)</f>
        <v>0.0785</v>
      </c>
      <c r="Q16" s="379">
        <v>2020</v>
      </c>
    </row>
    <row r="17" spans="1:17" ht="14.4">
      <c r="A17" s="388">
        <f t="shared" si="0"/>
        <v>7</v>
      </c>
      <c r="B17" s="379"/>
      <c r="C17" s="379" t="s">
        <v>386</v>
      </c>
      <c r="D17" s="379"/>
      <c r="E17" s="393"/>
      <c r="F17" s="379"/>
      <c r="G17" s="391"/>
      <c r="H17" s="379"/>
      <c r="I17" s="391"/>
      <c r="J17" s="379"/>
      <c r="K17" s="391"/>
      <c r="L17" s="391"/>
      <c r="M17" s="30"/>
      <c r="N17" s="379"/>
      <c r="O17" s="379"/>
      <c r="P17" s="379"/>
      <c r="Q17" s="379"/>
    </row>
    <row r="18" spans="1:17" ht="14.4">
      <c r="A18" s="388">
        <f t="shared" si="0"/>
        <v>8</v>
      </c>
      <c r="B18" s="379"/>
      <c r="C18" s="379" t="s">
        <v>387</v>
      </c>
      <c r="D18" s="379"/>
      <c r="E18" s="600">
        <f>+'Sched 1 Coll _Trans Estimate'!K60</f>
        <v>3040209.8002988352</v>
      </c>
      <c r="F18" s="379"/>
      <c r="G18" s="438">
        <f>IF(E18=0,"0%",+E18/E$21)</f>
        <v>0.47167682322312671</v>
      </c>
      <c r="H18" s="379"/>
      <c r="I18" s="391"/>
      <c r="J18" s="379"/>
      <c r="K18" s="391">
        <f>ROUND(G18*I18,4)</f>
        <v>0</v>
      </c>
      <c r="L18" s="391"/>
      <c r="M18" s="392"/>
      <c r="N18" s="379"/>
      <c r="O18" s="379"/>
      <c r="P18" s="379"/>
      <c r="Q18" s="379"/>
    </row>
    <row r="19" spans="1:17" ht="14.4">
      <c r="A19" s="388">
        <f t="shared" si="0"/>
        <v>9</v>
      </c>
      <c r="B19" s="379"/>
      <c r="C19" s="379" t="s">
        <v>388</v>
      </c>
      <c r="D19" s="379"/>
      <c r="E19" s="393"/>
      <c r="F19" s="379"/>
      <c r="G19" s="391"/>
      <c r="H19" s="379"/>
      <c r="I19" s="391"/>
      <c r="J19" s="379"/>
      <c r="K19" s="391"/>
      <c r="L19" s="391"/>
      <c r="M19" s="30"/>
      <c r="N19" s="379"/>
      <c r="O19" s="379"/>
      <c r="P19" s="379"/>
      <c r="Q19" s="379"/>
    </row>
    <row r="20" spans="1:17" ht="14.4">
      <c r="A20" s="388">
        <f t="shared" si="0"/>
        <v>10</v>
      </c>
      <c r="B20" s="379"/>
      <c r="C20" s="379"/>
      <c r="D20" s="379"/>
      <c r="E20" s="395"/>
      <c r="F20" s="379"/>
      <c r="G20" s="396"/>
      <c r="H20" s="379"/>
      <c r="I20" s="391"/>
      <c r="J20" s="379"/>
      <c r="K20" s="396"/>
      <c r="L20" s="397"/>
      <c r="M20" s="392"/>
      <c r="N20" s="379"/>
      <c r="O20" s="379"/>
      <c r="P20" s="379"/>
      <c r="Q20" s="379"/>
    </row>
    <row r="21" spans="1:17" ht="15" thickBot="1">
      <c r="A21" s="388">
        <f t="shared" si="0"/>
        <v>11</v>
      </c>
      <c r="B21" s="379"/>
      <c r="C21" s="379" t="s">
        <v>282</v>
      </c>
      <c r="D21" s="379"/>
      <c r="E21" s="398">
        <f>+'Schedule 1 Rate Base'!F16</f>
        <v>6445535.694385102</v>
      </c>
      <c r="F21" s="379"/>
      <c r="G21" s="399">
        <f>SUM(G11:G20)</f>
        <v>1</v>
      </c>
      <c r="H21" s="379"/>
      <c r="I21" s="391"/>
      <c r="J21" s="379"/>
      <c r="K21" s="601">
        <f>SUM(K11:K19)</f>
        <v>0.037400000000000003</v>
      </c>
      <c r="L21" s="397"/>
      <c r="M21" s="30"/>
      <c r="N21" s="379"/>
      <c r="O21" s="379"/>
      <c r="P21" s="379"/>
      <c r="Q21" s="379"/>
    </row>
    <row r="22" spans="1:17" ht="15" thickTop="1">
      <c r="A22" s="388">
        <f t="shared" si="0"/>
        <v>12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0"/>
      <c r="N22" s="379"/>
      <c r="O22" s="379"/>
      <c r="P22" s="379"/>
      <c r="Q22" s="400">
        <f>+E14+E15-E21+E18</f>
        <v>0</v>
      </c>
    </row>
    <row r="23" spans="1:17" ht="14.4">
      <c r="A23" s="388">
        <f t="shared" si="0"/>
        <v>13</v>
      </c>
      <c r="B23" s="379"/>
      <c r="C23" s="401" t="s">
        <v>695</v>
      </c>
      <c r="D23" s="379"/>
      <c r="E23" s="379"/>
      <c r="F23" s="379"/>
      <c r="G23" s="379"/>
      <c r="H23" s="379"/>
      <c r="I23" s="379"/>
      <c r="J23" s="379"/>
      <c r="K23" s="379"/>
      <c r="L23" s="379"/>
      <c r="M23" s="30"/>
      <c r="N23" s="379"/>
      <c r="O23" s="379"/>
      <c r="P23" s="379"/>
      <c r="Q23" s="379"/>
    </row>
    <row r="24" spans="1:17" ht="14.4">
      <c r="A24" s="388">
        <f t="shared" si="0"/>
        <v>14</v>
      </c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0"/>
      <c r="N24" s="379"/>
      <c r="O24" s="379"/>
      <c r="P24" s="379"/>
      <c r="Q24" s="379"/>
    </row>
    <row r="25" spans="1:17" ht="14.4">
      <c r="A25" s="388">
        <f t="shared" si="0"/>
        <v>15</v>
      </c>
      <c r="B25" s="401"/>
      <c r="C25" s="401"/>
      <c r="D25" s="401"/>
      <c r="E25" s="401"/>
      <c r="F25" s="401"/>
      <c r="G25" s="401"/>
      <c r="H25" s="401"/>
      <c r="I25" s="401"/>
      <c r="J25" s="401"/>
      <c r="K25" s="401"/>
      <c r="L25" s="401"/>
      <c r="M25" s="30"/>
      <c r="N25" s="379"/>
      <c r="O25" s="379"/>
      <c r="P25" s="379"/>
      <c r="Q25" s="379"/>
    </row>
    <row r="26" spans="1:17" ht="14.4">
      <c r="A26" s="388">
        <f t="shared" si="0"/>
        <v>16</v>
      </c>
      <c r="B26" s="379"/>
      <c r="C26" s="379"/>
      <c r="D26" s="379"/>
      <c r="E26" s="379"/>
      <c r="F26" s="379"/>
      <c r="G26" s="379"/>
      <c r="H26" s="379"/>
      <c r="I26" s="388" t="s">
        <v>392</v>
      </c>
      <c r="J26" s="379"/>
      <c r="K26" s="379"/>
      <c r="L26" s="379"/>
      <c r="M26" s="30"/>
      <c r="N26" s="379"/>
      <c r="O26" s="379"/>
      <c r="P26" s="379"/>
      <c r="Q26" s="379"/>
    </row>
    <row r="27" spans="1:17" ht="14.4">
      <c r="A27" s="388">
        <f t="shared" si="0"/>
        <v>17</v>
      </c>
      <c r="B27" s="379"/>
      <c r="C27" s="402" t="s">
        <v>390</v>
      </c>
      <c r="D27" s="379"/>
      <c r="E27" s="379"/>
      <c r="F27" s="379"/>
      <c r="G27" s="403" t="s">
        <v>281</v>
      </c>
      <c r="H27" s="379"/>
      <c r="I27" s="404" t="s">
        <v>393</v>
      </c>
      <c r="J27" s="379"/>
      <c r="K27" s="379"/>
      <c r="L27" s="379"/>
      <c r="M27" s="30"/>
      <c r="N27" s="379"/>
      <c r="O27" s="379"/>
      <c r="P27" s="379"/>
      <c r="Q27" s="379"/>
    </row>
    <row r="28" spans="1:17" ht="14.4">
      <c r="A28" s="388">
        <f t="shared" si="0"/>
        <v>18</v>
      </c>
      <c r="B28" s="379"/>
      <c r="C28" s="405" t="s">
        <v>698</v>
      </c>
      <c r="D28" s="406"/>
      <c r="E28" s="379"/>
      <c r="F28" s="379"/>
      <c r="G28" s="406">
        <f>+'Factored ERC'!U15+'Factored ERC'!W15</f>
        <v>34</v>
      </c>
      <c r="H28" s="407"/>
      <c r="I28" s="406"/>
      <c r="J28" s="407"/>
      <c r="K28" s="407"/>
      <c r="L28" s="407"/>
      <c r="M28" s="30"/>
      <c r="N28" s="379"/>
      <c r="O28" s="379"/>
      <c r="P28" s="379"/>
      <c r="Q28" s="379"/>
    </row>
    <row r="29" spans="1:18" ht="16.2">
      <c r="A29" s="388">
        <f t="shared" si="0"/>
        <v>19</v>
      </c>
      <c r="B29" s="408"/>
      <c r="C29" s="405" t="s">
        <v>476</v>
      </c>
      <c r="D29" s="406"/>
      <c r="E29" s="379"/>
      <c r="F29" s="379"/>
      <c r="G29" s="407">
        <f>+'Schedule No. 7 Rev Proof'!H14</f>
        <v>178.78433750000002</v>
      </c>
      <c r="H29" s="407"/>
      <c r="I29" s="407"/>
      <c r="J29" s="407"/>
      <c r="K29" s="407"/>
      <c r="L29" s="407"/>
      <c r="M29" s="409"/>
      <c r="N29" s="379"/>
      <c r="O29" s="379"/>
      <c r="P29" s="379"/>
      <c r="Q29" s="379"/>
      <c r="R29" s="189"/>
    </row>
    <row r="30" spans="1:17" ht="14.4">
      <c r="A30" s="388">
        <f t="shared" si="0"/>
        <v>20</v>
      </c>
      <c r="B30" s="379"/>
      <c r="C30" s="379" t="s">
        <v>477</v>
      </c>
      <c r="D30" s="408"/>
      <c r="E30" s="379"/>
      <c r="F30" s="379"/>
      <c r="G30" s="407">
        <v>180</v>
      </c>
      <c r="H30" s="407"/>
      <c r="I30" s="407"/>
      <c r="J30" s="407"/>
      <c r="K30" s="407"/>
      <c r="L30" s="407"/>
      <c r="M30" s="407"/>
      <c r="N30" s="379"/>
      <c r="O30" s="379"/>
      <c r="P30" s="379"/>
      <c r="Q30" s="379"/>
    </row>
    <row r="31" spans="1:17" ht="14.4">
      <c r="A31" s="388">
        <f t="shared" si="0"/>
        <v>21</v>
      </c>
      <c r="B31" s="379"/>
      <c r="C31" s="379"/>
      <c r="D31" s="379"/>
      <c r="E31" s="379"/>
      <c r="F31" s="379"/>
      <c r="G31" s="407"/>
      <c r="H31" s="407"/>
      <c r="I31" s="407"/>
      <c r="J31" s="407"/>
      <c r="K31" s="407"/>
      <c r="L31" s="407"/>
      <c r="M31" s="407"/>
      <c r="N31" s="379"/>
      <c r="O31" s="379"/>
      <c r="P31" s="379"/>
      <c r="Q31" s="379"/>
    </row>
    <row r="32" spans="1:17" ht="14.4">
      <c r="A32" s="388">
        <f t="shared" si="0"/>
        <v>22</v>
      </c>
      <c r="B32" s="410"/>
      <c r="C32" s="379" t="s">
        <v>697</v>
      </c>
      <c r="D32" s="379"/>
      <c r="E32" s="379"/>
      <c r="F32" s="379"/>
      <c r="G32" s="411">
        <f>+G28*G30</f>
        <v>6120</v>
      </c>
      <c r="H32" s="411"/>
      <c r="I32" s="411">
        <f>+I28*I30</f>
        <v>0</v>
      </c>
      <c r="J32" s="407"/>
      <c r="K32" s="411">
        <f>SUM(G32:I32)</f>
        <v>6120</v>
      </c>
      <c r="L32" s="407"/>
      <c r="M32" s="407"/>
      <c r="N32" s="379"/>
      <c r="O32" s="379"/>
      <c r="P32" s="379"/>
      <c r="Q32" s="379"/>
    </row>
    <row r="33" spans="1:17" ht="14.4">
      <c r="A33" s="379"/>
      <c r="B33" s="379"/>
      <c r="C33" s="379"/>
      <c r="D33" s="379"/>
      <c r="E33" s="407"/>
      <c r="F33" s="407"/>
      <c r="G33" s="407"/>
      <c r="H33" s="407"/>
      <c r="I33" s="407"/>
      <c r="J33" s="407"/>
      <c r="K33" s="407"/>
      <c r="L33" s="407"/>
      <c r="M33" s="407"/>
      <c r="N33" s="379"/>
      <c r="O33" s="379"/>
      <c r="P33" s="379"/>
      <c r="Q33" s="379"/>
    </row>
    <row r="34" spans="1:17" ht="14.4">
      <c r="A34" s="379"/>
      <c r="B34" s="379"/>
      <c r="C34" s="379"/>
      <c r="D34" s="379"/>
      <c r="E34" s="407"/>
      <c r="F34" s="407"/>
      <c r="G34" s="406"/>
      <c r="H34" s="407"/>
      <c r="I34" s="406"/>
      <c r="J34" s="407"/>
      <c r="K34" s="407"/>
      <c r="L34" s="379"/>
      <c r="M34" s="379"/>
      <c r="N34" s="379"/>
      <c r="O34" s="379"/>
      <c r="P34" s="379"/>
      <c r="Q34" s="379"/>
    </row>
    <row r="35" spans="1:17" ht="14.4">
      <c r="A35" s="379"/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</row>
    <row r="38" spans="7:13" ht="14.4">
      <c r="G38" s="407"/>
      <c r="H38" s="407"/>
      <c r="I38" s="407"/>
      <c r="J38" s="407"/>
      <c r="K38" s="407"/>
      <c r="L38" s="407"/>
      <c r="M38" s="407"/>
    </row>
    <row r="39" spans="6:13" ht="14.4">
      <c r="F39" s="211"/>
      <c r="G39" s="407">
        <f>+'Schedule No. 7 Rev Proof'!H14</f>
        <v>178.78433750000002</v>
      </c>
      <c r="H39" s="407" t="s">
        <v>438</v>
      </c>
      <c r="I39" s="407"/>
      <c r="J39" s="407"/>
      <c r="K39" s="407"/>
      <c r="L39" s="407"/>
      <c r="M39" s="407"/>
    </row>
    <row r="40" spans="6:13" ht="14.4">
      <c r="F40" s="211"/>
      <c r="G40" s="407"/>
      <c r="H40" s="407"/>
      <c r="I40" s="407"/>
      <c r="J40" s="407"/>
      <c r="K40" s="407"/>
      <c r="L40" s="407"/>
      <c r="M40" s="407"/>
    </row>
    <row r="41" spans="6:13" ht="14.4">
      <c r="F41" s="211"/>
      <c r="G41" s="407"/>
      <c r="H41" s="407"/>
      <c r="I41" s="407"/>
      <c r="J41" s="407"/>
      <c r="K41" s="407"/>
      <c r="L41" s="407"/>
      <c r="M41" s="407"/>
    </row>
    <row r="42" spans="6:13" ht="14.4">
      <c r="F42" s="211"/>
      <c r="G42" s="407"/>
      <c r="H42" s="407"/>
      <c r="I42" s="407"/>
      <c r="J42" s="407"/>
      <c r="K42" s="407"/>
      <c r="L42" s="407"/>
      <c r="M42" s="407"/>
    </row>
    <row r="43" spans="7:13" ht="14.4">
      <c r="G43" s="407"/>
      <c r="H43" s="407"/>
      <c r="I43" s="407"/>
      <c r="J43" s="407"/>
      <c r="K43" s="407"/>
      <c r="L43" s="407"/>
      <c r="M43" s="407"/>
    </row>
  </sheetData>
  <mergeCells count="3">
    <mergeCell ref="A2:K2"/>
    <mergeCell ref="A3:K3"/>
    <mergeCell ref="A4:K4"/>
  </mergeCells>
  <pageMargins left="0.7" right="0.7" top="0.75" bottom="0.75" header="0.3" footer="0.3"/>
  <pageSetup horizontalDpi="1200" verticalDpi="1200" orientation="portrait" scale="95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C00000"/>
  </sheetPr>
  <dimension ref="A1"/>
  <sheetViews>
    <sheetView workbookViewId="0" topLeftCell="A1"/>
  </sheetViews>
  <sheetFormatPr defaultRowHeight="15.75"/>
  <sheetData/>
  <pageMargins left="0.7" right="0.7" top="0.75" bottom="0.75" header="0.3" footer="0.3"/>
  <pageSetup horizontalDpi="1200" verticalDpi="120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4E8B0-1EED-4EB6-815C-C27B19CCBB34}">
  <dimension ref="A2:D21"/>
  <sheetViews>
    <sheetView workbookViewId="0" topLeftCell="A1">
      <selection pane="topLeft" activeCell="A18" sqref="A18"/>
    </sheetView>
  </sheetViews>
  <sheetFormatPr defaultRowHeight="15.75"/>
  <cols>
    <col min="1" max="1" width="36.75" customWidth="1"/>
    <col min="2" max="2" width="13.75" bestFit="1" customWidth="1"/>
    <col min="3" max="3" width="8.75" style="546"/>
    <col min="4" max="4" width="13.25" customWidth="1"/>
  </cols>
  <sheetData>
    <row r="2" spans="1:4" ht="15.6">
      <c r="A2" s="437" t="s">
        <v>505</v>
      </c>
      <c r="D2" s="609">
        <v>2711616</v>
      </c>
    </row>
    <row r="3" spans="1:4" ht="15.6">
      <c r="A3" t="s">
        <v>614</v>
      </c>
      <c r="D3" s="544">
        <v>1700000</v>
      </c>
    </row>
    <row r="4" spans="1:4" ht="16.2" thickBot="1">
      <c r="A4" s="610" t="s">
        <v>614</v>
      </c>
      <c r="D4" s="611">
        <f>+D2+D3</f>
        <v>4411616</v>
      </c>
    </row>
    <row r="5" ht="16.2" thickTop="1"/>
    <row r="7" spans="1:4" ht="15.6">
      <c r="A7" s="336"/>
      <c r="B7" s="544"/>
      <c r="D7" s="544"/>
    </row>
    <row r="8" ht="15.6">
      <c r="D8" s="544"/>
    </row>
    <row r="9" spans="1:4" ht="15.6">
      <c r="A9" s="360" t="s">
        <v>414</v>
      </c>
      <c r="B9" s="544">
        <v>2681532</v>
      </c>
      <c r="C9" s="546">
        <f>+B9/$B$15</f>
        <v>0.17800300732873747</v>
      </c>
      <c r="D9" s="544">
        <f t="shared" si="0" ref="D9:D13">+$D$4*C9</f>
        <v>785280.91517957544</v>
      </c>
    </row>
    <row r="10" ht="15.6">
      <c r="D10" s="544">
        <f t="shared" si="0"/>
        <v>0</v>
      </c>
    </row>
    <row r="11" spans="1:4" ht="15.6">
      <c r="A11" s="360" t="s">
        <v>415</v>
      </c>
      <c r="B11" s="544">
        <v>950000</v>
      </c>
      <c r="C11" s="546">
        <f>+B11/$B$15</f>
        <v>0.063062032063126813</v>
      </c>
      <c r="D11" s="544">
        <f t="shared" si="0"/>
        <v>278205.46964220324</v>
      </c>
    </row>
    <row r="12" ht="15.6">
      <c r="D12" s="544">
        <f t="shared" si="0"/>
        <v>0</v>
      </c>
    </row>
    <row r="13" spans="1:4" ht="15.6">
      <c r="A13" s="360" t="s">
        <v>689</v>
      </c>
      <c r="B13" s="544">
        <v>11433000</v>
      </c>
      <c r="C13" s="546">
        <f>+B13/$B$15</f>
        <v>0.7589349606081357</v>
      </c>
      <c r="D13" s="544">
        <f t="shared" si="0"/>
        <v>3348129.6151782214</v>
      </c>
    </row>
    <row r="14" ht="15.6">
      <c r="D14" s="544"/>
    </row>
    <row r="15" spans="2:4" ht="15.6">
      <c r="B15" s="545">
        <f>SUM(B7:B13)</f>
        <v>15064532</v>
      </c>
      <c r="C15" s="546">
        <f>SUM(C6:C13)</f>
        <v>1</v>
      </c>
      <c r="D15" s="551">
        <f>SUM(D7:D13)</f>
        <v>4411616</v>
      </c>
    </row>
    <row r="21" ht="15.6">
      <c r="B21" s="54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A11"/>
  <sheetViews>
    <sheetView workbookViewId="0" topLeftCell="A13">
      <selection pane="topLeft" activeCell="A21" sqref="A21"/>
    </sheetView>
  </sheetViews>
  <sheetFormatPr defaultColWidth="9" defaultRowHeight="15.75"/>
  <cols>
    <col min="1" max="1" width="81.5" customWidth="1"/>
  </cols>
  <sheetData>
    <row r="5" ht="25.5" customHeight="1">
      <c r="A5" s="167" t="s">
        <v>489</v>
      </c>
    </row>
    <row r="6" ht="25.5" customHeight="1">
      <c r="A6" s="168" t="s">
        <v>372</v>
      </c>
    </row>
    <row r="7" ht="25.5" customHeight="1">
      <c r="A7" s="168" t="s">
        <v>373</v>
      </c>
    </row>
    <row r="8" ht="25.5" customHeight="1">
      <c r="A8" s="76"/>
    </row>
    <row r="9" ht="25.5" customHeight="1">
      <c r="A9" s="168" t="s">
        <v>394</v>
      </c>
    </row>
    <row r="11" ht="15.6">
      <c r="A11" s="169" t="s">
        <v>675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BI23"/>
  <sheetViews>
    <sheetView workbookViewId="0" topLeftCell="F1">
      <selection pane="topLeft" activeCell="T5" sqref="T5:U5"/>
    </sheetView>
  </sheetViews>
  <sheetFormatPr defaultColWidth="8.69921875" defaultRowHeight="15"/>
  <cols>
    <col min="1" max="1" width="3.25" style="36" customWidth="1"/>
    <col min="2" max="2" width="8.75" style="36"/>
    <col min="3" max="3" width="7.75" style="41" customWidth="1"/>
    <col min="4" max="4" width="8.75" style="36" customWidth="1"/>
    <col min="5" max="5" width="8.75" style="36"/>
    <col min="6" max="6" width="8.75" style="36" customWidth="1"/>
    <col min="7" max="7" width="8.75" style="36"/>
    <col min="8" max="8" width="8.75" style="36" customWidth="1"/>
    <col min="9" max="9" width="8.75" style="36"/>
    <col min="10" max="10" width="8.75" style="36" customWidth="1"/>
    <col min="11" max="21" width="8.75" style="36"/>
    <col min="22" max="22" width="8.75" style="36" customWidth="1"/>
    <col min="23" max="16384" width="8.75" style="36"/>
  </cols>
  <sheetData>
    <row r="1" ht="14.4">
      <c r="BG1" s="84"/>
    </row>
    <row r="2" spans="23:59" ht="14.4"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</row>
    <row r="3" spans="4:56" ht="14.4">
      <c r="D3" s="77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W3" s="183">
        <v>0.80</v>
      </c>
      <c r="X3" s="53"/>
      <c r="Y3" s="53"/>
      <c r="Z3" s="53"/>
      <c r="AA3" s="53"/>
      <c r="AB3" s="5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Y3" s="183">
        <v>1</v>
      </c>
      <c r="BD3" s="183"/>
    </row>
    <row r="4" spans="2:60" ht="14.4">
      <c r="B4" s="101" t="s">
        <v>145</v>
      </c>
      <c r="D4" s="593">
        <v>2024</v>
      </c>
      <c r="E4" s="50"/>
      <c r="F4" s="593">
        <f>+D4+1</f>
        <v>2025</v>
      </c>
      <c r="G4" s="50"/>
      <c r="H4" s="593">
        <f>+F4+1</f>
        <v>2026</v>
      </c>
      <c r="I4" s="50"/>
      <c r="J4" s="593">
        <f>+H4+1</f>
        <v>2027</v>
      </c>
      <c r="K4" s="50"/>
      <c r="L4" s="593">
        <f>+J4+1</f>
        <v>2028</v>
      </c>
      <c r="M4" s="451"/>
      <c r="N4" s="593">
        <f>+L4+1</f>
        <v>2029</v>
      </c>
      <c r="O4" s="452"/>
      <c r="P4" s="593">
        <f>+N4+1</f>
        <v>2030</v>
      </c>
      <c r="Q4" s="452"/>
      <c r="R4" s="593">
        <f>+P4+1</f>
        <v>2031</v>
      </c>
      <c r="S4" s="452"/>
      <c r="T4" s="593">
        <f>+R4+1</f>
        <v>2032</v>
      </c>
      <c r="U4" s="452"/>
      <c r="V4" s="594">
        <f>+T4+1</f>
        <v>2033</v>
      </c>
      <c r="W4" s="595"/>
      <c r="X4" s="593">
        <f>+V4+1</f>
        <v>2034</v>
      </c>
      <c r="Y4" s="50"/>
      <c r="Z4" s="593">
        <f>+X4+1</f>
        <v>2035</v>
      </c>
      <c r="AA4" s="50"/>
      <c r="AB4" s="613">
        <f>+Z4+1</f>
        <v>2036</v>
      </c>
      <c r="AC4" s="614"/>
      <c r="AD4" s="593">
        <f>+AB4+1</f>
        <v>2037</v>
      </c>
      <c r="AE4" s="50"/>
      <c r="AF4" s="593">
        <f>+AD4+1</f>
        <v>2038</v>
      </c>
      <c r="AG4" s="50"/>
      <c r="AH4" s="593">
        <f>+AF4+1</f>
        <v>2039</v>
      </c>
      <c r="AI4" s="50"/>
      <c r="AJ4" s="593">
        <f>+AH4+1</f>
        <v>2040</v>
      </c>
      <c r="AK4" s="50"/>
      <c r="AL4" s="593">
        <f>+AJ4+1</f>
        <v>2041</v>
      </c>
      <c r="AM4" s="50"/>
      <c r="AN4" s="593">
        <f>+AL4+1</f>
        <v>2042</v>
      </c>
      <c r="AO4" s="50"/>
      <c r="AP4" s="593">
        <f>+AN4+1</f>
        <v>2043</v>
      </c>
      <c r="AQ4" s="50"/>
      <c r="AR4" s="593">
        <f>+AP4+1</f>
        <v>2044</v>
      </c>
      <c r="AS4" s="50"/>
      <c r="AT4" s="593">
        <f>+AR4+1</f>
        <v>2045</v>
      </c>
      <c r="AU4" s="50"/>
      <c r="AV4" s="593">
        <f>+AT4+1</f>
        <v>2046</v>
      </c>
      <c r="AW4" s="50"/>
      <c r="AX4" s="594">
        <f>+AV4+1</f>
        <v>2047</v>
      </c>
      <c r="AY4" s="595"/>
      <c r="AZ4" s="593">
        <f>+AX4+1</f>
        <v>2048</v>
      </c>
      <c r="BA4" s="50"/>
      <c r="BB4" s="593">
        <f>+AZ4+1</f>
        <v>2049</v>
      </c>
      <c r="BC4" s="50"/>
      <c r="BD4" s="613">
        <f>+BB4+1</f>
        <v>2050</v>
      </c>
      <c r="BE4" s="614"/>
      <c r="BF4" s="453" t="s">
        <v>9</v>
      </c>
      <c r="BG4" s="651" t="s">
        <v>118</v>
      </c>
      <c r="BH4" s="651"/>
    </row>
    <row r="5" spans="2:58" ht="14.4">
      <c r="B5" s="41" t="s">
        <v>116</v>
      </c>
      <c r="C5" s="38" t="s">
        <v>109</v>
      </c>
      <c r="D5" s="47" t="s">
        <v>105</v>
      </c>
      <c r="E5" s="42" t="s">
        <v>106</v>
      </c>
      <c r="F5" s="47" t="s">
        <v>105</v>
      </c>
      <c r="G5" s="42" t="s">
        <v>106</v>
      </c>
      <c r="H5" s="47" t="s">
        <v>105</v>
      </c>
      <c r="I5" s="42" t="s">
        <v>106</v>
      </c>
      <c r="J5" s="47" t="s">
        <v>105</v>
      </c>
      <c r="K5" s="42" t="s">
        <v>106</v>
      </c>
      <c r="L5" s="47" t="s">
        <v>105</v>
      </c>
      <c r="M5" s="42" t="s">
        <v>106</v>
      </c>
      <c r="N5" s="47" t="s">
        <v>105</v>
      </c>
      <c r="O5" s="42" t="s">
        <v>106</v>
      </c>
      <c r="P5" s="47" t="s">
        <v>105</v>
      </c>
      <c r="Q5" s="42" t="s">
        <v>106</v>
      </c>
      <c r="R5" s="47" t="s">
        <v>105</v>
      </c>
      <c r="S5" s="42" t="s">
        <v>106</v>
      </c>
      <c r="T5" s="47" t="s">
        <v>105</v>
      </c>
      <c r="U5" s="42" t="s">
        <v>106</v>
      </c>
      <c r="V5" s="38" t="s">
        <v>105</v>
      </c>
      <c r="W5" s="42" t="s">
        <v>106</v>
      </c>
      <c r="X5" s="38" t="s">
        <v>105</v>
      </c>
      <c r="Y5" s="42" t="s">
        <v>106</v>
      </c>
      <c r="Z5" s="38" t="s">
        <v>105</v>
      </c>
      <c r="AA5" s="42" t="s">
        <v>106</v>
      </c>
      <c r="AB5" s="38" t="s">
        <v>105</v>
      </c>
      <c r="AC5" s="42" t="s">
        <v>106</v>
      </c>
      <c r="AD5" s="38" t="s">
        <v>105</v>
      </c>
      <c r="AE5" s="42" t="s">
        <v>106</v>
      </c>
      <c r="AF5" s="38" t="s">
        <v>105</v>
      </c>
      <c r="AG5" s="42" t="s">
        <v>106</v>
      </c>
      <c r="AH5" s="38" t="s">
        <v>105</v>
      </c>
      <c r="AI5" s="42" t="s">
        <v>106</v>
      </c>
      <c r="AJ5" s="38" t="s">
        <v>105</v>
      </c>
      <c r="AK5" s="42" t="s">
        <v>106</v>
      </c>
      <c r="AL5" s="38" t="s">
        <v>105</v>
      </c>
      <c r="AM5" s="42" t="s">
        <v>106</v>
      </c>
      <c r="AN5" s="38" t="s">
        <v>105</v>
      </c>
      <c r="AO5" s="42" t="s">
        <v>106</v>
      </c>
      <c r="AP5" s="38" t="s">
        <v>105</v>
      </c>
      <c r="AQ5" s="42" t="s">
        <v>106</v>
      </c>
      <c r="AR5" s="38" t="s">
        <v>105</v>
      </c>
      <c r="AS5" s="42" t="s">
        <v>106</v>
      </c>
      <c r="AT5" s="38" t="s">
        <v>105</v>
      </c>
      <c r="AU5" s="42" t="s">
        <v>106</v>
      </c>
      <c r="AV5" s="38" t="s">
        <v>105</v>
      </c>
      <c r="AW5" s="42" t="s">
        <v>106</v>
      </c>
      <c r="AX5" s="38" t="s">
        <v>105</v>
      </c>
      <c r="AY5" s="42" t="s">
        <v>106</v>
      </c>
      <c r="AZ5" s="38" t="s">
        <v>105</v>
      </c>
      <c r="BA5" s="42" t="s">
        <v>106</v>
      </c>
      <c r="BB5" s="38" t="s">
        <v>105</v>
      </c>
      <c r="BC5" s="42" t="s">
        <v>106</v>
      </c>
      <c r="BD5" s="38" t="s">
        <v>105</v>
      </c>
      <c r="BE5" s="42" t="s">
        <v>106</v>
      </c>
      <c r="BF5" s="449"/>
    </row>
    <row r="6" spans="2:61" ht="14.4">
      <c r="B6" s="39" t="s">
        <v>532</v>
      </c>
      <c r="C6" s="38">
        <v>1</v>
      </c>
      <c r="D6" s="48">
        <v>860</v>
      </c>
      <c r="E6" s="44">
        <f>+D6*$C6</f>
        <v>860</v>
      </c>
      <c r="F6" s="48">
        <v>0</v>
      </c>
      <c r="G6" s="44">
        <f>+F6*$C6</f>
        <v>0</v>
      </c>
      <c r="H6" s="48">
        <v>0</v>
      </c>
      <c r="I6" s="44">
        <f t="shared" si="0" ref="I6">+H6*$C6</f>
        <v>0</v>
      </c>
      <c r="J6" s="48">
        <v>0</v>
      </c>
      <c r="K6" s="44">
        <f t="shared" si="1" ref="K6:U6">+J6*$C6</f>
        <v>0</v>
      </c>
      <c r="L6" s="450"/>
      <c r="M6" s="44">
        <f t="shared" si="1"/>
        <v>0</v>
      </c>
      <c r="N6" s="450"/>
      <c r="O6" s="44">
        <f t="shared" si="1"/>
        <v>0</v>
      </c>
      <c r="P6" s="450"/>
      <c r="Q6" s="44">
        <f t="shared" si="1"/>
        <v>0</v>
      </c>
      <c r="R6" s="450"/>
      <c r="S6" s="44">
        <f t="shared" si="1"/>
        <v>0</v>
      </c>
      <c r="T6" s="450"/>
      <c r="U6" s="44">
        <f t="shared" si="1"/>
        <v>0</v>
      </c>
      <c r="V6" s="48">
        <v>0</v>
      </c>
      <c r="W6" s="44">
        <f t="shared" si="2" ref="W6">+V6*$C6</f>
        <v>0</v>
      </c>
      <c r="X6" s="48">
        <v>0</v>
      </c>
      <c r="Y6" s="44">
        <f t="shared" si="3" ref="Y6:Y13">+X6*$C6</f>
        <v>0</v>
      </c>
      <c r="Z6" s="48">
        <v>0</v>
      </c>
      <c r="AA6" s="44">
        <f t="shared" si="4" ref="AA6:AA13">+Z6*$C6</f>
        <v>0</v>
      </c>
      <c r="AB6" s="48">
        <v>0</v>
      </c>
      <c r="AC6" s="44">
        <f t="shared" si="5" ref="AC6:AC13">+AB6*$C6</f>
        <v>0</v>
      </c>
      <c r="AD6" s="48">
        <v>0</v>
      </c>
      <c r="AE6" s="44">
        <f t="shared" si="6" ref="AE6:AE13">+AD6*$C6</f>
        <v>0</v>
      </c>
      <c r="AF6" s="48">
        <v>0</v>
      </c>
      <c r="AG6" s="44">
        <f t="shared" si="7" ref="AG6:AG13">+AF6*$C6</f>
        <v>0</v>
      </c>
      <c r="AH6" s="48">
        <v>0</v>
      </c>
      <c r="AI6" s="44">
        <f t="shared" si="8" ref="AI6:AI13">+AH6*$C6</f>
        <v>0</v>
      </c>
      <c r="AJ6" s="48">
        <v>0</v>
      </c>
      <c r="AK6" s="44">
        <f t="shared" si="9" ref="AK6:AK13">+AJ6*$C6</f>
        <v>0</v>
      </c>
      <c r="AL6" s="48">
        <v>0</v>
      </c>
      <c r="AM6" s="44">
        <f t="shared" si="10" ref="AM6:AM13">+AL6*$C6</f>
        <v>0</v>
      </c>
      <c r="AN6" s="48">
        <v>0</v>
      </c>
      <c r="AO6" s="44">
        <f t="shared" si="11" ref="AO6:AO13">+AN6*$C6</f>
        <v>0</v>
      </c>
      <c r="AP6" s="48">
        <v>0</v>
      </c>
      <c r="AQ6" s="44">
        <f t="shared" si="12" ref="AQ6:AQ13">+AP6*$C6</f>
        <v>0</v>
      </c>
      <c r="AR6" s="48">
        <v>0</v>
      </c>
      <c r="AS6" s="44">
        <f t="shared" si="13" ref="AS6:AS13">+AR6*$C6</f>
        <v>0</v>
      </c>
      <c r="AT6" s="48">
        <v>0</v>
      </c>
      <c r="AU6" s="44">
        <f t="shared" si="14" ref="AU6:AU13">+AT6*$C6</f>
        <v>0</v>
      </c>
      <c r="AV6" s="48">
        <v>0</v>
      </c>
      <c r="AW6" s="44">
        <f t="shared" si="15" ref="AW6:AW13">+AV6*$C6</f>
        <v>0</v>
      </c>
      <c r="AX6" s="48">
        <v>0</v>
      </c>
      <c r="AY6" s="44">
        <f t="shared" si="16" ref="AY6:AY13">+AX6*$C6</f>
        <v>0</v>
      </c>
      <c r="AZ6" s="48"/>
      <c r="BA6" s="44">
        <f t="shared" si="17" ref="BA6:BA13">+AZ6*$C6</f>
        <v>0</v>
      </c>
      <c r="BB6" s="48"/>
      <c r="BC6" s="44">
        <f t="shared" si="18" ref="BC6:BC13">+BB6*$C6</f>
        <v>0</v>
      </c>
      <c r="BD6" s="48"/>
      <c r="BE6" s="44">
        <f t="shared" si="19" ref="BE6:BE13">+BD6*$C6</f>
        <v>0</v>
      </c>
      <c r="BF6" s="450"/>
      <c r="BG6" s="53">
        <f>+D6+F6+H6+J6+V6+L6+N6+P6+R6+T6+X6+Z6+AB6+AD6+AF6+AH6+AJ6+AL6+AN6+AP6+AR6+AT6+AV6+AX6+AZ6+BB6+BD6</f>
        <v>860</v>
      </c>
      <c r="BH6" s="53">
        <f>+E6+G6+I6+K6+W6+M6+O6+Q6+S6+U6+Y6+AA6+AC6+AE6+AG6+AI6+AK6+AM6+AO6+AQ6+AS6+AU6+AW6+AY6+BA6+BC6+BE6</f>
        <v>860</v>
      </c>
      <c r="BI6" s="53">
        <f>+BG6-BH6</f>
        <v>0</v>
      </c>
    </row>
    <row r="7" spans="2:61" ht="14.4">
      <c r="B7" s="39" t="s">
        <v>533</v>
      </c>
      <c r="C7" s="38">
        <v>1</v>
      </c>
      <c r="D7" s="48">
        <v>0</v>
      </c>
      <c r="E7" s="44">
        <f>+D7*$C7</f>
        <v>0</v>
      </c>
      <c r="F7" s="48">
        <v>17</v>
      </c>
      <c r="G7" s="44">
        <f>+F7*$C7</f>
        <v>17</v>
      </c>
      <c r="H7" s="48">
        <v>17</v>
      </c>
      <c r="I7" s="44">
        <f t="shared" si="20" ref="I7:I8">+H7*$C7</f>
        <v>17</v>
      </c>
      <c r="J7" s="48">
        <v>17</v>
      </c>
      <c r="K7" s="44">
        <f t="shared" si="21" ref="K7:U8">+J7*$C7</f>
        <v>17</v>
      </c>
      <c r="L7" s="450">
        <v>17</v>
      </c>
      <c r="M7" s="44">
        <f t="shared" si="21"/>
        <v>17</v>
      </c>
      <c r="N7" s="450">
        <v>17</v>
      </c>
      <c r="O7" s="44">
        <f t="shared" si="21"/>
        <v>17</v>
      </c>
      <c r="P7" s="450">
        <v>17</v>
      </c>
      <c r="Q7" s="44">
        <f t="shared" si="21"/>
        <v>17</v>
      </c>
      <c r="R7" s="450">
        <v>17</v>
      </c>
      <c r="S7" s="44">
        <f t="shared" si="21"/>
        <v>17</v>
      </c>
      <c r="T7" s="450">
        <v>17</v>
      </c>
      <c r="U7" s="44">
        <f t="shared" si="21"/>
        <v>17</v>
      </c>
      <c r="V7" s="48">
        <v>17</v>
      </c>
      <c r="W7" s="44">
        <f t="shared" si="22" ref="W7:W8">+V7*$C7</f>
        <v>17</v>
      </c>
      <c r="X7" s="48">
        <v>17</v>
      </c>
      <c r="Y7" s="44">
        <f t="shared" si="3"/>
        <v>17</v>
      </c>
      <c r="Z7" s="48">
        <v>17</v>
      </c>
      <c r="AA7" s="44">
        <f t="shared" si="4"/>
        <v>17</v>
      </c>
      <c r="AB7" s="48">
        <v>17</v>
      </c>
      <c r="AC7" s="44">
        <f t="shared" si="5"/>
        <v>17</v>
      </c>
      <c r="AD7" s="48">
        <v>17</v>
      </c>
      <c r="AE7" s="44">
        <f t="shared" si="6"/>
        <v>17</v>
      </c>
      <c r="AF7" s="48">
        <v>17</v>
      </c>
      <c r="AG7" s="44">
        <f t="shared" si="7"/>
        <v>17</v>
      </c>
      <c r="AH7" s="48">
        <v>17</v>
      </c>
      <c r="AI7" s="44">
        <f t="shared" si="8"/>
        <v>17</v>
      </c>
      <c r="AJ7" s="48">
        <v>17</v>
      </c>
      <c r="AK7" s="44">
        <f t="shared" si="9"/>
        <v>17</v>
      </c>
      <c r="AL7" s="48">
        <v>17</v>
      </c>
      <c r="AM7" s="44">
        <f t="shared" si="10"/>
        <v>17</v>
      </c>
      <c r="AN7" s="48">
        <v>17</v>
      </c>
      <c r="AO7" s="44">
        <f t="shared" si="11"/>
        <v>17</v>
      </c>
      <c r="AP7" s="48">
        <v>17</v>
      </c>
      <c r="AQ7" s="44">
        <f t="shared" si="12"/>
        <v>17</v>
      </c>
      <c r="AR7" s="48">
        <v>17</v>
      </c>
      <c r="AS7" s="44">
        <f t="shared" si="13"/>
        <v>17</v>
      </c>
      <c r="AT7" s="48">
        <v>17</v>
      </c>
      <c r="AU7" s="44">
        <f t="shared" si="14"/>
        <v>17</v>
      </c>
      <c r="AV7" s="48">
        <v>17</v>
      </c>
      <c r="AW7" s="44">
        <f t="shared" si="15"/>
        <v>17</v>
      </c>
      <c r="AX7" s="48">
        <v>14</v>
      </c>
      <c r="AY7" s="44">
        <f t="shared" si="16"/>
        <v>14</v>
      </c>
      <c r="AZ7" s="48"/>
      <c r="BA7" s="44">
        <f t="shared" si="17"/>
        <v>0</v>
      </c>
      <c r="BB7" s="48"/>
      <c r="BC7" s="44">
        <f t="shared" si="18"/>
        <v>0</v>
      </c>
      <c r="BD7" s="48"/>
      <c r="BE7" s="44">
        <f t="shared" si="19"/>
        <v>0</v>
      </c>
      <c r="BF7" s="450"/>
      <c r="BG7" s="53">
        <f t="shared" si="23" ref="BG7:BG13">+D7+F7+H7+J7+V7+L7+N7+P7+R7+T7+X7+Z7+AB7+AD7+AF7+AH7+AJ7+AL7+AN7+AP7+AR7+AT7+AV7+AX7+AZ7+BB7+BD7</f>
        <v>388</v>
      </c>
      <c r="BH7" s="53">
        <f t="shared" si="24" ref="BH7:BH13">+E7+G7+I7+K7+W7+M7+O7+Q7+S7+U7+Y7+AA7+AC7+AE7+AG7+AI7+AK7+AM7+AO7+AQ7+AS7+AU7+AW7+AY7+BA7+BC7+BE7</f>
        <v>388</v>
      </c>
      <c r="BI7" s="53">
        <f>+BG7-BH7</f>
        <v>0</v>
      </c>
    </row>
    <row r="8" spans="2:61" ht="14.4">
      <c r="B8" s="39" t="s">
        <v>340</v>
      </c>
      <c r="C8" s="38">
        <v>1</v>
      </c>
      <c r="D8" s="48"/>
      <c r="E8" s="44">
        <f t="shared" si="25" ref="E8">+D8*$C8</f>
        <v>0</v>
      </c>
      <c r="F8" s="48"/>
      <c r="G8" s="44">
        <f t="shared" si="26" ref="G8">+F8*$C8</f>
        <v>0</v>
      </c>
      <c r="H8" s="48"/>
      <c r="I8" s="44">
        <f t="shared" si="20"/>
        <v>0</v>
      </c>
      <c r="J8" s="48"/>
      <c r="K8" s="44">
        <f t="shared" si="21"/>
        <v>0</v>
      </c>
      <c r="L8" s="450"/>
      <c r="M8" s="44">
        <f t="shared" si="21"/>
        <v>0</v>
      </c>
      <c r="N8" s="450"/>
      <c r="O8" s="44">
        <f t="shared" si="21"/>
        <v>0</v>
      </c>
      <c r="P8" s="450"/>
      <c r="Q8" s="44">
        <f t="shared" si="21"/>
        <v>0</v>
      </c>
      <c r="R8" s="450"/>
      <c r="S8" s="44">
        <f t="shared" si="21"/>
        <v>0</v>
      </c>
      <c r="T8" s="450"/>
      <c r="U8" s="44">
        <f t="shared" si="21"/>
        <v>0</v>
      </c>
      <c r="V8" s="48"/>
      <c r="W8" s="44">
        <f t="shared" si="22"/>
        <v>0</v>
      </c>
      <c r="X8" s="48"/>
      <c r="Y8" s="44">
        <f t="shared" si="3"/>
        <v>0</v>
      </c>
      <c r="Z8" s="48"/>
      <c r="AA8" s="44">
        <f t="shared" si="4"/>
        <v>0</v>
      </c>
      <c r="AB8" s="48"/>
      <c r="AC8" s="44">
        <f t="shared" si="5"/>
        <v>0</v>
      </c>
      <c r="AD8" s="48"/>
      <c r="AE8" s="44">
        <f t="shared" si="6"/>
        <v>0</v>
      </c>
      <c r="AF8" s="48"/>
      <c r="AG8" s="44">
        <f t="shared" si="7"/>
        <v>0</v>
      </c>
      <c r="AH8" s="48"/>
      <c r="AI8" s="44">
        <f t="shared" si="8"/>
        <v>0</v>
      </c>
      <c r="AJ8" s="48"/>
      <c r="AK8" s="44">
        <f t="shared" si="9"/>
        <v>0</v>
      </c>
      <c r="AL8" s="48"/>
      <c r="AM8" s="44">
        <f t="shared" si="10"/>
        <v>0</v>
      </c>
      <c r="AN8" s="48"/>
      <c r="AO8" s="44">
        <f t="shared" si="11"/>
        <v>0</v>
      </c>
      <c r="AP8" s="48"/>
      <c r="AQ8" s="44">
        <f t="shared" si="12"/>
        <v>0</v>
      </c>
      <c r="AR8" s="48"/>
      <c r="AS8" s="44">
        <f t="shared" si="13"/>
        <v>0</v>
      </c>
      <c r="AT8" s="48"/>
      <c r="AU8" s="44">
        <f t="shared" si="14"/>
        <v>0</v>
      </c>
      <c r="AV8" s="48"/>
      <c r="AW8" s="44">
        <f t="shared" si="15"/>
        <v>0</v>
      </c>
      <c r="AX8" s="48"/>
      <c r="AY8" s="44">
        <f t="shared" si="16"/>
        <v>0</v>
      </c>
      <c r="AZ8" s="48"/>
      <c r="BA8" s="44">
        <f t="shared" si="17"/>
        <v>0</v>
      </c>
      <c r="BB8" s="48"/>
      <c r="BC8" s="44">
        <f t="shared" si="18"/>
        <v>0</v>
      </c>
      <c r="BD8" s="48"/>
      <c r="BE8" s="44">
        <f t="shared" si="19"/>
        <v>0</v>
      </c>
      <c r="BF8" s="450"/>
      <c r="BG8" s="53">
        <f t="shared" si="23"/>
        <v>0</v>
      </c>
      <c r="BH8" s="53">
        <f t="shared" si="24"/>
        <v>0</v>
      </c>
      <c r="BI8" s="53">
        <f>+BG8-BH8</f>
        <v>0</v>
      </c>
    </row>
    <row r="9" spans="2:60" ht="14.4">
      <c r="B9" s="39" t="s">
        <v>111</v>
      </c>
      <c r="C9" s="41">
        <v>1.50</v>
      </c>
      <c r="D9" s="48"/>
      <c r="E9" s="44">
        <f t="shared" si="27" ref="E9:E13">+D9*$C9</f>
        <v>0</v>
      </c>
      <c r="F9" s="48"/>
      <c r="G9" s="44">
        <f t="shared" si="28" ref="G9:G13">+F9*$C9</f>
        <v>0</v>
      </c>
      <c r="H9" s="48"/>
      <c r="I9" s="44">
        <f t="shared" si="29" ref="I9:I13">+H9*$C9</f>
        <v>0</v>
      </c>
      <c r="J9" s="48"/>
      <c r="K9" s="44">
        <f t="shared" si="30" ref="K9:U13">+J9*$C9</f>
        <v>0</v>
      </c>
      <c r="L9" s="450"/>
      <c r="M9" s="44">
        <f t="shared" si="30"/>
        <v>0</v>
      </c>
      <c r="N9" s="450"/>
      <c r="O9" s="44">
        <f t="shared" si="30"/>
        <v>0</v>
      </c>
      <c r="P9" s="450"/>
      <c r="Q9" s="44">
        <f t="shared" si="30"/>
        <v>0</v>
      </c>
      <c r="R9" s="450"/>
      <c r="S9" s="44">
        <f t="shared" si="30"/>
        <v>0</v>
      </c>
      <c r="T9" s="450"/>
      <c r="U9" s="44">
        <f t="shared" si="30"/>
        <v>0</v>
      </c>
      <c r="V9" s="48"/>
      <c r="W9" s="44">
        <f t="shared" si="31" ref="W9:W13">+V9*$C9</f>
        <v>0</v>
      </c>
      <c r="X9" s="48"/>
      <c r="Y9" s="44">
        <f t="shared" si="3"/>
        <v>0</v>
      </c>
      <c r="Z9" s="48"/>
      <c r="AA9" s="44">
        <f t="shared" si="4"/>
        <v>0</v>
      </c>
      <c r="AB9" s="48"/>
      <c r="AC9" s="44">
        <f t="shared" si="5"/>
        <v>0</v>
      </c>
      <c r="AD9" s="48"/>
      <c r="AE9" s="44">
        <f t="shared" si="6"/>
        <v>0</v>
      </c>
      <c r="AF9" s="48"/>
      <c r="AG9" s="44">
        <f t="shared" si="7"/>
        <v>0</v>
      </c>
      <c r="AH9" s="48"/>
      <c r="AI9" s="44">
        <f t="shared" si="8"/>
        <v>0</v>
      </c>
      <c r="AJ9" s="48"/>
      <c r="AK9" s="44">
        <f t="shared" si="9"/>
        <v>0</v>
      </c>
      <c r="AL9" s="48"/>
      <c r="AM9" s="44">
        <f t="shared" si="10"/>
        <v>0</v>
      </c>
      <c r="AN9" s="48"/>
      <c r="AO9" s="44">
        <f t="shared" si="11"/>
        <v>0</v>
      </c>
      <c r="AP9" s="48"/>
      <c r="AQ9" s="44">
        <f t="shared" si="12"/>
        <v>0</v>
      </c>
      <c r="AR9" s="48"/>
      <c r="AS9" s="44">
        <f t="shared" si="13"/>
        <v>0</v>
      </c>
      <c r="AT9" s="48"/>
      <c r="AU9" s="44">
        <f t="shared" si="14"/>
        <v>0</v>
      </c>
      <c r="AV9" s="48"/>
      <c r="AW9" s="44">
        <f t="shared" si="15"/>
        <v>0</v>
      </c>
      <c r="AX9" s="48"/>
      <c r="AY9" s="44">
        <f t="shared" si="16"/>
        <v>0</v>
      </c>
      <c r="AZ9" s="48"/>
      <c r="BA9" s="44">
        <f t="shared" si="17"/>
        <v>0</v>
      </c>
      <c r="BB9" s="48"/>
      <c r="BC9" s="44">
        <f t="shared" si="18"/>
        <v>0</v>
      </c>
      <c r="BD9" s="48"/>
      <c r="BE9" s="44">
        <f t="shared" si="19"/>
        <v>0</v>
      </c>
      <c r="BF9" s="450"/>
      <c r="BG9" s="53">
        <f t="shared" si="23"/>
        <v>0</v>
      </c>
      <c r="BH9" s="53">
        <f t="shared" si="24"/>
        <v>0</v>
      </c>
    </row>
    <row r="10" spans="2:60" ht="14.4">
      <c r="B10" s="39" t="s">
        <v>112</v>
      </c>
      <c r="C10" s="38">
        <v>2.50</v>
      </c>
      <c r="D10" s="48"/>
      <c r="E10" s="44">
        <f t="shared" si="27"/>
        <v>0</v>
      </c>
      <c r="F10" s="48"/>
      <c r="G10" s="44">
        <f t="shared" si="28"/>
        <v>0</v>
      </c>
      <c r="H10" s="48"/>
      <c r="I10" s="44">
        <f t="shared" si="29"/>
        <v>0</v>
      </c>
      <c r="J10" s="48"/>
      <c r="K10" s="44">
        <f t="shared" si="30"/>
        <v>0</v>
      </c>
      <c r="L10" s="450"/>
      <c r="M10" s="44">
        <f t="shared" si="30"/>
        <v>0</v>
      </c>
      <c r="N10" s="450"/>
      <c r="O10" s="44">
        <f t="shared" si="30"/>
        <v>0</v>
      </c>
      <c r="P10" s="450"/>
      <c r="Q10" s="44">
        <f t="shared" si="30"/>
        <v>0</v>
      </c>
      <c r="R10" s="450"/>
      <c r="S10" s="44">
        <f t="shared" si="30"/>
        <v>0</v>
      </c>
      <c r="T10" s="450"/>
      <c r="U10" s="44">
        <f t="shared" si="30"/>
        <v>0</v>
      </c>
      <c r="V10" s="48"/>
      <c r="W10" s="44">
        <f t="shared" si="31"/>
        <v>0</v>
      </c>
      <c r="X10" s="48"/>
      <c r="Y10" s="44">
        <f t="shared" si="3"/>
        <v>0</v>
      </c>
      <c r="Z10" s="48"/>
      <c r="AA10" s="44">
        <f t="shared" si="4"/>
        <v>0</v>
      </c>
      <c r="AB10" s="48"/>
      <c r="AC10" s="44">
        <f t="shared" si="5"/>
        <v>0</v>
      </c>
      <c r="AD10" s="48"/>
      <c r="AE10" s="44">
        <f t="shared" si="6"/>
        <v>0</v>
      </c>
      <c r="AF10" s="48"/>
      <c r="AG10" s="44">
        <f t="shared" si="7"/>
        <v>0</v>
      </c>
      <c r="AH10" s="48"/>
      <c r="AI10" s="44">
        <f t="shared" si="8"/>
        <v>0</v>
      </c>
      <c r="AJ10" s="48"/>
      <c r="AK10" s="44">
        <f t="shared" si="9"/>
        <v>0</v>
      </c>
      <c r="AL10" s="48"/>
      <c r="AM10" s="44">
        <f t="shared" si="10"/>
        <v>0</v>
      </c>
      <c r="AN10" s="48"/>
      <c r="AO10" s="44">
        <f t="shared" si="11"/>
        <v>0</v>
      </c>
      <c r="AP10" s="48"/>
      <c r="AQ10" s="44">
        <f t="shared" si="12"/>
        <v>0</v>
      </c>
      <c r="AR10" s="48"/>
      <c r="AS10" s="44">
        <f t="shared" si="13"/>
        <v>0</v>
      </c>
      <c r="AT10" s="48"/>
      <c r="AU10" s="44">
        <f t="shared" si="14"/>
        <v>0</v>
      </c>
      <c r="AV10" s="48"/>
      <c r="AW10" s="44">
        <f t="shared" si="15"/>
        <v>0</v>
      </c>
      <c r="AX10" s="48"/>
      <c r="AY10" s="44">
        <f t="shared" si="16"/>
        <v>0</v>
      </c>
      <c r="AZ10" s="48"/>
      <c r="BA10" s="44">
        <f t="shared" si="17"/>
        <v>0</v>
      </c>
      <c r="BB10" s="48"/>
      <c r="BC10" s="44">
        <f t="shared" si="18"/>
        <v>0</v>
      </c>
      <c r="BD10" s="48"/>
      <c r="BE10" s="44">
        <f t="shared" si="19"/>
        <v>0</v>
      </c>
      <c r="BF10" s="450"/>
      <c r="BG10" s="53">
        <f t="shared" si="23"/>
        <v>0</v>
      </c>
      <c r="BH10" s="53">
        <f t="shared" si="24"/>
        <v>0</v>
      </c>
    </row>
    <row r="11" spans="2:60" ht="14.4">
      <c r="B11" s="39" t="s">
        <v>346</v>
      </c>
      <c r="C11" s="38">
        <v>5</v>
      </c>
      <c r="D11" s="48"/>
      <c r="E11" s="44">
        <f t="shared" si="27"/>
        <v>0</v>
      </c>
      <c r="F11" s="48"/>
      <c r="G11" s="44">
        <f t="shared" si="28"/>
        <v>0</v>
      </c>
      <c r="H11" s="48"/>
      <c r="I11" s="44">
        <f t="shared" si="29"/>
        <v>0</v>
      </c>
      <c r="J11" s="48"/>
      <c r="K11" s="44">
        <f t="shared" si="30"/>
        <v>0</v>
      </c>
      <c r="L11" s="450"/>
      <c r="M11" s="44">
        <f t="shared" si="30"/>
        <v>0</v>
      </c>
      <c r="N11" s="450"/>
      <c r="O11" s="44">
        <f t="shared" si="30"/>
        <v>0</v>
      </c>
      <c r="P11" s="450"/>
      <c r="Q11" s="44">
        <f t="shared" si="30"/>
        <v>0</v>
      </c>
      <c r="R11" s="450"/>
      <c r="S11" s="44">
        <f t="shared" si="30"/>
        <v>0</v>
      </c>
      <c r="T11" s="450"/>
      <c r="U11" s="44">
        <f t="shared" si="30"/>
        <v>0</v>
      </c>
      <c r="V11" s="43"/>
      <c r="W11" s="44">
        <f t="shared" si="31"/>
        <v>0</v>
      </c>
      <c r="X11" s="43"/>
      <c r="Y11" s="44">
        <f t="shared" si="3"/>
        <v>0</v>
      </c>
      <c r="Z11" s="43"/>
      <c r="AA11" s="44">
        <f t="shared" si="4"/>
        <v>0</v>
      </c>
      <c r="AB11" s="43"/>
      <c r="AC11" s="44">
        <f t="shared" si="5"/>
        <v>0</v>
      </c>
      <c r="AD11" s="43"/>
      <c r="AE11" s="44">
        <f t="shared" si="6"/>
        <v>0</v>
      </c>
      <c r="AF11" s="43"/>
      <c r="AG11" s="44">
        <f t="shared" si="7"/>
        <v>0</v>
      </c>
      <c r="AH11" s="43"/>
      <c r="AI11" s="44">
        <f t="shared" si="8"/>
        <v>0</v>
      </c>
      <c r="AJ11" s="43"/>
      <c r="AK11" s="44">
        <f t="shared" si="9"/>
        <v>0</v>
      </c>
      <c r="AL11" s="43"/>
      <c r="AM11" s="44">
        <f t="shared" si="10"/>
        <v>0</v>
      </c>
      <c r="AN11" s="43"/>
      <c r="AO11" s="44">
        <f t="shared" si="11"/>
        <v>0</v>
      </c>
      <c r="AP11" s="43"/>
      <c r="AQ11" s="44">
        <f t="shared" si="12"/>
        <v>0</v>
      </c>
      <c r="AR11" s="43"/>
      <c r="AS11" s="44">
        <f t="shared" si="13"/>
        <v>0</v>
      </c>
      <c r="AT11" s="43"/>
      <c r="AU11" s="44">
        <f t="shared" si="14"/>
        <v>0</v>
      </c>
      <c r="AV11" s="43"/>
      <c r="AW11" s="44">
        <f t="shared" si="15"/>
        <v>0</v>
      </c>
      <c r="AX11" s="43"/>
      <c r="AY11" s="44">
        <f t="shared" si="16"/>
        <v>0</v>
      </c>
      <c r="AZ11" s="43"/>
      <c r="BA11" s="44">
        <f t="shared" si="17"/>
        <v>0</v>
      </c>
      <c r="BB11" s="43"/>
      <c r="BC11" s="44">
        <f t="shared" si="18"/>
        <v>0</v>
      </c>
      <c r="BD11" s="43"/>
      <c r="BE11" s="44">
        <f t="shared" si="19"/>
        <v>0</v>
      </c>
      <c r="BF11" s="450"/>
      <c r="BG11" s="53">
        <f t="shared" si="23"/>
        <v>0</v>
      </c>
      <c r="BH11" s="53">
        <f t="shared" si="24"/>
        <v>0</v>
      </c>
    </row>
    <row r="12" spans="2:60" ht="14.4">
      <c r="B12" s="40" t="s">
        <v>347</v>
      </c>
      <c r="C12" s="38">
        <v>8</v>
      </c>
      <c r="D12" s="48"/>
      <c r="E12" s="44">
        <f t="shared" si="27"/>
        <v>0</v>
      </c>
      <c r="F12" s="48"/>
      <c r="G12" s="44">
        <f t="shared" si="28"/>
        <v>0</v>
      </c>
      <c r="H12" s="48"/>
      <c r="I12" s="44">
        <f t="shared" si="29"/>
        <v>0</v>
      </c>
      <c r="J12" s="48"/>
      <c r="K12" s="44">
        <f t="shared" si="30"/>
        <v>0</v>
      </c>
      <c r="L12" s="450"/>
      <c r="M12" s="44">
        <f t="shared" si="30"/>
        <v>0</v>
      </c>
      <c r="N12" s="450"/>
      <c r="O12" s="44">
        <f t="shared" si="30"/>
        <v>0</v>
      </c>
      <c r="P12" s="450"/>
      <c r="Q12" s="44">
        <f t="shared" si="30"/>
        <v>0</v>
      </c>
      <c r="R12" s="450"/>
      <c r="S12" s="44">
        <f t="shared" si="30"/>
        <v>0</v>
      </c>
      <c r="T12" s="450"/>
      <c r="U12" s="44">
        <f t="shared" si="30"/>
        <v>0</v>
      </c>
      <c r="V12" s="43"/>
      <c r="W12" s="44">
        <f t="shared" si="31"/>
        <v>0</v>
      </c>
      <c r="X12" s="43"/>
      <c r="Y12" s="44">
        <f t="shared" si="3"/>
        <v>0</v>
      </c>
      <c r="Z12" s="43"/>
      <c r="AA12" s="44">
        <f t="shared" si="4"/>
        <v>0</v>
      </c>
      <c r="AB12" s="43"/>
      <c r="AC12" s="44">
        <f t="shared" si="5"/>
        <v>0</v>
      </c>
      <c r="AD12" s="43"/>
      <c r="AE12" s="44">
        <f t="shared" si="6"/>
        <v>0</v>
      </c>
      <c r="AF12" s="43"/>
      <c r="AG12" s="44">
        <f t="shared" si="7"/>
        <v>0</v>
      </c>
      <c r="AH12" s="43"/>
      <c r="AI12" s="44">
        <f t="shared" si="8"/>
        <v>0</v>
      </c>
      <c r="AJ12" s="43"/>
      <c r="AK12" s="44">
        <f t="shared" si="9"/>
        <v>0</v>
      </c>
      <c r="AL12" s="43"/>
      <c r="AM12" s="44">
        <f t="shared" si="10"/>
        <v>0</v>
      </c>
      <c r="AN12" s="43"/>
      <c r="AO12" s="44">
        <f t="shared" si="11"/>
        <v>0</v>
      </c>
      <c r="AP12" s="43"/>
      <c r="AQ12" s="44">
        <f t="shared" si="12"/>
        <v>0</v>
      </c>
      <c r="AR12" s="43"/>
      <c r="AS12" s="44">
        <f t="shared" si="13"/>
        <v>0</v>
      </c>
      <c r="AT12" s="43"/>
      <c r="AU12" s="44">
        <f t="shared" si="14"/>
        <v>0</v>
      </c>
      <c r="AV12" s="43"/>
      <c r="AW12" s="44">
        <f t="shared" si="15"/>
        <v>0</v>
      </c>
      <c r="AX12" s="43"/>
      <c r="AY12" s="44">
        <f t="shared" si="16"/>
        <v>0</v>
      </c>
      <c r="AZ12" s="43"/>
      <c r="BA12" s="44">
        <f t="shared" si="17"/>
        <v>0</v>
      </c>
      <c r="BB12" s="43"/>
      <c r="BC12" s="44">
        <f t="shared" si="18"/>
        <v>0</v>
      </c>
      <c r="BD12" s="43"/>
      <c r="BE12" s="44">
        <f t="shared" si="19"/>
        <v>0</v>
      </c>
      <c r="BF12" s="450"/>
      <c r="BG12" s="53">
        <f t="shared" si="23"/>
        <v>0</v>
      </c>
      <c r="BH12" s="53">
        <f t="shared" si="24"/>
        <v>0</v>
      </c>
    </row>
    <row r="13" spans="2:60" ht="14.4">
      <c r="B13" s="39" t="s">
        <v>348</v>
      </c>
      <c r="C13" s="38">
        <v>17.50</v>
      </c>
      <c r="D13" s="48"/>
      <c r="E13" s="44">
        <f t="shared" si="27"/>
        <v>0</v>
      </c>
      <c r="F13" s="48"/>
      <c r="G13" s="44">
        <f t="shared" si="28"/>
        <v>0</v>
      </c>
      <c r="H13" s="48"/>
      <c r="I13" s="44">
        <f t="shared" si="29"/>
        <v>0</v>
      </c>
      <c r="J13" s="48"/>
      <c r="K13" s="44">
        <f t="shared" si="30"/>
        <v>0</v>
      </c>
      <c r="L13" s="450"/>
      <c r="M13" s="44">
        <f t="shared" si="30"/>
        <v>0</v>
      </c>
      <c r="N13" s="450"/>
      <c r="O13" s="44">
        <f t="shared" si="30"/>
        <v>0</v>
      </c>
      <c r="P13" s="450"/>
      <c r="Q13" s="44">
        <f t="shared" si="30"/>
        <v>0</v>
      </c>
      <c r="R13" s="450"/>
      <c r="S13" s="44">
        <f t="shared" si="30"/>
        <v>0</v>
      </c>
      <c r="T13" s="450"/>
      <c r="U13" s="44">
        <f t="shared" si="30"/>
        <v>0</v>
      </c>
      <c r="V13" s="43"/>
      <c r="W13" s="44">
        <f t="shared" si="31"/>
        <v>0</v>
      </c>
      <c r="X13" s="43"/>
      <c r="Y13" s="44">
        <f t="shared" si="3"/>
        <v>0</v>
      </c>
      <c r="Z13" s="43"/>
      <c r="AA13" s="44">
        <f t="shared" si="4"/>
        <v>0</v>
      </c>
      <c r="AB13" s="43"/>
      <c r="AC13" s="44">
        <f t="shared" si="5"/>
        <v>0</v>
      </c>
      <c r="AD13" s="43"/>
      <c r="AE13" s="44">
        <f t="shared" si="6"/>
        <v>0</v>
      </c>
      <c r="AF13" s="43"/>
      <c r="AG13" s="44">
        <f t="shared" si="7"/>
        <v>0</v>
      </c>
      <c r="AH13" s="43"/>
      <c r="AI13" s="44">
        <f t="shared" si="8"/>
        <v>0</v>
      </c>
      <c r="AJ13" s="43"/>
      <c r="AK13" s="44">
        <f t="shared" si="9"/>
        <v>0</v>
      </c>
      <c r="AL13" s="43"/>
      <c r="AM13" s="44">
        <f t="shared" si="10"/>
        <v>0</v>
      </c>
      <c r="AN13" s="43"/>
      <c r="AO13" s="44">
        <f t="shared" si="11"/>
        <v>0</v>
      </c>
      <c r="AP13" s="43"/>
      <c r="AQ13" s="44">
        <f t="shared" si="12"/>
        <v>0</v>
      </c>
      <c r="AR13" s="43"/>
      <c r="AS13" s="44">
        <f t="shared" si="13"/>
        <v>0</v>
      </c>
      <c r="AT13" s="43"/>
      <c r="AU13" s="44">
        <f t="shared" si="14"/>
        <v>0</v>
      </c>
      <c r="AV13" s="43"/>
      <c r="AW13" s="44">
        <f t="shared" si="15"/>
        <v>0</v>
      </c>
      <c r="AX13" s="43"/>
      <c r="AY13" s="44">
        <f t="shared" si="16"/>
        <v>0</v>
      </c>
      <c r="AZ13" s="43"/>
      <c r="BA13" s="44">
        <f t="shared" si="17"/>
        <v>0</v>
      </c>
      <c r="BB13" s="43"/>
      <c r="BC13" s="44">
        <f t="shared" si="18"/>
        <v>0</v>
      </c>
      <c r="BD13" s="43"/>
      <c r="BE13" s="44">
        <f t="shared" si="19"/>
        <v>0</v>
      </c>
      <c r="BF13" s="450"/>
      <c r="BG13" s="53">
        <f t="shared" si="23"/>
        <v>0</v>
      </c>
      <c r="BH13" s="53">
        <f t="shared" si="24"/>
        <v>0</v>
      </c>
    </row>
    <row r="14" spans="3:58" ht="14.4">
      <c r="C14" s="38"/>
      <c r="D14" s="49"/>
      <c r="E14" s="46"/>
      <c r="F14" s="45"/>
      <c r="G14" s="46"/>
      <c r="H14" s="49"/>
      <c r="I14" s="46"/>
      <c r="J14" s="49"/>
      <c r="K14" s="46"/>
      <c r="L14" s="450"/>
      <c r="M14" s="46"/>
      <c r="N14" s="450"/>
      <c r="O14" s="46"/>
      <c r="P14" s="450"/>
      <c r="Q14" s="46"/>
      <c r="R14" s="450"/>
      <c r="S14" s="46"/>
      <c r="T14" s="450"/>
      <c r="U14" s="46"/>
      <c r="V14" s="43"/>
      <c r="W14" s="44"/>
      <c r="X14" s="43"/>
      <c r="Y14" s="44"/>
      <c r="Z14" s="43"/>
      <c r="AA14" s="44"/>
      <c r="AB14" s="43"/>
      <c r="AC14" s="44"/>
      <c r="AD14" s="43"/>
      <c r="AE14" s="44"/>
      <c r="AF14" s="43"/>
      <c r="AG14" s="44"/>
      <c r="AH14" s="43"/>
      <c r="AI14" s="44"/>
      <c r="AJ14" s="43"/>
      <c r="AK14" s="44"/>
      <c r="AL14" s="43"/>
      <c r="AM14" s="44"/>
      <c r="AN14" s="43"/>
      <c r="AO14" s="44"/>
      <c r="AP14" s="43"/>
      <c r="AQ14" s="44"/>
      <c r="AR14" s="43"/>
      <c r="AS14" s="44"/>
      <c r="AT14" s="43"/>
      <c r="AU14" s="44"/>
      <c r="AV14" s="43"/>
      <c r="AW14" s="44"/>
      <c r="AX14" s="43"/>
      <c r="AY14" s="44"/>
      <c r="AZ14" s="43"/>
      <c r="BA14" s="44"/>
      <c r="BB14" s="43"/>
      <c r="BC14" s="44"/>
      <c r="BD14" s="43"/>
      <c r="BE14" s="44"/>
      <c r="BF14" s="450"/>
    </row>
    <row r="15" spans="3:59" ht="14.4">
      <c r="C15" s="38"/>
      <c r="D15" s="52">
        <f t="shared" si="32" ref="D15:AI15">SUM(D6:D14)</f>
        <v>860</v>
      </c>
      <c r="E15" s="51">
        <f t="shared" si="32"/>
        <v>860</v>
      </c>
      <c r="F15" s="37">
        <f t="shared" si="32"/>
        <v>17</v>
      </c>
      <c r="G15" s="37">
        <f t="shared" si="32"/>
        <v>17</v>
      </c>
      <c r="H15" s="52">
        <f t="shared" si="32"/>
        <v>17</v>
      </c>
      <c r="I15" s="51">
        <f t="shared" si="32"/>
        <v>17</v>
      </c>
      <c r="J15" s="37">
        <f t="shared" si="32"/>
        <v>17</v>
      </c>
      <c r="K15" s="37">
        <f t="shared" si="32"/>
        <v>17</v>
      </c>
      <c r="L15" s="37">
        <f t="shared" si="32"/>
        <v>17</v>
      </c>
      <c r="M15" s="37">
        <f t="shared" si="32"/>
        <v>17</v>
      </c>
      <c r="N15" s="37">
        <f t="shared" si="32"/>
        <v>17</v>
      </c>
      <c r="O15" s="37">
        <f t="shared" si="32"/>
        <v>17</v>
      </c>
      <c r="P15" s="37">
        <f t="shared" si="32"/>
        <v>17</v>
      </c>
      <c r="Q15" s="37">
        <f t="shared" si="32"/>
        <v>17</v>
      </c>
      <c r="R15" s="37">
        <f t="shared" si="32"/>
        <v>17</v>
      </c>
      <c r="S15" s="37">
        <f t="shared" si="32"/>
        <v>17</v>
      </c>
      <c r="T15" s="37">
        <f t="shared" si="32"/>
        <v>17</v>
      </c>
      <c r="U15" s="37">
        <f t="shared" si="32"/>
        <v>17</v>
      </c>
      <c r="V15" s="52">
        <f t="shared" si="32"/>
        <v>17</v>
      </c>
      <c r="W15" s="51">
        <f t="shared" si="32"/>
        <v>17</v>
      </c>
      <c r="X15" s="52">
        <f t="shared" si="32"/>
        <v>17</v>
      </c>
      <c r="Y15" s="51">
        <f t="shared" si="32"/>
        <v>17</v>
      </c>
      <c r="Z15" s="52">
        <f t="shared" si="32"/>
        <v>17</v>
      </c>
      <c r="AA15" s="51">
        <f t="shared" si="32"/>
        <v>17</v>
      </c>
      <c r="AB15" s="52">
        <f t="shared" si="32"/>
        <v>17</v>
      </c>
      <c r="AC15" s="51">
        <f t="shared" si="32"/>
        <v>17</v>
      </c>
      <c r="AD15" s="52">
        <f t="shared" si="32"/>
        <v>17</v>
      </c>
      <c r="AE15" s="51">
        <f t="shared" si="32"/>
        <v>17</v>
      </c>
      <c r="AF15" s="52">
        <f t="shared" si="32"/>
        <v>17</v>
      </c>
      <c r="AG15" s="51">
        <f t="shared" si="32"/>
        <v>17</v>
      </c>
      <c r="AH15" s="52">
        <f t="shared" si="32"/>
        <v>17</v>
      </c>
      <c r="AI15" s="51">
        <f t="shared" si="32"/>
        <v>17</v>
      </c>
      <c r="AJ15" s="52">
        <f t="shared" si="33" ref="AJ15:BE15">SUM(AJ6:AJ14)</f>
        <v>17</v>
      </c>
      <c r="AK15" s="51">
        <f t="shared" si="33"/>
        <v>17</v>
      </c>
      <c r="AL15" s="52">
        <f t="shared" si="33"/>
        <v>17</v>
      </c>
      <c r="AM15" s="51">
        <f t="shared" si="33"/>
        <v>17</v>
      </c>
      <c r="AN15" s="52">
        <f t="shared" si="33"/>
        <v>17</v>
      </c>
      <c r="AO15" s="51">
        <f t="shared" si="33"/>
        <v>17</v>
      </c>
      <c r="AP15" s="52">
        <f t="shared" si="33"/>
        <v>17</v>
      </c>
      <c r="AQ15" s="51">
        <f t="shared" si="33"/>
        <v>17</v>
      </c>
      <c r="AR15" s="52">
        <f t="shared" si="33"/>
        <v>17</v>
      </c>
      <c r="AS15" s="51">
        <f t="shared" si="33"/>
        <v>17</v>
      </c>
      <c r="AT15" s="52">
        <f t="shared" si="33"/>
        <v>17</v>
      </c>
      <c r="AU15" s="51">
        <f t="shared" si="33"/>
        <v>17</v>
      </c>
      <c r="AV15" s="52">
        <f t="shared" si="33"/>
        <v>17</v>
      </c>
      <c r="AW15" s="51">
        <f t="shared" si="33"/>
        <v>17</v>
      </c>
      <c r="AX15" s="52">
        <f t="shared" si="33"/>
        <v>14</v>
      </c>
      <c r="AY15" s="51">
        <f t="shared" si="33"/>
        <v>14</v>
      </c>
      <c r="AZ15" s="52">
        <f t="shared" si="33"/>
        <v>0</v>
      </c>
      <c r="BA15" s="51">
        <f t="shared" si="33"/>
        <v>0</v>
      </c>
      <c r="BB15" s="52">
        <f t="shared" si="33"/>
        <v>0</v>
      </c>
      <c r="BC15" s="51">
        <f t="shared" si="33"/>
        <v>0</v>
      </c>
      <c r="BD15" s="52">
        <f t="shared" si="33"/>
        <v>0</v>
      </c>
      <c r="BE15" s="51">
        <f t="shared" si="33"/>
        <v>0</v>
      </c>
      <c r="BF15" s="450"/>
      <c r="BG15" s="43"/>
    </row>
    <row r="16" spans="4:60" ht="14.4">
      <c r="D16" s="53">
        <f>+D15</f>
        <v>860</v>
      </c>
      <c r="E16" s="53">
        <f>+E15</f>
        <v>860</v>
      </c>
      <c r="F16" s="53">
        <f t="shared" si="34" ref="F16:K16">+F15+D16</f>
        <v>877</v>
      </c>
      <c r="G16" s="53">
        <f t="shared" si="34"/>
        <v>877</v>
      </c>
      <c r="H16" s="53">
        <f t="shared" si="34"/>
        <v>894</v>
      </c>
      <c r="I16" s="53">
        <f t="shared" si="34"/>
        <v>894</v>
      </c>
      <c r="J16" s="53">
        <f t="shared" si="34"/>
        <v>911</v>
      </c>
      <c r="K16" s="53">
        <f t="shared" si="34"/>
        <v>911</v>
      </c>
      <c r="L16" s="53">
        <f t="shared" si="35" ref="L16">+L15+J16</f>
        <v>928</v>
      </c>
      <c r="M16" s="53">
        <f t="shared" si="36" ref="M16">+M15+K16</f>
        <v>928</v>
      </c>
      <c r="N16" s="53">
        <f t="shared" si="37" ref="N16">+N15+L16</f>
        <v>945</v>
      </c>
      <c r="O16" s="53">
        <f t="shared" si="38" ref="O16">+O15+M16</f>
        <v>945</v>
      </c>
      <c r="P16" s="53">
        <f t="shared" si="39" ref="P16">+P15+N16</f>
        <v>962</v>
      </c>
      <c r="Q16" s="53">
        <f t="shared" si="40" ref="Q16">+Q15+O16</f>
        <v>962</v>
      </c>
      <c r="R16" s="53">
        <f t="shared" si="41" ref="R16">+R15+P16</f>
        <v>979</v>
      </c>
      <c r="S16" s="53">
        <f t="shared" si="42" ref="S16">+S15+Q16</f>
        <v>979</v>
      </c>
      <c r="T16" s="53">
        <f t="shared" si="43" ref="T16">+T15+R16</f>
        <v>996</v>
      </c>
      <c r="U16" s="53">
        <f t="shared" si="44" ref="U16">+U15+S16</f>
        <v>996</v>
      </c>
      <c r="V16" s="53">
        <f t="shared" si="45" ref="V16">+V15+T16</f>
        <v>1013</v>
      </c>
      <c r="W16" s="53">
        <f t="shared" si="46" ref="W16">+W15+U16</f>
        <v>1013</v>
      </c>
      <c r="X16" s="53">
        <f t="shared" si="47" ref="X16">+X15+V16</f>
        <v>1030</v>
      </c>
      <c r="Y16" s="53">
        <f t="shared" si="48" ref="Y16">+Y15+W16</f>
        <v>1030</v>
      </c>
      <c r="Z16" s="53">
        <f t="shared" si="49" ref="Z16">+Z15+X16</f>
        <v>1047</v>
      </c>
      <c r="AA16" s="53">
        <f t="shared" si="50" ref="AA16">+AA15+Y16</f>
        <v>1047</v>
      </c>
      <c r="AB16" s="53">
        <f t="shared" si="51" ref="AB16">+AB15+Z16</f>
        <v>1064</v>
      </c>
      <c r="AC16" s="53">
        <f t="shared" si="52" ref="AC16">+AC15+AA16</f>
        <v>1064</v>
      </c>
      <c r="AD16" s="53">
        <f t="shared" si="53" ref="AD16">+AD15+AB16</f>
        <v>1081</v>
      </c>
      <c r="AE16" s="53">
        <f t="shared" si="54" ref="AE16">+AE15+AC16</f>
        <v>1081</v>
      </c>
      <c r="AF16" s="53">
        <f t="shared" si="55" ref="AF16">+AF15+AD16</f>
        <v>1098</v>
      </c>
      <c r="AG16" s="53">
        <f t="shared" si="56" ref="AG16">+AG15+AE16</f>
        <v>1098</v>
      </c>
      <c r="AH16" s="53">
        <f t="shared" si="57" ref="AH16">+AH15+AF16</f>
        <v>1115</v>
      </c>
      <c r="AI16" s="53">
        <f t="shared" si="58" ref="AI16">+AI15+AG16</f>
        <v>1115</v>
      </c>
      <c r="AJ16" s="53">
        <f t="shared" si="59" ref="AJ16">+AJ15+AH16</f>
        <v>1132</v>
      </c>
      <c r="AK16" s="53">
        <f t="shared" si="60" ref="AK16">+AK15+AI16</f>
        <v>1132</v>
      </c>
      <c r="AL16" s="53">
        <f t="shared" si="61" ref="AL16">+AL15+AJ16</f>
        <v>1149</v>
      </c>
      <c r="AM16" s="53">
        <f t="shared" si="62" ref="AM16">+AM15+AK16</f>
        <v>1149</v>
      </c>
      <c r="AN16" s="53">
        <f t="shared" si="63" ref="AN16">+AN15+AL16</f>
        <v>1166</v>
      </c>
      <c r="AO16" s="53">
        <f t="shared" si="64" ref="AO16">+AO15+AM16</f>
        <v>1166</v>
      </c>
      <c r="AP16" s="53">
        <f t="shared" si="65" ref="AP16">+AP15+AN16</f>
        <v>1183</v>
      </c>
      <c r="AQ16" s="53">
        <f t="shared" si="66" ref="AQ16">+AQ15+AO16</f>
        <v>1183</v>
      </c>
      <c r="AR16" s="53">
        <f t="shared" si="67" ref="AR16">+AR15+AP16</f>
        <v>1200</v>
      </c>
      <c r="AS16" s="53">
        <f t="shared" si="68" ref="AS16">+AS15+AQ16</f>
        <v>1200</v>
      </c>
      <c r="AT16" s="53">
        <f t="shared" si="69" ref="AT16">+AT15+AR16</f>
        <v>1217</v>
      </c>
      <c r="AU16" s="53">
        <f t="shared" si="70" ref="AU16">+AU15+AS16</f>
        <v>1217</v>
      </c>
      <c r="AV16" s="53">
        <f t="shared" si="71" ref="AV16">+AV15+AT16</f>
        <v>1234</v>
      </c>
      <c r="AW16" s="53">
        <f t="shared" si="72" ref="AW16">+AW15+AU16</f>
        <v>1234</v>
      </c>
      <c r="AX16" s="53">
        <f t="shared" si="73" ref="AX16">+AX15+AV16</f>
        <v>1248</v>
      </c>
      <c r="AY16" s="53">
        <f t="shared" si="74" ref="AY16">+AY15+AW16</f>
        <v>1248</v>
      </c>
      <c r="AZ16" s="53">
        <f t="shared" si="75" ref="AZ16">+AZ15+AX16</f>
        <v>1248</v>
      </c>
      <c r="BA16" s="53">
        <f t="shared" si="76" ref="BA16">+BA15+AY16</f>
        <v>1248</v>
      </c>
      <c r="BB16" s="53">
        <f t="shared" si="77" ref="BB16">+BB15+AZ16</f>
        <v>1248</v>
      </c>
      <c r="BC16" s="53">
        <f t="shared" si="78" ref="BC16">+BC15+BA16</f>
        <v>1248</v>
      </c>
      <c r="BD16" s="53">
        <f t="shared" si="79" ref="BD16">+BD15+BB16</f>
        <v>1248</v>
      </c>
      <c r="BE16" s="53">
        <f t="shared" si="80" ref="BE16">+BE15+BC16</f>
        <v>1248</v>
      </c>
      <c r="BF16" s="53"/>
      <c r="BG16" s="53">
        <f>SUM(BG6:BG15)</f>
        <v>1248</v>
      </c>
      <c r="BH16" s="53">
        <f>SUM(BH6:BH15)</f>
        <v>1248</v>
      </c>
    </row>
    <row r="17" spans="59:60" ht="14.4">
      <c r="BG17" s="36">
        <v>810</v>
      </c>
      <c r="BH17" s="460" t="s">
        <v>540</v>
      </c>
    </row>
    <row r="18" spans="59:60" ht="14.4">
      <c r="BG18" s="53">
        <f>+BG16-BG17</f>
        <v>438</v>
      </c>
      <c r="BH18" s="460" t="s">
        <v>541</v>
      </c>
    </row>
    <row r="19" ht="14.4">
      <c r="B19" s="101"/>
    </row>
    <row r="21" spans="11:21" ht="14.4"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</row>
    <row r="23" spans="22:60" ht="14.4">
      <c r="V23" s="433"/>
      <c r="X23" s="36">
        <f>1248*0.8</f>
        <v>998.40000000000009</v>
      </c>
      <c r="BH23" s="53"/>
    </row>
  </sheetData>
  <mergeCells count="1">
    <mergeCell ref="BG4:BH4"/>
  </mergeCells>
  <printOptions horizontalCentered="1"/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G21"/>
  <sheetViews>
    <sheetView workbookViewId="0" topLeftCell="A1"/>
  </sheetViews>
  <sheetFormatPr defaultColWidth="9" defaultRowHeight="15"/>
  <cols>
    <col min="1" max="1" width="9.125" style="279" bestFit="1" customWidth="1"/>
    <col min="2" max="2" width="11.5" style="279" customWidth="1"/>
    <col min="3" max="3" width="19.5" style="279" customWidth="1"/>
    <col min="4" max="4" width="18.75" style="279" customWidth="1"/>
    <col min="5" max="5" width="10.25" style="279" customWidth="1"/>
    <col min="6" max="6" width="13.625" style="279" customWidth="1"/>
    <col min="7" max="7" width="12.375" style="279" customWidth="1"/>
    <col min="8" max="16384" width="9" style="279"/>
  </cols>
  <sheetData>
    <row r="1" spans="1:2" ht="18">
      <c r="A1" s="278" t="str">
        <f>+'Cost of Capital'!A2:K2</f>
        <v>Environmental Utilities, LLC</v>
      </c>
      <c r="B1" s="278"/>
    </row>
    <row r="2" spans="1:2" ht="18">
      <c r="A2" s="278" t="s">
        <v>288</v>
      </c>
      <c r="B2" s="278"/>
    </row>
    <row r="3" ht="15" thickBot="1"/>
    <row r="4" spans="1:7" ht="15" thickBot="1">
      <c r="A4" s="280" t="s">
        <v>116</v>
      </c>
      <c r="B4" s="281" t="s">
        <v>287</v>
      </c>
      <c r="C4" s="282" t="s">
        <v>286</v>
      </c>
      <c r="D4" s="282" t="s">
        <v>285</v>
      </c>
      <c r="E4" s="282" t="s">
        <v>284</v>
      </c>
      <c r="F4" s="282" t="s">
        <v>283</v>
      </c>
      <c r="G4" s="283" t="s">
        <v>282</v>
      </c>
    </row>
    <row r="5" spans="1:7" ht="14.4">
      <c r="A5" s="284"/>
      <c r="B5" s="285"/>
      <c r="C5" s="286"/>
      <c r="D5" s="286"/>
      <c r="E5" s="286"/>
      <c r="F5" s="286"/>
      <c r="G5" s="287"/>
    </row>
    <row r="6" spans="1:7" ht="14.4">
      <c r="A6" s="284" t="s">
        <v>280</v>
      </c>
      <c r="B6" s="285" t="s">
        <v>281</v>
      </c>
      <c r="C6" s="286" t="s">
        <v>278</v>
      </c>
      <c r="D6" s="288"/>
      <c r="E6" s="288"/>
      <c r="F6" s="289" t="s">
        <v>413</v>
      </c>
      <c r="G6" s="290">
        <f t="shared" si="0" ref="G6:G17">SUM(D6:F6)</f>
        <v>0</v>
      </c>
    </row>
    <row r="7" spans="1:7" ht="14.4">
      <c r="A7" s="291" t="s">
        <v>279</v>
      </c>
      <c r="B7" s="285" t="s">
        <v>281</v>
      </c>
      <c r="C7" s="292" t="s">
        <v>278</v>
      </c>
      <c r="D7" s="293"/>
      <c r="E7" s="293"/>
      <c r="F7" s="293"/>
      <c r="G7" s="294">
        <f t="shared" si="0"/>
        <v>0</v>
      </c>
    </row>
    <row r="8" spans="1:7" ht="14.4">
      <c r="A8" s="291" t="s">
        <v>112</v>
      </c>
      <c r="B8" s="285" t="s">
        <v>281</v>
      </c>
      <c r="C8" s="292" t="s">
        <v>278</v>
      </c>
      <c r="D8" s="293"/>
      <c r="E8" s="293"/>
      <c r="F8" s="293"/>
      <c r="G8" s="294">
        <f t="shared" si="0"/>
        <v>0</v>
      </c>
    </row>
    <row r="9" spans="1:7" ht="14.4">
      <c r="A9" s="284" t="s">
        <v>280</v>
      </c>
      <c r="B9" s="285" t="s">
        <v>274</v>
      </c>
      <c r="C9" s="286" t="s">
        <v>278</v>
      </c>
      <c r="D9" s="292" t="s">
        <v>272</v>
      </c>
      <c r="E9" s="288"/>
      <c r="F9" s="293"/>
      <c r="G9" s="294">
        <f t="shared" si="0"/>
        <v>0</v>
      </c>
    </row>
    <row r="10" spans="1:7" ht="14.4">
      <c r="A10" s="291" t="s">
        <v>279</v>
      </c>
      <c r="B10" s="285" t="s">
        <v>274</v>
      </c>
      <c r="C10" s="292" t="s">
        <v>278</v>
      </c>
      <c r="D10" s="292" t="s">
        <v>272</v>
      </c>
      <c r="E10" s="293"/>
      <c r="F10" s="293"/>
      <c r="G10" s="294">
        <f t="shared" si="0"/>
        <v>0</v>
      </c>
    </row>
    <row r="11" spans="1:7" ht="14.4">
      <c r="A11" s="291" t="s">
        <v>112</v>
      </c>
      <c r="B11" s="285" t="s">
        <v>274</v>
      </c>
      <c r="C11" s="292" t="s">
        <v>278</v>
      </c>
      <c r="D11" s="292" t="s">
        <v>272</v>
      </c>
      <c r="E11" s="293"/>
      <c r="F11" s="293"/>
      <c r="G11" s="294">
        <f t="shared" si="0"/>
        <v>0</v>
      </c>
    </row>
    <row r="12" spans="1:7" ht="14.4">
      <c r="A12" s="291" t="s">
        <v>113</v>
      </c>
      <c r="B12" s="285" t="s">
        <v>274</v>
      </c>
      <c r="C12" s="292" t="s">
        <v>273</v>
      </c>
      <c r="D12" s="292" t="s">
        <v>272</v>
      </c>
      <c r="E12" s="293"/>
      <c r="F12" s="293"/>
      <c r="G12" s="294">
        <f t="shared" si="0"/>
        <v>0</v>
      </c>
    </row>
    <row r="13" spans="1:7" ht="14.4">
      <c r="A13" s="291" t="s">
        <v>114</v>
      </c>
      <c r="B13" s="285" t="s">
        <v>274</v>
      </c>
      <c r="C13" s="292" t="s">
        <v>273</v>
      </c>
      <c r="D13" s="292" t="s">
        <v>272</v>
      </c>
      <c r="E13" s="293"/>
      <c r="F13" s="293"/>
      <c r="G13" s="294">
        <f t="shared" si="0"/>
        <v>0</v>
      </c>
    </row>
    <row r="14" spans="1:7" ht="14.4">
      <c r="A14" s="291" t="s">
        <v>115</v>
      </c>
      <c r="B14" s="285" t="s">
        <v>274</v>
      </c>
      <c r="C14" s="292" t="s">
        <v>273</v>
      </c>
      <c r="D14" s="292" t="s">
        <v>272</v>
      </c>
      <c r="E14" s="293"/>
      <c r="F14" s="293"/>
      <c r="G14" s="294">
        <f t="shared" si="0"/>
        <v>0</v>
      </c>
    </row>
    <row r="15" spans="1:7" ht="14.4">
      <c r="A15" s="291" t="s">
        <v>277</v>
      </c>
      <c r="B15" s="285" t="s">
        <v>274</v>
      </c>
      <c r="C15" s="292" t="s">
        <v>273</v>
      </c>
      <c r="D15" s="292" t="s">
        <v>272</v>
      </c>
      <c r="E15" s="293"/>
      <c r="F15" s="293"/>
      <c r="G15" s="294">
        <f t="shared" si="0"/>
        <v>0</v>
      </c>
    </row>
    <row r="16" spans="1:7" ht="14.4">
      <c r="A16" s="291" t="s">
        <v>276</v>
      </c>
      <c r="B16" s="285" t="s">
        <v>274</v>
      </c>
      <c r="C16" s="292" t="s">
        <v>273</v>
      </c>
      <c r="D16" s="292" t="s">
        <v>272</v>
      </c>
      <c r="E16" s="293"/>
      <c r="F16" s="293"/>
      <c r="G16" s="294">
        <f t="shared" si="0"/>
        <v>0</v>
      </c>
    </row>
    <row r="17" spans="1:7" ht="14.4">
      <c r="A17" s="291" t="s">
        <v>275</v>
      </c>
      <c r="B17" s="285" t="s">
        <v>274</v>
      </c>
      <c r="C17" s="292" t="s">
        <v>273</v>
      </c>
      <c r="D17" s="292" t="s">
        <v>272</v>
      </c>
      <c r="E17" s="293"/>
      <c r="F17" s="293"/>
      <c r="G17" s="294">
        <f t="shared" si="0"/>
        <v>0</v>
      </c>
    </row>
    <row r="18" spans="1:7" ht="14.4">
      <c r="A18" s="295"/>
      <c r="F18" s="296"/>
      <c r="G18" s="297"/>
    </row>
    <row r="19" spans="1:7" ht="14.4">
      <c r="A19" s="298" t="s">
        <v>271</v>
      </c>
      <c r="B19" s="299"/>
      <c r="G19" s="300"/>
    </row>
    <row r="20" spans="1:7" ht="14.4">
      <c r="A20" s="295" t="s">
        <v>270</v>
      </c>
      <c r="G20" s="300"/>
    </row>
    <row r="21" spans="1:7" ht="15" thickBot="1">
      <c r="A21" s="301" t="s">
        <v>269</v>
      </c>
      <c r="B21" s="302"/>
      <c r="C21" s="303"/>
      <c r="D21" s="303"/>
      <c r="E21" s="303"/>
      <c r="F21" s="303"/>
      <c r="G21" s="304"/>
    </row>
  </sheetData>
  <printOptions horizontalCentered="1"/>
  <pageMargins left="0.7" right="0.7" top="0.75" bottom="0.75" header="0.3" footer="0.3"/>
  <pageSetup orientation="portrait" scale="87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29"/>
  <sheetViews>
    <sheetView workbookViewId="0" topLeftCell="A1"/>
  </sheetViews>
  <sheetFormatPr defaultColWidth="8.69921875" defaultRowHeight="14.25"/>
  <cols>
    <col min="1" max="1" width="4.125" style="2" customWidth="1"/>
    <col min="2" max="2" width="5.25" style="3" customWidth="1"/>
    <col min="3" max="3" width="44.75" style="2" customWidth="1"/>
    <col min="4" max="4" width="13.375" style="2" customWidth="1"/>
    <col min="5" max="16384" width="8.75" style="2"/>
  </cols>
  <sheetData>
    <row r="1" spans="2:4" s="24" customFormat="1" ht="13.8">
      <c r="B1" s="14"/>
      <c r="D1" s="25" t="s">
        <v>267</v>
      </c>
    </row>
    <row r="2" spans="2:4" s="24" customFormat="1" ht="13.8">
      <c r="B2" s="14"/>
      <c r="D2" s="25"/>
    </row>
    <row r="3" spans="1:5" s="24" customFormat="1" ht="13.8">
      <c r="A3" s="12" t="str">
        <f>+'Schedule No. 7 WW Support'!B4</f>
        <v>Environmental Utilities, LLC</v>
      </c>
      <c r="B3" s="12"/>
      <c r="C3" s="12"/>
      <c r="D3" s="12"/>
      <c r="E3" s="12"/>
    </row>
    <row r="4" spans="1:5" s="24" customFormat="1" ht="13.8">
      <c r="A4" s="12" t="s">
        <v>16</v>
      </c>
      <c r="B4" s="12"/>
      <c r="C4" s="12"/>
      <c r="D4" s="12"/>
      <c r="E4" s="12"/>
    </row>
    <row r="5" spans="1:5" s="24" customFormat="1" ht="13.8">
      <c r="A5" s="12" t="s">
        <v>243</v>
      </c>
      <c r="B5" s="12"/>
      <c r="C5" s="12"/>
      <c r="D5" s="12"/>
      <c r="E5" s="12"/>
    </row>
    <row r="6" spans="1:2" s="24" customFormat="1" ht="13.8">
      <c r="A6" s="14"/>
      <c r="B6" s="14"/>
    </row>
    <row r="7" spans="1:5" s="24" customFormat="1" ht="13.8">
      <c r="A7" s="14" t="s">
        <v>254</v>
      </c>
      <c r="B7" s="14"/>
      <c r="E7" s="14"/>
    </row>
    <row r="8" spans="1:4" s="24" customFormat="1" ht="13.8">
      <c r="A8" s="130" t="s">
        <v>0</v>
      </c>
      <c r="B8" s="120"/>
      <c r="C8" s="120" t="s">
        <v>1</v>
      </c>
      <c r="D8" s="120" t="s">
        <v>145</v>
      </c>
    </row>
    <row r="9" spans="1:4" ht="13.8">
      <c r="A9" s="2">
        <v>1</v>
      </c>
      <c r="B9" s="114" t="s">
        <v>244</v>
      </c>
      <c r="C9" s="2" t="s">
        <v>137</v>
      </c>
      <c r="D9" s="6"/>
    </row>
    <row r="10" spans="1:4" ht="28.2" thickBot="1">
      <c r="A10" s="2">
        <f>+A9+1</f>
        <v>2</v>
      </c>
      <c r="B10" s="444">
        <f>+'Cost of Capital'!K21</f>
        <v>0.037400000000000003</v>
      </c>
      <c r="C10" s="193" t="s">
        <v>452</v>
      </c>
      <c r="D10" s="27">
        <f>+'Sewer Rev Requirements '!C31</f>
        <v>2142156.5496202363</v>
      </c>
    </row>
    <row r="11" spans="1:4" ht="14.4" thickTop="1">
      <c r="A11" s="2">
        <f t="shared" si="0" ref="A11:A23">+A10+1</f>
        <v>3</v>
      </c>
      <c r="C11" s="112"/>
      <c r="D11" s="6"/>
    </row>
    <row r="12" spans="1:4" ht="13.8">
      <c r="A12" s="2">
        <f t="shared" si="0"/>
        <v>4</v>
      </c>
      <c r="B12" s="114" t="s">
        <v>245</v>
      </c>
      <c r="C12" s="2" t="s">
        <v>199</v>
      </c>
      <c r="D12" s="6"/>
    </row>
    <row r="13" spans="1:8" ht="13.8">
      <c r="A13" s="2">
        <f t="shared" si="0"/>
        <v>5</v>
      </c>
      <c r="C13" s="116" t="s">
        <v>248</v>
      </c>
      <c r="D13" s="7">
        <f>+'Schedule 1 Rate Base'!F11+'Schedule 1 Rate Base'!F12</f>
        <v>15226186.900000002</v>
      </c>
      <c r="H13" s="145" t="s">
        <v>597</v>
      </c>
    </row>
    <row r="14" spans="1:9" ht="13.8">
      <c r="A14" s="2">
        <f t="shared" si="0"/>
        <v>6</v>
      </c>
      <c r="C14" s="111" t="s">
        <v>246</v>
      </c>
      <c r="D14" s="182">
        <f>+H17</f>
        <v>14.2897</v>
      </c>
      <c r="H14" s="2">
        <f>4.9446+1.2654+0.0907+0.2</f>
        <v>6.500700000000001</v>
      </c>
      <c r="I14" s="2" t="s">
        <v>589</v>
      </c>
    </row>
    <row r="15" spans="1:9" ht="13.8">
      <c r="A15" s="2">
        <f t="shared" si="0"/>
        <v>7</v>
      </c>
      <c r="C15" s="111" t="s">
        <v>247</v>
      </c>
      <c r="D15" s="119">
        <f>ROUND((D13/1000)*D14,4)</f>
        <v>217577.64290000001</v>
      </c>
      <c r="H15" s="2">
        <v>1.4410000000000001</v>
      </c>
      <c r="I15" s="2" t="s">
        <v>591</v>
      </c>
    </row>
    <row r="16" spans="1:9" ht="13.8">
      <c r="A16" s="2">
        <f t="shared" si="0"/>
        <v>8</v>
      </c>
      <c r="D16" s="6"/>
      <c r="H16" s="2">
        <v>6.3479999999999999</v>
      </c>
      <c r="I16" s="2" t="s">
        <v>590</v>
      </c>
    </row>
    <row r="17" spans="1:8" ht="14.4" thickBot="1">
      <c r="A17" s="2">
        <f t="shared" si="0"/>
        <v>9</v>
      </c>
      <c r="C17" s="118" t="s">
        <v>250</v>
      </c>
      <c r="D17" s="6"/>
      <c r="H17" s="519">
        <f>SUM(H14:H16)</f>
        <v>14.2897</v>
      </c>
    </row>
    <row r="18" spans="1:4" ht="14.4" thickTop="1">
      <c r="A18" s="2">
        <f t="shared" si="0"/>
        <v>10</v>
      </c>
      <c r="C18" s="111" t="s">
        <v>251</v>
      </c>
      <c r="D18" s="7">
        <f>+D10</f>
        <v>2142156.5496202363</v>
      </c>
    </row>
    <row r="19" spans="1:4" ht="13.8">
      <c r="A19" s="2">
        <f t="shared" si="0"/>
        <v>11</v>
      </c>
      <c r="C19" s="102" t="s">
        <v>249</v>
      </c>
      <c r="D19" s="117">
        <v>0.045</v>
      </c>
    </row>
    <row r="20" spans="1:4" ht="13.8">
      <c r="A20" s="2">
        <f t="shared" si="0"/>
        <v>12</v>
      </c>
      <c r="C20" s="102" t="s">
        <v>252</v>
      </c>
      <c r="D20" s="23">
        <f>+D18*D19</f>
        <v>96397.044732910625</v>
      </c>
    </row>
    <row r="21" spans="1:4" ht="13.8">
      <c r="A21" s="2">
        <f t="shared" si="0"/>
        <v>13</v>
      </c>
      <c r="D21" s="6"/>
    </row>
    <row r="22" spans="1:4" ht="13.8">
      <c r="A22" s="2">
        <f t="shared" si="0"/>
        <v>14</v>
      </c>
      <c r="D22" s="6"/>
    </row>
    <row r="23" spans="1:4" ht="14.4" thickBot="1">
      <c r="A23" s="2">
        <f t="shared" si="0"/>
        <v>15</v>
      </c>
      <c r="C23" s="5" t="s">
        <v>253</v>
      </c>
      <c r="D23" s="27">
        <f>+D15+D20</f>
        <v>313974.68763291062</v>
      </c>
    </row>
    <row r="24" ht="14.4" thickTop="1">
      <c r="D24" s="6"/>
    </row>
    <row r="25" ht="13.8">
      <c r="D25" s="6"/>
    </row>
    <row r="26" ht="13.8">
      <c r="D26" s="6"/>
    </row>
    <row r="27" ht="13.8">
      <c r="D27" s="6"/>
    </row>
    <row r="28" ht="13.8">
      <c r="D28" s="6"/>
    </row>
    <row r="29" ht="13.8">
      <c r="D29" s="6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51"/>
  <sheetViews>
    <sheetView workbookViewId="0" topLeftCell="A16">
      <selection pane="topLeft" activeCell="C2" sqref="C2"/>
    </sheetView>
  </sheetViews>
  <sheetFormatPr defaultColWidth="8.19921875" defaultRowHeight="14.25"/>
  <cols>
    <col min="1" max="1" width="4" style="59" customWidth="1"/>
    <col min="2" max="2" width="42.625" style="59" customWidth="1"/>
    <col min="3" max="3" width="12.25" style="59" customWidth="1"/>
    <col min="4" max="4" width="2.75" style="59" customWidth="1"/>
    <col min="5" max="5" width="9.875" style="59" bestFit="1" customWidth="1"/>
    <col min="6" max="6" width="10" style="59" customWidth="1"/>
    <col min="7" max="7" width="8.25" style="59"/>
    <col min="8" max="8" width="10.375" style="59" bestFit="1" customWidth="1"/>
    <col min="9" max="9" width="10.5" style="59" customWidth="1"/>
    <col min="10" max="10" width="8.25" style="59"/>
    <col min="11" max="11" width="9.25" style="59" customWidth="1"/>
    <col min="12" max="16384" width="8.25" style="59"/>
  </cols>
  <sheetData>
    <row r="1" spans="2:3" ht="13.8">
      <c r="B1" s="57" t="s">
        <v>147</v>
      </c>
      <c r="C1" s="58"/>
    </row>
    <row r="2" spans="2:3" ht="13.8">
      <c r="B2" s="58" t="s">
        <v>148</v>
      </c>
      <c r="C2" s="60">
        <f>+'Schedule 1 Rate Base'!F16</f>
        <v>6445535.694385102</v>
      </c>
    </row>
    <row r="3" spans="2:3" ht="13.8">
      <c r="B3" s="58" t="s">
        <v>143</v>
      </c>
      <c r="C3" s="190">
        <f>+'Cost of Capital'!K21</f>
        <v>0.037400000000000003</v>
      </c>
    </row>
    <row r="4" spans="2:3" ht="13.8">
      <c r="B4" s="58" t="s">
        <v>149</v>
      </c>
      <c r="C4" s="60">
        <f>ROUND(C2*C3,4)</f>
        <v>241063.035</v>
      </c>
    </row>
    <row r="5" spans="2:3" ht="13.8">
      <c r="B5" s="58" t="s">
        <v>150</v>
      </c>
      <c r="C5" s="61"/>
    </row>
    <row r="6" spans="2:3" ht="13.8">
      <c r="B6" s="58" t="s">
        <v>151</v>
      </c>
      <c r="C6" s="60">
        <f>+C4-C5</f>
        <v>241063.035</v>
      </c>
    </row>
    <row r="7" spans="2:3" ht="13.8">
      <c r="B7" s="58" t="s">
        <v>152</v>
      </c>
      <c r="C7" s="179">
        <v>0.955</v>
      </c>
    </row>
    <row r="8" spans="2:6" ht="13.8">
      <c r="B8" s="58" t="s">
        <v>153</v>
      </c>
      <c r="C8" s="60">
        <f>ROUND((C6/C7),4)</f>
        <v>252422.02619999999</v>
      </c>
      <c r="F8" s="64"/>
    </row>
    <row r="9" spans="2:5" ht="13.8">
      <c r="B9" s="58" t="s">
        <v>154</v>
      </c>
      <c r="C9" s="177">
        <v>0.74655000000000005</v>
      </c>
      <c r="E9" s="63"/>
    </row>
    <row r="10" spans="2:6" ht="13.8">
      <c r="B10" s="58" t="s">
        <v>155</v>
      </c>
      <c r="C10" s="60">
        <f>+C8/C9</f>
        <v>338118.04460518382</v>
      </c>
      <c r="E10" s="64"/>
      <c r="F10" s="64"/>
    </row>
    <row r="11" spans="2:3" ht="13.8">
      <c r="B11" s="58"/>
      <c r="C11" s="62"/>
    </row>
    <row r="12" spans="2:3" ht="13.8">
      <c r="B12" s="65" t="s">
        <v>156</v>
      </c>
      <c r="C12" s="66"/>
    </row>
    <row r="13" spans="2:3" ht="13.8">
      <c r="B13" s="58"/>
      <c r="C13" s="58"/>
    </row>
    <row r="14" spans="2:3" ht="13.8">
      <c r="B14" s="58" t="s">
        <v>157</v>
      </c>
      <c r="C14" s="60">
        <f>+C10</f>
        <v>338118.04460518382</v>
      </c>
    </row>
    <row r="15" spans="2:3" ht="13.8">
      <c r="B15" s="58" t="s">
        <v>352</v>
      </c>
      <c r="C15" s="61">
        <f>ROUND((+C14*(0.045)),4)</f>
        <v>15215.312</v>
      </c>
    </row>
    <row r="16" spans="2:7" ht="13.8">
      <c r="B16" s="58" t="s">
        <v>158</v>
      </c>
      <c r="C16" s="60">
        <f>+C14-C15</f>
        <v>322902.73260518385</v>
      </c>
      <c r="G16" s="474"/>
    </row>
    <row r="17" spans="2:7" ht="13.8">
      <c r="B17" s="58" t="s">
        <v>395</v>
      </c>
      <c r="C17" s="178">
        <f>ROUND(+C16*G17,4)</f>
        <v>81839.6976</v>
      </c>
      <c r="G17" s="173">
        <f>ROUND(0.055+(0.945*0.21),5)</f>
        <v>0.25345000000000001</v>
      </c>
    </row>
    <row r="18" spans="2:3" ht="13.8">
      <c r="B18" s="58" t="s">
        <v>151</v>
      </c>
      <c r="C18" s="60">
        <f>+C16-C17</f>
        <v>241063.03500518383</v>
      </c>
    </row>
    <row r="19" ht="13.8">
      <c r="E19" s="67"/>
    </row>
    <row r="21" spans="2:11" ht="13.8">
      <c r="B21" s="58" t="s">
        <v>148</v>
      </c>
      <c r="C21" s="64">
        <f>+C2</f>
        <v>6445535.694385102</v>
      </c>
      <c r="E21" s="85"/>
      <c r="F21" s="85"/>
      <c r="G21" s="85"/>
      <c r="H21" s="85"/>
      <c r="I21" s="85" t="s">
        <v>159</v>
      </c>
      <c r="J21" s="85"/>
      <c r="K21" s="85" t="s">
        <v>159</v>
      </c>
    </row>
    <row r="22" spans="2:11" ht="13.8">
      <c r="B22" s="58" t="s">
        <v>160</v>
      </c>
      <c r="C22" s="190">
        <f>+K24</f>
        <v>0.050099999999999999</v>
      </c>
      <c r="E22" s="85"/>
      <c r="F22" s="85"/>
      <c r="G22" s="85"/>
      <c r="H22" s="85"/>
      <c r="I22" s="85" t="s">
        <v>161</v>
      </c>
      <c r="J22" s="85"/>
      <c r="K22" s="85" t="s">
        <v>161</v>
      </c>
    </row>
    <row r="23" spans="2:11" ht="13.8">
      <c r="B23" s="58" t="s">
        <v>162</v>
      </c>
      <c r="C23" s="61">
        <f>ROUND(C21*C22,4)</f>
        <v>322921.3383</v>
      </c>
      <c r="E23" s="86" t="s">
        <v>163</v>
      </c>
      <c r="F23" s="85" t="s">
        <v>164</v>
      </c>
      <c r="G23" s="87" t="s">
        <v>159</v>
      </c>
      <c r="H23" s="87" t="s">
        <v>165</v>
      </c>
      <c r="I23" s="85" t="s">
        <v>166</v>
      </c>
      <c r="J23" s="85" t="s">
        <v>167</v>
      </c>
      <c r="K23" s="85" t="s">
        <v>166</v>
      </c>
    </row>
    <row r="24" spans="2:11" ht="13.8">
      <c r="B24" s="58" t="s">
        <v>168</v>
      </c>
      <c r="C24" s="61">
        <f>+'Schedule No. 7 WW Support'!D39</f>
        <v>1236731.1954112095</v>
      </c>
      <c r="E24" s="88" t="s">
        <v>169</v>
      </c>
      <c r="F24" s="68">
        <f>+'Cost of Capital'!I14</f>
        <v>0.070900000000000005</v>
      </c>
      <c r="G24" s="174">
        <f>ROUND(F24/(1-0.25345),8)</f>
        <v>0.094970200000000005</v>
      </c>
      <c r="H24" s="69">
        <f>+'Cost of Capital'!G14</f>
        <v>0.52737368238413707</v>
      </c>
      <c r="I24" s="191">
        <f>ROUND(+G24*H24,4)</f>
        <v>0.050099999999999999</v>
      </c>
      <c r="J24" s="69">
        <f>+'Cost of Capital'!K11+'Cost of Capital'!K15</f>
        <v>0</v>
      </c>
      <c r="K24" s="70">
        <f>SUM(I24:J24)</f>
        <v>0.050099999999999999</v>
      </c>
    </row>
    <row r="25" spans="2:11" ht="13.8">
      <c r="B25" s="58" t="s">
        <v>121</v>
      </c>
      <c r="C25" s="61">
        <f>+'Schedule No. 7 WW Support'!D41</f>
        <v>232177.13100325567</v>
      </c>
      <c r="E25" s="92"/>
      <c r="F25" s="93"/>
      <c r="G25" s="93"/>
      <c r="H25" s="93"/>
      <c r="I25" s="94">
        <f>ROUND(+I24*$C$21,4)</f>
        <v>322921.3383</v>
      </c>
      <c r="J25" s="94">
        <f>ROUND(+J24*$C$21,4)</f>
        <v>0</v>
      </c>
      <c r="K25" s="95">
        <f>SUM(I25:J25)</f>
        <v>322921.3383</v>
      </c>
    </row>
    <row r="26" spans="2:11" ht="13.8">
      <c r="B26" s="58" t="s">
        <v>129</v>
      </c>
      <c r="C26" s="61">
        <f>+'Schedule No. 7 WW Support'!D43+'Schedule No. 7 WW Support'!D45</f>
        <v>17216.666666666668</v>
      </c>
      <c r="E26" s="96" t="s">
        <v>170</v>
      </c>
      <c r="F26" s="90">
        <f>F24</f>
        <v>0.070900000000000005</v>
      </c>
      <c r="G26" s="97"/>
      <c r="H26" s="90">
        <f>H24</f>
        <v>0.52737368238413707</v>
      </c>
      <c r="I26" s="89">
        <f>+F26*H26</f>
        <v>0.037390794081035322</v>
      </c>
      <c r="J26" s="90">
        <f>J24</f>
        <v>0</v>
      </c>
      <c r="K26" s="91">
        <f>+I26+J26</f>
        <v>0.037390794081035322</v>
      </c>
    </row>
    <row r="27" spans="2:11" ht="13.8">
      <c r="B27" s="58" t="s">
        <v>316</v>
      </c>
      <c r="C27" s="61">
        <f>+'Schedule No. 3 B Wastewater'!D47+'Schedule No. 3 B Wastewater'!D48</f>
        <v>236713.17350619371</v>
      </c>
      <c r="E27" s="98"/>
      <c r="F27" s="93"/>
      <c r="G27" s="93"/>
      <c r="H27" s="93"/>
      <c r="I27" s="94"/>
      <c r="J27" s="94"/>
      <c r="K27" s="95"/>
    </row>
    <row r="28" spans="2:11" ht="13.8">
      <c r="B28" s="197" t="s">
        <v>454</v>
      </c>
      <c r="C28" s="200"/>
      <c r="E28" s="99"/>
      <c r="F28" s="85"/>
      <c r="G28" s="85"/>
      <c r="H28" s="85"/>
      <c r="I28" s="85"/>
      <c r="J28" s="85"/>
      <c r="K28" s="85"/>
    </row>
    <row r="29" spans="2:3" ht="13.8">
      <c r="B29" s="58" t="s">
        <v>171</v>
      </c>
      <c r="C29" s="71">
        <f>SUM(C23:C28)</f>
        <v>2045759.5048873257</v>
      </c>
    </row>
    <row r="30" spans="2:6" ht="13.8">
      <c r="B30" s="58" t="s">
        <v>152</v>
      </c>
      <c r="C30" s="179">
        <v>0.955</v>
      </c>
      <c r="F30" s="72"/>
    </row>
    <row r="31" spans="2:8" ht="13.8">
      <c r="B31" s="58" t="s">
        <v>172</v>
      </c>
      <c r="C31" s="61">
        <f>+C29/C30</f>
        <v>2142156.5496202363</v>
      </c>
      <c r="E31" s="72"/>
      <c r="F31" s="72"/>
      <c r="H31" s="194"/>
    </row>
    <row r="32" spans="2:3" ht="13.8">
      <c r="B32" s="58"/>
      <c r="C32" s="61"/>
    </row>
    <row r="33" spans="2:3" ht="13.8">
      <c r="B33" s="58" t="s">
        <v>173</v>
      </c>
      <c r="C33" s="61">
        <f>+'Schedule 7  NOI'!C11</f>
        <v>0</v>
      </c>
    </row>
    <row r="34" spans="2:11" ht="13.8">
      <c r="B34" s="58"/>
      <c r="C34" s="61"/>
      <c r="E34" s="100"/>
      <c r="F34" s="85"/>
      <c r="G34" s="85"/>
      <c r="H34" s="85"/>
      <c r="I34" s="85"/>
      <c r="J34" s="85"/>
      <c r="K34" s="85"/>
    </row>
    <row r="35" spans="2:5" ht="13.8">
      <c r="B35" s="58" t="s">
        <v>174</v>
      </c>
      <c r="C35" s="61">
        <f>+C31-C33</f>
        <v>2142156.5496202363</v>
      </c>
      <c r="E35" s="72"/>
    </row>
    <row r="36" spans="2:3" ht="13.8">
      <c r="B36" s="58" t="s">
        <v>175</v>
      </c>
      <c r="C36" s="73"/>
    </row>
    <row r="37" spans="2:3" ht="13.8">
      <c r="B37" s="74" t="s">
        <v>176</v>
      </c>
      <c r="C37" s="62"/>
    </row>
    <row r="38" spans="2:3" ht="13.8">
      <c r="B38" s="140"/>
      <c r="C38" s="142"/>
    </row>
    <row r="39" spans="2:3" ht="13.8">
      <c r="B39" s="140"/>
      <c r="C39" s="141"/>
    </row>
    <row r="40" spans="2:3" ht="13.8">
      <c r="B40" s="140" t="s">
        <v>177</v>
      </c>
      <c r="C40" s="141">
        <f>+C31</f>
        <v>2142156.5496202363</v>
      </c>
    </row>
    <row r="41" spans="2:6" ht="13.8">
      <c r="B41" s="140" t="s">
        <v>138</v>
      </c>
      <c r="C41" s="141">
        <f>+'Schedule 7  NOI'!C14</f>
        <v>1236731.1954112095</v>
      </c>
      <c r="F41" s="72"/>
    </row>
    <row r="42" spans="2:6" ht="13.8">
      <c r="B42" s="140" t="s">
        <v>202</v>
      </c>
      <c r="C42" s="141">
        <f>+C40*0.045</f>
        <v>96397.044732910625</v>
      </c>
      <c r="E42" s="198"/>
      <c r="F42" s="72"/>
    </row>
    <row r="43" spans="2:6" ht="13.8">
      <c r="B43" s="140" t="s">
        <v>119</v>
      </c>
      <c r="C43" s="141">
        <f>+'Schedule 7  NOI'!C15</f>
        <v>232177.13100325567</v>
      </c>
      <c r="F43" s="72"/>
    </row>
    <row r="44" spans="2:6" ht="13.8">
      <c r="B44" s="140" t="s">
        <v>129</v>
      </c>
      <c r="C44" s="141">
        <f>+'Schedule 7  NOI'!C16</f>
        <v>17216.666666666668</v>
      </c>
      <c r="F44" s="72"/>
    </row>
    <row r="45" spans="2:7" ht="13.8">
      <c r="B45" s="140" t="s">
        <v>453</v>
      </c>
      <c r="C45" s="141">
        <f>+'Schedule 7  NOI'!C17</f>
        <v>236713.17350619371</v>
      </c>
      <c r="F45" s="72"/>
      <c r="G45" s="72"/>
    </row>
    <row r="46" spans="2:3" ht="13.8">
      <c r="B46" s="140" t="s">
        <v>178</v>
      </c>
      <c r="C46" s="141">
        <f>+J25</f>
        <v>0</v>
      </c>
    </row>
    <row r="47" spans="2:3" ht="13.8">
      <c r="B47" s="143" t="s">
        <v>179</v>
      </c>
      <c r="C47" s="144">
        <f>+C40-C41-C42-C46-C43-C44-C45</f>
        <v>322921.33830000018</v>
      </c>
    </row>
    <row r="48" spans="2:3" ht="13.8">
      <c r="B48" s="140" t="s">
        <v>395</v>
      </c>
      <c r="C48" s="144">
        <f>ROUND(C47*G17,4)</f>
        <v>81844.413199999995</v>
      </c>
    </row>
    <row r="49" spans="2:3" ht="13.8">
      <c r="B49" s="143" t="s">
        <v>180</v>
      </c>
      <c r="C49" s="144">
        <f>+C47-C48</f>
        <v>241076.92510000017</v>
      </c>
    </row>
    <row r="50" spans="2:3" ht="13.8">
      <c r="B50" s="143" t="s">
        <v>181</v>
      </c>
      <c r="C50" s="144">
        <f>+C49+C46</f>
        <v>241076.92510000017</v>
      </c>
    </row>
    <row r="51" spans="2:3" ht="13.8">
      <c r="B51" s="143" t="s">
        <v>182</v>
      </c>
      <c r="C51" s="219">
        <f>+C50/C21</f>
        <v>0.037402155000089359</v>
      </c>
    </row>
  </sheetData>
  <printOptions horizontalCentered="1"/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M9"/>
  <sheetViews>
    <sheetView workbookViewId="0" topLeftCell="A1"/>
  </sheetViews>
  <sheetFormatPr defaultRowHeight="15.75"/>
  <cols>
    <col min="1" max="1" width="7.75" customWidth="1"/>
    <col min="2" max="2" width="8" customWidth="1"/>
    <col min="3" max="3" width="9.375" customWidth="1"/>
    <col min="4" max="4" width="11.25" customWidth="1"/>
    <col min="5" max="5" width="9.375" customWidth="1"/>
    <col min="6" max="6" width="10.75" customWidth="1"/>
    <col min="7" max="7" width="9.375" customWidth="1"/>
    <col min="8" max="8" width="9.625" customWidth="1"/>
    <col min="9" max="9" width="12.5" customWidth="1"/>
    <col min="10" max="10" width="10" customWidth="1"/>
    <col min="11" max="11" width="12" customWidth="1"/>
    <col min="12" max="12" width="10.25" customWidth="1"/>
    <col min="13" max="13" width="12.875" customWidth="1"/>
  </cols>
  <sheetData>
    <row r="2" ht="31.2">
      <c r="B2" s="192" t="s">
        <v>299</v>
      </c>
    </row>
    <row r="3" spans="2:13" s="195" customFormat="1" ht="46.8">
      <c r="B3" s="192"/>
      <c r="C3" s="196" t="s">
        <v>293</v>
      </c>
      <c r="D3" s="196"/>
      <c r="E3" s="196" t="s">
        <v>294</v>
      </c>
      <c r="F3" s="196"/>
      <c r="G3" s="196" t="s">
        <v>295</v>
      </c>
      <c r="H3" s="196"/>
      <c r="I3" s="196" t="s">
        <v>296</v>
      </c>
      <c r="J3" s="196"/>
      <c r="K3" s="195" t="s">
        <v>297</v>
      </c>
      <c r="L3" s="192" t="s">
        <v>298</v>
      </c>
      <c r="M3" s="192" t="s">
        <v>117</v>
      </c>
    </row>
    <row r="4" spans="1:13" ht="15.6">
      <c r="A4">
        <v>2018</v>
      </c>
      <c r="C4" s="134"/>
      <c r="D4" s="134">
        <f>+C4*$B4</f>
        <v>0</v>
      </c>
      <c r="E4" s="134"/>
      <c r="F4" s="134">
        <f>+E4*$B4</f>
        <v>0</v>
      </c>
      <c r="G4" s="134"/>
      <c r="H4" s="134">
        <f>+G4*$B4</f>
        <v>0</v>
      </c>
      <c r="I4" s="134">
        <f>+C4+E4+G4</f>
        <v>0</v>
      </c>
      <c r="J4" s="134">
        <f>+I4*$B4</f>
        <v>0</v>
      </c>
      <c r="K4" s="134"/>
      <c r="L4" s="134"/>
      <c r="M4" s="134"/>
    </row>
    <row r="5" spans="1:13" ht="15.6">
      <c r="A5">
        <v>2019</v>
      </c>
      <c r="C5" s="134"/>
      <c r="D5" s="134">
        <f>+C5*$B5</f>
        <v>0</v>
      </c>
      <c r="E5" s="134"/>
      <c r="F5" s="134">
        <f>+E5*$B5</f>
        <v>0</v>
      </c>
      <c r="G5" s="134"/>
      <c r="H5" s="134">
        <f>+G5*$B5</f>
        <v>0</v>
      </c>
      <c r="I5" s="134">
        <f>+C5+E5+G5</f>
        <v>0</v>
      </c>
      <c r="J5" s="134">
        <f>+I5*$B5</f>
        <v>0</v>
      </c>
      <c r="K5" s="134"/>
      <c r="L5" s="134"/>
      <c r="M5" s="134">
        <f>+L5+M4</f>
        <v>0</v>
      </c>
    </row>
    <row r="6" spans="1:13" ht="15.6">
      <c r="A6">
        <v>2020</v>
      </c>
      <c r="C6" s="134"/>
      <c r="D6" s="134">
        <f>+C6*$B6</f>
        <v>0</v>
      </c>
      <c r="E6" s="134"/>
      <c r="F6" s="134">
        <f>+E6*$B6</f>
        <v>0</v>
      </c>
      <c r="G6" s="134"/>
      <c r="H6" s="134">
        <f>+G6*$B6</f>
        <v>0</v>
      </c>
      <c r="I6" s="134">
        <f>+C6+E6+G6</f>
        <v>0</v>
      </c>
      <c r="J6" s="134">
        <f>+I6*$B6</f>
        <v>0</v>
      </c>
      <c r="K6" s="134"/>
      <c r="L6" s="134"/>
      <c r="M6" s="134">
        <f>+L6+M5</f>
        <v>0</v>
      </c>
    </row>
    <row r="7" spans="1:13" ht="15.6">
      <c r="A7">
        <v>2021</v>
      </c>
      <c r="C7" s="134"/>
      <c r="D7" s="134">
        <f>+C7*$B7</f>
        <v>0</v>
      </c>
      <c r="E7" s="134"/>
      <c r="F7" s="134">
        <f>+E7*$B7</f>
        <v>0</v>
      </c>
      <c r="G7" s="134"/>
      <c r="H7" s="134">
        <f>+G7*$B7</f>
        <v>0</v>
      </c>
      <c r="I7" s="134">
        <f>+C7+E7+G7</f>
        <v>0</v>
      </c>
      <c r="J7" s="134">
        <f>+I7*$B7</f>
        <v>0</v>
      </c>
      <c r="K7" s="134"/>
      <c r="L7" s="134"/>
      <c r="M7" s="134">
        <f>+L7+M6</f>
        <v>0</v>
      </c>
    </row>
    <row r="8" spans="1:13" ht="15.6">
      <c r="A8">
        <v>2022</v>
      </c>
      <c r="B8" s="133"/>
      <c r="C8" s="136"/>
      <c r="D8" s="135">
        <f>+C8*$B8</f>
        <v>0</v>
      </c>
      <c r="E8" s="136"/>
      <c r="F8" s="135">
        <f>+E8*$B8</f>
        <v>0</v>
      </c>
      <c r="G8" s="136"/>
      <c r="H8" s="135">
        <f>+G8*$B8</f>
        <v>0</v>
      </c>
      <c r="I8" s="134">
        <f>+C8+E8+G8</f>
        <v>0</v>
      </c>
      <c r="J8" s="135">
        <f>+I8*$B8</f>
        <v>0</v>
      </c>
      <c r="K8" s="135"/>
      <c r="L8" s="135"/>
      <c r="M8" s="134">
        <f>+L8+M7</f>
        <v>0</v>
      </c>
    </row>
    <row r="9" spans="2:13" ht="15.6">
      <c r="B9">
        <f>SUM(B4:B8)</f>
        <v>0</v>
      </c>
      <c r="C9" s="134"/>
      <c r="D9" s="134">
        <f>SUM(D4:D8)</f>
        <v>0</v>
      </c>
      <c r="E9" s="134"/>
      <c r="F9" s="134">
        <f>SUM(F4:F8)</f>
        <v>0</v>
      </c>
      <c r="G9" s="134"/>
      <c r="H9" s="134">
        <f>SUM(H4:H8)</f>
        <v>0</v>
      </c>
      <c r="I9" s="134"/>
      <c r="J9" s="134">
        <f>SUM(J4:J8)</f>
        <v>0</v>
      </c>
      <c r="K9" s="134">
        <f>SUM(K4:K8)</f>
        <v>0</v>
      </c>
      <c r="L9" s="134">
        <f>SUM(L4:L8)</f>
        <v>0</v>
      </c>
      <c r="M9" s="134"/>
    </row>
  </sheetData>
  <pageMargins left="0.7" right="0.7" top="0.75" bottom="0.75" header="0.3" footer="0.3"/>
  <pageSetup horizontalDpi="1200" verticalDpi="1200" orientation="landscape" scale="85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20"/>
  <sheetViews>
    <sheetView workbookViewId="0" topLeftCell="A1"/>
  </sheetViews>
  <sheetFormatPr defaultColWidth="8.69921875" defaultRowHeight="15"/>
  <cols>
    <col min="1" max="1" width="34.375" style="201" customWidth="1"/>
    <col min="2" max="4" width="12.75" style="201" customWidth="1"/>
    <col min="5" max="5" width="4.25" style="201" customWidth="1"/>
    <col min="6" max="16384" width="8.75" style="201"/>
  </cols>
  <sheetData>
    <row r="1" spans="2:4" ht="14.4">
      <c r="B1" s="208" t="s">
        <v>456</v>
      </c>
      <c r="C1" s="208" t="s">
        <v>136</v>
      </c>
      <c r="D1" s="208" t="s">
        <v>145</v>
      </c>
    </row>
    <row r="2" spans="2:5" ht="14.4">
      <c r="B2" s="202"/>
      <c r="C2" s="202"/>
      <c r="D2" s="202"/>
      <c r="E2" s="202"/>
    </row>
    <row r="3" spans="1:5" ht="14.4">
      <c r="A3" s="201" t="s">
        <v>457</v>
      </c>
      <c r="B3" s="202">
        <v>25000</v>
      </c>
      <c r="C3" s="202"/>
      <c r="D3" s="202"/>
      <c r="E3" s="202"/>
    </row>
    <row r="4" spans="1:5" ht="14.4">
      <c r="A4" s="203" t="s">
        <v>289</v>
      </c>
      <c r="B4" s="204"/>
      <c r="C4" s="204"/>
      <c r="D4" s="204"/>
      <c r="E4" s="202"/>
    </row>
    <row r="5" spans="1:5" ht="14.4">
      <c r="A5" s="205" t="s">
        <v>458</v>
      </c>
      <c r="B5" s="204">
        <v>30000</v>
      </c>
      <c r="C5" s="204"/>
      <c r="D5" s="204"/>
      <c r="E5" s="202"/>
    </row>
    <row r="6" spans="1:5" ht="14.4">
      <c r="A6" s="447" t="s">
        <v>535</v>
      </c>
      <c r="B6" s="204"/>
      <c r="C6" s="204"/>
      <c r="D6" s="204"/>
      <c r="E6" s="202"/>
    </row>
    <row r="7" spans="1:5" ht="14.4">
      <c r="A7" s="201" t="s">
        <v>459</v>
      </c>
      <c r="B7" s="204"/>
      <c r="C7" s="204"/>
      <c r="D7" s="204"/>
      <c r="E7" s="202"/>
    </row>
    <row r="8" spans="1:5" ht="14.4">
      <c r="A8" s="447" t="s">
        <v>529</v>
      </c>
      <c r="B8" s="204">
        <v>40000</v>
      </c>
      <c r="C8" s="204"/>
      <c r="D8" s="204"/>
      <c r="E8" s="202"/>
    </row>
    <row r="9" spans="1:5" ht="14.4">
      <c r="A9" s="201" t="s">
        <v>290</v>
      </c>
      <c r="B9" s="204">
        <v>6000</v>
      </c>
      <c r="C9" s="204"/>
      <c r="D9" s="204"/>
      <c r="E9" s="202"/>
    </row>
    <row r="10" spans="1:5" ht="14.4">
      <c r="A10" s="201" t="s">
        <v>291</v>
      </c>
      <c r="B10" s="204">
        <v>4000</v>
      </c>
      <c r="C10" s="204"/>
      <c r="D10" s="204"/>
      <c r="E10" s="202"/>
    </row>
    <row r="11" spans="2:5" ht="14.4">
      <c r="B11" s="204"/>
      <c r="C11" s="204"/>
      <c r="D11" s="204"/>
      <c r="E11" s="202"/>
    </row>
    <row r="12" spans="1:5" ht="15" thickBot="1">
      <c r="A12" s="206" t="s">
        <v>282</v>
      </c>
      <c r="B12" s="207">
        <f>SUM(B2:B11)</f>
        <v>105000</v>
      </c>
      <c r="C12" s="207"/>
      <c r="D12" s="207">
        <f>+B12</f>
        <v>105000</v>
      </c>
      <c r="E12" s="202"/>
    </row>
    <row r="13" spans="2:5" ht="15" thickTop="1">
      <c r="B13" s="204"/>
      <c r="C13" s="204"/>
      <c r="D13" s="204"/>
      <c r="E13" s="202"/>
    </row>
    <row r="14" spans="2:5" ht="14.4">
      <c r="B14" s="204"/>
      <c r="C14" s="204"/>
      <c r="D14" s="204"/>
      <c r="E14" s="202"/>
    </row>
    <row r="15" spans="2:5" ht="14.4">
      <c r="B15" s="204"/>
      <c r="C15" s="204"/>
      <c r="D15" s="204"/>
      <c r="E15" s="202"/>
    </row>
    <row r="16" spans="2:5" ht="14.4">
      <c r="B16" s="202"/>
      <c r="C16" s="202"/>
      <c r="D16" s="202"/>
      <c r="E16" s="202"/>
    </row>
    <row r="17" spans="2:5" ht="14.4">
      <c r="B17" s="202"/>
      <c r="C17" s="202"/>
      <c r="D17" s="202"/>
      <c r="E17" s="202"/>
    </row>
    <row r="18" spans="2:5" ht="14.4">
      <c r="B18" s="202"/>
      <c r="C18" s="202"/>
      <c r="D18" s="202"/>
      <c r="E18" s="202"/>
    </row>
    <row r="19" spans="2:5" ht="14.4">
      <c r="B19" s="202"/>
      <c r="C19" s="202"/>
      <c r="D19" s="202"/>
      <c r="E19" s="202"/>
    </row>
    <row r="20" spans="2:5" ht="14.4">
      <c r="B20" s="202"/>
      <c r="C20" s="202"/>
      <c r="D20" s="202"/>
      <c r="E20" s="202"/>
    </row>
  </sheetData>
  <pageMargins left="0.7" right="0.7" top="0.75" bottom="0.75" header="0.3" footer="0.3"/>
  <pageSetup horizontalDpi="1200" verticalDpi="1200" orientation="portrait" scale="95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1436B-5740-46B6-908A-853601B00967}">
  <dimension ref="A2:I12"/>
  <sheetViews>
    <sheetView workbookViewId="0" topLeftCell="A1"/>
  </sheetViews>
  <sheetFormatPr defaultRowHeight="15.75"/>
  <cols>
    <col min="2" max="2" width="28.625" customWidth="1"/>
    <col min="3" max="3" width="12.75" customWidth="1"/>
  </cols>
  <sheetData>
    <row r="2" spans="2:9" ht="15.6">
      <c r="B2" s="425" t="str">
        <f>+'Schedule No. 7 WW Support'!B4</f>
        <v>Environmental Utilities, LLC</v>
      </c>
      <c r="C2" s="425"/>
      <c r="D2" s="424"/>
      <c r="E2" s="424"/>
      <c r="F2" s="424"/>
      <c r="G2" s="424"/>
      <c r="H2" s="424"/>
      <c r="I2" s="424"/>
    </row>
    <row r="3" spans="2:9" ht="15.6">
      <c r="B3" s="425" t="s">
        <v>483</v>
      </c>
      <c r="C3" s="425"/>
      <c r="D3" s="424"/>
      <c r="E3" s="424"/>
      <c r="F3" s="424"/>
      <c r="G3" s="424"/>
      <c r="H3" s="424"/>
      <c r="I3" s="424"/>
    </row>
    <row r="4" spans="1:9" ht="15.6">
      <c r="A4" s="424"/>
      <c r="B4" s="424"/>
      <c r="C4" s="424"/>
      <c r="D4" s="424"/>
      <c r="E4" s="424"/>
      <c r="F4" s="424"/>
      <c r="G4" s="424"/>
      <c r="H4" s="424"/>
      <c r="I4" s="424"/>
    </row>
    <row r="5" spans="1:9" ht="44.4" customHeight="1">
      <c r="A5" s="424"/>
      <c r="B5" s="652" t="s">
        <v>485</v>
      </c>
      <c r="C5" s="648"/>
      <c r="D5" s="648"/>
      <c r="E5" s="424"/>
      <c r="F5" s="424"/>
      <c r="G5" s="424"/>
      <c r="H5" s="424"/>
      <c r="I5" s="424"/>
    </row>
    <row r="6" spans="1:9" ht="15.6">
      <c r="A6" s="424"/>
      <c r="B6" s="424"/>
      <c r="C6" s="424"/>
      <c r="D6" s="424"/>
      <c r="E6" s="424"/>
      <c r="F6" s="424"/>
      <c r="G6" s="424"/>
      <c r="H6" s="424"/>
      <c r="I6" s="424"/>
    </row>
    <row r="7" spans="2:3" ht="15.6">
      <c r="B7" s="2"/>
      <c r="C7" s="2"/>
    </row>
    <row r="8" spans="2:3" ht="15.6">
      <c r="B8" s="426" t="s">
        <v>484</v>
      </c>
      <c r="C8" s="426" t="s">
        <v>331</v>
      </c>
    </row>
    <row r="9" spans="2:3" ht="19.95" customHeight="1">
      <c r="B9" s="429"/>
      <c r="C9" s="430"/>
    </row>
    <row r="10" spans="2:3" ht="19.95" customHeight="1">
      <c r="B10" s="427"/>
      <c r="C10" s="428"/>
    </row>
    <row r="11" spans="2:3" ht="19.95" customHeight="1">
      <c r="B11" s="429" t="s">
        <v>491</v>
      </c>
      <c r="C11" s="430">
        <f>+'Schedule No. 7 Rev Proof'!D11+(6*'Schedule No. 7 Rev Proof'!D12)</f>
        <v>291.6968</v>
      </c>
    </row>
    <row r="12" spans="2:3" ht="15.6">
      <c r="B12" s="2"/>
      <c r="C12" s="2"/>
    </row>
  </sheetData>
  <mergeCells count="1">
    <mergeCell ref="B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workbookViewId="0" topLeftCell="A15">
      <selection pane="topLeft" activeCell="C30" sqref="C30"/>
    </sheetView>
  </sheetViews>
  <sheetFormatPr defaultColWidth="9" defaultRowHeight="14.25"/>
  <cols>
    <col min="1" max="1" width="19" style="2" customWidth="1"/>
    <col min="2" max="2" width="2.75" style="2" customWidth="1"/>
    <col min="3" max="3" width="67.875" style="2" customWidth="1"/>
    <col min="4" max="4" width="2.75" style="2" customWidth="1"/>
    <col min="5" max="16384" width="9" style="2"/>
  </cols>
  <sheetData>
    <row r="1" spans="1:5" ht="13.8">
      <c r="A1" s="638" t="str">
        <f>+Cover!A5</f>
        <v>Environmental Utilities, LLC</v>
      </c>
      <c r="B1" s="638"/>
      <c r="C1" s="638"/>
      <c r="D1" s="638"/>
      <c r="E1" s="638"/>
    </row>
    <row r="2" spans="1:5" ht="13.8">
      <c r="A2" s="638" t="s">
        <v>16</v>
      </c>
      <c r="B2" s="638"/>
      <c r="C2" s="638"/>
      <c r="D2" s="638"/>
      <c r="E2" s="638"/>
    </row>
    <row r="3" spans="1:5" ht="13.8">
      <c r="A3" s="638" t="s">
        <v>373</v>
      </c>
      <c r="B3" s="638"/>
      <c r="C3" s="638"/>
      <c r="D3" s="638"/>
      <c r="E3" s="638"/>
    </row>
    <row r="4" spans="1:3" ht="13.8">
      <c r="A4" s="12"/>
      <c r="B4" s="12"/>
      <c r="C4" s="12"/>
    </row>
    <row r="5" spans="1:3" ht="13.8">
      <c r="A5" s="12"/>
      <c r="B5" s="12"/>
      <c r="C5" s="12"/>
    </row>
    <row r="6" spans="1:5" ht="13.8">
      <c r="A6" s="638" t="s">
        <v>10</v>
      </c>
      <c r="B6" s="638"/>
      <c r="C6" s="638"/>
      <c r="D6" s="638"/>
      <c r="E6" s="638"/>
    </row>
    <row r="7" spans="1:3" ht="13.8">
      <c r="A7" s="24"/>
      <c r="B7" s="24"/>
      <c r="C7" s="24"/>
    </row>
    <row r="8" spans="1:5" ht="30" customHeight="1">
      <c r="A8" s="129" t="s">
        <v>11</v>
      </c>
      <c r="B8" s="166"/>
      <c r="C8" s="120" t="s">
        <v>1</v>
      </c>
      <c r="E8" s="120" t="s">
        <v>374</v>
      </c>
    </row>
    <row r="9" spans="1:2" ht="13.8">
      <c r="A9" s="3"/>
      <c r="B9" s="3"/>
    </row>
    <row r="10" spans="1:5" ht="13.8">
      <c r="A10" s="3" t="s">
        <v>488</v>
      </c>
      <c r="B10" s="3"/>
      <c r="C10" s="2" t="s">
        <v>343</v>
      </c>
      <c r="E10" s="3">
        <v>1</v>
      </c>
    </row>
    <row r="11" spans="1:5" ht="18" customHeight="1">
      <c r="A11" s="3" t="s">
        <v>12</v>
      </c>
      <c r="B11" s="3"/>
      <c r="C11" s="2" t="s">
        <v>334</v>
      </c>
      <c r="E11" s="3">
        <v>2</v>
      </c>
    </row>
    <row r="12" spans="1:5" ht="18" customHeight="1">
      <c r="A12" s="3">
        <v>2</v>
      </c>
      <c r="B12" s="3"/>
      <c r="C12" s="2" t="s">
        <v>13</v>
      </c>
      <c r="E12" s="3">
        <v>3</v>
      </c>
    </row>
    <row r="13" spans="1:5" ht="18" customHeight="1">
      <c r="A13" s="3" t="s">
        <v>14</v>
      </c>
      <c r="B13" s="3"/>
      <c r="C13" s="2" t="s">
        <v>268</v>
      </c>
      <c r="E13" s="3">
        <v>4</v>
      </c>
    </row>
    <row r="14" spans="1:5" ht="18" customHeight="1">
      <c r="A14" s="3" t="s">
        <v>377</v>
      </c>
      <c r="B14" s="3"/>
      <c r="C14" s="2" t="s">
        <v>376</v>
      </c>
      <c r="E14" s="3">
        <v>5</v>
      </c>
    </row>
    <row r="15" spans="1:5" ht="18" customHeight="1">
      <c r="A15" s="3">
        <v>5</v>
      </c>
      <c r="B15" s="3"/>
      <c r="C15" s="2" t="s">
        <v>620</v>
      </c>
      <c r="E15" s="3">
        <v>6</v>
      </c>
    </row>
    <row r="16" spans="1:5" ht="18" customHeight="1">
      <c r="A16" s="3">
        <v>6</v>
      </c>
      <c r="B16" s="3"/>
      <c r="C16" s="2" t="s">
        <v>15</v>
      </c>
      <c r="E16" s="3">
        <v>7</v>
      </c>
    </row>
    <row r="17" spans="1:5" ht="18" customHeight="1">
      <c r="A17" s="3">
        <v>7</v>
      </c>
      <c r="B17" s="3"/>
      <c r="C17" s="2" t="s">
        <v>490</v>
      </c>
      <c r="E17" s="3">
        <v>8</v>
      </c>
    </row>
    <row r="18" spans="1:5" ht="18" customHeight="1">
      <c r="A18" s="3"/>
      <c r="B18" s="3"/>
      <c r="E18" s="3"/>
    </row>
    <row r="19" spans="1:5" ht="18" customHeight="1">
      <c r="A19" s="148" t="s">
        <v>335</v>
      </c>
      <c r="B19" s="3"/>
      <c r="E19" s="3"/>
    </row>
    <row r="20" spans="1:5" ht="18" customHeight="1">
      <c r="A20" s="3" t="s">
        <v>701</v>
      </c>
      <c r="B20" s="3"/>
      <c r="C20" s="2" t="s">
        <v>699</v>
      </c>
      <c r="E20" s="3">
        <v>9</v>
      </c>
    </row>
    <row r="21" spans="1:5" ht="18" customHeight="1">
      <c r="A21" s="3" t="s">
        <v>702</v>
      </c>
      <c r="B21" s="3"/>
      <c r="C21" s="2" t="s">
        <v>700</v>
      </c>
      <c r="E21" s="3">
        <v>21</v>
      </c>
    </row>
    <row r="22" spans="1:5" ht="18" customHeight="1">
      <c r="A22" s="3" t="s">
        <v>338</v>
      </c>
      <c r="B22" s="3"/>
      <c r="C22" s="2" t="s">
        <v>337</v>
      </c>
      <c r="E22" s="3">
        <v>24</v>
      </c>
    </row>
    <row r="23" spans="1:5" ht="18" customHeight="1">
      <c r="A23" s="3" t="s">
        <v>633</v>
      </c>
      <c r="B23" s="3"/>
      <c r="C23" s="2" t="s">
        <v>339</v>
      </c>
      <c r="D23" s="3"/>
      <c r="E23" s="3">
        <v>25</v>
      </c>
    </row>
    <row r="24" spans="1:5" ht="18" customHeight="1">
      <c r="A24" s="1" t="s">
        <v>481</v>
      </c>
      <c r="B24" s="3"/>
      <c r="C24" s="2" t="s">
        <v>323</v>
      </c>
      <c r="E24" s="3">
        <v>26</v>
      </c>
    </row>
    <row r="25" spans="1:5" ht="18" customHeight="1">
      <c r="A25" s="3"/>
      <c r="E25" s="3"/>
    </row>
    <row r="26" spans="1:2" ht="18" customHeight="1">
      <c r="A26" s="3"/>
      <c r="B26" s="3"/>
    </row>
    <row r="34" spans="5:7" ht="13.8">
      <c r="E34" s="33"/>
      <c r="G34" s="33"/>
    </row>
    <row r="35" spans="5:7" ht="13.8">
      <c r="E35" s="33"/>
      <c r="G35" s="33"/>
    </row>
    <row r="36" spans="4:8" ht="13.8">
      <c r="D36" s="33"/>
      <c r="E36" s="33"/>
      <c r="F36" s="158"/>
      <c r="G36" s="33"/>
      <c r="H36" s="158"/>
    </row>
    <row r="39" spans="5:7" ht="13.8">
      <c r="E39" s="33"/>
      <c r="G39" s="33"/>
    </row>
    <row r="40" spans="5:7" ht="13.8">
      <c r="E40" s="33"/>
      <c r="G40" s="33"/>
    </row>
    <row r="41" spans="4:8" ht="13.8">
      <c r="D41" s="33"/>
      <c r="E41" s="33"/>
      <c r="F41" s="158"/>
      <c r="G41" s="33"/>
      <c r="H41" s="158"/>
    </row>
  </sheetData>
  <mergeCells count="4">
    <mergeCell ref="A1:E1"/>
    <mergeCell ref="A2:E2"/>
    <mergeCell ref="A3:E3"/>
    <mergeCell ref="A6:E6"/>
  </mergeCells>
  <printOptions horizontalCentered="1"/>
  <pageMargins left="0.7" right="0.7" top="0.75" bottom="0.75" header="0.3" footer="0.3"/>
  <pageSetup orientation="portrait" scale="8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3"/>
  <sheetViews>
    <sheetView workbookViewId="0" topLeftCell="A1">
      <selection pane="topLeft" activeCell="A21" sqref="A21"/>
    </sheetView>
  </sheetViews>
  <sheetFormatPr defaultColWidth="9" defaultRowHeight="14.25"/>
  <cols>
    <col min="1" max="1" width="5.375" style="2" customWidth="1"/>
    <col min="2" max="2" width="2.5" style="3" customWidth="1"/>
    <col min="3" max="3" width="34.25" style="2" customWidth="1"/>
    <col min="4" max="4" width="4.375" style="2" customWidth="1"/>
    <col min="5" max="6" width="15" style="2" customWidth="1"/>
    <col min="7" max="7" width="12.125" style="3" customWidth="1"/>
    <col min="8" max="11" width="12.75" style="2" customWidth="1"/>
    <col min="12" max="16384" width="9" style="2"/>
  </cols>
  <sheetData>
    <row r="1" spans="2:7" s="24" customFormat="1" ht="13.8">
      <c r="B1" s="14"/>
      <c r="G1" s="25" t="s">
        <v>487</v>
      </c>
    </row>
    <row r="2" spans="3:7" s="24" customFormat="1" ht="13.8">
      <c r="C2" s="12"/>
      <c r="D2" s="12"/>
      <c r="E2" s="12"/>
      <c r="F2" s="12"/>
      <c r="G2" s="25"/>
    </row>
    <row r="3" spans="2:7" s="24" customFormat="1" ht="13.8">
      <c r="B3" s="12" t="str">
        <f>+Cover!A5</f>
        <v>Environmental Utilities, LLC</v>
      </c>
      <c r="C3" s="12"/>
      <c r="D3" s="12"/>
      <c r="E3" s="12"/>
      <c r="F3" s="12"/>
      <c r="G3" s="14"/>
    </row>
    <row r="4" spans="2:7" s="24" customFormat="1" ht="13.8">
      <c r="B4" s="12" t="s">
        <v>16</v>
      </c>
      <c r="C4" s="12"/>
      <c r="D4" s="12"/>
      <c r="E4" s="12"/>
      <c r="F4" s="12"/>
      <c r="G4" s="14"/>
    </row>
    <row r="5" spans="2:7" s="24" customFormat="1" ht="13.8">
      <c r="B5" s="12" t="s">
        <v>309</v>
      </c>
      <c r="C5" s="12"/>
      <c r="D5" s="12"/>
      <c r="E5" s="12"/>
      <c r="F5" s="12"/>
      <c r="G5" s="14"/>
    </row>
    <row r="6" spans="2:7" s="24" customFormat="1" ht="13.8">
      <c r="B6" s="14"/>
      <c r="G6" s="14"/>
    </row>
    <row r="7" spans="1:7" ht="13.8">
      <c r="A7" s="14" t="s">
        <v>261</v>
      </c>
      <c r="B7" s="14"/>
      <c r="C7" s="24"/>
      <c r="D7" s="24"/>
      <c r="E7" s="220" t="s">
        <v>665</v>
      </c>
      <c r="F7" s="220" t="s">
        <v>666</v>
      </c>
      <c r="G7" s="14" t="s">
        <v>264</v>
      </c>
    </row>
    <row r="8" spans="1:7" ht="13.8">
      <c r="A8" s="120" t="s">
        <v>262</v>
      </c>
      <c r="B8" s="120"/>
      <c r="C8" s="130" t="s">
        <v>263</v>
      </c>
      <c r="D8" s="130"/>
      <c r="E8" s="635">
        <v>1</v>
      </c>
      <c r="F8" s="635">
        <v>0.80</v>
      </c>
      <c r="G8" s="120" t="s">
        <v>11</v>
      </c>
    </row>
    <row r="9" spans="1:7" ht="13.8">
      <c r="A9" s="3">
        <v>1</v>
      </c>
      <c r="B9" s="24" t="s">
        <v>135</v>
      </c>
      <c r="G9" s="131"/>
    </row>
    <row r="10" spans="1:7" ht="13.8">
      <c r="A10" s="3">
        <f t="shared" si="0" ref="A10:A16">+A9+1</f>
        <v>2</v>
      </c>
      <c r="G10" s="131"/>
    </row>
    <row r="11" spans="1:10" ht="13.8">
      <c r="A11" s="3">
        <f t="shared" si="0"/>
        <v>3</v>
      </c>
      <c r="C11" s="2" t="s">
        <v>132</v>
      </c>
      <c r="E11" s="7">
        <f>+'Depreciation Schedule'!D105</f>
        <v>21958147.999999993</v>
      </c>
      <c r="F11" s="7">
        <f>+'Schedule No. 1B Wastewater'!E35</f>
        <v>21958148</v>
      </c>
      <c r="G11" s="131" t="s">
        <v>265</v>
      </c>
      <c r="H11" s="7"/>
      <c r="I11" s="7"/>
      <c r="J11" s="7">
        <f>+E11+E12</f>
        <v>6049941.4000000022</v>
      </c>
    </row>
    <row r="12" spans="1:7" ht="13.8">
      <c r="A12" s="3">
        <f t="shared" si="0"/>
        <v>4</v>
      </c>
      <c r="C12" s="2" t="s">
        <v>120</v>
      </c>
      <c r="E12" s="6">
        <f>-'Depreciation Schedule'!AD106</f>
        <v>-15908206.59999999</v>
      </c>
      <c r="F12" s="6">
        <f>-'Depreciation Schedule'!P106</f>
        <v>-6731961.0999999978</v>
      </c>
      <c r="G12" s="131" t="s">
        <v>344</v>
      </c>
    </row>
    <row r="13" spans="1:10" ht="13.8">
      <c r="A13" s="3">
        <f t="shared" si="0"/>
        <v>5</v>
      </c>
      <c r="C13" s="2" t="s">
        <v>133</v>
      </c>
      <c r="E13" s="461">
        <f>-'Sched 1 Coll _Trans Estimate'!Y31</f>
        <v>-16114162.367410559</v>
      </c>
      <c r="F13" s="461">
        <f>-'Sched 1 Coll _Trans Estimate'!K31</f>
        <v>-13079844.934444623</v>
      </c>
      <c r="G13" s="131" t="s">
        <v>344</v>
      </c>
      <c r="J13" s="6">
        <f>+E13+E14</f>
        <v>-4958176.119623255</v>
      </c>
    </row>
    <row r="14" spans="1:10" ht="13.8">
      <c r="A14" s="3">
        <f t="shared" si="0"/>
        <v>6</v>
      </c>
      <c r="C14" s="2" t="s">
        <v>134</v>
      </c>
      <c r="E14" s="461">
        <f>+'Sched 1 Coll _Trans Estimate'!Y45</f>
        <v>11155986.247787304</v>
      </c>
      <c r="F14" s="461">
        <f>+'Sched 1 Coll _Trans Estimate'!K45</f>
        <v>4124750.7288297229</v>
      </c>
      <c r="G14" s="131" t="s">
        <v>344</v>
      </c>
      <c r="J14" s="6"/>
    </row>
    <row r="15" spans="1:11" ht="13.8">
      <c r="A15" s="3">
        <f t="shared" si="0"/>
        <v>7</v>
      </c>
      <c r="C15" s="2" t="s">
        <v>460</v>
      </c>
      <c r="E15" s="6">
        <f>+'Schedule No. 2'!D71</f>
        <v>192288.82423093417</v>
      </c>
      <c r="F15" s="461">
        <v>174443</v>
      </c>
      <c r="G15" s="131"/>
      <c r="I15" s="413">
        <f>+'Schedule No. 2'!F71</f>
        <v>174443.24597493417</v>
      </c>
      <c r="K15" s="7"/>
    </row>
    <row r="16" spans="1:10" ht="13.8">
      <c r="A16" s="3">
        <f t="shared" si="0"/>
        <v>8</v>
      </c>
      <c r="C16" s="5" t="s">
        <v>135</v>
      </c>
      <c r="E16" s="23">
        <f>SUM(E11:E15)</f>
        <v>1284054.1046076815</v>
      </c>
      <c r="F16" s="23">
        <f>SUM(F11:F15)</f>
        <v>6445535.694385102</v>
      </c>
      <c r="G16" s="131"/>
      <c r="J16" s="158">
        <f>-J13/J11</f>
        <v>0.81954118094817463</v>
      </c>
    </row>
    <row r="17" spans="1:7" ht="13.8">
      <c r="A17" s="3"/>
      <c r="G17" s="131"/>
    </row>
    <row r="18" ht="13.8">
      <c r="G18" s="131"/>
    </row>
    <row r="19" spans="5:10" ht="13.8">
      <c r="E19" s="7"/>
      <c r="F19" s="7"/>
      <c r="G19" s="131"/>
      <c r="J19" s="6"/>
    </row>
    <row r="20" spans="7:10" ht="13.8">
      <c r="G20" s="131"/>
      <c r="J20" s="7"/>
    </row>
    <row r="21" spans="7:10" ht="13.8">
      <c r="G21" s="131"/>
      <c r="J21" s="6"/>
    </row>
    <row r="22" spans="7:10" ht="13.8">
      <c r="G22" s="131"/>
      <c r="J22" s="6"/>
    </row>
    <row r="23" ht="13.8">
      <c r="G23" s="131"/>
    </row>
  </sheetData>
  <printOptions horizontalCentered="1"/>
  <pageMargins left="0.7" right="0.7" top="0.75" bottom="0.75" header="0.3" footer="0.3"/>
  <pageSetup orientation="portrait" scale="94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8"/>
  <sheetViews>
    <sheetView workbookViewId="0" topLeftCell="A1">
      <selection pane="topLeft" activeCell="A21" sqref="A21"/>
    </sheetView>
  </sheetViews>
  <sheetFormatPr defaultColWidth="9" defaultRowHeight="14.25"/>
  <cols>
    <col min="1" max="1" width="4.75" style="2" customWidth="1"/>
    <col min="2" max="2" width="7.75" style="3" customWidth="1"/>
    <col min="3" max="3" width="37.75" style="2" customWidth="1"/>
    <col min="4" max="4" width="10.625" style="2" customWidth="1"/>
    <col min="5" max="5" width="12.75" style="2" customWidth="1"/>
    <col min="6" max="6" width="10.625" style="2" customWidth="1"/>
    <col min="7" max="7" width="3.25" style="215" customWidth="1"/>
    <col min="8" max="8" width="12.375" style="6" bestFit="1" customWidth="1"/>
    <col min="9" max="16384" width="9" style="2"/>
  </cols>
  <sheetData>
    <row r="1" spans="2:8" s="24" customFormat="1" ht="13.8">
      <c r="B1" s="14"/>
      <c r="F1" s="25" t="s">
        <v>185</v>
      </c>
      <c r="G1" s="216"/>
      <c r="H1" s="175"/>
    </row>
    <row r="2" spans="1:8" s="24" customFormat="1" ht="15" customHeight="1">
      <c r="A2" s="14"/>
      <c r="C2" s="12"/>
      <c r="D2" s="12"/>
      <c r="E2" s="12"/>
      <c r="F2" s="25"/>
      <c r="G2" s="216"/>
      <c r="H2" s="175"/>
    </row>
    <row r="3" spans="2:8" s="24" customFormat="1" ht="15" customHeight="1">
      <c r="B3" s="12" t="str">
        <f>+Cover!A5</f>
        <v>Environmental Utilities, LLC</v>
      </c>
      <c r="C3" s="12"/>
      <c r="D3" s="12"/>
      <c r="E3" s="12"/>
      <c r="F3" s="123" t="s">
        <v>9</v>
      </c>
      <c r="G3" s="217"/>
      <c r="H3" s="175"/>
    </row>
    <row r="4" spans="2:8" s="24" customFormat="1" ht="15" customHeight="1">
      <c r="B4" s="12" t="s">
        <v>16</v>
      </c>
      <c r="C4" s="12"/>
      <c r="D4" s="12"/>
      <c r="E4" s="12"/>
      <c r="F4" s="123" t="s">
        <v>9</v>
      </c>
      <c r="G4" s="217"/>
      <c r="H4" s="175"/>
    </row>
    <row r="5" spans="2:8" s="24" customFormat="1" ht="15" customHeight="1">
      <c r="B5" s="12" t="s">
        <v>28</v>
      </c>
      <c r="C5" s="12"/>
      <c r="D5" s="12"/>
      <c r="E5" s="12"/>
      <c r="G5" s="218"/>
      <c r="H5" s="175"/>
    </row>
    <row r="6" spans="2:8" s="24" customFormat="1" ht="15" customHeight="1">
      <c r="B6" s="641" t="s">
        <v>664</v>
      </c>
      <c r="C6" s="642"/>
      <c r="D6" s="642"/>
      <c r="E6" s="642"/>
      <c r="F6" s="431"/>
      <c r="G6" s="432"/>
      <c r="H6" s="175"/>
    </row>
    <row r="7" spans="2:8" s="24" customFormat="1" ht="15" customHeight="1">
      <c r="B7" s="14"/>
      <c r="G7" s="218"/>
      <c r="H7" s="175"/>
    </row>
    <row r="8" spans="1:8" s="24" customFormat="1" ht="15" customHeight="1">
      <c r="A8" s="14" t="s">
        <v>254</v>
      </c>
      <c r="B8" s="14" t="s">
        <v>2</v>
      </c>
      <c r="F8" s="639" t="s">
        <v>120</v>
      </c>
      <c r="G8" s="212"/>
      <c r="H8" s="175"/>
    </row>
    <row r="9" spans="1:8" s="24" customFormat="1" ht="15" customHeight="1">
      <c r="A9" s="120" t="s">
        <v>0</v>
      </c>
      <c r="B9" s="120" t="s">
        <v>18</v>
      </c>
      <c r="C9" s="120" t="s">
        <v>1</v>
      </c>
      <c r="D9" s="120"/>
      <c r="E9" s="120" t="s">
        <v>145</v>
      </c>
      <c r="F9" s="640"/>
      <c r="G9" s="212"/>
      <c r="H9" s="175"/>
    </row>
    <row r="10" spans="1:8" ht="13.8">
      <c r="A10" s="2">
        <v>1</v>
      </c>
      <c r="B10" s="3">
        <v>351</v>
      </c>
      <c r="C10" s="2" t="s">
        <v>630</v>
      </c>
      <c r="E10" s="7">
        <f>+'Depreciation Schedule'!D21</f>
        <v>522000</v>
      </c>
      <c r="F10" s="7">
        <f>+'Depreciation Schedule'!P22</f>
        <v>130500</v>
      </c>
      <c r="G10" s="214"/>
      <c r="H10" s="6">
        <f>+E10-F10</f>
        <v>391500</v>
      </c>
    </row>
    <row r="11" spans="1:7" ht="15" customHeight="1">
      <c r="A11" s="2">
        <f>+A10+1</f>
        <v>2</v>
      </c>
      <c r="B11" s="3">
        <v>352</v>
      </c>
      <c r="C11" s="2" t="s">
        <v>19</v>
      </c>
      <c r="E11" s="6"/>
      <c r="F11" s="6"/>
      <c r="G11" s="213"/>
    </row>
    <row r="12" spans="1:8" ht="15" customHeight="1">
      <c r="A12" s="2">
        <f>+A11+1</f>
        <v>3</v>
      </c>
      <c r="B12" s="3">
        <v>353</v>
      </c>
      <c r="C12" s="2" t="s">
        <v>20</v>
      </c>
      <c r="E12" s="19">
        <f>+'Depreciation Schedule'!D12</f>
        <v>800000</v>
      </c>
      <c r="F12" s="6"/>
      <c r="G12" s="213"/>
      <c r="H12" s="6">
        <f>+E12-F12</f>
        <v>800000</v>
      </c>
    </row>
    <row r="13" spans="1:8" ht="15" customHeight="1">
      <c r="A13" s="2">
        <f t="shared" si="0" ref="A13:A29">+A12+1</f>
        <v>4</v>
      </c>
      <c r="B13" s="3">
        <v>354</v>
      </c>
      <c r="C13" s="2" t="s">
        <v>34</v>
      </c>
      <c r="E13" s="19">
        <f>+'Depreciation Schedule'!D29+'Depreciation Schedule'!D38</f>
        <v>15581129.615178222</v>
      </c>
      <c r="F13" s="6">
        <f>+'Depreciation Schedule'!P30+'Depreciation Schedule'!P39</f>
        <v>4869102.9999999991</v>
      </c>
      <c r="G13" s="213"/>
      <c r="H13" s="6">
        <f t="shared" si="1" ref="H13:H14">+E13-F13</f>
        <v>10712026.615178224</v>
      </c>
    </row>
    <row r="14" spans="1:8" ht="15" customHeight="1">
      <c r="A14" s="2">
        <f t="shared" si="0"/>
        <v>5</v>
      </c>
      <c r="B14" s="3">
        <v>355</v>
      </c>
      <c r="C14" s="2" t="s">
        <v>313</v>
      </c>
      <c r="E14" s="19"/>
      <c r="F14" s="6"/>
      <c r="G14" s="213"/>
      <c r="H14" s="6">
        <f t="shared" si="1"/>
        <v>0</v>
      </c>
    </row>
    <row r="15" spans="1:8" ht="15" customHeight="1">
      <c r="A15" s="2">
        <f t="shared" si="0"/>
        <v>6</v>
      </c>
      <c r="B15" s="3">
        <v>360</v>
      </c>
      <c r="C15" s="2" t="s">
        <v>29</v>
      </c>
      <c r="D15" s="19"/>
      <c r="E15" s="19">
        <f>+'Depreciation Schedule'!D54</f>
        <v>3466812.9151795753</v>
      </c>
      <c r="F15" s="6">
        <f>+'Depreciation Schedule'!P55</f>
        <v>1155604.3999999997</v>
      </c>
      <c r="G15" s="213"/>
      <c r="H15" s="6">
        <f>+E15-F15</f>
        <v>2311208.5151795754</v>
      </c>
    </row>
    <row r="16" spans="1:8" ht="15" customHeight="1">
      <c r="A16" s="2">
        <f t="shared" si="0"/>
        <v>7</v>
      </c>
      <c r="B16" s="3">
        <v>361</v>
      </c>
      <c r="C16" s="2" t="s">
        <v>30</v>
      </c>
      <c r="D16" s="19"/>
      <c r="E16" s="19">
        <f>+'Depreciation Schedule'!D61</f>
        <v>1228205.4696422033</v>
      </c>
      <c r="F16" s="6">
        <f>+'Depreciation Schedule'!P62</f>
        <v>323212.00000000006</v>
      </c>
      <c r="G16" s="213"/>
      <c r="H16" s="6">
        <f>+E16-F16</f>
        <v>904993.4696422033</v>
      </c>
    </row>
    <row r="17" spans="1:8" ht="15" customHeight="1">
      <c r="A17" s="2">
        <f t="shared" si="0"/>
        <v>8</v>
      </c>
      <c r="B17" s="3">
        <v>361</v>
      </c>
      <c r="C17" s="2" t="s">
        <v>419</v>
      </c>
      <c r="D17" s="19"/>
      <c r="E17" s="19">
        <f>+'Depreciation Schedule'!D67</f>
        <v>0</v>
      </c>
      <c r="F17" s="6">
        <f>+'Depreciation Schedule'!P68</f>
        <v>0</v>
      </c>
      <c r="G17" s="213"/>
      <c r="H17" s="6">
        <f>+E17-F17</f>
        <v>0</v>
      </c>
    </row>
    <row r="18" spans="1:7" ht="15" customHeight="1">
      <c r="A18" s="2">
        <f t="shared" si="0"/>
        <v>9</v>
      </c>
      <c r="B18" s="3">
        <v>362</v>
      </c>
      <c r="C18" s="2" t="s">
        <v>31</v>
      </c>
      <c r="E18" s="19"/>
      <c r="F18" s="6"/>
      <c r="G18" s="213"/>
    </row>
    <row r="19" spans="1:8" ht="15" customHeight="1">
      <c r="A19" s="2">
        <f t="shared" si="0"/>
        <v>10</v>
      </c>
      <c r="B19" s="3">
        <v>363</v>
      </c>
      <c r="C19" s="2" t="s">
        <v>32</v>
      </c>
      <c r="E19" s="19"/>
      <c r="F19" s="6"/>
      <c r="G19" s="213"/>
      <c r="H19" s="6">
        <f>+E19-F19</f>
        <v>0</v>
      </c>
    </row>
    <row r="20" spans="1:7" ht="15" customHeight="1">
      <c r="A20" s="2">
        <f t="shared" si="0"/>
        <v>11</v>
      </c>
      <c r="B20" s="3">
        <v>364</v>
      </c>
      <c r="C20" s="2" t="s">
        <v>33</v>
      </c>
      <c r="E20" s="19"/>
      <c r="F20" s="6"/>
      <c r="G20" s="213"/>
    </row>
    <row r="21" spans="1:7" ht="15" customHeight="1">
      <c r="A21" s="2">
        <f t="shared" si="0"/>
        <v>12</v>
      </c>
      <c r="B21" s="3">
        <v>365</v>
      </c>
      <c r="C21" s="2" t="s">
        <v>35</v>
      </c>
      <c r="E21" s="19"/>
      <c r="F21" s="6"/>
      <c r="G21" s="213"/>
    </row>
    <row r="22" spans="1:7" ht="15" customHeight="1">
      <c r="A22" s="2">
        <f t="shared" si="0"/>
        <v>13</v>
      </c>
      <c r="B22" s="3">
        <v>370</v>
      </c>
      <c r="C22" s="2" t="s">
        <v>36</v>
      </c>
      <c r="E22" s="19"/>
      <c r="F22" s="6"/>
      <c r="G22" s="213"/>
    </row>
    <row r="23" spans="1:8" ht="15" customHeight="1">
      <c r="A23" s="2">
        <f t="shared" si="0"/>
        <v>14</v>
      </c>
      <c r="B23" s="3">
        <v>371</v>
      </c>
      <c r="C23" s="2" t="s">
        <v>91</v>
      </c>
      <c r="D23" s="19"/>
      <c r="E23" s="19"/>
      <c r="F23" s="6"/>
      <c r="G23" s="213"/>
      <c r="H23" s="6">
        <f>+E23-F23</f>
        <v>0</v>
      </c>
    </row>
    <row r="24" spans="1:7" ht="15" customHeight="1">
      <c r="A24" s="2">
        <f t="shared" si="0"/>
        <v>15</v>
      </c>
      <c r="B24" s="3">
        <v>374</v>
      </c>
      <c r="C24" s="2" t="s">
        <v>420</v>
      </c>
      <c r="D24" s="19"/>
      <c r="E24" s="19"/>
      <c r="F24" s="6"/>
      <c r="G24" s="213"/>
    </row>
    <row r="25" spans="1:7" ht="15" customHeight="1">
      <c r="A25" s="2">
        <f t="shared" si="0"/>
        <v>16</v>
      </c>
      <c r="B25" s="3">
        <v>375</v>
      </c>
      <c r="C25" s="2" t="s">
        <v>421</v>
      </c>
      <c r="D25" s="19"/>
      <c r="E25" s="19"/>
      <c r="F25" s="6"/>
      <c r="G25" s="213"/>
    </row>
    <row r="26" spans="1:8" ht="15" customHeight="1">
      <c r="A26" s="2">
        <f t="shared" si="0"/>
        <v>17</v>
      </c>
      <c r="B26" s="3">
        <v>380</v>
      </c>
      <c r="C26" s="2" t="s">
        <v>37</v>
      </c>
      <c r="E26" s="19"/>
      <c r="F26" s="6"/>
      <c r="G26" s="213"/>
      <c r="H26" s="6">
        <f>+E26-F26</f>
        <v>0</v>
      </c>
    </row>
    <row r="27" spans="1:7" ht="15" customHeight="1">
      <c r="A27" s="2">
        <f t="shared" si="0"/>
        <v>18</v>
      </c>
      <c r="B27" s="3">
        <v>381</v>
      </c>
      <c r="C27" s="2" t="s">
        <v>8</v>
      </c>
      <c r="E27" s="19"/>
      <c r="F27" s="6"/>
      <c r="G27" s="213"/>
    </row>
    <row r="28" spans="1:7" ht="15" customHeight="1">
      <c r="A28" s="2">
        <f t="shared" si="0"/>
        <v>19</v>
      </c>
      <c r="B28" s="3">
        <v>382</v>
      </c>
      <c r="C28" s="2" t="s">
        <v>38</v>
      </c>
      <c r="E28" s="19"/>
      <c r="F28" s="6"/>
      <c r="G28" s="213"/>
    </row>
    <row r="29" spans="1:7" ht="15" customHeight="1">
      <c r="A29" s="2">
        <f t="shared" si="0"/>
        <v>20</v>
      </c>
      <c r="B29" s="3">
        <v>389</v>
      </c>
      <c r="C29" s="2" t="s">
        <v>21</v>
      </c>
      <c r="E29" s="19"/>
      <c r="F29" s="6"/>
      <c r="G29" s="213"/>
    </row>
    <row r="30" spans="1:8" ht="15" customHeight="1">
      <c r="A30" s="2">
        <f t="shared" si="2" ref="A30:A39">+A29+1</f>
        <v>21</v>
      </c>
      <c r="B30" s="3">
        <v>390</v>
      </c>
      <c r="C30" s="2" t="s">
        <v>22</v>
      </c>
      <c r="E30" s="19">
        <f>+'Depreciation Schedule'!D77</f>
        <v>5000</v>
      </c>
      <c r="F30" s="6">
        <f>+'Depreciation Schedule'!P78</f>
        <v>3333.2999999999993</v>
      </c>
      <c r="G30" s="213"/>
      <c r="H30" s="6">
        <f>+E30-F30</f>
        <v>1666.7000000000007</v>
      </c>
    </row>
    <row r="31" spans="1:8" ht="15" customHeight="1">
      <c r="A31" s="2">
        <f t="shared" si="2"/>
        <v>22</v>
      </c>
      <c r="B31" s="3">
        <v>391</v>
      </c>
      <c r="C31" s="2" t="s">
        <v>23</v>
      </c>
      <c r="E31" s="19">
        <f>+'Depreciation Schedule'!D90</f>
        <v>180000</v>
      </c>
      <c r="F31" s="6">
        <f>+'Depreciation Schedule'!P91</f>
        <v>120000.09999999999</v>
      </c>
      <c r="G31" s="213"/>
      <c r="H31" s="6">
        <f>+E31-F31</f>
        <v>59999.900000000009</v>
      </c>
    </row>
    <row r="32" spans="1:8" ht="15" customHeight="1">
      <c r="A32" s="2">
        <f t="shared" si="2"/>
        <v>23</v>
      </c>
      <c r="B32" s="3">
        <v>393</v>
      </c>
      <c r="C32" s="2" t="s">
        <v>24</v>
      </c>
      <c r="E32" s="19">
        <f>+'Depreciation Schedule'!D96</f>
        <v>75000</v>
      </c>
      <c r="F32" s="6">
        <f>+'Depreciation Schedule'!P97</f>
        <v>46875</v>
      </c>
      <c r="H32" s="6">
        <f>+E32-F32</f>
        <v>28125</v>
      </c>
    </row>
    <row r="33" spans="1:8" ht="15" customHeight="1">
      <c r="A33" s="2">
        <f t="shared" si="2"/>
        <v>24</v>
      </c>
      <c r="B33" s="3">
        <v>395</v>
      </c>
      <c r="C33" s="2" t="s">
        <v>25</v>
      </c>
      <c r="E33" s="6">
        <f>+'Depreciation Schedule'!D102</f>
        <v>100000</v>
      </c>
      <c r="F33" s="6">
        <f>+'Depreciation Schedule'!P103</f>
        <v>83333.30</v>
      </c>
      <c r="G33" s="213"/>
      <c r="H33" s="6">
        <f>+E33-F33</f>
        <v>16666.699999999997</v>
      </c>
    </row>
    <row r="34" spans="1:7" ht="15" customHeight="1">
      <c r="A34" s="2">
        <f t="shared" si="2"/>
        <v>25</v>
      </c>
      <c r="B34" s="3">
        <v>397</v>
      </c>
      <c r="C34" s="2" t="s">
        <v>422</v>
      </c>
      <c r="E34" s="6"/>
      <c r="F34" s="6"/>
      <c r="G34" s="213"/>
    </row>
    <row r="35" spans="1:8" ht="15" customHeight="1" thickBot="1">
      <c r="A35" s="2">
        <f t="shared" si="2"/>
        <v>26</v>
      </c>
      <c r="E35" s="9">
        <f>SUM(E10:E34)</f>
        <v>21958148</v>
      </c>
      <c r="F35" s="9">
        <f>SUM(F10:F34)</f>
        <v>6731961.0999999978</v>
      </c>
      <c r="G35" s="214"/>
      <c r="H35" s="78">
        <f>SUM(H10:H34)</f>
        <v>15226186.9</v>
      </c>
    </row>
    <row r="36" ht="15" customHeight="1" thickTop="1">
      <c r="A36" s="2">
        <f t="shared" si="2"/>
        <v>27</v>
      </c>
    </row>
    <row r="37" spans="1:5" ht="15" customHeight="1">
      <c r="A37" s="2">
        <f t="shared" si="2"/>
        <v>28</v>
      </c>
      <c r="C37" s="1" t="s">
        <v>311</v>
      </c>
      <c r="D37" s="10" t="s">
        <v>301</v>
      </c>
      <c r="E37" s="10"/>
    </row>
    <row r="38" spans="1:6" ht="15" customHeight="1">
      <c r="A38" s="2">
        <f t="shared" si="2"/>
        <v>29</v>
      </c>
      <c r="C38" s="2" t="s">
        <v>478</v>
      </c>
      <c r="E38" s="10">
        <f>+'Factored ERC'!AY16</f>
        <v>1248</v>
      </c>
      <c r="F38" s="2" t="s">
        <v>26</v>
      </c>
    </row>
    <row r="39" spans="1:6" ht="15" customHeight="1">
      <c r="A39" s="2">
        <f t="shared" si="2"/>
        <v>30</v>
      </c>
      <c r="C39" s="1" t="s">
        <v>310</v>
      </c>
      <c r="E39" s="524">
        <v>90</v>
      </c>
      <c r="F39" s="2" t="s">
        <v>27</v>
      </c>
    </row>
    <row r="40" ht="13.8">
      <c r="F40" s="215"/>
    </row>
    <row r="41" ht="14.4">
      <c r="A41" s="621" t="s">
        <v>676</v>
      </c>
    </row>
    <row r="42" ht="13.8">
      <c r="J42" s="56"/>
    </row>
    <row r="48" ht="13.8">
      <c r="E48" s="7"/>
    </row>
  </sheetData>
  <mergeCells count="2">
    <mergeCell ref="F8:F9"/>
    <mergeCell ref="B6:E6"/>
  </mergeCells>
  <pageMargins left="0.7" right="0.7" top="0.75" bottom="0.75" header="0.3" footer="0.3"/>
  <pageSetup orientation="portrait" scale="9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72"/>
  <sheetViews>
    <sheetView workbookViewId="0" topLeftCell="A46">
      <selection pane="topLeft" activeCell="A21" sqref="A21"/>
    </sheetView>
  </sheetViews>
  <sheetFormatPr defaultColWidth="9" defaultRowHeight="14.25"/>
  <cols>
    <col min="1" max="1" width="5.25" style="3" customWidth="1"/>
    <col min="2" max="2" width="9.75" style="3" customWidth="1"/>
    <col min="3" max="3" width="47.875" style="2" customWidth="1"/>
    <col min="4" max="4" width="11.5" style="3" customWidth="1"/>
    <col min="5" max="5" width="3.875" style="2" customWidth="1"/>
    <col min="6" max="6" width="9" style="2"/>
    <col min="7" max="7" width="11.75" style="2" bestFit="1" customWidth="1"/>
    <col min="8" max="16384" width="9" style="2"/>
  </cols>
  <sheetData>
    <row r="1" spans="1:5" s="24" customFormat="1" ht="13.8">
      <c r="A1" s="14"/>
      <c r="B1" s="14"/>
      <c r="E1" s="25" t="s">
        <v>186</v>
      </c>
    </row>
    <row r="2" spans="1:5" s="24" customFormat="1" ht="15" customHeight="1">
      <c r="A2" s="14"/>
      <c r="C2" s="12"/>
      <c r="E2" s="25"/>
    </row>
    <row r="3" spans="1:5" s="24" customFormat="1" ht="15" customHeight="1">
      <c r="A3" s="14"/>
      <c r="B3" s="12" t="str">
        <f>+Cover!A5</f>
        <v>Environmental Utilities, LLC</v>
      </c>
      <c r="C3" s="12"/>
      <c r="D3" s="12"/>
      <c r="E3" s="12"/>
    </row>
    <row r="4" spans="1:5" s="24" customFormat="1" ht="15" customHeight="1">
      <c r="A4" s="14"/>
      <c r="B4" s="12" t="s">
        <v>16</v>
      </c>
      <c r="C4" s="12"/>
      <c r="D4" s="12"/>
      <c r="E4" s="12"/>
    </row>
    <row r="5" spans="1:5" s="24" customFormat="1" ht="15" customHeight="1">
      <c r="A5" s="14"/>
      <c r="B5" s="12" t="s">
        <v>312</v>
      </c>
      <c r="C5" s="12"/>
      <c r="D5" s="12"/>
      <c r="E5" s="12"/>
    </row>
    <row r="6" spans="1:5" s="24" customFormat="1" ht="15" customHeight="1">
      <c r="A6" s="14"/>
      <c r="B6" s="12" t="s">
        <v>667</v>
      </c>
      <c r="C6" s="12"/>
      <c r="D6" s="12"/>
      <c r="E6" s="12"/>
    </row>
    <row r="7" spans="1:5" s="24" customFormat="1" ht="15" customHeight="1">
      <c r="A7" s="14"/>
      <c r="B7" s="14"/>
      <c r="C7" s="12"/>
      <c r="D7" s="12"/>
      <c r="E7" s="12"/>
    </row>
    <row r="8" spans="1:5" s="24" customFormat="1" ht="15" customHeight="1">
      <c r="A8" s="14" t="s">
        <v>254</v>
      </c>
      <c r="B8" s="14" t="s">
        <v>2</v>
      </c>
      <c r="D8" s="14"/>
      <c r="E8" s="14"/>
    </row>
    <row r="9" spans="1:5" s="24" customFormat="1" ht="15" customHeight="1">
      <c r="A9" s="120" t="s">
        <v>0</v>
      </c>
      <c r="B9" s="120" t="s">
        <v>18</v>
      </c>
      <c r="C9" s="124" t="s">
        <v>39</v>
      </c>
      <c r="D9" s="132"/>
      <c r="E9" s="14"/>
    </row>
    <row r="10" spans="1:4" ht="13.8">
      <c r="A10" s="3">
        <v>1</v>
      </c>
      <c r="B10" s="3">
        <v>101</v>
      </c>
      <c r="C10" s="2" t="s">
        <v>42</v>
      </c>
      <c r="D10" s="11">
        <f>+'Schedule 1 Rate Base'!E11</f>
        <v>21958147.999999993</v>
      </c>
    </row>
    <row r="11" spans="1:4" ht="15" customHeight="1">
      <c r="A11" s="3">
        <f>+A10+1</f>
        <v>2</v>
      </c>
      <c r="B11" s="3">
        <v>103</v>
      </c>
      <c r="C11" s="2" t="s">
        <v>43</v>
      </c>
      <c r="D11" s="8"/>
    </row>
    <row r="12" spans="1:4" ht="15" customHeight="1">
      <c r="A12" s="3">
        <f>+A11+1</f>
        <v>3</v>
      </c>
      <c r="B12" s="3">
        <v>104</v>
      </c>
      <c r="C12" s="2" t="s">
        <v>44</v>
      </c>
      <c r="D12" s="8"/>
    </row>
    <row r="13" spans="1:4" ht="15" customHeight="1">
      <c r="A13" s="3">
        <f t="shared" si="0" ref="A13:A53">+A12+1</f>
        <v>4</v>
      </c>
      <c r="B13" s="3">
        <v>105</v>
      </c>
      <c r="C13" s="2" t="s">
        <v>45</v>
      </c>
      <c r="D13" s="8"/>
    </row>
    <row r="14" spans="1:4" ht="15" customHeight="1">
      <c r="A14" s="3">
        <f t="shared" si="0"/>
        <v>5</v>
      </c>
      <c r="B14" s="3">
        <v>108</v>
      </c>
      <c r="C14" s="2" t="s">
        <v>46</v>
      </c>
      <c r="D14" s="8">
        <f>+'Schedule 1 Rate Base'!E12</f>
        <v>-15908206.59999999</v>
      </c>
    </row>
    <row r="15" spans="1:4" ht="15" customHeight="1">
      <c r="A15" s="3">
        <f t="shared" si="0"/>
        <v>6</v>
      </c>
      <c r="B15" s="3">
        <v>114</v>
      </c>
      <c r="C15" s="2" t="s">
        <v>47</v>
      </c>
      <c r="D15" s="8"/>
    </row>
    <row r="16" spans="1:4" ht="15" customHeight="1">
      <c r="A16" s="3">
        <f t="shared" si="0"/>
        <v>7</v>
      </c>
      <c r="B16" s="3">
        <v>115</v>
      </c>
      <c r="C16" s="2" t="s">
        <v>48</v>
      </c>
      <c r="D16" s="8"/>
    </row>
    <row r="17" spans="1:4" ht="15" customHeight="1">
      <c r="A17" s="3">
        <f t="shared" si="0"/>
        <v>8</v>
      </c>
      <c r="B17" s="3">
        <v>121</v>
      </c>
      <c r="C17" s="2" t="s">
        <v>49</v>
      </c>
      <c r="D17" s="8"/>
    </row>
    <row r="18" spans="1:4" ht="15" customHeight="1">
      <c r="A18" s="3">
        <f t="shared" si="0"/>
        <v>9</v>
      </c>
      <c r="B18" s="3">
        <v>122</v>
      </c>
      <c r="C18" s="2" t="s">
        <v>50</v>
      </c>
      <c r="D18" s="8"/>
    </row>
    <row r="19" spans="1:4" ht="15" customHeight="1">
      <c r="A19" s="3">
        <f t="shared" si="0"/>
        <v>10</v>
      </c>
      <c r="B19" s="3">
        <v>124</v>
      </c>
      <c r="C19" s="2" t="s">
        <v>51</v>
      </c>
      <c r="D19" s="8"/>
    </row>
    <row r="20" spans="1:7" ht="15" customHeight="1">
      <c r="A20" s="3">
        <f t="shared" si="0"/>
        <v>11</v>
      </c>
      <c r="B20" s="3">
        <v>131</v>
      </c>
      <c r="C20" s="2" t="s">
        <v>41</v>
      </c>
      <c r="D20" s="8">
        <f>((+'Schedule No. 3 B Wastewater'!G37)/12)*1.5</f>
        <v>154591.39942640119</v>
      </c>
      <c r="G20" s="2" t="s">
        <v>326</v>
      </c>
    </row>
    <row r="21" spans="1:4" ht="15" customHeight="1">
      <c r="A21" s="3">
        <f t="shared" si="0"/>
        <v>12</v>
      </c>
      <c r="B21" s="3">
        <v>132</v>
      </c>
      <c r="C21" s="2" t="s">
        <v>52</v>
      </c>
      <c r="D21" s="8"/>
    </row>
    <row r="22" spans="1:7" ht="15" customHeight="1">
      <c r="A22" s="3">
        <f t="shared" si="0"/>
        <v>13</v>
      </c>
      <c r="B22" s="3">
        <v>141</v>
      </c>
      <c r="C22" s="2" t="s">
        <v>53</v>
      </c>
      <c r="D22" s="8">
        <f>(+'Schedule No. 7 Rev Proof'!H32)/24</f>
        <v>89227.891280000025</v>
      </c>
      <c r="G22" s="2" t="s">
        <v>321</v>
      </c>
    </row>
    <row r="23" spans="1:4" ht="15" customHeight="1">
      <c r="A23" s="3">
        <f t="shared" si="0"/>
        <v>14</v>
      </c>
      <c r="B23" s="3">
        <v>143</v>
      </c>
      <c r="C23" s="2" t="s">
        <v>54</v>
      </c>
      <c r="D23" s="8"/>
    </row>
    <row r="24" spans="1:4" ht="15" customHeight="1">
      <c r="A24" s="3">
        <f t="shared" si="0"/>
        <v>15</v>
      </c>
      <c r="B24" s="3">
        <v>151</v>
      </c>
      <c r="C24" s="2" t="s">
        <v>55</v>
      </c>
      <c r="D24" s="8"/>
    </row>
    <row r="25" spans="1:4" ht="15" customHeight="1">
      <c r="A25" s="3">
        <f t="shared" si="0"/>
        <v>16</v>
      </c>
      <c r="B25" s="3">
        <v>174</v>
      </c>
      <c r="C25" s="2" t="s">
        <v>56</v>
      </c>
      <c r="D25" s="8"/>
    </row>
    <row r="26" spans="1:4" ht="15" customHeight="1">
      <c r="A26" s="3">
        <f t="shared" si="0"/>
        <v>17</v>
      </c>
      <c r="B26" s="3">
        <v>186</v>
      </c>
      <c r="C26" s="2" t="s">
        <v>57</v>
      </c>
      <c r="D26" s="8"/>
    </row>
    <row r="27" spans="1:4" ht="15" customHeight="1">
      <c r="A27" s="3">
        <f t="shared" si="0"/>
        <v>18</v>
      </c>
      <c r="B27" s="3">
        <v>190</v>
      </c>
      <c r="C27" s="2" t="s">
        <v>58</v>
      </c>
      <c r="D27" s="8"/>
    </row>
    <row r="28" spans="1:4" ht="19.95" customHeight="1" thickBot="1">
      <c r="A28" s="3">
        <f t="shared" si="0"/>
        <v>19</v>
      </c>
      <c r="C28" s="12" t="s">
        <v>40</v>
      </c>
      <c r="D28" s="13">
        <f>SUM(D10:D27)</f>
        <v>6293760.6907064039</v>
      </c>
    </row>
    <row r="29" ht="15" customHeight="1" thickTop="1">
      <c r="A29" s="3">
        <f t="shared" si="0"/>
        <v>20</v>
      </c>
    </row>
    <row r="30" spans="1:3" ht="15" customHeight="1">
      <c r="A30" s="3">
        <f t="shared" si="0"/>
        <v>21</v>
      </c>
      <c r="C30" s="3" t="s">
        <v>59</v>
      </c>
    </row>
    <row r="31" spans="1:4" ht="15" customHeight="1">
      <c r="A31" s="3">
        <f t="shared" si="0"/>
        <v>22</v>
      </c>
      <c r="B31" s="3">
        <v>201</v>
      </c>
      <c r="C31" s="2" t="s">
        <v>61</v>
      </c>
      <c r="D31" s="8"/>
    </row>
    <row r="32" spans="1:3" ht="15" customHeight="1">
      <c r="A32" s="3">
        <f t="shared" si="0"/>
        <v>23</v>
      </c>
      <c r="B32" s="3">
        <v>204</v>
      </c>
      <c r="C32" s="2" t="s">
        <v>64</v>
      </c>
    </row>
    <row r="33" spans="1:7" ht="13.8">
      <c r="A33" s="3">
        <f t="shared" si="0"/>
        <v>24</v>
      </c>
      <c r="B33" s="3">
        <v>211</v>
      </c>
      <c r="C33" s="2" t="s">
        <v>62</v>
      </c>
      <c r="D33" s="8">
        <f>+D28-SUM(D34:D52)</f>
        <v>14867019.613465836</v>
      </c>
      <c r="G33" s="2" t="s">
        <v>322</v>
      </c>
    </row>
    <row r="34" spans="1:4" ht="13.8">
      <c r="A34" s="3">
        <f t="shared" si="0"/>
        <v>25</v>
      </c>
      <c r="B34" s="3">
        <v>215</v>
      </c>
      <c r="C34" s="2" t="s">
        <v>63</v>
      </c>
      <c r="D34" s="8">
        <f>+'Schedule 7  NOI'!G21</f>
        <v>241076.92509999988</v>
      </c>
    </row>
    <row r="35" spans="1:3" ht="13.8">
      <c r="A35" s="3">
        <f t="shared" si="0"/>
        <v>26</v>
      </c>
      <c r="B35" s="3">
        <v>218</v>
      </c>
      <c r="C35" s="2" t="s">
        <v>65</v>
      </c>
    </row>
    <row r="36" spans="1:3" ht="13.8">
      <c r="A36" s="3">
        <f t="shared" si="0"/>
        <v>27</v>
      </c>
      <c r="C36" s="3" t="s">
        <v>60</v>
      </c>
    </row>
    <row r="37" spans="1:3" ht="13.8">
      <c r="A37" s="3">
        <f t="shared" si="0"/>
        <v>28</v>
      </c>
      <c r="B37" s="3">
        <v>224</v>
      </c>
      <c r="C37" s="2" t="s">
        <v>66</v>
      </c>
    </row>
    <row r="38" spans="1:7" ht="13.8">
      <c r="A38" s="3">
        <f t="shared" si="0"/>
        <v>29</v>
      </c>
      <c r="B38" s="3">
        <v>231</v>
      </c>
      <c r="C38" s="2" t="s">
        <v>328</v>
      </c>
      <c r="D38" s="8">
        <f>(+'Schedule No. 3 B Wastewater'!G37)/24</f>
        <v>51530.466475467059</v>
      </c>
      <c r="G38" s="2" t="s">
        <v>327</v>
      </c>
    </row>
    <row r="39" spans="1:4" ht="13.8">
      <c r="A39" s="3">
        <f t="shared" si="0"/>
        <v>30</v>
      </c>
      <c r="B39" s="3">
        <v>232</v>
      </c>
      <c r="C39" s="2" t="s">
        <v>67</v>
      </c>
      <c r="D39" s="8"/>
    </row>
    <row r="40" spans="1:7" ht="13.8">
      <c r="A40" s="3">
        <f t="shared" si="0"/>
        <v>31</v>
      </c>
      <c r="B40" s="3">
        <v>235</v>
      </c>
      <c r="C40" s="2" t="s">
        <v>68</v>
      </c>
      <c r="D40" s="8">
        <f>+(+'Schedule No. 7 Rev Proof'!H32)/24</f>
        <v>89227.891280000025</v>
      </c>
      <c r="G40" s="2" t="s">
        <v>479</v>
      </c>
    </row>
    <row r="41" spans="1:3" ht="13.8">
      <c r="A41" s="3">
        <f t="shared" si="0"/>
        <v>32</v>
      </c>
      <c r="B41" s="3">
        <v>236</v>
      </c>
      <c r="C41" s="2" t="s">
        <v>69</v>
      </c>
    </row>
    <row r="42" spans="1:3" ht="13.8">
      <c r="A42" s="3">
        <f t="shared" si="0"/>
        <v>33</v>
      </c>
      <c r="B42" s="3">
        <v>237</v>
      </c>
      <c r="C42" s="2" t="s">
        <v>72</v>
      </c>
    </row>
    <row r="43" spans="1:3" ht="13.8">
      <c r="A43" s="3">
        <f t="shared" si="0"/>
        <v>34</v>
      </c>
      <c r="B43" s="3">
        <v>241</v>
      </c>
      <c r="C43" s="2" t="s">
        <v>70</v>
      </c>
    </row>
    <row r="44" spans="1:3" ht="13.8">
      <c r="A44" s="3">
        <f t="shared" si="0"/>
        <v>35</v>
      </c>
      <c r="B44" s="3">
        <v>252</v>
      </c>
      <c r="C44" s="2" t="s">
        <v>71</v>
      </c>
    </row>
    <row r="45" spans="1:3" ht="13.8">
      <c r="A45" s="3">
        <f t="shared" si="0"/>
        <v>36</v>
      </c>
      <c r="B45" s="3">
        <v>253</v>
      </c>
      <c r="C45" s="2" t="s">
        <v>73</v>
      </c>
    </row>
    <row r="46" spans="1:3" ht="13.8">
      <c r="A46" s="3">
        <f t="shared" si="0"/>
        <v>37</v>
      </c>
      <c r="B46" s="3">
        <v>255</v>
      </c>
      <c r="C46" s="2" t="s">
        <v>74</v>
      </c>
    </row>
    <row r="47" spans="1:3" ht="13.8">
      <c r="A47" s="3">
        <f t="shared" si="0"/>
        <v>38</v>
      </c>
      <c r="B47" s="3">
        <v>265</v>
      </c>
      <c r="C47" s="2" t="s">
        <v>74</v>
      </c>
    </row>
    <row r="48" spans="1:4" ht="13.8">
      <c r="A48" s="3">
        <f t="shared" si="0"/>
        <v>39</v>
      </c>
      <c r="B48" s="3">
        <v>271</v>
      </c>
      <c r="C48" s="2" t="s">
        <v>75</v>
      </c>
      <c r="D48" s="8">
        <f>+'Schedule 1 Rate Base'!F13</f>
        <v>-13079844.934444623</v>
      </c>
    </row>
    <row r="49" spans="1:4" ht="13.8">
      <c r="A49" s="3">
        <f t="shared" si="0"/>
        <v>40</v>
      </c>
      <c r="B49" s="3">
        <v>272</v>
      </c>
      <c r="C49" s="2" t="s">
        <v>76</v>
      </c>
      <c r="D49" s="8">
        <f>+'Schedule 1 Rate Base'!F14</f>
        <v>4124750.7288297229</v>
      </c>
    </row>
    <row r="50" spans="1:3" ht="13.8">
      <c r="A50" s="3">
        <f t="shared" si="0"/>
        <v>41</v>
      </c>
      <c r="B50" s="3">
        <v>281</v>
      </c>
      <c r="C50" s="2" t="s">
        <v>77</v>
      </c>
    </row>
    <row r="51" spans="1:3" ht="13.8">
      <c r="A51" s="3">
        <f t="shared" si="0"/>
        <v>42</v>
      </c>
      <c r="B51" s="3">
        <v>282</v>
      </c>
      <c r="C51" s="2" t="s">
        <v>78</v>
      </c>
    </row>
    <row r="52" spans="1:4" ht="13.8">
      <c r="A52" s="3">
        <f t="shared" si="0"/>
        <v>43</v>
      </c>
      <c r="B52" s="3">
        <v>283</v>
      </c>
      <c r="C52" s="2" t="s">
        <v>79</v>
      </c>
      <c r="D52" s="11">
        <f>+'Sched 1 Coll _Trans Estimate'!AB60</f>
        <v>0</v>
      </c>
    </row>
    <row r="53" spans="1:4" ht="19.95" customHeight="1" thickBot="1">
      <c r="A53" s="3">
        <f t="shared" si="0"/>
        <v>44</v>
      </c>
      <c r="C53" s="14" t="s">
        <v>80</v>
      </c>
      <c r="D53" s="13">
        <f>SUM(D31:D52)</f>
        <v>6293760.6907064021</v>
      </c>
    </row>
    <row r="54" ht="14.4" thickTop="1">
      <c r="G54" s="7">
        <f>+D28-D53</f>
        <v>0</v>
      </c>
    </row>
    <row r="57" spans="2:4" ht="13.8">
      <c r="B57" s="2" t="s">
        <v>323</v>
      </c>
      <c r="D57" s="2"/>
    </row>
    <row r="58" spans="1:8" ht="13.8">
      <c r="A58" s="2"/>
      <c r="B58" s="2" t="s">
        <v>324</v>
      </c>
      <c r="D58" s="6">
        <f>+D40</f>
        <v>89227.891280000025</v>
      </c>
      <c r="F58" s="56">
        <v>0.02</v>
      </c>
      <c r="G58" s="153">
        <f>+D58/D$60</f>
        <v>0.0058712894951934089</v>
      </c>
      <c r="H58" s="153">
        <f>+G58*F58</f>
        <v>0.00011742578990386818</v>
      </c>
    </row>
    <row r="59" spans="1:8" ht="15.6">
      <c r="A59" s="2"/>
      <c r="B59" s="2" t="s">
        <v>325</v>
      </c>
      <c r="D59" s="154">
        <f>+D33+D34</f>
        <v>15108096.538565837</v>
      </c>
      <c r="F59" s="209">
        <f>+'Cost of Capital'!K21</f>
        <v>0.037400000000000003</v>
      </c>
      <c r="G59" s="155">
        <f>+D59/D$60</f>
        <v>0.99412871050480667</v>
      </c>
      <c r="H59" s="155">
        <f>+G59*F59</f>
        <v>0.03718041377287977</v>
      </c>
    </row>
    <row r="60" spans="1:8" ht="13.8">
      <c r="A60" s="2"/>
      <c r="B60" s="2" t="s">
        <v>282</v>
      </c>
      <c r="D60" s="6">
        <f>SUM(D58:D59)</f>
        <v>15197324.429845836</v>
      </c>
      <c r="F60" s="56"/>
      <c r="G60" s="56">
        <f>SUM(G58:G59)</f>
        <v>1</v>
      </c>
      <c r="H60" s="56">
        <f>SUM(H58:H59)</f>
        <v>0.037297839562783638</v>
      </c>
    </row>
    <row r="61" spans="1:4" ht="13.8">
      <c r="A61" s="2"/>
      <c r="B61" s="182" t="s">
        <v>539</v>
      </c>
      <c r="C61" s="182"/>
      <c r="D61" s="2"/>
    </row>
    <row r="62" spans="1:4" ht="13.8">
      <c r="A62" s="2"/>
      <c r="B62" s="2"/>
      <c r="D62" s="2"/>
    </row>
    <row r="63" spans="1:4" ht="13.8">
      <c r="A63" s="2"/>
      <c r="B63" s="2"/>
      <c r="D63" s="2"/>
    </row>
    <row r="64" spans="1:4" ht="13.8">
      <c r="A64" s="2"/>
      <c r="B64" s="2"/>
      <c r="D64" s="2"/>
    </row>
    <row r="65" spans="2:6" ht="13.8">
      <c r="B65" s="626" t="s">
        <v>329</v>
      </c>
      <c r="C65" s="182"/>
      <c r="D65" s="487">
        <v>2033</v>
      </c>
      <c r="E65" s="487"/>
      <c r="F65" s="487">
        <v>2047</v>
      </c>
    </row>
    <row r="66" spans="3:6" ht="13.8">
      <c r="C66" s="2" t="s">
        <v>41</v>
      </c>
      <c r="D66" s="8">
        <f>+D20</f>
        <v>154591.39942640119</v>
      </c>
      <c r="F66" s="8">
        <f>+D66</f>
        <v>154591.39942640119</v>
      </c>
    </row>
    <row r="67" spans="3:6" ht="13.8">
      <c r="C67" s="2" t="s">
        <v>330</v>
      </c>
      <c r="D67" s="8">
        <f>+D22</f>
        <v>89227.891280000025</v>
      </c>
      <c r="F67" s="8">
        <f>+D67*0.8</f>
        <v>71382.313024000017</v>
      </c>
    </row>
    <row r="68" spans="3:6" ht="15.6">
      <c r="C68" s="2" t="s">
        <v>328</v>
      </c>
      <c r="D68" s="156">
        <f>-D38</f>
        <v>-51530.466475467059</v>
      </c>
      <c r="E68" s="157"/>
      <c r="F68" s="156">
        <f>+D68</f>
        <v>-51530.466475467059</v>
      </c>
    </row>
    <row r="69" spans="4:6" ht="13.8">
      <c r="D69" s="8">
        <f>SUM(D66:D68)</f>
        <v>192288.82423093417</v>
      </c>
      <c r="F69" s="8">
        <f>SUM(F66:F68)</f>
        <v>174443.24597493417</v>
      </c>
    </row>
    <row r="70" spans="4:7" ht="13.8">
      <c r="D70" s="8"/>
      <c r="F70" s="8"/>
      <c r="G70" s="2" t="s">
        <v>480</v>
      </c>
    </row>
    <row r="71" spans="3:8" ht="13.8">
      <c r="C71" s="2" t="s">
        <v>331</v>
      </c>
      <c r="D71" s="8">
        <f>+$D$69*(G71/$G$72)</f>
        <v>192288.82423093417</v>
      </c>
      <c r="F71" s="8">
        <f>+F$69*(G71/$G$72)</f>
        <v>174443.24597493417</v>
      </c>
      <c r="G71" s="7">
        <f>SUM('Schedule 1 Rate Base'!F11:F14)</f>
        <v>6271092.694385102</v>
      </c>
      <c r="H71" s="7"/>
    </row>
    <row r="72" spans="3:8" ht="13.8">
      <c r="C72" s="2" t="s">
        <v>282</v>
      </c>
      <c r="D72" s="210">
        <f>SUM(D71:D71)</f>
        <v>192288.82423093417</v>
      </c>
      <c r="F72" s="210">
        <f>SUM(F71:F71)</f>
        <v>174443.24597493417</v>
      </c>
      <c r="G72" s="7">
        <f>SUM(G71:G71)</f>
        <v>6271092.694385102</v>
      </c>
      <c r="H72" s="7"/>
    </row>
  </sheetData>
  <printOptions horizontalCentered="1"/>
  <pageMargins left="0.7" right="0.7" top="0.75" bottom="0.75" header="0.3" footer="0.3"/>
  <pageSetup orientation="portrait" scale="75" r:id="rId1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50"/>
  <sheetViews>
    <sheetView workbookViewId="0" topLeftCell="A1">
      <selection pane="topLeft" activeCell="B3" sqref="B3:E3"/>
    </sheetView>
  </sheetViews>
  <sheetFormatPr defaultColWidth="9" defaultRowHeight="14.25"/>
  <cols>
    <col min="1" max="1" width="4.5" style="2" customWidth="1"/>
    <col min="2" max="2" width="7.25" style="3" customWidth="1"/>
    <col min="3" max="3" width="43.25" style="2" customWidth="1"/>
    <col min="4" max="4" width="17.5" style="2" customWidth="1"/>
    <col min="5" max="5" width="1.75" style="2" customWidth="1"/>
    <col min="6" max="6" width="9" style="2"/>
    <col min="7" max="7" width="11.125" style="2" bestFit="1" customWidth="1"/>
    <col min="8" max="8" width="10.75" style="2" bestFit="1" customWidth="1"/>
    <col min="9" max="10" width="9" style="2"/>
    <col min="11" max="11" width="11.5" style="2" customWidth="1"/>
    <col min="12" max="16384" width="9" style="2"/>
  </cols>
  <sheetData>
    <row r="1" spans="1:5" ht="13.8">
      <c r="A1" s="24"/>
      <c r="B1" s="14"/>
      <c r="C1" s="24"/>
      <c r="D1" s="25" t="s">
        <v>188</v>
      </c>
      <c r="E1" s="24"/>
    </row>
    <row r="2" spans="1:4" s="24" customFormat="1" ht="13.8">
      <c r="A2" s="14"/>
      <c r="C2" s="12"/>
      <c r="D2" s="25"/>
    </row>
    <row r="3" spans="1:5" ht="15.6">
      <c r="A3" s="24"/>
      <c r="B3" s="638" t="str">
        <f>+'Schedule No. 1B Wastewater'!B3</f>
        <v>Environmental Utilities, LLC</v>
      </c>
      <c r="C3" s="642"/>
      <c r="D3" s="642"/>
      <c r="E3" s="642"/>
    </row>
    <row r="4" spans="1:5" ht="13.8">
      <c r="A4" s="24"/>
      <c r="B4" s="12" t="s">
        <v>16</v>
      </c>
      <c r="C4" s="12"/>
      <c r="D4" s="12"/>
      <c r="E4" s="12"/>
    </row>
    <row r="5" spans="1:5" ht="13.8">
      <c r="A5" s="24"/>
      <c r="B5" s="12" t="s">
        <v>7</v>
      </c>
      <c r="C5" s="12"/>
      <c r="D5" s="12"/>
      <c r="E5" s="12"/>
    </row>
    <row r="6" spans="1:5" ht="13.8">
      <c r="A6" s="24"/>
      <c r="B6" s="12" t="s">
        <v>17</v>
      </c>
      <c r="C6" s="12"/>
      <c r="D6" s="12"/>
      <c r="E6" s="12"/>
    </row>
    <row r="7" spans="1:5" ht="15.6">
      <c r="A7" s="24"/>
      <c r="B7" s="638" t="str">
        <f>+'Schedule No. 1B Wastewater'!B6</f>
        <v>Projected December 2033</v>
      </c>
      <c r="C7" s="642"/>
      <c r="D7" s="642"/>
      <c r="E7" s="642"/>
    </row>
    <row r="8" spans="1:4" s="24" customFormat="1" ht="13.8">
      <c r="A8" s="14"/>
      <c r="B8" s="12"/>
      <c r="C8" s="12"/>
      <c r="D8" s="12"/>
    </row>
    <row r="9" spans="1:5" ht="13.8">
      <c r="A9" s="14" t="s">
        <v>254</v>
      </c>
      <c r="B9" s="14" t="s">
        <v>2</v>
      </c>
      <c r="C9" s="24"/>
      <c r="D9" s="14"/>
      <c r="E9" s="24"/>
    </row>
    <row r="10" spans="1:5" ht="13.8">
      <c r="A10" s="120" t="s">
        <v>0</v>
      </c>
      <c r="B10" s="120" t="s">
        <v>3</v>
      </c>
      <c r="C10" s="120" t="s">
        <v>1</v>
      </c>
      <c r="D10" s="122" t="s">
        <v>145</v>
      </c>
      <c r="E10" s="24"/>
    </row>
    <row r="11" spans="1:4" ht="15" customHeight="1">
      <c r="A11" s="415">
        <v>1</v>
      </c>
      <c r="B11" s="3">
        <v>701</v>
      </c>
      <c r="C11" s="22" t="s">
        <v>82</v>
      </c>
      <c r="D11" s="11">
        <f>+'Schedule No. 7 WW Support'!D13</f>
        <v>164808.04558329115</v>
      </c>
    </row>
    <row r="12" spans="1:4" ht="15" customHeight="1">
      <c r="A12" s="3">
        <f>+A11+1</f>
        <v>2</v>
      </c>
      <c r="B12" s="3">
        <v>703</v>
      </c>
      <c r="C12" s="22" t="s">
        <v>81</v>
      </c>
      <c r="D12" s="8">
        <f>+'Schedule No. 7 WW Support'!D14</f>
        <v>85329.609399633002</v>
      </c>
    </row>
    <row r="13" spans="1:4" ht="15" customHeight="1">
      <c r="A13" s="3">
        <f t="shared" si="0" ref="A13:A50">+A12+1</f>
        <v>3</v>
      </c>
      <c r="B13" s="3">
        <v>704</v>
      </c>
      <c r="C13" s="22" t="s">
        <v>83</v>
      </c>
      <c r="D13" s="8">
        <f>+'Schedule No. 7 WW Support'!D15</f>
        <v>86214.786886152258</v>
      </c>
    </row>
    <row r="14" spans="1:4" ht="15" customHeight="1">
      <c r="A14" s="3">
        <f t="shared" si="0"/>
        <v>4</v>
      </c>
      <c r="B14" s="3">
        <v>710</v>
      </c>
      <c r="C14" s="22" t="s">
        <v>451</v>
      </c>
      <c r="D14" s="8">
        <f>+'Schedule No. 7 WW Support'!D16</f>
        <v>524683.99066287337</v>
      </c>
    </row>
    <row r="15" spans="1:4" ht="15" customHeight="1">
      <c r="A15" s="3">
        <f t="shared" si="0"/>
        <v>5</v>
      </c>
      <c r="B15" s="3">
        <v>711</v>
      </c>
      <c r="C15" s="22" t="s">
        <v>92</v>
      </c>
      <c r="D15" s="181">
        <f>+'Schedule No. 7 WW Support'!D17</f>
        <v>212348.82796308669</v>
      </c>
    </row>
    <row r="16" spans="1:4" ht="15" customHeight="1">
      <c r="A16" s="3">
        <f t="shared" si="0"/>
        <v>6</v>
      </c>
      <c r="B16" s="3">
        <v>715</v>
      </c>
      <c r="C16" s="22" t="s">
        <v>4</v>
      </c>
      <c r="D16" s="8">
        <f>+'Schedule No. 7 WW Support'!D18</f>
        <v>18284.916299921355</v>
      </c>
    </row>
    <row r="17" spans="1:4" ht="15" customHeight="1">
      <c r="A17" s="3">
        <f t="shared" si="0"/>
        <v>7</v>
      </c>
      <c r="B17" s="3">
        <v>716</v>
      </c>
      <c r="C17" s="22" t="s">
        <v>87</v>
      </c>
      <c r="D17" s="8">
        <f>+'Schedule No. 7 WW Support'!D19</f>
        <v>0</v>
      </c>
    </row>
    <row r="18" spans="1:4" ht="15" customHeight="1">
      <c r="A18" s="3">
        <f t="shared" si="0"/>
        <v>8</v>
      </c>
      <c r="B18" s="3">
        <v>718</v>
      </c>
      <c r="C18" s="22" t="s">
        <v>5</v>
      </c>
      <c r="D18" s="8">
        <f>+'Schedule No. 7 WW Support'!D20</f>
        <v>0</v>
      </c>
    </row>
    <row r="19" spans="1:4" ht="15" customHeight="1">
      <c r="A19" s="3">
        <f t="shared" si="0"/>
        <v>9</v>
      </c>
      <c r="B19" s="3">
        <v>720</v>
      </c>
      <c r="C19" s="22" t="s">
        <v>85</v>
      </c>
      <c r="D19" s="181">
        <f>+'Schedule No. 7 WW Support'!D21</f>
        <v>14627.933039937085</v>
      </c>
    </row>
    <row r="20" spans="1:4" ht="15" customHeight="1">
      <c r="A20" s="3">
        <f t="shared" si="0"/>
        <v>10</v>
      </c>
      <c r="B20" s="3">
        <v>731</v>
      </c>
      <c r="C20" s="22" t="s">
        <v>439</v>
      </c>
      <c r="D20" s="8">
        <f>+'Schedule No. 7 WW Support'!D22</f>
        <v>0</v>
      </c>
    </row>
    <row r="21" spans="1:4" ht="15" customHeight="1">
      <c r="A21" s="3">
        <f t="shared" si="0"/>
        <v>11</v>
      </c>
      <c r="B21" s="3">
        <v>732</v>
      </c>
      <c r="C21" s="22" t="s">
        <v>440</v>
      </c>
      <c r="D21" s="8">
        <f>+'Schedule No. 7 WW Support'!D23</f>
        <v>0</v>
      </c>
    </row>
    <row r="22" spans="1:4" ht="15" customHeight="1">
      <c r="A22" s="3">
        <f t="shared" si="0"/>
        <v>12</v>
      </c>
      <c r="B22" s="3">
        <v>733</v>
      </c>
      <c r="C22" s="22" t="s">
        <v>441</v>
      </c>
      <c r="D22" s="8">
        <f>+'Schedule No. 7 WW Support'!D24</f>
        <v>0</v>
      </c>
    </row>
    <row r="23" spans="1:4" ht="15" customHeight="1">
      <c r="A23" s="3">
        <f t="shared" si="0"/>
        <v>13</v>
      </c>
      <c r="B23" s="3">
        <v>734</v>
      </c>
      <c r="C23" s="22" t="s">
        <v>442</v>
      </c>
      <c r="D23" s="8">
        <f>+'Schedule No. 7 WW Support'!D25</f>
        <v>0</v>
      </c>
    </row>
    <row r="24" spans="1:4" ht="15" customHeight="1">
      <c r="A24" s="3">
        <f t="shared" si="0"/>
        <v>14</v>
      </c>
      <c r="B24" s="3">
        <v>735</v>
      </c>
      <c r="C24" s="22" t="s">
        <v>443</v>
      </c>
      <c r="D24" s="8">
        <f>+'Schedule No. 7 WW Support'!D26</f>
        <v>0</v>
      </c>
    </row>
    <row r="25" spans="1:4" ht="15" customHeight="1">
      <c r="A25" s="3">
        <f t="shared" si="0"/>
        <v>15</v>
      </c>
      <c r="B25" s="3">
        <v>736</v>
      </c>
      <c r="C25" s="22" t="s">
        <v>578</v>
      </c>
      <c r="D25" s="8">
        <f>+'Schedule No. 7 WW Support'!D27</f>
        <v>29197.354347714423</v>
      </c>
    </row>
    <row r="26" spans="1:11" ht="15" customHeight="1">
      <c r="A26" s="3">
        <f t="shared" si="0"/>
        <v>16</v>
      </c>
      <c r="B26" s="3">
        <v>741</v>
      </c>
      <c r="C26" s="22" t="s">
        <v>444</v>
      </c>
      <c r="D26" s="8">
        <f>+'Schedule No. 7 WW Support'!D28</f>
        <v>13896.53638794023</v>
      </c>
      <c r="K26" s="7">
        <f>SUM(D11:D37)</f>
        <v>1236731.1954112095</v>
      </c>
    </row>
    <row r="27" spans="1:11" ht="15" customHeight="1">
      <c r="A27" s="3">
        <f t="shared" si="0"/>
        <v>17</v>
      </c>
      <c r="B27" s="3">
        <v>742</v>
      </c>
      <c r="C27" s="22" t="s">
        <v>445</v>
      </c>
      <c r="K27" s="7">
        <f>+'Schedule No. 7 WW Support'!D39</f>
        <v>1236731.1954112095</v>
      </c>
    </row>
    <row r="28" spans="1:11" ht="15" customHeight="1">
      <c r="A28" s="3">
        <f t="shared" si="0"/>
        <v>18</v>
      </c>
      <c r="B28" s="3">
        <v>750</v>
      </c>
      <c r="C28" s="22" t="s">
        <v>84</v>
      </c>
      <c r="D28" s="8">
        <f>+'Schedule No. 7 WW Support'!D29</f>
        <v>19016.312951918211</v>
      </c>
      <c r="K28" s="7">
        <f>+K26-K27</f>
        <v>0</v>
      </c>
    </row>
    <row r="29" spans="1:10" ht="15" customHeight="1">
      <c r="A29" s="3">
        <f t="shared" si="0"/>
        <v>19</v>
      </c>
      <c r="B29" s="3">
        <v>756</v>
      </c>
      <c r="C29" s="22" t="s">
        <v>430</v>
      </c>
      <c r="D29" s="8">
        <f>+'Schedule No. 7 WW Support'!D30</f>
        <v>7313.9665199685423</v>
      </c>
      <c r="J29" s="6"/>
    </row>
    <row r="30" spans="1:10" ht="15" customHeight="1">
      <c r="A30" s="3">
        <f t="shared" si="0"/>
        <v>20</v>
      </c>
      <c r="B30" s="3">
        <v>757</v>
      </c>
      <c r="C30" s="22" t="s">
        <v>431</v>
      </c>
      <c r="D30" s="8">
        <f>+'Schedule No. 7 WW Support'!D31</f>
        <v>19503.910719916115</v>
      </c>
      <c r="J30" s="6"/>
    </row>
    <row r="31" spans="1:10" ht="15" customHeight="1">
      <c r="A31" s="3">
        <f t="shared" si="0"/>
        <v>21</v>
      </c>
      <c r="B31" s="3">
        <v>758</v>
      </c>
      <c r="C31" s="22" t="s">
        <v>432</v>
      </c>
      <c r="D31" s="8">
        <f>+'Schedule No. 7 WW Support'!D32</f>
        <v>22488.691696938477</v>
      </c>
      <c r="J31" s="6"/>
    </row>
    <row r="32" spans="1:10" ht="15" customHeight="1">
      <c r="A32" s="3">
        <f t="shared" si="0"/>
        <v>22</v>
      </c>
      <c r="B32" s="3">
        <v>759</v>
      </c>
      <c r="C32" s="22" t="s">
        <v>433</v>
      </c>
      <c r="D32" s="8">
        <f>+'Schedule No. 7 WW Support'!D33</f>
        <v>0</v>
      </c>
      <c r="J32" s="6"/>
    </row>
    <row r="33" spans="1:10" ht="15" customHeight="1">
      <c r="A33" s="3">
        <f t="shared" si="0"/>
        <v>23</v>
      </c>
      <c r="B33" s="3">
        <v>760</v>
      </c>
      <c r="C33" s="22" t="s">
        <v>434</v>
      </c>
      <c r="D33" s="8">
        <f>+'Schedule No. 7 WW Support'!D34</f>
        <v>0</v>
      </c>
      <c r="J33" s="6"/>
    </row>
    <row r="34" spans="1:4" ht="15" customHeight="1">
      <c r="A34" s="3">
        <f t="shared" si="0"/>
        <v>24</v>
      </c>
      <c r="B34" s="3">
        <v>766</v>
      </c>
      <c r="C34" s="22" t="s">
        <v>89</v>
      </c>
      <c r="D34" s="8">
        <f>+'Schedule No. 7 WW Support'!D35</f>
        <v>0</v>
      </c>
    </row>
    <row r="35" spans="1:4" ht="15" customHeight="1">
      <c r="A35" s="3">
        <f t="shared" si="0"/>
        <v>25</v>
      </c>
      <c r="B35" s="3">
        <v>767</v>
      </c>
      <c r="C35" s="22" t="s">
        <v>446</v>
      </c>
      <c r="D35" s="8">
        <f>+'Schedule No. 7 WW Support'!D36</f>
        <v>0</v>
      </c>
    </row>
    <row r="36" spans="1:4" ht="15" customHeight="1">
      <c r="A36" s="3">
        <f t="shared" si="0"/>
        <v>26</v>
      </c>
      <c r="B36" s="3">
        <v>770</v>
      </c>
      <c r="C36" s="22" t="s">
        <v>6</v>
      </c>
      <c r="D36" s="8">
        <f>+'Schedule No. 7 WW Support'!D37</f>
        <v>0</v>
      </c>
    </row>
    <row r="37" spans="1:7" ht="15" customHeight="1">
      <c r="A37" s="3">
        <f t="shared" si="0"/>
        <v>27</v>
      </c>
      <c r="B37" s="3">
        <v>775</v>
      </c>
      <c r="C37" s="22" t="s">
        <v>86</v>
      </c>
      <c r="D37" s="8">
        <f>+'Schedule No. 7 WW Support'!D38</f>
        <v>19016.312951918211</v>
      </c>
      <c r="G37" s="7">
        <f>SUM(D11:D37)</f>
        <v>1236731.1954112095</v>
      </c>
    </row>
    <row r="38" spans="1:4" ht="12.75" customHeight="1">
      <c r="A38" s="3">
        <f t="shared" si="0"/>
        <v>28</v>
      </c>
      <c r="B38" s="3">
        <v>403</v>
      </c>
      <c r="C38" s="2" t="s">
        <v>102</v>
      </c>
      <c r="D38" s="461">
        <f>+'Depreciation Schedule'!P105-'Depreciation Schedule'!P21-'Sched 1 Coll _Trans Estimate'!K38</f>
        <v>232177.13100325567</v>
      </c>
    </row>
    <row r="39" spans="1:4" ht="12.75" customHeight="1">
      <c r="A39" s="3">
        <f t="shared" si="0"/>
        <v>29</v>
      </c>
      <c r="B39" s="3">
        <v>407</v>
      </c>
      <c r="C39" s="1" t="s">
        <v>104</v>
      </c>
      <c r="D39" s="6">
        <f>+'Depreciation Schedule'!P21</f>
        <v>13050</v>
      </c>
    </row>
    <row r="40" spans="1:4" ht="12.75" customHeight="1">
      <c r="A40" s="3">
        <f t="shared" si="0"/>
        <v>30</v>
      </c>
      <c r="B40" s="3">
        <v>407</v>
      </c>
      <c r="C40" s="1" t="s">
        <v>557</v>
      </c>
      <c r="D40" s="6">
        <f>+'Schedule No. 7 WW Support'!O133</f>
        <v>4166.666666666667</v>
      </c>
    </row>
    <row r="41" spans="1:4" ht="13.8">
      <c r="A41" s="3">
        <f t="shared" si="0"/>
        <v>31</v>
      </c>
      <c r="B41" s="3">
        <v>408</v>
      </c>
      <c r="C41" s="1" t="s">
        <v>450</v>
      </c>
      <c r="D41" s="6">
        <f>+D50</f>
        <v>333110.21823910432</v>
      </c>
    </row>
    <row r="42" spans="1:9" ht="16.2" customHeight="1" thickBot="1">
      <c r="A42" s="3">
        <f t="shared" si="0"/>
        <v>32</v>
      </c>
      <c r="C42" s="3" t="s">
        <v>187</v>
      </c>
      <c r="D42" s="9">
        <f>SUM(D11:D41)</f>
        <v>1819235.2113202363</v>
      </c>
      <c r="G42" s="7">
        <f>SUM('Schedule No. 7 WW Support'!D39:D47)</f>
        <v>1819235.2113202363</v>
      </c>
      <c r="I42" s="7">
        <f>+G42-D42</f>
        <v>0</v>
      </c>
    </row>
    <row r="43" spans="1:4" ht="12" customHeight="1" thickTop="1">
      <c r="A43" s="3">
        <f t="shared" si="0"/>
        <v>33</v>
      </c>
      <c r="D43" s="6"/>
    </row>
    <row r="44" spans="1:4" ht="13.8">
      <c r="A44" s="3">
        <f t="shared" si="0"/>
        <v>34</v>
      </c>
      <c r="C44" s="2" t="s">
        <v>189</v>
      </c>
      <c r="D44" s="79">
        <f>(+D42/12)/'Schedule No. 1B Wastewater'!E38*0.8</f>
        <v>97.181368126081011</v>
      </c>
    </row>
    <row r="45" ht="13.8">
      <c r="A45" s="3">
        <f t="shared" si="0"/>
        <v>35</v>
      </c>
    </row>
    <row r="46" spans="1:10" ht="13.8">
      <c r="A46" s="3">
        <f t="shared" si="0"/>
        <v>36</v>
      </c>
      <c r="B46" s="113" t="s">
        <v>449</v>
      </c>
      <c r="J46" s="6"/>
    </row>
    <row r="47" spans="1:10" ht="12.75" customHeight="1">
      <c r="A47" s="3">
        <f t="shared" si="0"/>
        <v>37</v>
      </c>
      <c r="B47" s="113"/>
      <c r="C47" s="182" t="s">
        <v>603</v>
      </c>
      <c r="D47" s="7">
        <f>+'Sched 11 Adjustments'!D15</f>
        <v>217577.64290000001</v>
      </c>
      <c r="J47" s="6"/>
    </row>
    <row r="48" spans="1:10" ht="12.75" customHeight="1">
      <c r="A48" s="3">
        <f t="shared" si="0"/>
        <v>38</v>
      </c>
      <c r="B48" s="113"/>
      <c r="C48" s="39" t="s">
        <v>545</v>
      </c>
      <c r="D48" s="6">
        <f>+'Schedule No. 7 WW Support'!M107</f>
        <v>19135.530606193697</v>
      </c>
      <c r="J48" s="6"/>
    </row>
    <row r="49" spans="1:4" ht="13.8">
      <c r="A49" s="3">
        <f t="shared" si="0"/>
        <v>39</v>
      </c>
      <c r="C49" s="2" t="s">
        <v>308</v>
      </c>
      <c r="D49" s="6">
        <f>+'Schedule 7  NOI'!G11*0.045</f>
        <v>96397.044732910625</v>
      </c>
    </row>
    <row r="50" spans="1:4" ht="14.4" thickBot="1">
      <c r="A50" s="3">
        <f t="shared" si="0"/>
        <v>40</v>
      </c>
      <c r="C50" s="2" t="s">
        <v>282</v>
      </c>
      <c r="D50" s="9">
        <f>SUM(D47:D49)</f>
        <v>333110.21823910432</v>
      </c>
    </row>
    <row r="51" ht="14.4" thickTop="1"/>
  </sheetData>
  <mergeCells count="2">
    <mergeCell ref="B3:E3"/>
    <mergeCell ref="B7:E7"/>
  </mergeCells>
  <printOptions horizontalCentered="1"/>
  <pageMargins left="0.7" right="0.7" top="0.75" bottom="0.75" header="0.3" footer="0.3"/>
  <pageSetup orientation="portrait" scale="95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N46"/>
  <sheetViews>
    <sheetView workbookViewId="0" topLeftCell="B1">
      <selection pane="topLeft" activeCell="A21" sqref="A21"/>
    </sheetView>
  </sheetViews>
  <sheetFormatPr defaultColWidth="9" defaultRowHeight="14.25"/>
  <cols>
    <col min="1" max="1" width="9" style="2" hidden="1" customWidth="1"/>
    <col min="2" max="2" width="4.25" style="2" customWidth="1"/>
    <col min="3" max="3" width="56.5" style="2" customWidth="1"/>
    <col min="4" max="4" width="13.75" style="2" customWidth="1"/>
    <col min="5" max="5" width="2.875" style="2" customWidth="1"/>
    <col min="6" max="6" width="10.125" style="2" customWidth="1"/>
    <col min="7" max="7" width="10" style="2" customWidth="1"/>
    <col min="8" max="10" width="9" style="2"/>
    <col min="11" max="11" width="10.75" style="2" bestFit="1" customWidth="1"/>
    <col min="12" max="12" width="9" style="2"/>
    <col min="13" max="13" width="19.125" style="2" customWidth="1"/>
    <col min="14" max="16384" width="9" style="2"/>
  </cols>
  <sheetData>
    <row r="1" s="24" customFormat="1" ht="13.8">
      <c r="D1" s="25" t="s">
        <v>333</v>
      </c>
    </row>
    <row r="2" s="24" customFormat="1" ht="13.8">
      <c r="D2" s="25"/>
    </row>
    <row r="3" spans="1:4" s="24" customFormat="1" ht="13.8">
      <c r="A3" s="14"/>
      <c r="C3" s="12"/>
      <c r="D3" s="25"/>
    </row>
    <row r="4" spans="3:5" s="24" customFormat="1" ht="13.8">
      <c r="C4" s="12" t="str">
        <f>+'Schedule No. 3 B Wastewater'!B3</f>
        <v>Environmental Utilities, LLC</v>
      </c>
      <c r="D4" s="123" t="s">
        <v>9</v>
      </c>
      <c r="E4" s="123" t="s">
        <v>9</v>
      </c>
    </row>
    <row r="5" spans="3:6" s="24" customFormat="1" ht="13.8">
      <c r="C5" s="12" t="s">
        <v>16</v>
      </c>
      <c r="D5" s="123" t="s">
        <v>9</v>
      </c>
      <c r="E5" s="12"/>
      <c r="F5" s="12"/>
    </row>
    <row r="6" spans="3:4" s="24" customFormat="1" ht="13.8">
      <c r="C6" s="12" t="s">
        <v>256</v>
      </c>
      <c r="D6" s="123" t="s">
        <v>9</v>
      </c>
    </row>
    <row r="7" spans="3:6" s="24" customFormat="1" ht="13.8">
      <c r="C7" s="12" t="s">
        <v>667</v>
      </c>
      <c r="D7" s="123" t="s">
        <v>9</v>
      </c>
      <c r="E7" s="12"/>
      <c r="F7" s="12"/>
    </row>
    <row r="8" spans="2:4" ht="13.8">
      <c r="B8" s="103"/>
      <c r="C8" s="105"/>
      <c r="D8" s="105"/>
    </row>
    <row r="9" spans="2:4" ht="13.8">
      <c r="B9" s="125" t="s">
        <v>254</v>
      </c>
      <c r="C9" s="104"/>
      <c r="D9" s="105"/>
    </row>
    <row r="10" spans="2:4" ht="13.8">
      <c r="B10" s="126" t="s">
        <v>0</v>
      </c>
      <c r="C10" s="126" t="s">
        <v>1</v>
      </c>
      <c r="D10" s="126" t="s">
        <v>145</v>
      </c>
    </row>
    <row r="11" spans="2:4" ht="13.8">
      <c r="B11" s="3">
        <v>1</v>
      </c>
      <c r="C11" s="104" t="s">
        <v>217</v>
      </c>
      <c r="D11" s="106">
        <f>+'Schedule No. 1B Wastewater'!E35</f>
        <v>21958148</v>
      </c>
    </row>
    <row r="12" spans="1:4" ht="15" customHeight="1">
      <c r="A12" s="105" t="s">
        <v>221</v>
      </c>
      <c r="B12" s="3">
        <f>+B11+1</f>
        <v>2</v>
      </c>
      <c r="C12" s="104" t="s">
        <v>204</v>
      </c>
      <c r="D12" s="106">
        <f>+'Schedule No. 1B Wastewater'!E12</f>
        <v>800000</v>
      </c>
    </row>
    <row r="13" spans="1:4" ht="15" customHeight="1">
      <c r="A13" s="105" t="s">
        <v>222</v>
      </c>
      <c r="B13" s="3">
        <f t="shared" si="0" ref="B13:B40">+B12+1</f>
        <v>3</v>
      </c>
      <c r="C13" s="104" t="s">
        <v>205</v>
      </c>
      <c r="D13" s="107">
        <f>+D11-D12</f>
        <v>21158148</v>
      </c>
    </row>
    <row r="14" spans="1:4" ht="15" customHeight="1">
      <c r="A14" s="105" t="s">
        <v>223</v>
      </c>
      <c r="B14" s="3">
        <f t="shared" si="0"/>
        <v>4</v>
      </c>
      <c r="C14" s="104" t="s">
        <v>219</v>
      </c>
      <c r="D14" s="106">
        <v>0</v>
      </c>
    </row>
    <row r="15" spans="1:4" ht="15" customHeight="1">
      <c r="A15" s="105" t="s">
        <v>224</v>
      </c>
      <c r="B15" s="3">
        <f t="shared" si="0"/>
        <v>5</v>
      </c>
      <c r="C15" s="104" t="s">
        <v>206</v>
      </c>
      <c r="D15" s="107">
        <f>-'Schedule 1 Rate Base'!E12</f>
        <v>15908206.59999999</v>
      </c>
    </row>
    <row r="16" spans="1:4" ht="15" customHeight="1">
      <c r="A16" s="105" t="s">
        <v>225</v>
      </c>
      <c r="B16" s="3">
        <f t="shared" si="0"/>
        <v>6</v>
      </c>
      <c r="C16" s="104" t="s">
        <v>242</v>
      </c>
      <c r="D16" s="107">
        <f>+D11-D14-(D13*D23*D24)</f>
        <v>4636641.1999999955</v>
      </c>
    </row>
    <row r="17" spans="1:7" ht="15" customHeight="1">
      <c r="A17" s="105" t="s">
        <v>226</v>
      </c>
      <c r="B17" s="3">
        <f t="shared" si="0"/>
        <v>7</v>
      </c>
      <c r="C17" s="104" t="s">
        <v>595</v>
      </c>
      <c r="D17" s="107">
        <f>+K25</f>
        <v>14885956.897768341</v>
      </c>
      <c r="G17" s="33"/>
    </row>
    <row r="18" spans="1:4" ht="15" customHeight="1">
      <c r="A18" s="105" t="s">
        <v>227</v>
      </c>
      <c r="B18" s="3">
        <f t="shared" si="0"/>
        <v>8</v>
      </c>
      <c r="C18" s="104" t="s">
        <v>207</v>
      </c>
      <c r="D18" s="108">
        <f>IF(D11=0,0,+D17/D11)</f>
        <v>0.67792406252878612</v>
      </c>
    </row>
    <row r="19" spans="1:4" ht="15" customHeight="1">
      <c r="A19" s="105" t="s">
        <v>228</v>
      </c>
      <c r="B19" s="3">
        <f t="shared" si="0"/>
        <v>9</v>
      </c>
      <c r="C19" s="104" t="s">
        <v>218</v>
      </c>
      <c r="D19" s="106">
        <v>0</v>
      </c>
    </row>
    <row r="20" spans="1:13" ht="15" customHeight="1">
      <c r="A20" s="105" t="s">
        <v>229</v>
      </c>
      <c r="B20" s="3">
        <f t="shared" si="0"/>
        <v>10</v>
      </c>
      <c r="C20" s="104" t="s">
        <v>220</v>
      </c>
      <c r="D20" s="106">
        <v>0</v>
      </c>
      <c r="K20" s="602">
        <f>+'Depreciation Schedule'!D105</f>
        <v>21958147.999999993</v>
      </c>
      <c r="L20" s="443"/>
      <c r="M20" s="443"/>
    </row>
    <row r="21" spans="1:13" ht="15" customHeight="1">
      <c r="A21" s="105" t="s">
        <v>230</v>
      </c>
      <c r="B21" s="3">
        <f t="shared" si="0"/>
        <v>11</v>
      </c>
      <c r="C21" s="104" t="s">
        <v>208</v>
      </c>
      <c r="D21" s="107">
        <f>+D20+(D19*D23*D24)</f>
        <v>0</v>
      </c>
      <c r="K21" s="603">
        <f>-'Depreciation Schedule'!D21</f>
        <v>-522000</v>
      </c>
      <c r="L21" s="443" t="s">
        <v>657</v>
      </c>
      <c r="M21" s="443"/>
    </row>
    <row r="22" spans="1:13" ht="15" customHeight="1">
      <c r="A22" s="105" t="s">
        <v>231</v>
      </c>
      <c r="B22" s="3">
        <f t="shared" si="0"/>
        <v>12</v>
      </c>
      <c r="C22" s="104" t="s">
        <v>209</v>
      </c>
      <c r="D22" s="469">
        <f>+'Factored ERC'!AY16</f>
        <v>1248</v>
      </c>
      <c r="K22" s="603">
        <f>-'Depreciation Schedule'!D77-'Depreciation Schedule'!D90-'Depreciation Schedule'!D96-'Depreciation Schedule'!D102</f>
        <v>-360000</v>
      </c>
      <c r="L22" s="443" t="s">
        <v>658</v>
      </c>
      <c r="M22" s="443"/>
    </row>
    <row r="23" spans="1:13" ht="15" customHeight="1">
      <c r="A23" s="105" t="s">
        <v>232</v>
      </c>
      <c r="B23" s="3">
        <f t="shared" si="0"/>
        <v>13</v>
      </c>
      <c r="C23" s="104" t="s">
        <v>210</v>
      </c>
      <c r="D23" s="109">
        <f>+'Depreciation Schedule'!AK117</f>
        <v>0.034111182604451021</v>
      </c>
      <c r="K23" s="603">
        <f>-'Depreciation Schedule'!D61</f>
        <v>-1228205.4696422033</v>
      </c>
      <c r="L23" s="443" t="s">
        <v>659</v>
      </c>
      <c r="M23" s="443"/>
    </row>
    <row r="24" spans="1:13" ht="15" customHeight="1">
      <c r="A24" s="105" t="s">
        <v>233</v>
      </c>
      <c r="B24" s="3">
        <f t="shared" si="0"/>
        <v>14</v>
      </c>
      <c r="C24" s="104" t="s">
        <v>211</v>
      </c>
      <c r="D24" s="470">
        <v>24</v>
      </c>
      <c r="K24" s="604">
        <f>SUM(K20:K23)</f>
        <v>19847942.530357789</v>
      </c>
      <c r="L24" s="443" t="s">
        <v>660</v>
      </c>
      <c r="M24" s="443"/>
    </row>
    <row r="25" spans="1:13" ht="15" customHeight="1">
      <c r="A25" s="105" t="s">
        <v>234</v>
      </c>
      <c r="B25" s="3">
        <f t="shared" si="0"/>
        <v>15</v>
      </c>
      <c r="C25" s="104" t="s">
        <v>212</v>
      </c>
      <c r="D25" s="110">
        <v>0</v>
      </c>
      <c r="K25" s="603">
        <f>+K24*0.75</f>
        <v>14885956.897768341</v>
      </c>
      <c r="L25" s="606" t="s">
        <v>662</v>
      </c>
      <c r="M25" s="443"/>
    </row>
    <row r="26" spans="1:4" ht="15" customHeight="1">
      <c r="A26" s="105" t="s">
        <v>235</v>
      </c>
      <c r="B26" s="3">
        <f t="shared" si="0"/>
        <v>16</v>
      </c>
      <c r="C26" s="104" t="s">
        <v>213</v>
      </c>
      <c r="D26" s="108">
        <f>IF(D16=0,0,IF(D24=0,0,IF(D25=0,0,(D19-D21+(D25*D22)-((#REF!/12)*((D22/D24)/12)*((D24*12)*((D24*12)+1)/2)*D25))/D16)))</f>
        <v>0</v>
      </c>
    </row>
    <row r="27" spans="1:4" ht="15" customHeight="1">
      <c r="A27" s="105" t="s">
        <v>236</v>
      </c>
      <c r="B27" s="3">
        <f t="shared" si="0"/>
        <v>17</v>
      </c>
      <c r="C27" s="104" t="s">
        <v>214</v>
      </c>
      <c r="D27" s="110">
        <f>+D33</f>
        <v>11927.850078340018</v>
      </c>
    </row>
    <row r="28" spans="1:4" ht="15" customHeight="1">
      <c r="A28" s="105" t="s">
        <v>237</v>
      </c>
      <c r="B28" s="3">
        <f t="shared" si="0"/>
        <v>18</v>
      </c>
      <c r="C28" s="104" t="s">
        <v>213</v>
      </c>
      <c r="D28" s="108">
        <f>+'Schedule 1 Rate Base'!J16</f>
        <v>0.81954118094817463</v>
      </c>
    </row>
    <row r="29" spans="1:7" ht="15" customHeight="1">
      <c r="A29" s="105" t="s">
        <v>238</v>
      </c>
      <c r="B29" s="3">
        <f t="shared" si="0"/>
        <v>19</v>
      </c>
      <c r="C29" s="330" t="s">
        <v>215</v>
      </c>
      <c r="D29" s="605">
        <f>ROUND(IF(D24=0,0,IF((D16*D18)-(D19-D21)&lt;=0,0,((D16*D18)-(D19-D21))/(D22-((D23/12)*((D22/D24)/12)*((D24*12)*((D24*12)+1)/2))))),0)</f>
        <v>4274</v>
      </c>
      <c r="E29" s="331"/>
      <c r="F29" s="331"/>
      <c r="G29" s="331"/>
    </row>
    <row r="30" spans="1:13" ht="15" customHeight="1">
      <c r="A30" s="105" t="s">
        <v>239</v>
      </c>
      <c r="B30" s="3">
        <f t="shared" si="0"/>
        <v>20</v>
      </c>
      <c r="C30" s="330" t="s">
        <v>213</v>
      </c>
      <c r="D30" s="332">
        <f>IF(D11=0,0,D17/D11)</f>
        <v>0.67792406252878612</v>
      </c>
      <c r="E30" s="331"/>
      <c r="F30" s="331"/>
      <c r="G30" s="331"/>
      <c r="H30" s="329"/>
      <c r="I30" s="182"/>
      <c r="J30" s="182"/>
      <c r="K30" s="182"/>
      <c r="L30" s="182"/>
      <c r="M30" s="182"/>
    </row>
    <row r="31" spans="1:13" ht="15" customHeight="1">
      <c r="A31" s="105" t="s">
        <v>240</v>
      </c>
      <c r="B31" s="3">
        <f t="shared" si="0"/>
        <v>21</v>
      </c>
      <c r="C31" s="330" t="s">
        <v>216</v>
      </c>
      <c r="D31" s="333">
        <f>ROUND(IF(D24=0,0,IF((0.75*D16)-(D19-D21)&lt;=0,0,((D16*0.75)-(D19-D21))/(D22-((D23/12)*((D22/D24)/12)*((D24*12)*((D24*12)+1)/2))))),0)</f>
        <v>4729</v>
      </c>
      <c r="E31" s="331"/>
      <c r="F31" s="521" t="s">
        <v>462</v>
      </c>
      <c r="G31" s="521" t="s">
        <v>463</v>
      </c>
      <c r="H31" s="182"/>
      <c r="I31" s="182"/>
      <c r="J31" s="182"/>
      <c r="K31" s="182"/>
      <c r="L31" s="182"/>
      <c r="M31" s="182"/>
    </row>
    <row r="32" spans="1:13" ht="15" customHeight="1">
      <c r="A32" s="105" t="s">
        <v>241</v>
      </c>
      <c r="B32" s="3">
        <f t="shared" si="0"/>
        <v>22</v>
      </c>
      <c r="C32" s="330" t="s">
        <v>213</v>
      </c>
      <c r="D32" s="332">
        <v>0.75</v>
      </c>
      <c r="E32" s="331"/>
      <c r="F32" s="522" t="s">
        <v>184</v>
      </c>
      <c r="G32" s="522" t="s">
        <v>184</v>
      </c>
      <c r="H32" s="182"/>
      <c r="I32" s="182"/>
      <c r="J32" s="182"/>
      <c r="K32" s="182"/>
      <c r="L32" s="182"/>
      <c r="M32" s="182"/>
    </row>
    <row r="33" spans="2:13" ht="21" customHeight="1">
      <c r="B33" s="3">
        <f t="shared" si="0"/>
        <v>23</v>
      </c>
      <c r="C33" s="17" t="s">
        <v>214</v>
      </c>
      <c r="D33" s="607">
        <f>+D17/D22</f>
        <v>11927.850078340018</v>
      </c>
      <c r="E33" s="608"/>
      <c r="F33" s="607"/>
      <c r="G33" s="607">
        <f>+D33</f>
        <v>11927.850078340018</v>
      </c>
      <c r="H33" s="182"/>
      <c r="I33" s="182"/>
      <c r="J33" s="182"/>
      <c r="K33" s="182"/>
      <c r="L33" s="182"/>
      <c r="M33" s="182"/>
    </row>
    <row r="34" spans="2:14" ht="21" customHeight="1">
      <c r="B34" s="3">
        <f t="shared" si="0"/>
        <v>24</v>
      </c>
      <c r="C34" s="17" t="s">
        <v>345</v>
      </c>
      <c r="D34" s="334">
        <f>+D33/216</f>
        <v>55.221528140463043</v>
      </c>
      <c r="E34" s="331"/>
      <c r="F34" s="334">
        <f>+F33/216</f>
        <v>0</v>
      </c>
      <c r="G34" s="334">
        <f>+G33/216</f>
        <v>55.221528140463043</v>
      </c>
      <c r="H34" s="182"/>
      <c r="I34" s="182"/>
      <c r="J34" s="182"/>
      <c r="K34" s="487" t="s">
        <v>650</v>
      </c>
      <c r="L34" s="487" t="s">
        <v>182</v>
      </c>
      <c r="M34" s="487" t="s">
        <v>654</v>
      </c>
      <c r="N34" s="3" t="s">
        <v>653</v>
      </c>
    </row>
    <row r="35" spans="2:14" ht="13.8">
      <c r="B35" s="3">
        <f t="shared" si="0"/>
        <v>25</v>
      </c>
      <c r="K35" s="33">
        <v>7123</v>
      </c>
      <c r="L35" s="56">
        <v>0.061699999999999998</v>
      </c>
      <c r="M35" s="2" t="s">
        <v>651</v>
      </c>
      <c r="N35" s="33">
        <v>219.72</v>
      </c>
    </row>
    <row r="36" spans="2:14" ht="13.8">
      <c r="B36" s="3">
        <f t="shared" si="0"/>
        <v>26</v>
      </c>
      <c r="K36" s="33">
        <v>8476.8221153846152</v>
      </c>
      <c r="L36" s="56">
        <v>0.055599999999999997</v>
      </c>
      <c r="M36" s="2" t="s">
        <v>655</v>
      </c>
      <c r="N36" s="33">
        <v>202.57</v>
      </c>
    </row>
    <row r="37" spans="2:14" ht="13.8">
      <c r="B37" s="3">
        <f t="shared" si="0"/>
        <v>27</v>
      </c>
      <c r="C37" s="17" t="s">
        <v>214</v>
      </c>
      <c r="D37" s="7">
        <f>+D27</f>
        <v>11927.850078340018</v>
      </c>
      <c r="K37" s="33">
        <v>12715.233173076922</v>
      </c>
      <c r="L37" s="56">
        <v>0.0118</v>
      </c>
      <c r="M37" s="2" t="s">
        <v>656</v>
      </c>
      <c r="N37" s="33">
        <v>149.88</v>
      </c>
    </row>
    <row r="38" spans="2:14" ht="13.8">
      <c r="B38" s="3">
        <f t="shared" si="0"/>
        <v>28</v>
      </c>
      <c r="C38" s="2" t="s">
        <v>623</v>
      </c>
      <c r="D38" s="56">
        <v>0.25345000000000001</v>
      </c>
      <c r="K38" s="33">
        <v>3114</v>
      </c>
      <c r="L38" s="56">
        <v>0.072599999999999998</v>
      </c>
      <c r="M38" s="2" t="s">
        <v>652</v>
      </c>
      <c r="N38" s="33">
        <v>270.66000000000003</v>
      </c>
    </row>
    <row r="39" spans="2:4" ht="14.4" thickBot="1">
      <c r="B39" s="3">
        <f t="shared" si="0"/>
        <v>29</v>
      </c>
      <c r="C39" s="2" t="s">
        <v>624</v>
      </c>
      <c r="D39" s="9">
        <f>+D37/(1-D38)</f>
        <v>15977.295664510102</v>
      </c>
    </row>
    <row r="40" spans="2:4" ht="15" thickTop="1" thickBot="1">
      <c r="B40" s="3">
        <f t="shared" si="0"/>
        <v>30</v>
      </c>
      <c r="C40" s="2" t="s">
        <v>637</v>
      </c>
      <c r="D40" s="568">
        <f>+D39-D37</f>
        <v>4049.4455861700844</v>
      </c>
    </row>
    <row r="41" ht="14.4" thickTop="1"/>
    <row r="42" ht="13.8">
      <c r="B42" s="39" t="s">
        <v>625</v>
      </c>
    </row>
    <row r="44" ht="13.8">
      <c r="I44" s="33"/>
    </row>
    <row r="45" ht="13.8">
      <c r="H45" s="33"/>
    </row>
    <row r="46" ht="13.8">
      <c r="H46" s="33"/>
    </row>
  </sheetData>
  <sheetProtection selectLockedCells="1"/>
  <printOptions horizontalCentered="1"/>
  <pageMargins left="0.7" right="0.7" top="0.75" bottom="0.75" header="0.3" footer="0.3"/>
  <pageSetup orientation="portrait" scale="85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AA964-7EFC-48A4-B8D5-E6C83090A54E}">
  <sheetPr>
    <tabColor rgb="FFFFFF00"/>
    <pageSetUpPr fitToPage="1"/>
  </sheetPr>
  <dimension ref="A1:I22"/>
  <sheetViews>
    <sheetView workbookViewId="0" topLeftCell="B7">
      <selection pane="topLeft" activeCell="A21" sqref="A21"/>
    </sheetView>
  </sheetViews>
  <sheetFormatPr defaultColWidth="9" defaultRowHeight="14.25"/>
  <cols>
    <col min="1" max="1" width="9" style="2" hidden="1" customWidth="1"/>
    <col min="2" max="2" width="4.25" style="2" customWidth="1"/>
    <col min="3" max="3" width="47" style="2" customWidth="1"/>
    <col min="4" max="4" width="11.75" style="2" customWidth="1"/>
    <col min="5" max="5" width="2.75" style="2" customWidth="1"/>
    <col min="6" max="6" width="11.75" style="2" customWidth="1"/>
    <col min="7" max="7" width="2.875" style="2" customWidth="1"/>
    <col min="8" max="8" width="10.125" style="2" customWidth="1"/>
    <col min="9" max="9" width="10" style="2" customWidth="1"/>
    <col min="10" max="16384" width="9" style="2"/>
  </cols>
  <sheetData>
    <row r="1" s="24" customFormat="1" ht="13.8">
      <c r="F1" s="25" t="s">
        <v>619</v>
      </c>
    </row>
    <row r="2" spans="1:6" s="24" customFormat="1" ht="13.8">
      <c r="A2" s="556"/>
      <c r="C2" s="12"/>
      <c r="D2" s="12"/>
      <c r="E2" s="12"/>
      <c r="F2" s="25"/>
    </row>
    <row r="3" spans="3:7" s="24" customFormat="1" ht="13.8">
      <c r="C3" s="12" t="str">
        <f>+'Schedule No. 3 B Wastewater'!B3</f>
        <v>Environmental Utilities, LLC</v>
      </c>
      <c r="D3" s="12"/>
      <c r="E3" s="12"/>
      <c r="F3" s="123" t="s">
        <v>9</v>
      </c>
      <c r="G3" s="123" t="s">
        <v>9</v>
      </c>
    </row>
    <row r="4" spans="3:8" s="24" customFormat="1" ht="13.8">
      <c r="C4" s="12" t="s">
        <v>16</v>
      </c>
      <c r="D4" s="12"/>
      <c r="E4" s="12"/>
      <c r="F4" s="123" t="s">
        <v>9</v>
      </c>
      <c r="G4" s="12"/>
      <c r="H4" s="12"/>
    </row>
    <row r="5" spans="3:6" s="24" customFormat="1" ht="13.8">
      <c r="C5" s="12" t="s">
        <v>620</v>
      </c>
      <c r="D5" s="12"/>
      <c r="E5" s="12"/>
      <c r="F5" s="123" t="s">
        <v>9</v>
      </c>
    </row>
    <row r="6" spans="3:8" s="24" customFormat="1" ht="13.8">
      <c r="C6" s="12" t="s">
        <v>667</v>
      </c>
      <c r="D6" s="12"/>
      <c r="E6" s="12"/>
      <c r="F6" s="123" t="s">
        <v>9</v>
      </c>
      <c r="G6" s="12"/>
      <c r="H6" s="12"/>
    </row>
    <row r="7" spans="2:6" ht="13.8">
      <c r="B7" s="103"/>
      <c r="C7" s="105"/>
      <c r="D7" s="105"/>
      <c r="E7" s="105"/>
      <c r="F7" s="105"/>
    </row>
    <row r="8" spans="2:6" ht="13.8">
      <c r="B8" s="125" t="s">
        <v>254</v>
      </c>
      <c r="C8" s="104"/>
      <c r="D8" s="104"/>
      <c r="E8" s="104"/>
      <c r="F8" s="105"/>
    </row>
    <row r="9" spans="2:6" ht="13.8">
      <c r="B9" s="126" t="s">
        <v>0</v>
      </c>
      <c r="C9" s="126" t="s">
        <v>1</v>
      </c>
      <c r="D9" s="126"/>
      <c r="E9" s="126"/>
      <c r="F9" s="126" t="s">
        <v>145</v>
      </c>
    </row>
    <row r="11" spans="2:3" ht="13.8">
      <c r="B11" s="3">
        <v>1</v>
      </c>
      <c r="C11" s="2" t="s">
        <v>621</v>
      </c>
    </row>
    <row r="12" spans="2:6" ht="13.8">
      <c r="B12" s="3">
        <f>+B11+1</f>
        <v>2</v>
      </c>
      <c r="C12" s="22" t="s">
        <v>604</v>
      </c>
      <c r="D12" s="7">
        <f>+'Depreciation Schedule'!D61</f>
        <v>1228205.4696422033</v>
      </c>
      <c r="E12" s="7"/>
      <c r="F12" s="7"/>
    </row>
    <row r="13" spans="2:6" ht="13.8">
      <c r="B13" s="3">
        <f>+B12+1</f>
        <v>3</v>
      </c>
      <c r="C13" s="562" t="s">
        <v>209</v>
      </c>
      <c r="D13" s="560">
        <f>+'Factored ERC'!BD16</f>
        <v>1248</v>
      </c>
      <c r="E13" s="561"/>
      <c r="F13" s="469"/>
    </row>
    <row r="14" spans="2:6" ht="13.8">
      <c r="B14" s="3">
        <f>+B13+1</f>
        <v>4</v>
      </c>
      <c r="C14" s="5" t="s">
        <v>621</v>
      </c>
      <c r="F14" s="559">
        <f>+D12/D13</f>
        <v>984.13899811073986</v>
      </c>
    </row>
    <row r="15" spans="2:6" ht="13.8">
      <c r="B15" s="3">
        <f t="shared" si="0" ref="B15:B19">+B14+1</f>
        <v>5</v>
      </c>
      <c r="F15" s="2" t="s">
        <v>413</v>
      </c>
    </row>
    <row r="16" spans="2:6" ht="13.8">
      <c r="B16" s="3">
        <f t="shared" si="0"/>
        <v>6</v>
      </c>
      <c r="C16" s="17" t="s">
        <v>634</v>
      </c>
      <c r="F16" s="33">
        <f>+F14</f>
        <v>984.13899811073986</v>
      </c>
    </row>
    <row r="17" spans="2:6" ht="13.8">
      <c r="B17" s="3">
        <f t="shared" si="0"/>
        <v>7</v>
      </c>
      <c r="C17" s="2" t="s">
        <v>623</v>
      </c>
      <c r="F17" s="56">
        <v>0.25345000000000001</v>
      </c>
    </row>
    <row r="18" spans="2:6" ht="14.4" thickBot="1">
      <c r="B18" s="3">
        <f t="shared" si="0"/>
        <v>8</v>
      </c>
      <c r="C18" s="2" t="s">
        <v>635</v>
      </c>
      <c r="F18" s="567">
        <f>+F16/(1-F17)</f>
        <v>1318.2492774907773</v>
      </c>
    </row>
    <row r="19" spans="2:6" ht="15" thickTop="1" thickBot="1">
      <c r="B19" s="3">
        <f t="shared" si="0"/>
        <v>9</v>
      </c>
      <c r="C19" s="22" t="s">
        <v>636</v>
      </c>
      <c r="F19" s="567">
        <f>+F18-F16</f>
        <v>334.11027938003747</v>
      </c>
    </row>
    <row r="20" ht="14.4" thickTop="1"/>
    <row r="21" ht="13.8">
      <c r="B21" s="39" t="s">
        <v>625</v>
      </c>
    </row>
    <row r="22" ht="13.8">
      <c r="I22" s="33"/>
    </row>
  </sheetData>
  <sheetProtection selectLockedCells="1"/>
  <printOptions horizontalCentered="1"/>
  <pageMargins left="0.7" right="0.7" top="0.75" bottom="0.75" header="0.3" footer="0.3"/>
  <pageSetup orientation="portrait" scale="8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Cynthia Yapp</dc:creator>
  <cp:keywords/>
  <dc:description/>
  <cp:lastModifiedBy>Cynthia Yapp</cp:lastModifiedBy>
  <dcterms:created xsi:type="dcterms:W3CDTF">2021-10-28T14:02:01Z</dcterms:created>
  <dcterms:modified xsi:type="dcterms:W3CDTF">2021-10-28T14:02:01Z</dcterms:modified>
  <cp:category/>
  <cp:contentType/>
  <cp:contentStatus/>
  <cp:revision>1</cp:revision>
</cp:coreProperties>
</file>