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drawings/drawing1.xml" ContentType="application/vnd.openxmlformats-officedocument.drawing+xml"/>
  <Default Extension="bin" ContentType="application/vnd.openxmlformats-officedocument.spreadsheetml.printerSettings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2.xml" ContentType="application/vnd.ms-office.chartstyle+xml"/>
  <Override PartName="/xl/charts/color2.xml" ContentType="application/vnd.ms-office.chartcolorstyle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-120" yWindow="-120" windowWidth="29040" windowHeight="15840" activeTab="0"/>
  </bookViews>
  <sheets>
    <sheet name="10Year" sheetId="7" r:id="rId2"/>
    <sheet name="Appendix A" sheetId="1" r:id="rId3"/>
    <sheet name="3 Year" sheetId="8" r:id="rId4"/>
    <sheet name="Calculations" sheetId="2" r:id="rId5"/>
  </sheets>
  <definedNames>
    <definedName name="_xlnm.Print_Area" localSheetId="1">'Appendix A'!$B$3:$M$34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</calcChain>
</file>

<file path=xl/sharedStrings.xml><?xml version="1.0" encoding="utf-8"?>
<sst xmlns="http://schemas.openxmlformats.org/spreadsheetml/2006/main" count="131" uniqueCount="94">
  <si>
    <t>Capital</t>
  </si>
  <si>
    <t>O&amp;M</t>
  </si>
  <si>
    <t>Total</t>
  </si>
  <si>
    <t>Totals</t>
  </si>
  <si>
    <t>Feeder Hardening</t>
  </si>
  <si>
    <t>Lateral Hardening</t>
  </si>
  <si>
    <t>Lateral UG</t>
  </si>
  <si>
    <t>Distribution - Pole Insp. &amp; Replace</t>
  </si>
  <si>
    <t>O&amp;M % of costs</t>
  </si>
  <si>
    <t>Pole Insp &amp; Repl</t>
  </si>
  <si>
    <t>% of annual Invest</t>
  </si>
  <si>
    <t>Total Investment New SPP</t>
  </si>
  <si>
    <t>10yr ($M)</t>
  </si>
  <si>
    <t>VM Programs</t>
  </si>
  <si>
    <t>Transmission Programs</t>
  </si>
  <si>
    <t>Other Distribution Programs</t>
  </si>
  <si>
    <t>Total of Other SPP Programs</t>
  </si>
  <si>
    <t>Ramp up Rates by Program</t>
  </si>
  <si>
    <t>total</t>
  </si>
  <si>
    <t>Future Placeholder</t>
  </si>
  <si>
    <t>SPP Plan Develop</t>
  </si>
  <si>
    <t>Dist Poles</t>
  </si>
  <si>
    <t>SPP Program Management</t>
  </si>
  <si>
    <t>Future T&amp;D Enhancements</t>
  </si>
  <si>
    <t>Future T&amp;D Enhance</t>
  </si>
  <si>
    <t>T&amp;D - Vegetation Management</t>
  </si>
  <si>
    <t>Distribution - OH Lateral Underground</t>
  </si>
  <si>
    <t>Distribution - OH Lateral Hardening</t>
  </si>
  <si>
    <t>Distribution - OH Feeder Hardening</t>
  </si>
  <si>
    <t>Transmission / Substation Resiliency</t>
  </si>
  <si>
    <t>Transmission - Inspection and Hardening</t>
  </si>
  <si>
    <t>T&amp;D VM</t>
  </si>
  <si>
    <t>Trans/Sub Resiliency</t>
  </si>
  <si>
    <t>Trans Insp. &amp; Hard</t>
  </si>
  <si>
    <t>Dist Pole Insp &amp; Repl.</t>
  </si>
  <si>
    <t>Poles in System</t>
  </si>
  <si>
    <t>Blended Cost / Insp</t>
  </si>
  <si>
    <t>Cycle</t>
  </si>
  <si>
    <t>Inspections/Year</t>
  </si>
  <si>
    <t>Failure Rate</t>
  </si>
  <si>
    <t>Failed Poles/ Yr</t>
  </si>
  <si>
    <t>Blended Cost/Pole Repl</t>
  </si>
  <si>
    <t>Annual Insp Cost</t>
  </si>
  <si>
    <t>Annual Repl Cost</t>
  </si>
  <si>
    <t>Blended Cost/Pole</t>
  </si>
  <si>
    <t>Blended Reject Rate</t>
  </si>
  <si>
    <t>Pole Backlog</t>
  </si>
  <si>
    <t>Current Count</t>
  </si>
  <si>
    <t>2023 Extra</t>
  </si>
  <si>
    <t>2024 Extra</t>
  </si>
  <si>
    <t>2025 Extra</t>
  </si>
  <si>
    <t>2026 Extra</t>
  </si>
  <si>
    <t>2027 Extra</t>
  </si>
  <si>
    <t>Backlog Cost/Pole</t>
  </si>
  <si>
    <t>Mostly Single phase</t>
  </si>
  <si>
    <t>Trans Ins. &amp; Repair</t>
  </si>
  <si>
    <t>Inspection Costs</t>
  </si>
  <si>
    <t>Avg cost/year</t>
  </si>
  <si>
    <t>69kV wood</t>
  </si>
  <si>
    <t>Repl cost/pole</t>
  </si>
  <si>
    <t>2028 Extra</t>
  </si>
  <si>
    <t>2029 Extra</t>
  </si>
  <si>
    <t>2030 Extra</t>
  </si>
  <si>
    <t>2031 Extra</t>
  </si>
  <si>
    <t>Backlog 69Kv</t>
  </si>
  <si>
    <t>2024 Insp Cost</t>
  </si>
  <si>
    <t>2030 Insp Cost</t>
  </si>
  <si>
    <t>Annual Hard Cost</t>
  </si>
  <si>
    <t>Total Program</t>
  </si>
  <si>
    <t>Substation</t>
  </si>
  <si>
    <t>138kV Line</t>
  </si>
  <si>
    <t>69kV Hardening</t>
  </si>
  <si>
    <t>Total Costs</t>
  </si>
  <si>
    <t>Eng Costs 138</t>
  </si>
  <si>
    <t>Eng Cost Sub/69</t>
  </si>
  <si>
    <t>FTE</t>
  </si>
  <si>
    <t>Loaders</t>
  </si>
  <si>
    <t>Utilization Rate</t>
  </si>
  <si>
    <t>Escalation</t>
  </si>
  <si>
    <t>Total cost</t>
  </si>
  <si>
    <t>Years in plan</t>
  </si>
  <si>
    <t>Osmose Data</t>
  </si>
  <si>
    <t>2019 Inspections</t>
  </si>
  <si>
    <t>2020 Inspections</t>
  </si>
  <si>
    <t>2021 Inspections</t>
  </si>
  <si>
    <t>2019 Rejects</t>
  </si>
  <si>
    <t>2020 Rejects</t>
  </si>
  <si>
    <t>2021 Rejects</t>
  </si>
  <si>
    <t>2019 Costs</t>
  </si>
  <si>
    <t>2020 Costs</t>
  </si>
  <si>
    <t>2021 Costs</t>
  </si>
  <si>
    <t>Adjusted Reject Rate</t>
  </si>
  <si>
    <t>Reflects downward trend and higher failure rate post Michael</t>
  </si>
  <si>
    <t>FPUC's 2022-2031 Estimated Storm Protection Plan  Costs by Program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</si>
</sst>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_);[Red]\(&quot;$&quot;#,##0.0\)"/>
    <numFmt numFmtId="166" formatCode="_(* #,##0_);_(* \(#,##0\);_(* &quot;-&quot;??_);_(@_)"/>
    <numFmt numFmtId="167" formatCode="0.000%"/>
    <numFmt numFmtId="168" formatCode="_(&quot;$&quot;* #,##0.0000_);_(&quot;$&quot;* \(#,##0.0000\);_(&quot;$&quot;* &quot;-&quot;??_);_(@_)"/>
  </numFmts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color theme="1"/>
      <name val="Times New Roman"/>
      <family val="1"/>
    </font>
    <font>
      <u val="single"/>
      <sz val="12"/>
      <color theme="1"/>
      <name val="Times New Roman"/>
      <family val="1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 tint="0.35"/>
      <name val="Calibri"/>
      <family val="2"/>
      <scheme val="minor"/>
    </font>
    <font>
      <sz val="9"/>
      <color theme="1" tint="0.35"/>
      <name val="Calibri"/>
      <family val="2"/>
      <scheme val="minor"/>
    </font>
    <font>
      <sz val="10"/>
      <color theme="1" tint="0.35"/>
      <name val="Calibri"/>
      <family val="2"/>
      <scheme val="minor"/>
    </font>
    <font>
      <b/>
      <sz val="9"/>
      <color theme="1" tint="0.3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 tint="-0.499969989061356"/>
        <bgColor indexed="64"/>
      </patternFill>
    </fill>
    <fill>
      <patternFill patternType="solid">
        <fgColor theme="2" tint="-0.0999699980020523"/>
        <bgColor indexed="64"/>
      </patternFill>
    </fill>
    <fill>
      <patternFill patternType="solid">
        <fgColor theme="4" tint="0.79997998476028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double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 style="medium">
        <color auto="1"/>
      </right>
      <top style="medium">
        <color auto="1"/>
      </top>
      <bottom style="double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/>
      <bottom style="double">
        <color auto="1"/>
      </bottom>
    </border>
    <border>
      <left/>
      <right style="medium">
        <color auto="1"/>
      </right>
      <top/>
      <bottom style="double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4" fontId="4" fillId="2" borderId="0" xfId="16" applyNumberFormat="1" applyFont="1" applyFill="1" applyBorder="1" applyAlignment="1">
      <alignment horizontal="center" vertical="center"/>
    </xf>
    <xf numFmtId="44" fontId="4" fillId="2" borderId="2" xfId="16" applyNumberFormat="1" applyFont="1" applyFill="1" applyBorder="1" applyAlignment="1">
      <alignment horizontal="center" vertical="center"/>
    </xf>
    <xf numFmtId="44" fontId="0" fillId="0" borderId="0" xfId="16" applyFont="1" applyBorder="1" applyAlignment="1">
      <alignment horizontal="center" vertical="center"/>
    </xf>
    <xf numFmtId="44" fontId="0" fillId="0" borderId="6" xfId="16" applyFont="1" applyBorder="1" applyAlignment="1">
      <alignment horizontal="center" vertical="center"/>
    </xf>
    <xf numFmtId="44" fontId="0" fillId="0" borderId="1" xfId="16" applyFont="1" applyBorder="1" applyAlignment="1">
      <alignment horizontal="center" vertical="center"/>
    </xf>
    <xf numFmtId="44" fontId="0" fillId="0" borderId="7" xfId="16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44" fontId="0" fillId="4" borderId="8" xfId="16" applyFont="1" applyFill="1" applyBorder="1" applyAlignment="1">
      <alignment horizontal="center" vertical="center"/>
    </xf>
    <xf numFmtId="44" fontId="0" fillId="4" borderId="9" xfId="16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4" fontId="0" fillId="4" borderId="10" xfId="16" applyFont="1" applyFill="1" applyBorder="1" applyAlignment="1">
      <alignment horizontal="center" vertical="center"/>
    </xf>
    <xf numFmtId="44" fontId="0" fillId="4" borderId="11" xfId="16" applyFont="1" applyFill="1" applyBorder="1" applyAlignment="1">
      <alignment horizontal="center" vertical="center"/>
    </xf>
    <xf numFmtId="164" fontId="0" fillId="0" borderId="0" xfId="15" applyNumberFormat="1" applyFont="1"/>
    <xf numFmtId="9" fontId="0" fillId="0" borderId="0" xfId="0" applyNumberFormat="1"/>
    <xf numFmtId="10" fontId="0" fillId="0" borderId="0" xfId="0" applyNumberFormat="1"/>
    <xf numFmtId="44" fontId="0" fillId="0" borderId="0" xfId="0" applyNumberFormat="1"/>
    <xf numFmtId="9" fontId="0" fillId="0" borderId="0" xfId="15" applyFont="1"/>
    <xf numFmtId="0" fontId="6" fillId="0" borderId="0" xfId="0" applyFont="1"/>
    <xf numFmtId="9" fontId="6" fillId="0" borderId="0" xfId="0" applyNumberFormat="1" applyFont="1"/>
    <xf numFmtId="6" fontId="6" fillId="0" borderId="0" xfId="0" applyNumberFormat="1" applyFont="1"/>
    <xf numFmtId="0" fontId="5" fillId="0" borderId="0" xfId="0" applyFont="1"/>
    <xf numFmtId="9" fontId="5" fillId="0" borderId="0" xfId="0" applyNumberFormat="1" applyFont="1"/>
    <xf numFmtId="0" fontId="7" fillId="0" borderId="0" xfId="0" applyFont="1"/>
    <xf numFmtId="44" fontId="0" fillId="0" borderId="1" xfId="16" applyNumberFormat="1" applyFont="1" applyBorder="1" applyAlignment="1">
      <alignment horizontal="center" vertical="center"/>
    </xf>
    <xf numFmtId="44" fontId="0" fillId="0" borderId="0" xfId="16" applyNumberFormat="1" applyFont="1" applyBorder="1" applyAlignment="1">
      <alignment horizontal="center" vertical="center"/>
    </xf>
    <xf numFmtId="44" fontId="0" fillId="0" borderId="1" xfId="16" applyFont="1" applyFill="1" applyBorder="1" applyAlignment="1">
      <alignment horizontal="center" vertical="center"/>
    </xf>
    <xf numFmtId="44" fontId="0" fillId="0" borderId="7" xfId="16" applyFont="1" applyFill="1" applyBorder="1" applyAlignment="1">
      <alignment horizontal="center" vertical="center"/>
    </xf>
    <xf numFmtId="44" fontId="0" fillId="0" borderId="0" xfId="16" applyFont="1" applyFill="1" applyBorder="1" applyAlignment="1">
      <alignment horizontal="center" vertical="center"/>
    </xf>
    <xf numFmtId="44" fontId="0" fillId="0" borderId="6" xfId="16" applyFont="1" applyFill="1" applyBorder="1" applyAlignment="1">
      <alignment horizontal="center" vertical="center"/>
    </xf>
    <xf numFmtId="0" fontId="0" fillId="0" borderId="0" xfId="0" applyFill="1"/>
    <xf numFmtId="0" fontId="0" fillId="0" borderId="0" xfId="16" applyNumberFormat="1" applyFont="1" applyFill="1" applyBorder="1" applyAlignment="1">
      <alignment horizontal="center" vertical="center"/>
    </xf>
    <xf numFmtId="0" fontId="8" fillId="0" borderId="0" xfId="0" applyFont="1"/>
    <xf numFmtId="9" fontId="8" fillId="0" borderId="0" xfId="0" applyNumberFormat="1" applyFont="1"/>
    <xf numFmtId="0" fontId="0" fillId="0" borderId="0" xfId="0" applyFill="1" applyBorder="1"/>
    <xf numFmtId="44" fontId="0" fillId="0" borderId="0" xfId="0" applyNumberFormat="1" applyFill="1" applyBorder="1"/>
    <xf numFmtId="44" fontId="0" fillId="4" borderId="8" xfId="16" applyNumberFormat="1" applyFont="1" applyFill="1" applyBorder="1" applyAlignment="1">
      <alignment horizontal="center" vertical="center"/>
    </xf>
    <xf numFmtId="0" fontId="9" fillId="0" borderId="0" xfId="0" applyFont="1"/>
    <xf numFmtId="9" fontId="9" fillId="0" borderId="0" xfId="0" applyNumberFormat="1" applyFont="1"/>
    <xf numFmtId="0" fontId="10" fillId="0" borderId="0" xfId="0" applyFont="1"/>
    <xf numFmtId="9" fontId="10" fillId="0" borderId="0" xfId="0" applyNumberFormat="1" applyFont="1"/>
    <xf numFmtId="166" fontId="0" fillId="0" borderId="0" xfId="0" applyNumberFormat="1" applyFill="1" applyBorder="1"/>
    <xf numFmtId="167" fontId="0" fillId="0" borderId="0" xfId="15" applyNumberFormat="1" applyFont="1" applyFill="1" applyBorder="1"/>
    <xf numFmtId="165" fontId="7" fillId="0" borderId="0" xfId="0" applyNumberFormat="1" applyFont="1"/>
    <xf numFmtId="165" fontId="10" fillId="0" borderId="0" xfId="0" applyNumberFormat="1" applyFont="1"/>
    <xf numFmtId="0" fontId="0" fillId="0" borderId="0" xfId="0" applyNumberFormat="1"/>
    <xf numFmtId="43" fontId="0" fillId="0" borderId="0" xfId="18" applyFont="1"/>
    <xf numFmtId="0" fontId="11" fillId="0" borderId="0" xfId="0" applyFont="1"/>
    <xf numFmtId="9" fontId="11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8" fontId="5" fillId="0" borderId="0" xfId="0" applyNumberFormat="1" applyFont="1"/>
    <xf numFmtId="8" fontId="6" fillId="0" borderId="0" xfId="0" applyNumberFormat="1" applyFont="1"/>
    <xf numFmtId="0" fontId="0" fillId="0" borderId="0" xfId="0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8" fontId="8" fillId="0" borderId="0" xfId="0" applyNumberFormat="1" applyFont="1"/>
    <xf numFmtId="8" fontId="12" fillId="0" borderId="0" xfId="0" applyNumberFormat="1" applyFont="1" applyAlignment="1">
      <alignment vertical="center"/>
    </xf>
    <xf numFmtId="6" fontId="0" fillId="0" borderId="0" xfId="0" applyNumberFormat="1"/>
    <xf numFmtId="6" fontId="0" fillId="0" borderId="0" xfId="16" applyNumberFormat="1" applyFont="1" applyFill="1" applyBorder="1" applyAlignment="1">
      <alignment horizontal="center" vertical="center"/>
    </xf>
    <xf numFmtId="168" fontId="0" fillId="0" borderId="0" xfId="0" applyNumberFormat="1"/>
    <xf numFmtId="44" fontId="4" fillId="2" borderId="6" xfId="16" applyNumberFormat="1" applyFont="1" applyFill="1" applyBorder="1" applyAlignment="1">
      <alignment horizontal="center" vertical="center"/>
    </xf>
    <xf numFmtId="44" fontId="4" fillId="2" borderId="12" xfId="16" applyNumberFormat="1" applyFont="1" applyFill="1" applyBorder="1" applyAlignment="1">
      <alignment horizontal="center" vertical="center"/>
    </xf>
    <xf numFmtId="8" fontId="9" fillId="0" borderId="0" xfId="0" applyNumberFormat="1" applyFont="1"/>
    <xf numFmtId="0" fontId="0" fillId="0" borderId="0" xfId="0" applyAlignment="1">
      <alignment horizontal="center"/>
    </xf>
    <xf numFmtId="44" fontId="0" fillId="0" borderId="0" xfId="16" applyNumberFormat="1" applyFont="1" applyFill="1" applyBorder="1" applyAlignment="1">
      <alignment horizontal="center" vertical="center"/>
    </xf>
    <xf numFmtId="8" fontId="0" fillId="0" borderId="0" xfId="0" applyNumberFormat="1"/>
    <xf numFmtId="0" fontId="15" fillId="0" borderId="0" xfId="0" applyFont="1"/>
    <xf numFmtId="0" fontId="15" fillId="5" borderId="0" xfId="0" applyFont="1" applyFill="1"/>
    <xf numFmtId="0" fontId="16" fillId="5" borderId="0" xfId="0" applyFont="1" applyFill="1"/>
    <xf numFmtId="0" fontId="4" fillId="6" borderId="0" xfId="0" applyFont="1" applyFill="1"/>
    <xf numFmtId="166" fontId="14" fillId="0" borderId="0" xfId="18" applyNumberFormat="1" applyFont="1" applyBorder="1" applyAlignment="1">
      <alignment horizontal="center" vertical="center"/>
    </xf>
    <xf numFmtId="166" fontId="0" fillId="0" borderId="0" xfId="18" applyNumberFormat="1" applyFont="1" applyBorder="1" applyAlignment="1">
      <alignment horizontal="center"/>
    </xf>
    <xf numFmtId="44" fontId="0" fillId="0" borderId="0" xfId="16" applyFont="1" applyFill="1" applyBorder="1" applyAlignment="1">
      <alignment horizontal="left" vertical="center"/>
    </xf>
    <xf numFmtId="6" fontId="0" fillId="0" borderId="0" xfId="0" applyNumberFormat="1" applyFill="1" applyBorder="1"/>
    <xf numFmtId="166" fontId="0" fillId="0" borderId="0" xfId="0" applyNumberFormat="1" applyBorder="1"/>
    <xf numFmtId="8" fontId="0" fillId="0" borderId="0" xfId="0" applyNumberFormat="1" applyFill="1" applyBorder="1"/>
    <xf numFmtId="10" fontId="0" fillId="0" borderId="0" xfId="15" applyNumberFormat="1" applyFont="1" applyFill="1" applyBorder="1" applyAlignment="1">
      <alignment horizontal="center" vertical="center"/>
    </xf>
    <xf numFmtId="10" fontId="0" fillId="0" borderId="0" xfId="16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3" fillId="7" borderId="0" xfId="0" applyFont="1" applyFill="1"/>
    <xf numFmtId="44" fontId="0" fillId="7" borderId="0" xfId="0" applyNumberFormat="1" applyFill="1"/>
    <xf numFmtId="0" fontId="2" fillId="6" borderId="0" xfId="0" applyFont="1" applyFill="1"/>
    <xf numFmtId="37" fontId="0" fillId="0" borderId="0" xfId="0" applyNumberFormat="1" applyFill="1" applyBorder="1" applyAlignment="1">
      <alignment horizontal="center"/>
    </xf>
    <xf numFmtId="43" fontId="0" fillId="0" borderId="0" xfId="0" applyNumberFormat="1" applyBorder="1"/>
    <xf numFmtId="1" fontId="0" fillId="0" borderId="0" xfId="0" applyNumberFormat="1" applyFill="1" applyBorder="1" applyAlignment="1">
      <alignment horizontal="center"/>
    </xf>
    <xf numFmtId="43" fontId="0" fillId="0" borderId="0" xfId="0" applyNumberFormat="1"/>
    <xf numFmtId="9" fontId="0" fillId="0" borderId="0" xfId="15" applyFont="1" applyFill="1" applyBorder="1"/>
    <xf numFmtId="6" fontId="14" fillId="0" borderId="0" xfId="0" applyNumberFormat="1" applyFont="1" applyBorder="1" applyAlignment="1">
      <alignment horizontal="right" vertical="center"/>
    </xf>
    <xf numFmtId="6" fontId="0" fillId="0" borderId="0" xfId="0" applyNumberFormat="1" applyBorder="1"/>
    <xf numFmtId="165" fontId="0" fillId="0" borderId="0" xfId="0" applyNumberFormat="1"/>
    <xf numFmtId="164" fontId="0" fillId="0" borderId="0" xfId="0" applyNumberFormat="1"/>
    <xf numFmtId="0" fontId="15" fillId="0" borderId="0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4" fontId="3" fillId="0" borderId="0" xfId="16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chartsheet" Target="chartsheets/sheet2.xml" /><Relationship Id="rId2" Type="http://schemas.openxmlformats.org/officeDocument/2006/relationships/chartsheet" Target="chartsheets/sheet1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12" Type="http://schemas.openxmlformats.org/officeDocument/2006/relationships/calcChain" Target="calcChain.xml" /><Relationship Id="rId8" Type="http://schemas.openxmlformats.org/officeDocument/2006/relationships/customXml" Target="../customXml/item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11" Type="http://schemas.openxmlformats.org/officeDocument/2006/relationships/customXml" Target="../customXml/item4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1.xml" /><Relationship Id="rId1" Type="http://schemas.microsoft.com/office/2011/relationships/chartStyle" Target="style1.xml" 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2.xml" /><Relationship Id="rId1" Type="http://schemas.microsoft.com/office/2011/relationships/chartStyle" Target="style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1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FPUC's 2022-2031 Estimated SPP Costs</a:t>
            </a:r>
          </a:p>
        </c:rich>
      </c:tx>
      <c:layout/>
      <c:overlay val="0"/>
      <c:spPr>
        <a:noFill/>
        <a:ln w="635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'Appendix A'!$D$4:$M$4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'Appendix A'!$D$34:$M$34</c:f>
              <c:numCache>
                <c:formatCode>_("$"* #,##0.00_);_("$"* \(#,##0.00\);_("$"* "-"??_);_(@_)</c:formatCode>
                <c:ptCount val="10"/>
                <c:pt idx="0">
                  <c:v>3.70647096693763</c:v>
                </c:pt>
                <c:pt idx="1">
                  <c:v>8.2576573738327</c:v>
                </c:pt>
                <c:pt idx="2">
                  <c:v>18.745678942823</c:v>
                </c:pt>
                <c:pt idx="3">
                  <c:v>57.2332110962598</c:v>
                </c:pt>
                <c:pt idx="4">
                  <c:v>56.1303690745328</c:v>
                </c:pt>
                <c:pt idx="5">
                  <c:v>21.7881994832748</c:v>
                </c:pt>
                <c:pt idx="6">
                  <c:v>21.3947006231102</c:v>
                </c:pt>
                <c:pt idx="7">
                  <c:v>21.5749049048822</c:v>
                </c:pt>
                <c:pt idx="8">
                  <c:v>27.1951359940641</c:v>
                </c:pt>
                <c:pt idx="9">
                  <c:v>27.1141694207343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B-4AE6-8B96-A10BAC10F905}"/>
            </c:ext>
          </c:extLst>
        </c:ser>
        <c:overlap val="-27"/>
        <c:gapWidth val="219"/>
        <c:axId val="45056377"/>
        <c:axId val="5979212"/>
      </c:barChart>
      <c:catAx>
        <c:axId val="4505637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79212"/>
        <c:crosses val="autoZero"/>
        <c:auto val="1"/>
        <c:lblOffset val="100"/>
        <c:noMultiLvlLbl val="0"/>
      </c:catAx>
      <c:valAx>
        <c:axId val="5979212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000" b="0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Total</a:t>
                </a:r>
                <a:r>
                  <a:rPr lang="en-US" sz="1000" b="0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 Investment (in Millions)</a:t>
                </a:r>
              </a:p>
            </c:rich>
          </c:tx>
          <c:layout/>
          <c:overlay val="0"/>
          <c:spPr>
            <a:noFill/>
            <a:ln w="6350">
              <a:noFill/>
            </a:ln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056377"/>
        <c:crosses val="autoZero"/>
        <c:crossBetween val="between"/>
      </c:valAx>
      <c:spPr>
        <a:noFill/>
        <a:ln w="635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1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FPUC's 2022-2024 Estimated SPP Costs</a:t>
            </a:r>
          </a:p>
        </c:rich>
      </c:tx>
      <c:layout>
        <c:manualLayout>
          <c:xMode val="edge"/>
          <c:yMode val="edge"/>
          <c:x val="0.3795"/>
          <c:y val="0.02825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5"/>
          <c:y val="0.02225"/>
          <c:w val="0.889"/>
          <c:h val="0.886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Calculations!$I$20</c:f>
              <c:strCache>
                <c:ptCount val="1"/>
                <c:pt idx="0">
                  <c:v>Total of Other SPP Programs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Calculations!$E$2:$G$2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Calculations!$J$20:$L$20</c:f>
              <c:numCache>
                <c:formatCode>_("$"* #,##0.00_);_("$"* \(#,##0.00\);_("$"* "-"??_);_(@_)</c:formatCode>
                <c:ptCount val="3"/>
                <c:pt idx="0">
                  <c:v>3.23807220181574</c:v>
                </c:pt>
                <c:pt idx="1">
                  <c:v>3.54407220181574</c:v>
                </c:pt>
                <c:pt idx="2">
                  <c:v>13.0002522018157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4C-4482-952A-B0C060C2F803}"/>
            </c:ext>
          </c:extLst>
        </c:ser>
        <c:ser>
          <c:idx val="1"/>
          <c:order val="1"/>
          <c:tx>
            <c:strRef>
              <c:f>'Appendix A'!$B$5:$B$7</c:f>
              <c:strCache>
                <c:ptCount val="1"/>
                <c:pt idx="0">
                  <c:v>Distribution - OH Feeder Hardening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Calculations!$E$2:$G$2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'Appendix A'!$D$7:$F$7</c:f>
              <c:numCache>
                <c:formatCode>_("$"* #,##0.00_);_("$"* \(#,##0.00\);_("$"* "-"??_);_(@_)</c:formatCode>
                <c:ptCount val="3"/>
                <c:pt idx="0">
                  <c:v>0.298375006964361</c:v>
                </c:pt>
                <c:pt idx="1">
                  <c:v>3.01334759044169</c:v>
                </c:pt>
                <c:pt idx="2">
                  <c:v>3.06894293356239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C-4482-952A-B0C060C2F803}"/>
            </c:ext>
          </c:extLst>
        </c:ser>
        <c:ser>
          <c:idx val="2"/>
          <c:order val="2"/>
          <c:tx>
            <c:strRef>
              <c:f>'Appendix A'!$B$8:$B$10</c:f>
              <c:strCache>
                <c:ptCount val="1"/>
                <c:pt idx="0">
                  <c:v>Distribution - OH Lateral Hardening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Calculations!$E$2:$G$2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'Appendix A'!$D$10:$F$10</c:f>
              <c:numCache>
                <c:formatCode>_("$"* #,##0.00_);_("$"* \(#,##0.00\);_("$"* "-"??_);_(@_)</c:formatCode>
                <c:ptCount val="3"/>
                <c:pt idx="0">
                  <c:v>0.0577451630435384</c:v>
                </c:pt>
                <c:pt idx="1">
                  <c:v>0.577451630435384</c:v>
                </c:pt>
                <c:pt idx="2">
                  <c:v>1.00541578251563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C-4482-952A-B0C060C2F803}"/>
            </c:ext>
          </c:extLst>
        </c:ser>
        <c:ser>
          <c:idx val="3"/>
          <c:order val="3"/>
          <c:tx>
            <c:strRef>
              <c:f>'Appendix A'!$B$11:$B$13</c:f>
              <c:strCache>
                <c:ptCount val="1"/>
                <c:pt idx="0">
                  <c:v>Distribution - OH Lateral Underground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Calculations!$E$2:$G$2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'Appendix A'!$D$13:$F$13</c:f>
              <c:numCache>
                <c:formatCode>_("$"* #,##0.00_);_("$"* \(#,##0.00\);_("$"* "-"??_);_(@_)</c:formatCode>
                <c:ptCount val="3"/>
                <c:pt idx="0">
                  <c:v>0.112278595113989</c:v>
                </c:pt>
                <c:pt idx="1">
                  <c:v>1.12278595113989</c:v>
                </c:pt>
                <c:pt idx="2">
                  <c:v>1.67106802492928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4C-4482-952A-B0C060C2F803}"/>
            </c:ext>
          </c:extLst>
        </c:ser>
        <c:overlap val="100"/>
        <c:axId val="54912465"/>
        <c:axId val="19871599"/>
      </c:barChart>
      <c:catAx>
        <c:axId val="5491246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1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871599"/>
        <c:crosses val="autoZero"/>
        <c:auto val="1"/>
        <c:lblOffset val="100"/>
        <c:noMultiLvlLbl val="0"/>
      </c:catAx>
      <c:valAx>
        <c:axId val="19871599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000" b="0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Total Investment (in Millions)</a:t>
                </a:r>
              </a:p>
            </c:rich>
          </c:tx>
          <c:layout/>
          <c:overlay val="0"/>
          <c:spPr>
            <a:noFill/>
            <a:ln w="6350">
              <a:noFill/>
            </a:ln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1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912465"/>
        <c:crosses val="autoZero"/>
        <c:crossBetween val="between"/>
      </c:valAx>
      <c:spPr>
        <a:noFill/>
        <a:ln w="6350">
          <a:noFill/>
        </a:ln>
      </c:spPr>
    </c:plotArea>
    <c:legend>
      <c:legendPos val="r"/>
      <c:layout>
        <c:manualLayout>
          <c:xMode val="edge"/>
          <c:yMode val="edge"/>
          <c:x val="0.01275"/>
          <c:y val="0.925"/>
          <c:w val="0.9845"/>
          <c:h val="0.069"/>
        </c:manualLayout>
      </c:layout>
      <c:overlay val="0"/>
      <c:spPr>
        <a:noFill/>
        <a:ln w="6350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chart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2.xml" /></Relationships>
</file>

<file path=xl/chartsheets/sheet1.xml><?xml version="1.0" encoding="utf-8"?>
<chartsheet xmlns="http://schemas.openxmlformats.org/spreadsheetml/2006/main" xmlns:r="http://schemas.openxmlformats.org/officeDocument/2006/relationships">
  <sheetViews>
    <sheetView tabSelected="1" workbookViewId="0" zoomScale="116" zoomToFit="1"/>
  </sheetViews>
  <pageMargins left="0.7" right="0.7" top="0.75" bottom="0.75" header="0.3" footer="0.3"/>
  <pageSetup horizontalDpi="300" verticalDpi="300" orientation="landscape" paperSize="9" r:id="rId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Views>
    <sheetView workbookViewId="0" zoomScale="117" zoomToFit="1"/>
  </sheetViews>
  <pageMargins left="0.7" right="0.7" top="0.75" bottom="0.75" header="0.3" footer="0.3"/>
  <pageSetup orientation="landscape" r:id="rId2"/>
  <drawing r:id="rId1"/>
</chartsheet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absoluteAnchor>
    <xdr:pos x="0" y="0"/>
    <xdr:ext cx="9305925" cy="6076950"/>
    <xdr:graphicFrame macro="">
      <xdr:nvGraphicFramePr>
        <xdr:cNvPr id="2" name="Chart 1"/>
        <xdr:cNvGraphicFramePr/>
      </xdr:nvGraphicFramePr>
      <xdr:xfrm>
        <a:off x="0" y="0"/>
        <a:ext cx="9305925" cy="60769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absoluteAnchor>
    <xdr:pos x="0" y="0"/>
    <xdr:ext cx="7924800" cy="5743575"/>
    <xdr:graphicFrame macro="">
      <xdr:nvGraphicFramePr>
        <xdr:cNvPr id="2" name="Chart 1"/>
        <xdr:cNvGraphicFramePr/>
      </xdr:nvGraphicFramePr>
      <xdr:xfrm>
        <a:off x="0" y="0"/>
        <a:ext cx="7924800" cy="57435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C050-6FF3-49FB-ADCA-8C6A9DF648F4}">
  <sheetPr>
    <pageSetUpPr fitToPage="1"/>
  </sheetPr>
  <dimension ref="B3:W43"/>
  <sheetViews>
    <sheetView showGridLines="0" zoomScale="115" zoomScaleNormal="115" workbookViewId="0" topLeftCell="A3">
      <selection pane="topLeft" activeCell="D16" sqref="D16"/>
    </sheetView>
  </sheetViews>
  <sheetFormatPr defaultRowHeight="15"/>
  <cols>
    <col min="2" max="2" width="14.1428571428571" customWidth="1"/>
    <col min="3" max="3" width="11.4285714285714" customWidth="1"/>
    <col min="4" max="13" width="12.8571428571429" customWidth="1"/>
    <col min="14" max="14" width="9.57142857142857" bestFit="1" customWidth="1"/>
    <col min="16" max="16" width="13.2857142857143" bestFit="1" customWidth="1"/>
  </cols>
  <sheetData>
    <row r="2" ht="15.75" thickBot="1"/>
    <row r="3" spans="2:14" ht="15.75" customHeight="1" thickBot="1">
      <c r="B3" s="100" t="s">
        <v>93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</row>
    <row r="4" spans="2:14" ht="15.75" thickBot="1">
      <c r="B4" s="5"/>
      <c r="C4" s="6"/>
      <c r="D4" s="6">
        <v>2022</v>
      </c>
      <c r="E4" s="6">
        <v>2023</v>
      </c>
      <c r="F4" s="6">
        <v>2024</v>
      </c>
      <c r="G4" s="6">
        <v>2025</v>
      </c>
      <c r="H4" s="6">
        <v>2026</v>
      </c>
      <c r="I4" s="6">
        <v>2027</v>
      </c>
      <c r="J4" s="6">
        <v>2028</v>
      </c>
      <c r="K4" s="6">
        <v>2029</v>
      </c>
      <c r="L4" s="6">
        <v>2030</v>
      </c>
      <c r="M4" s="6">
        <v>2031</v>
      </c>
      <c r="N4" s="7" t="s">
        <v>2</v>
      </c>
    </row>
    <row r="5" spans="2:23" ht="15.75" thickTop="1">
      <c r="B5" s="108" t="s">
        <v>28</v>
      </c>
      <c r="C5" s="1" t="s">
        <v>0</v>
      </c>
      <c r="D5" s="12">
        <f>Calculations!$C$14*(Calculations!$D$3*(1-Calculations!$C$3)*Calculations!E3)</f>
        <v>0.28942375675543047</v>
      </c>
      <c r="E5" s="12">
        <f>Calculations!$C$14*(Calculations!$D$3*(1-Calculations!$C$3)*Calculations!F3)</f>
        <v>2.9229471627284354</v>
      </c>
      <c r="F5" s="12">
        <f>Calculations!$C$14*(Calculations!$D$3*(1-Calculations!$C$3)*Calculations!G3)</f>
        <v>2.9768746455555197</v>
      </c>
      <c r="G5" s="12">
        <f>Calculations!$C$14*(Calculations!$D$3*(1-Calculations!$C$3)*Calculations!H3)</f>
        <v>1.2836551427857028</v>
      </c>
      <c r="H5" s="12">
        <f>Calculations!$C$14*(Calculations!$D$3*(1-Calculations!$C$3)*Calculations!I3)</f>
        <v>2.4921739126156832</v>
      </c>
      <c r="I5" s="12">
        <f>Calculations!$C$14*(Calculations!$D$3*(1-Calculations!$C$3)*Calculations!J3)</f>
        <v>1.4691036089104959</v>
      </c>
      <c r="J5" s="12">
        <f>Calculations!$C$14*(Calculations!$D$3*(1-Calculations!$C$3)*Calculations!K3)</f>
        <v>1.464383337631866</v>
      </c>
      <c r="K5" s="12">
        <f>Calculations!$C$14*(Calculations!$D$3*(1-Calculations!$C$3)*Calculations!L3)</f>
        <v>1.421900896124199</v>
      </c>
      <c r="L5" s="12">
        <f>Calculations!$C$14*(Calculations!$D$3*(1-Calculations!$C$3)*Calculations!M3)</f>
        <v>1.4251986198942006</v>
      </c>
      <c r="M5" s="12">
        <f>Calculations!$C$14*(Calculations!$D$3*(1-Calculations!$C$3)*Calculations!N3)</f>
        <v>1.3093903204417934</v>
      </c>
      <c r="N5" s="13">
        <f>SUM(D5:M5)</f>
        <v>17.055051403443326</v>
      </c>
      <c r="P5" s="37"/>
      <c r="Q5" s="37"/>
      <c r="R5" s="37"/>
      <c r="S5" s="37"/>
      <c r="T5" s="37"/>
      <c r="U5" s="37"/>
      <c r="V5" s="37"/>
      <c r="W5" s="37"/>
    </row>
    <row r="6" spans="2:23" ht="15">
      <c r="B6" s="108"/>
      <c r="C6" s="1" t="s">
        <v>1</v>
      </c>
      <c r="D6" s="32">
        <f>Calculations!$C$14*(Calculations!$D$3*(Calculations!$C$3)*Calculations!E3)</f>
        <v>0.0089512502089308405</v>
      </c>
      <c r="E6" s="10">
        <f>Calculations!$C$14*(Calculations!$D$3*(Calculations!$C$3)*Calculations!F3)</f>
        <v>0.090400427713250589</v>
      </c>
      <c r="F6" s="10">
        <f>Calculations!$C$14*(Calculations!$D$3*(Calculations!$C$3)*Calculations!G3)</f>
        <v>0.092068288006871751</v>
      </c>
      <c r="G6" s="10">
        <f>Calculations!$C$14*(Calculations!$D$3*(Calculations!$C$3)*Calculations!H3)</f>
        <v>0.039700674519145454</v>
      </c>
      <c r="H6" s="10">
        <f>Calculations!$C$14*(Calculations!$D$3*(Calculations!$C$3)*Calculations!I3)</f>
        <v>0.077077543689144851</v>
      </c>
      <c r="I6" s="10">
        <f>Calculations!$C$14*(Calculations!$D$3*(Calculations!$C$3)*Calculations!J3)</f>
        <v>0.045436194090015342</v>
      </c>
      <c r="J6" s="10">
        <f>Calculations!$C$14*(Calculations!$D$3*(Calculations!$C$3)*Calculations!K3)</f>
        <v>0.045290206318511328</v>
      </c>
      <c r="K6" s="10">
        <f>Calculations!$C$14*(Calculations!$D$3*(Calculations!$C$3)*Calculations!L3)</f>
        <v>0.043976316374975226</v>
      </c>
      <c r="L6" s="10">
        <f>Calculations!$C$14*(Calculations!$D$3*(Calculations!$C$3)*Calculations!M3)</f>
        <v>0.044078307831779406</v>
      </c>
      <c r="M6" s="10">
        <f>Calculations!$C$14*(Calculations!$D$3*(Calculations!$C$3)*Calculations!N3)</f>
        <v>0.040496607848715255</v>
      </c>
      <c r="N6" s="11">
        <f t="shared" si="0" ref="N6:N34">SUM(D6:M6)</f>
        <v>0.52747581660134002</v>
      </c>
      <c r="P6" s="37"/>
      <c r="Q6" s="37"/>
      <c r="R6" s="37"/>
      <c r="S6" s="37"/>
      <c r="T6" s="37"/>
      <c r="U6" s="37"/>
      <c r="V6" s="37"/>
      <c r="W6" s="37"/>
    </row>
    <row r="7" spans="2:23" ht="15">
      <c r="B7" s="109"/>
      <c r="C7" s="14" t="s">
        <v>2</v>
      </c>
      <c r="D7" s="43">
        <f>SUM(D5:D6)</f>
        <v>0.29837500696436131</v>
      </c>
      <c r="E7" s="43">
        <f t="shared" si="1" ref="E7:G7">SUM(E5:E6)</f>
        <v>3.0133475904416858</v>
      </c>
      <c r="F7" s="15">
        <f t="shared" si="1"/>
        <v>3.0689429335623917</v>
      </c>
      <c r="G7" s="15">
        <f t="shared" si="1"/>
        <v>1.3233558173048483</v>
      </c>
      <c r="H7" s="15">
        <f t="shared" si="2" ref="H7">SUM(H5:H6)</f>
        <v>2.5692514563048281</v>
      </c>
      <c r="I7" s="15">
        <f t="shared" si="3" ref="I7">SUM(I5:I6)</f>
        <v>1.5145398030005113</v>
      </c>
      <c r="J7" s="15">
        <f t="shared" si="4" ref="J7">SUM(J5:J6)</f>
        <v>1.5096735439503775</v>
      </c>
      <c r="K7" s="15">
        <f t="shared" si="5" ref="K7">SUM(K5:K6)</f>
        <v>1.4658772124991741</v>
      </c>
      <c r="L7" s="15">
        <f t="shared" si="6" ref="L7">SUM(L5:L6)</f>
        <v>1.4692769277259801</v>
      </c>
      <c r="M7" s="15">
        <f t="shared" si="7" ref="M7">SUM(M5:M6)</f>
        <v>1.3498869282905086</v>
      </c>
      <c r="N7" s="16">
        <f t="shared" si="0"/>
        <v>17.582527220044668</v>
      </c>
      <c r="P7" s="37"/>
      <c r="Q7" s="37"/>
      <c r="R7" s="37"/>
      <c r="S7" s="37"/>
      <c r="T7" s="37"/>
      <c r="U7" s="37"/>
      <c r="V7" s="37"/>
      <c r="W7" s="37"/>
    </row>
    <row r="8" spans="2:23" ht="15">
      <c r="B8" s="108" t="s">
        <v>27</v>
      </c>
      <c r="C8" s="1" t="s">
        <v>0</v>
      </c>
      <c r="D8" s="12">
        <f>Calculations!$C$14*(Calculations!$D$4*(1-Calculations!$C$4)*Calculations!E4)</f>
        <v>0.056012808152232273</v>
      </c>
      <c r="E8" s="12">
        <f>Calculations!$C$14*(Calculations!$D$4*(1-Calculations!$C$4)*Calculations!F4)</f>
        <v>0.56012808152232263</v>
      </c>
      <c r="F8" s="12">
        <f>Calculations!$C$14*(Calculations!$D$4*(1-Calculations!$C$4)*Calculations!G4)</f>
        <v>0.97525330904016505</v>
      </c>
      <c r="G8" s="12">
        <f>Calculations!$C$14*(Calculations!$D$4*(1-Calculations!$C$4)*Calculations!H4)</f>
        <v>4.4068258673535468</v>
      </c>
      <c r="H8" s="12">
        <f>Calculations!$C$14*(Calculations!$D$4*(1-Calculations!$C$4)*Calculations!I4)</f>
        <v>1.7979060671547686</v>
      </c>
      <c r="I8" s="12">
        <f>Calculations!$C$14*(Calculations!$D$4*(1-Calculations!$C$4)*Calculations!J4)</f>
        <v>2.986541502489152</v>
      </c>
      <c r="J8" s="12">
        <f>Calculations!$C$14*(Calculations!$D$4*(1-Calculations!$C$4)*Calculations!K4)</f>
        <v>3.1722809442407098</v>
      </c>
      <c r="K8" s="12">
        <f>Calculations!$C$14*(Calculations!$D$4*(1-Calculations!$C$4)*Calculations!L4)</f>
        <v>4.7118653160786907</v>
      </c>
      <c r="L8" s="12">
        <f>Calculations!$C$14*(Calculations!$D$4*(1-Calculations!$C$4)*Calculations!M4)</f>
        <v>3.4618825194347189</v>
      </c>
      <c r="M8" s="12">
        <f>Calculations!$C$14*(Calculations!$D$4*(1-Calculations!$C$4)*Calculations!N4)</f>
        <v>2.6187806408835868</v>
      </c>
      <c r="N8" s="13">
        <f t="shared" si="0"/>
        <v>24.747477056349894</v>
      </c>
      <c r="P8" s="37"/>
      <c r="Q8" s="37"/>
      <c r="R8" s="37"/>
      <c r="S8" s="37"/>
      <c r="T8" s="37"/>
      <c r="U8" s="37"/>
      <c r="V8" s="37"/>
      <c r="W8" s="37"/>
    </row>
    <row r="9" spans="2:23" ht="15">
      <c r="B9" s="108"/>
      <c r="C9" s="1" t="s">
        <v>1</v>
      </c>
      <c r="D9" s="10">
        <f>Calculations!$C$14*(Calculations!$D$4*(Calculations!$C$4)*Calculations!E4)</f>
        <v>0.0017323548913061526</v>
      </c>
      <c r="E9" s="10">
        <f>Calculations!$C$14*(Calculations!$D$4*(Calculations!$C$4)*Calculations!F4)</f>
        <v>0.017323548913061523</v>
      </c>
      <c r="F9" s="10">
        <f>Calculations!$C$14*(Calculations!$D$4*(Calculations!$C$4)*Calculations!G4)</f>
        <v>0.03016247347546902</v>
      </c>
      <c r="G9" s="10">
        <f>Calculations!$C$14*(Calculations!$D$4*(Calculations!$C$4)*Calculations!H4)</f>
        <v>0.13629358352639834</v>
      </c>
      <c r="H9" s="10">
        <f>Calculations!$C$14*(Calculations!$D$4*(Calculations!$C$4)*Calculations!I4)</f>
        <v>0.055605342283137175</v>
      </c>
      <c r="I9" s="10">
        <f>Calculations!$C$14*(Calculations!$D$4*(Calculations!$C$4)*Calculations!J4)</f>
        <v>0.092367262963582025</v>
      </c>
      <c r="J9" s="10">
        <f>Calculations!$C$14*(Calculations!$D$4*(Calculations!$C$4)*Calculations!K4)</f>
        <v>0.098111781780640506</v>
      </c>
      <c r="K9" s="10">
        <f>Calculations!$C$14*(Calculations!$D$4*(Calculations!$C$4)*Calculations!L4)</f>
        <v>0.14572779328078425</v>
      </c>
      <c r="L9" s="10">
        <f>Calculations!$C$14*(Calculations!$D$4*(Calculations!$C$4)*Calculations!M4)</f>
        <v>0.10706853152890883</v>
      </c>
      <c r="M9" s="10">
        <f>Calculations!$C$14*(Calculations!$D$4*(Calculations!$C$4)*Calculations!N4)</f>
        <v>0.08099321569743051</v>
      </c>
      <c r="N9" s="11">
        <f t="shared" si="0"/>
        <v>0.7653858883407183</v>
      </c>
      <c r="P9" s="37"/>
      <c r="Q9" s="37"/>
      <c r="R9" s="37"/>
      <c r="S9" s="37"/>
      <c r="T9" s="37"/>
      <c r="U9" s="37"/>
      <c r="V9" s="37"/>
      <c r="W9" s="37"/>
    </row>
    <row r="10" spans="2:23" ht="15">
      <c r="B10" s="109"/>
      <c r="C10" s="14" t="s">
        <v>2</v>
      </c>
      <c r="D10" s="15">
        <f>SUM(D8:D9)</f>
        <v>0.057745163043538425</v>
      </c>
      <c r="E10" s="15">
        <f t="shared" si="8" ref="E10">SUM(E8:E9)</f>
        <v>0.57745163043538417</v>
      </c>
      <c r="F10" s="15">
        <f t="shared" si="9" ref="F10">SUM(F8:F9)</f>
        <v>1.005415782515634</v>
      </c>
      <c r="G10" s="15">
        <f t="shared" si="10" ref="G10">SUM(G8:G9)</f>
        <v>4.5431194508799448</v>
      </c>
      <c r="H10" s="15">
        <f t="shared" si="11" ref="H10">SUM(H8:H9)</f>
        <v>1.8535114094379057</v>
      </c>
      <c r="I10" s="15">
        <f t="shared" si="12" ref="I10">SUM(I8:I9)</f>
        <v>3.0789087654527338</v>
      </c>
      <c r="J10" s="15">
        <f t="shared" si="13" ref="J10">SUM(J8:J9)</f>
        <v>3.2703927260213503</v>
      </c>
      <c r="K10" s="15">
        <f t="shared" si="14" ref="K10">SUM(K8:K9)</f>
        <v>4.8575931093594749</v>
      </c>
      <c r="L10" s="15">
        <f t="shared" si="15" ref="L10">SUM(L8:L9)</f>
        <v>3.5689510509636277</v>
      </c>
      <c r="M10" s="15">
        <f t="shared" si="16" ref="M10">SUM(M8:M9)</f>
        <v>2.6997738565810172</v>
      </c>
      <c r="N10" s="16">
        <f t="shared" si="0"/>
        <v>25.51286294469061</v>
      </c>
      <c r="P10" s="37"/>
      <c r="Q10" s="37"/>
      <c r="R10" s="37"/>
      <c r="S10" s="37"/>
      <c r="T10" s="37"/>
      <c r="U10" s="37"/>
      <c r="V10" s="37"/>
      <c r="W10" s="37"/>
    </row>
    <row r="11" spans="2:14" ht="15">
      <c r="B11" s="108" t="s">
        <v>26</v>
      </c>
      <c r="C11" s="2" t="s">
        <v>0</v>
      </c>
      <c r="D11" s="31">
        <f>Calculations!$C$14*(Calculations!$D$5*(1-Calculations!$C$5)*Calculations!E5)</f>
        <v>0.10891023726056896</v>
      </c>
      <c r="E11" s="12">
        <f>Calculations!$C$14*(Calculations!$D$5*(1-Calculations!$C$5)*Calculations!F5)</f>
        <v>1.0891023726056894</v>
      </c>
      <c r="F11" s="12">
        <f>Calculations!$C$14*(Calculations!$D$5*(1-Calculations!$C$5)*Calculations!G5)</f>
        <v>1.6209359841813991</v>
      </c>
      <c r="G11" s="12">
        <f>Calculations!$C$14*(Calculations!$D$5*(1-Calculations!$C$5)*Calculations!H5)</f>
        <v>6.2275146794714988</v>
      </c>
      <c r="H11" s="12">
        <f>Calculations!$C$14*(Calculations!$D$5*(1-Calculations!$C$5)*Calculations!I5)</f>
        <v>4.999799277625085</v>
      </c>
      <c r="I11" s="12">
        <f>Calculations!$C$14*(Calculations!$D$5*(1-Calculations!$C$5)*Calculations!J5)</f>
        <v>8.5241891812014288</v>
      </c>
      <c r="J11" s="12">
        <f>Calculations!$C$14*(Calculations!$D$5*(1-Calculations!$C$5)*Calculations!K5)</f>
        <v>8.0633691412564357</v>
      </c>
      <c r="K11" s="12">
        <f>Calculations!$C$14*(Calculations!$D$5*(1-Calculations!$C$5)*Calculations!L5)</f>
        <v>6.4431159798791766</v>
      </c>
      <c r="L11" s="12">
        <f>Calculations!$C$14*(Calculations!$D$5*(1-Calculations!$C$5)*Calculations!M5)</f>
        <v>13.134267343362753</v>
      </c>
      <c r="M11" s="12">
        <f>Calculations!$C$14*(Calculations!$D$5*(1-Calculations!$C$5)*Calculations!N5)</f>
        <v>13.134267343362753</v>
      </c>
      <c r="N11" s="13">
        <f t="shared" si="0"/>
        <v>63.345471540206781</v>
      </c>
    </row>
    <row r="12" spans="2:14" ht="15">
      <c r="B12" s="108"/>
      <c r="C12" s="1" t="s">
        <v>1</v>
      </c>
      <c r="D12" s="32">
        <f>Calculations!$C$14*(Calculations!$D$5*(Calculations!$C$5)*Calculations!E5)</f>
        <v>0.0033683578534196585</v>
      </c>
      <c r="E12" s="10">
        <f>Calculations!$C$14*(Calculations!$D$5*(Calculations!$C$5)*Calculations!F5)</f>
        <v>0.033683578534196582</v>
      </c>
      <c r="F12" s="10">
        <f>Calculations!$C$14*(Calculations!$D$5*(Calculations!$C$5)*Calculations!G5)</f>
        <v>0.050132040747878318</v>
      </c>
      <c r="G12" s="10">
        <f>Calculations!$C$14*(Calculations!$D$5*(Calculations!$C$5)*Calculations!H5)</f>
        <v>0.1926035467877783</v>
      </c>
      <c r="H12" s="10">
        <f>Calculations!$C$14*(Calculations!$D$5*(Calculations!$C$5)*Calculations!I5)</f>
        <v>0.15463296734922941</v>
      </c>
      <c r="I12" s="10">
        <f>Calculations!$C$14*(Calculations!$D$5*(Calculations!$C$5)*Calculations!J5)</f>
        <v>0.26363471694437401</v>
      </c>
      <c r="J12" s="10">
        <f>Calculations!$C$14*(Calculations!$D$5*(Calculations!$C$5)*Calculations!K5)</f>
        <v>0.24938255076050828</v>
      </c>
      <c r="K12" s="10">
        <f>Calculations!$C$14*(Calculations!$D$5*(Calculations!$C$5)*Calculations!L5)</f>
        <v>0.19927162824368586</v>
      </c>
      <c r="L12" s="10">
        <f>Calculations!$C$14*(Calculations!$D$5*(Calculations!$C$5)*Calculations!M5)</f>
        <v>0.40621445391843564</v>
      </c>
      <c r="M12" s="10">
        <f>Calculations!$C$14*(Calculations!$D$5*(Calculations!$C$5)*Calculations!N5)</f>
        <v>0.40621445391843564</v>
      </c>
      <c r="N12" s="11">
        <f t="shared" si="0"/>
        <v>1.9591382950579417</v>
      </c>
    </row>
    <row r="13" spans="2:14" ht="15">
      <c r="B13" s="109"/>
      <c r="C13" s="14" t="s">
        <v>2</v>
      </c>
      <c r="D13" s="15">
        <f>SUM(D11:D12)</f>
        <v>0.11227859511398862</v>
      </c>
      <c r="E13" s="15">
        <f t="shared" si="17" ref="E13">SUM(E11:E12)</f>
        <v>1.1227859511398861</v>
      </c>
      <c r="F13" s="15">
        <f t="shared" si="18" ref="F13">SUM(F11:F12)</f>
        <v>1.6710680249292773</v>
      </c>
      <c r="G13" s="15">
        <f t="shared" si="19" ref="G13">SUM(G11:G12)</f>
        <v>6.4201182262592775</v>
      </c>
      <c r="H13" s="15">
        <f t="shared" si="20" ref="H13">SUM(H11:H12)</f>
        <v>5.1544322449743145</v>
      </c>
      <c r="I13" s="15">
        <f t="shared" si="21" ref="I13">SUM(I11:I12)</f>
        <v>8.7878238981458026</v>
      </c>
      <c r="J13" s="15">
        <f t="shared" si="22" ref="J13">SUM(J11:J12)</f>
        <v>8.3127516920169437</v>
      </c>
      <c r="K13" s="15">
        <f t="shared" si="23" ref="K13">SUM(K11:K12)</f>
        <v>6.6423876081228626</v>
      </c>
      <c r="L13" s="15">
        <f t="shared" si="24" ref="L13">SUM(L11:L12)</f>
        <v>13.540481797281188</v>
      </c>
      <c r="M13" s="15">
        <f t="shared" si="25" ref="M13">SUM(M11:M12)</f>
        <v>13.540481797281188</v>
      </c>
      <c r="N13" s="16">
        <f t="shared" si="0"/>
        <v>65.304609835264728</v>
      </c>
    </row>
    <row r="14" spans="2:14" ht="15">
      <c r="B14" s="108" t="s">
        <v>7</v>
      </c>
      <c r="C14" s="2" t="s">
        <v>0</v>
      </c>
      <c r="D14" s="33">
        <f>Calculations!$C$17*(Calculations!$D$6*(1-Calculations!$C$6)*Calculations!E6)</f>
        <v>1.0698749999999997</v>
      </c>
      <c r="E14" s="33">
        <f>Calculations!$C$17*(Calculations!$D$6*(1-Calculations!$C$6)*Calculations!F6)</f>
        <v>1.3327280069906813</v>
      </c>
      <c r="F14" s="33">
        <f>Calculations!$C$17*(Calculations!$D$6*(1-Calculations!$C$6)*Calculations!G6)</f>
        <v>1.420345675987575</v>
      </c>
      <c r="G14" s="33">
        <f>Calculations!$C$17*(Calculations!$D$6*(1-Calculations!$C$6)*Calculations!H6)</f>
        <v>1.5079633449844687</v>
      </c>
      <c r="H14" s="33">
        <f>Calculations!$C$17*(Calculations!$D$6*(1-Calculations!$C$6)*Calculations!I6)</f>
        <v>1.5955810139813627</v>
      </c>
      <c r="I14" s="33">
        <f>Calculations!$C$17*(Calculations!$D$6*(1-Calculations!$C$6)*Calculations!J6)</f>
        <v>1.4308597962672023</v>
      </c>
      <c r="J14" s="33">
        <f>Calculations!$C$17*(Calculations!$D$6*(1-Calculations!$C$6)*Calculations!K6)</f>
        <v>1.0698749999999997</v>
      </c>
      <c r="K14" s="33">
        <f>Calculations!$C$17*(Calculations!$D$6*(1-Calculations!$C$6)*Calculations!L6)</f>
        <v>1.0698749999999997</v>
      </c>
      <c r="L14" s="33">
        <f>Calculations!$C$17*(Calculations!$D$6*(1-Calculations!$C$6)*Calculations!M6)</f>
        <v>1.0698749999999997</v>
      </c>
      <c r="M14" s="33">
        <f>Calculations!$C$17*(Calculations!$D$6*(1-Calculations!$C$6)*Calculations!N6)</f>
        <v>1.0698749999999997</v>
      </c>
      <c r="N14" s="34">
        <f t="shared" si="0"/>
        <v>12.63685283821129</v>
      </c>
    </row>
    <row r="15" spans="2:14" ht="15">
      <c r="B15" s="108"/>
      <c r="C15" s="1" t="s">
        <v>1</v>
      </c>
      <c r="D15" s="35">
        <f>Calculations!$C$17*(Calculations!$D$6*(Calculations!$C$6)*Calculations!E6)</f>
        <v>0.15119720181574239</v>
      </c>
      <c r="E15" s="35">
        <f>Calculations!$C$17*(Calculations!$D$6*(Calculations!$C$6)*Calculations!F6)</f>
        <v>0.18834419482506107</v>
      </c>
      <c r="F15" s="35">
        <f>Calculations!$C$17*(Calculations!$D$6*(Calculations!$C$6)*Calculations!G6)</f>
        <v>0.20072652582816727</v>
      </c>
      <c r="G15" s="35">
        <f>Calculations!$C$17*(Calculations!$D$6*(Calculations!$C$6)*Calculations!H6)</f>
        <v>0.21310885683127348</v>
      </c>
      <c r="H15" s="35">
        <f>Calculations!$C$17*(Calculations!$D$6*(Calculations!$C$6)*Calculations!I6)</f>
        <v>0.22549118783437971</v>
      </c>
      <c r="I15" s="35">
        <f>Calculations!$C$17*(Calculations!$D$6*(Calculations!$C$6)*Calculations!J6)</f>
        <v>0.20221240554854</v>
      </c>
      <c r="J15" s="35">
        <f>Calculations!$C$17*(Calculations!$D$6*(Calculations!$C$6)*Calculations!K6)</f>
        <v>0.15119720181574239</v>
      </c>
      <c r="K15" s="35">
        <f>Calculations!$C$17*(Calculations!$D$6*(Calculations!$C$6)*Calculations!L6)</f>
        <v>0.15119720181574239</v>
      </c>
      <c r="L15" s="35">
        <f>Calculations!$C$17*(Calculations!$D$6*(Calculations!$C$6)*Calculations!M6)</f>
        <v>0.15119720181574239</v>
      </c>
      <c r="M15" s="35">
        <f>Calculations!$C$17*(Calculations!$D$6*(Calculations!$C$6)*Calculations!N6)</f>
        <v>0.15119720181574239</v>
      </c>
      <c r="N15" s="36">
        <f t="shared" si="0"/>
        <v>1.7858691799461333</v>
      </c>
    </row>
    <row r="16" spans="2:14" ht="15">
      <c r="B16" s="109"/>
      <c r="C16" s="14" t="s">
        <v>2</v>
      </c>
      <c r="D16" s="15">
        <f>SUM(D14:D15)</f>
        <v>1.2210722018157421</v>
      </c>
      <c r="E16" s="15">
        <f t="shared" si="26" ref="E16">SUM(E14:E15)</f>
        <v>1.5210722018157423</v>
      </c>
      <c r="F16" s="15">
        <f t="shared" si="27" ref="F16">SUM(F14:F15)</f>
        <v>1.6210722018157422</v>
      </c>
      <c r="G16" s="15">
        <f t="shared" si="28" ref="G16">SUM(G14:G15)</f>
        <v>1.7210722018157423</v>
      </c>
      <c r="H16" s="15">
        <f t="shared" si="29" ref="H16">SUM(H14:H15)</f>
        <v>1.8210722018157424</v>
      </c>
      <c r="I16" s="15">
        <f t="shared" si="30" ref="I16">SUM(I14:I15)</f>
        <v>1.6330722018157422</v>
      </c>
      <c r="J16" s="15">
        <f t="shared" si="31" ref="J16">SUM(J14:J15)</f>
        <v>1.2210722018157421</v>
      </c>
      <c r="K16" s="15">
        <f t="shared" si="32" ref="K16">SUM(K14:K15)</f>
        <v>1.2210722018157421</v>
      </c>
      <c r="L16" s="15">
        <f t="shared" si="33" ref="L16">SUM(L14:L15)</f>
        <v>1.2210722018157421</v>
      </c>
      <c r="M16" s="15">
        <f t="shared" si="34" ref="M16">SUM(M14:M15)</f>
        <v>1.2210722018157421</v>
      </c>
      <c r="N16" s="16">
        <f t="shared" si="0"/>
        <v>14.422722018157422</v>
      </c>
    </row>
    <row r="17" spans="2:14" ht="15">
      <c r="B17" s="105" t="s">
        <v>25</v>
      </c>
      <c r="C17" s="2" t="s">
        <v>0</v>
      </c>
      <c r="D17" s="33">
        <f>Calculations!$C$18*(Calculations!$D$7*(1-Calculations!$C$7)*Calculations!E7)</f>
        <v>0</v>
      </c>
      <c r="E17" s="33">
        <f>Calculations!$C$18*(Calculations!$D$7*(1-Calculations!$C$7)*Calculations!F7)</f>
        <v>0</v>
      </c>
      <c r="F17" s="33">
        <f>Calculations!$C$18*(Calculations!$D$7*(1-Calculations!$C$7)*Calculations!G7)</f>
        <v>0</v>
      </c>
      <c r="G17" s="33">
        <f>Calculations!$C$18*(Calculations!$D$7*(1-Calculations!$C$7)*Calculations!H7)</f>
        <v>0</v>
      </c>
      <c r="H17" s="33">
        <f>Calculations!$C$18*(Calculations!$D$7*(1-Calculations!$C$7)*Calculations!I7)</f>
        <v>0</v>
      </c>
      <c r="I17" s="33">
        <f>Calculations!$C$18*(Calculations!$D$7*(1-Calculations!$C$7)*Calculations!J7)</f>
        <v>0</v>
      </c>
      <c r="J17" s="33">
        <f>Calculations!$C$18*(Calculations!$D$7*(1-Calculations!$C$7)*Calculations!K7)</f>
        <v>0</v>
      </c>
      <c r="K17" s="33">
        <f>Calculations!$C$18*(Calculations!$D$7*(1-Calculations!$C$7)*Calculations!L7)</f>
        <v>0</v>
      </c>
      <c r="L17" s="33">
        <f>Calculations!$C$18*(Calculations!$D$7*(1-Calculations!$C$7)*Calculations!M7)</f>
        <v>0</v>
      </c>
      <c r="M17" s="33">
        <f>Calculations!$C$18*(Calculations!$D$7*(1-Calculations!$C$7)*Calculations!N7)</f>
        <v>0</v>
      </c>
      <c r="N17" s="34">
        <f t="shared" si="0"/>
        <v>0</v>
      </c>
    </row>
    <row r="18" spans="2:14" ht="15">
      <c r="B18" s="105"/>
      <c r="C18" s="1" t="s">
        <v>1</v>
      </c>
      <c r="D18" s="72">
        <f>Calculations!$C$18*(Calculations!$D$7*(Calculations!$C$7)*Calculations!E7)</f>
        <v>1.2000000000000002</v>
      </c>
      <c r="E18" s="35">
        <f>Calculations!$C$18*(Calculations!$D$7*(Calculations!$C$7)*Calculations!F7)</f>
        <v>1.2000000000000002</v>
      </c>
      <c r="F18" s="35">
        <f>Calculations!$C$18*(Calculations!$D$7*(Calculations!$C$7)*Calculations!G7)</f>
        <v>1.2000000000000002</v>
      </c>
      <c r="G18" s="35">
        <f>Calculations!$C$18*(Calculations!$D$7*(Calculations!$C$7)*Calculations!H7)</f>
        <v>1.2000000000000002</v>
      </c>
      <c r="H18" s="35">
        <f>Calculations!$C$18*(Calculations!$D$7*(Calculations!$C$7)*Calculations!I7)</f>
        <v>1.2000000000000002</v>
      </c>
      <c r="I18" s="35">
        <f>Calculations!$C$18*(Calculations!$D$7*(Calculations!$C$7)*Calculations!J7)</f>
        <v>1.2000000000000002</v>
      </c>
      <c r="J18" s="35">
        <f>Calculations!$C$18*(Calculations!$D$7*(Calculations!$C$7)*Calculations!K7)</f>
        <v>1.2000000000000002</v>
      </c>
      <c r="K18" s="35">
        <f>Calculations!$C$18*(Calculations!$D$7*(Calculations!$C$7)*Calculations!L7)</f>
        <v>1.2000000000000002</v>
      </c>
      <c r="L18" s="35">
        <f>Calculations!$C$18*(Calculations!$D$7*(Calculations!$C$7)*Calculations!M7)</f>
        <v>1.2000000000000002</v>
      </c>
      <c r="M18" s="35">
        <f>Calculations!$C$18*(Calculations!$D$7*(Calculations!$C$7)*Calculations!N7)</f>
        <v>1.2000000000000002</v>
      </c>
      <c r="N18" s="36">
        <f t="shared" si="0"/>
        <v>12</v>
      </c>
    </row>
    <row r="19" spans="2:14" ht="15">
      <c r="B19" s="106"/>
      <c r="C19" s="14" t="s">
        <v>2</v>
      </c>
      <c r="D19" s="15">
        <f>SUM(D17:D18)</f>
        <v>1.2000000000000002</v>
      </c>
      <c r="E19" s="15">
        <f t="shared" si="35" ref="E19">SUM(E17:E18)</f>
        <v>1.2000000000000002</v>
      </c>
      <c r="F19" s="15">
        <f t="shared" si="36" ref="F19">SUM(F17:F18)</f>
        <v>1.2000000000000002</v>
      </c>
      <c r="G19" s="15">
        <f t="shared" si="37" ref="G19">SUM(G17:G18)</f>
        <v>1.2000000000000002</v>
      </c>
      <c r="H19" s="15">
        <f t="shared" si="38" ref="H19">SUM(H17:H18)</f>
        <v>1.2000000000000002</v>
      </c>
      <c r="I19" s="15">
        <f t="shared" si="39" ref="I19">SUM(I17:I18)</f>
        <v>1.2000000000000002</v>
      </c>
      <c r="J19" s="15">
        <f t="shared" si="40" ref="J19">SUM(J17:J18)</f>
        <v>1.2000000000000002</v>
      </c>
      <c r="K19" s="15">
        <f t="shared" si="41" ref="K19">SUM(K17:K18)</f>
        <v>1.2000000000000002</v>
      </c>
      <c r="L19" s="15">
        <f t="shared" si="42" ref="L19">SUM(L17:L18)</f>
        <v>1.2000000000000002</v>
      </c>
      <c r="M19" s="15">
        <f t="shared" si="43" ref="M19">SUM(M17:M18)</f>
        <v>1.2000000000000002</v>
      </c>
      <c r="N19" s="16">
        <f t="shared" si="0"/>
        <v>12</v>
      </c>
    </row>
    <row r="20" spans="2:14" ht="15">
      <c r="B20" s="105" t="s">
        <v>23</v>
      </c>
      <c r="C20" s="1" t="s">
        <v>0</v>
      </c>
      <c r="D20" s="12">
        <f>Calculations!$C$16*(Calculations!$D$8*(1-Calculations!$C$8)*Calculations!E8)</f>
        <v>0</v>
      </c>
      <c r="E20" s="12">
        <f>Calculations!$C$16*(Calculations!$D$8*(1-Calculations!$C$8)*Calculations!F8)</f>
        <v>0</v>
      </c>
      <c r="F20" s="12">
        <f>Calculations!$C$16*(Calculations!$D$8*(1-Calculations!$C$8)*Calculations!G8)</f>
        <v>0</v>
      </c>
      <c r="G20" s="12">
        <f>Calculations!$C$16*(Calculations!$D$8*(1-Calculations!$C$8)*Calculations!H8)</f>
        <v>1.5</v>
      </c>
      <c r="H20" s="12">
        <f>Calculations!$C$16*(Calculations!$D$8*(1-Calculations!$C$8)*Calculations!I8)</f>
        <v>3</v>
      </c>
      <c r="I20" s="12">
        <f>Calculations!$C$16*(Calculations!$D$8*(1-Calculations!$C$8)*Calculations!J8)</f>
        <v>4.5</v>
      </c>
      <c r="J20" s="12">
        <f>Calculations!$C$16*(Calculations!$D$8*(1-Calculations!$C$8)*Calculations!K8)</f>
        <v>4.7999999999999998</v>
      </c>
      <c r="K20" s="12">
        <f>Calculations!$C$16*(Calculations!$D$8*(1-Calculations!$C$8)*Calculations!L8)</f>
        <v>5.1000000000000005</v>
      </c>
      <c r="L20" s="12">
        <f>Calculations!$C$16*(Calculations!$D$8*(1-Calculations!$C$8)*Calculations!M8)</f>
        <v>5.1000000000000005</v>
      </c>
      <c r="M20" s="12">
        <f>Calculations!$C$16*(Calculations!$D$8*(1-Calculations!$C$8)*Calculations!N8)</f>
        <v>6</v>
      </c>
      <c r="N20" s="13">
        <f t="shared" si="0"/>
        <v>30.000000000000004</v>
      </c>
    </row>
    <row r="21" spans="2:14" ht="15">
      <c r="B21" s="105"/>
      <c r="C21" s="1" t="s">
        <v>1</v>
      </c>
      <c r="D21" s="10">
        <f>Calculations!$C$16*(Calculations!$D$8*(Calculations!$C$8)*Calculations!E8)</f>
        <v>0</v>
      </c>
      <c r="E21" s="10">
        <f>Calculations!$C$16*(Calculations!$D$8*(Calculations!$C$8)*Calculations!F8)</f>
        <v>0</v>
      </c>
      <c r="F21" s="10">
        <f>Calculations!$C$16*(Calculations!$D$8*(Calculations!$C$8)*Calculations!G8)</f>
        <v>0</v>
      </c>
      <c r="G21" s="10">
        <f>Calculations!$C$16*(Calculations!$D$8*(Calculations!$C$8)*Calculations!H8)</f>
        <v>0</v>
      </c>
      <c r="H21" s="10">
        <f>Calculations!$C$16*(Calculations!$D$8*(Calculations!$C$8)*Calculations!I8)</f>
        <v>0</v>
      </c>
      <c r="I21" s="10">
        <f>Calculations!$C$16*(Calculations!$D$8*(Calculations!$C$8)*Calculations!J8)</f>
        <v>0</v>
      </c>
      <c r="J21" s="10">
        <f>Calculations!$C$16*(Calculations!$D$8*(Calculations!$C$8)*Calculations!K8)</f>
        <v>0</v>
      </c>
      <c r="K21" s="10">
        <f>Calculations!$C$16*(Calculations!$D$8*(Calculations!$C$8)*Calculations!L8)</f>
        <v>0</v>
      </c>
      <c r="L21" s="10">
        <f>Calculations!$C$16*(Calculations!$D$8*(Calculations!$C$8)*Calculations!M8)</f>
        <v>0</v>
      </c>
      <c r="M21" s="10">
        <f>Calculations!$C$16*(Calculations!$D$8*(Calculations!$C$8)*Calculations!N8)</f>
        <v>0</v>
      </c>
      <c r="N21" s="11">
        <f t="shared" si="0"/>
        <v>0</v>
      </c>
    </row>
    <row r="22" spans="2:14" ht="15">
      <c r="B22" s="106"/>
      <c r="C22" s="14" t="s">
        <v>2</v>
      </c>
      <c r="D22" s="15">
        <f>SUM(D20:D21)</f>
        <v>0</v>
      </c>
      <c r="E22" s="15">
        <f t="shared" si="44" ref="E22">SUM(E20:E21)</f>
        <v>0</v>
      </c>
      <c r="F22" s="15">
        <f t="shared" si="45" ref="F22">SUM(F20:F21)</f>
        <v>0</v>
      </c>
      <c r="G22" s="15">
        <f t="shared" si="46" ref="G22">SUM(G20:G21)</f>
        <v>1.5</v>
      </c>
      <c r="H22" s="15">
        <f t="shared" si="47" ref="H22">SUM(H20:H21)</f>
        <v>3</v>
      </c>
      <c r="I22" s="15">
        <f t="shared" si="48" ref="I22">SUM(I20:I21)</f>
        <v>4.5</v>
      </c>
      <c r="J22" s="15">
        <f t="shared" si="49" ref="J22">SUM(J20:J21)</f>
        <v>4.7999999999999998</v>
      </c>
      <c r="K22" s="15">
        <f t="shared" si="50" ref="K22">SUM(K20:K21)</f>
        <v>5.1000000000000005</v>
      </c>
      <c r="L22" s="15">
        <f t="shared" si="51" ref="L22">SUM(L20:L21)</f>
        <v>5.1000000000000005</v>
      </c>
      <c r="M22" s="15">
        <f t="shared" si="52" ref="M22">SUM(M20:M21)</f>
        <v>6</v>
      </c>
      <c r="N22" s="16">
        <f t="shared" si="0"/>
        <v>30.000000000000004</v>
      </c>
    </row>
    <row r="23" spans="2:16" ht="15">
      <c r="B23" s="108" t="s">
        <v>29</v>
      </c>
      <c r="C23" s="1" t="s">
        <v>0</v>
      </c>
      <c r="D23" s="33">
        <f>Calculations!$C$15*(Calculations!$D$9*(1-Calculations!$C9)*Calculations!E9)</f>
        <v>0</v>
      </c>
      <c r="E23" s="33">
        <f>Calculations!$C$15*(Calculations!$D$9*(1-Calculations!$C9)*Calculations!F9)</f>
        <v>0</v>
      </c>
      <c r="F23" s="33">
        <f>Calculations!$C$15*(Calculations!$D$9*(1-Calculations!$C9)*Calculations!G9)</f>
        <v>9.0694999999999997</v>
      </c>
      <c r="G23" s="33">
        <f>Calculations!$C$15*(Calculations!$D$9*(1-Calculations!$C9)*Calculations!H9)</f>
        <v>38.499299999999998</v>
      </c>
      <c r="H23" s="33">
        <f>Calculations!$C$15*(Calculations!$D$9*(1-Calculations!$C9)*Calculations!I9)</f>
        <v>38.499299999999998</v>
      </c>
      <c r="I23" s="33">
        <f>Calculations!$C$15*(Calculations!$D$9*(1-Calculations!$C9)*Calculations!J9)</f>
        <v>0</v>
      </c>
      <c r="J23" s="33">
        <f>Calculations!$C$15*(Calculations!$D$9*(1-Calculations!$C9)*Calculations!K9)</f>
        <v>0</v>
      </c>
      <c r="K23" s="33">
        <f>Calculations!$C$15*(Calculations!$D$9*(1-Calculations!$C9)*Calculations!L9)</f>
        <v>0</v>
      </c>
      <c r="L23" s="33">
        <f>Calculations!$C$15*(Calculations!$D$9*(1-Calculations!$C9)*Calculations!M9)</f>
        <v>0</v>
      </c>
      <c r="M23" s="33">
        <f>Calculations!$C$15*(Calculations!$D$9*(1-Calculations!$C9)*Calculations!N9)</f>
        <v>0</v>
      </c>
      <c r="N23" s="34">
        <f t="shared" si="0"/>
        <v>86.068099999999987</v>
      </c>
      <c r="P23" s="67"/>
    </row>
    <row r="24" spans="2:18" ht="15">
      <c r="B24" s="108"/>
      <c r="C24" s="1" t="s">
        <v>1</v>
      </c>
      <c r="D24" s="35">
        <f>Calculations!$C$15*(Calculations!$D$9*(Calculations!$C9)*Calculations!E9)</f>
        <v>0</v>
      </c>
      <c r="E24" s="35">
        <f>Calculations!$C$15*(Calculations!$D$9*(Calculations!$C9)*Calculations!F9)</f>
        <v>0</v>
      </c>
      <c r="F24" s="35">
        <f>Calculations!$C$15*(Calculations!$D$9*(Calculations!$C9)*Calculations!G9)</f>
        <v>0.28050000000000003</v>
      </c>
      <c r="G24" s="35">
        <f>Calculations!$C$15*(Calculations!$D$9*(Calculations!$C9)*Calculations!H9)</f>
        <v>1.1907000000000001</v>
      </c>
      <c r="H24" s="35">
        <f>Calculations!$C$15*(Calculations!$D$9*(Calculations!$C9)*Calculations!I9)</f>
        <v>1.1907000000000001</v>
      </c>
      <c r="I24" s="35">
        <f>Calculations!$C$15*(Calculations!$D$9*(Calculations!$C9)*Calculations!J9)</f>
        <v>0</v>
      </c>
      <c r="J24" s="35">
        <f>Calculations!$C$15*(Calculations!$D$9*(Calculations!$C9)*Calculations!K9)</f>
        <v>0</v>
      </c>
      <c r="K24" s="35">
        <f>Calculations!$C$15*(Calculations!$D$9*(Calculations!$C9)*Calculations!L9)</f>
        <v>0</v>
      </c>
      <c r="L24" s="35">
        <f>Calculations!$C$15*(Calculations!$D$9*(Calculations!$C9)*Calculations!M9)</f>
        <v>0</v>
      </c>
      <c r="M24" s="35">
        <f>Calculations!$C$15*(Calculations!$D$9*(Calculations!$C9)*Calculations!N9)</f>
        <v>0</v>
      </c>
      <c r="N24" s="36">
        <f t="shared" si="0"/>
        <v>2.6619000000000002</v>
      </c>
      <c r="P24" s="38"/>
      <c r="R24" s="38"/>
    </row>
    <row r="25" spans="2:14" ht="15">
      <c r="B25" s="109"/>
      <c r="C25" s="14" t="s">
        <v>2</v>
      </c>
      <c r="D25" s="15">
        <f t="shared" si="53" ref="D25:E25">SUM(D23:D24)</f>
        <v>0</v>
      </c>
      <c r="E25" s="15">
        <f t="shared" si="53"/>
        <v>0</v>
      </c>
      <c r="F25" s="15">
        <f t="shared" si="54" ref="F25:H25">SUM(F23:F24)</f>
        <v>9.3499999999999996</v>
      </c>
      <c r="G25" s="15">
        <f t="shared" si="54"/>
        <v>39.689999999999998</v>
      </c>
      <c r="H25" s="15">
        <f t="shared" si="54"/>
        <v>39.689999999999998</v>
      </c>
      <c r="I25" s="15">
        <f t="shared" si="55" ref="I25:M25">SUM(I23:I24)</f>
        <v>0</v>
      </c>
      <c r="J25" s="15">
        <f t="shared" si="55"/>
        <v>0</v>
      </c>
      <c r="K25" s="15">
        <f t="shared" si="55"/>
        <v>0</v>
      </c>
      <c r="L25" s="15">
        <f t="shared" si="55"/>
        <v>0</v>
      </c>
      <c r="M25" s="15">
        <f t="shared" si="55"/>
        <v>0</v>
      </c>
      <c r="N25" s="16">
        <f t="shared" si="0"/>
        <v>88.72999999999999</v>
      </c>
    </row>
    <row r="26" spans="2:14" ht="15">
      <c r="B26" s="107" t="s">
        <v>30</v>
      </c>
      <c r="C26" s="2" t="s">
        <v>0</v>
      </c>
      <c r="D26" s="33">
        <f>Calculations!$C$19*(Calculations!$D$10*(1-Calculations!$C10)*Calculations!E10)</f>
        <v>0.59951833333333326</v>
      </c>
      <c r="E26" s="33">
        <f>Calculations!$C$19*(Calculations!$D$10*(1-Calculations!$C10)*Calculations!F10)</f>
        <v>0.59951833333333326</v>
      </c>
      <c r="F26" s="33">
        <f>Calculations!$C$19*(Calculations!$D$10*(1-Calculations!$C10)*Calculations!G10)</f>
        <v>0.59951833333333326</v>
      </c>
      <c r="G26" s="33">
        <f>Calculations!$C$19*(Calculations!$D$10*(1-Calculations!$C10)*Calculations!H10)</f>
        <v>0.59951833333333326</v>
      </c>
      <c r="H26" s="33">
        <f>Calculations!$C$19*(Calculations!$D$10*(1-Calculations!$C10)*Calculations!I10)</f>
        <v>0.59951833333333326</v>
      </c>
      <c r="I26" s="33">
        <f>Calculations!$C$19*(Calculations!$D$10*(1-Calculations!$C10)*Calculations!J10)</f>
        <v>0.81814333333333322</v>
      </c>
      <c r="J26" s="33">
        <f>Calculations!$C$19*(Calculations!$D$10*(1-Calculations!$C10)*Calculations!K10)</f>
        <v>0.81814333333333322</v>
      </c>
      <c r="K26" s="33">
        <f>Calculations!$C$19*(Calculations!$D$10*(1-Calculations!$C10)*Calculations!L10)</f>
        <v>0.81814333333333322</v>
      </c>
      <c r="L26" s="33">
        <f>Calculations!$C$19*(Calculations!$D$10*(1-Calculations!$C10)*Calculations!M10)</f>
        <v>0.81814333333333322</v>
      </c>
      <c r="M26" s="33">
        <f>Calculations!$C$19*(Calculations!$D$10*(1-Calculations!$C10)*Calculations!N10)</f>
        <v>0.81814333333333322</v>
      </c>
      <c r="N26" s="34">
        <f t="shared" si="0"/>
        <v>7.088308333333333</v>
      </c>
    </row>
    <row r="27" spans="2:14" ht="15">
      <c r="B27" s="108"/>
      <c r="C27" s="1" t="s">
        <v>1</v>
      </c>
      <c r="D27" s="35">
        <f>Calculations!$C$19*(Calculations!$D$10*(Calculations!$C10)*Calculations!E10)</f>
        <v>0.017481666666666666</v>
      </c>
      <c r="E27" s="35">
        <f>Calculations!$C$19*(Calculations!$D$10*(Calculations!$C10)*Calculations!F10)</f>
        <v>0.017481666666666666</v>
      </c>
      <c r="F27" s="35">
        <f>Calculations!$C$19*(Calculations!$D$10*(Calculations!$C10)*Calculations!G10)</f>
        <v>0.017481666666666666</v>
      </c>
      <c r="G27" s="35">
        <f>Calculations!$C$19*(Calculations!$D$10*(Calculations!$C10)*Calculations!H10)</f>
        <v>0.017481666666666666</v>
      </c>
      <c r="H27" s="35">
        <f>Calculations!$C$19*(Calculations!$D$10*(Calculations!$C10)*Calculations!I10)</f>
        <v>0.017481666666666666</v>
      </c>
      <c r="I27" s="35">
        <f>Calculations!$C$19*(Calculations!$D$10*(Calculations!$C10)*Calculations!J10)</f>
        <v>0.023856666666666661</v>
      </c>
      <c r="J27" s="35">
        <f>Calculations!$C$19*(Calculations!$D$10*(Calculations!$C10)*Calculations!K10)</f>
        <v>0.023856666666666661</v>
      </c>
      <c r="K27" s="35">
        <f>Calculations!$C$19*(Calculations!$D$10*(Calculations!$C10)*Calculations!L10)</f>
        <v>0.023856666666666661</v>
      </c>
      <c r="L27" s="35">
        <f>Calculations!$C$19*(Calculations!$D$10*(Calculations!$C10)*Calculations!M10)</f>
        <v>0.023856666666666661</v>
      </c>
      <c r="M27" s="35">
        <f>Calculations!$C$19*(Calculations!$D$10*(Calculations!$C10)*Calculations!N10)</f>
        <v>0.023856666666666661</v>
      </c>
      <c r="N27" s="36">
        <f t="shared" si="0"/>
        <v>0.20669166666666666</v>
      </c>
    </row>
    <row r="28" spans="2:14" ht="15">
      <c r="B28" s="109"/>
      <c r="C28" s="14" t="s">
        <v>2</v>
      </c>
      <c r="D28" s="15">
        <f>SUM(D26:D27)</f>
        <v>0.61699999999999988</v>
      </c>
      <c r="E28" s="15">
        <f t="shared" si="56" ref="E28">SUM(E26:E27)</f>
        <v>0.61699999999999988</v>
      </c>
      <c r="F28" s="15">
        <f t="shared" si="57" ref="F28">SUM(F26:F27)</f>
        <v>0.61699999999999988</v>
      </c>
      <c r="G28" s="15">
        <f t="shared" si="58" ref="G28">SUM(G26:G27)</f>
        <v>0.61699999999999988</v>
      </c>
      <c r="H28" s="15">
        <f t="shared" si="59" ref="H28">SUM(H26:H27)</f>
        <v>0.61699999999999988</v>
      </c>
      <c r="I28" s="43">
        <f t="shared" si="60" ref="I28">SUM(I26:I27)</f>
        <v>0.84199999999999986</v>
      </c>
      <c r="J28" s="15">
        <f t="shared" si="61" ref="J28">SUM(J26:J27)</f>
        <v>0.84199999999999986</v>
      </c>
      <c r="K28" s="15">
        <f t="shared" si="62" ref="K28">SUM(K26:K27)</f>
        <v>0.84199999999999986</v>
      </c>
      <c r="L28" s="15">
        <f t="shared" si="63" ref="L28">SUM(L26:L27)</f>
        <v>0.84199999999999986</v>
      </c>
      <c r="M28" s="15">
        <f t="shared" si="64" ref="M28">SUM(M26:M27)</f>
        <v>0.84199999999999986</v>
      </c>
      <c r="N28" s="16">
        <f t="shared" si="0"/>
        <v>7.2949999999999982</v>
      </c>
    </row>
    <row r="29" spans="2:14" ht="15">
      <c r="B29" s="110" t="s">
        <v>22</v>
      </c>
      <c r="C29" s="2" t="s">
        <v>0</v>
      </c>
      <c r="D29" s="12">
        <f>Calculations!$C$20*(Calculations!$D$11*(1-Calculations!$C$11)*Calculations!E11)</f>
        <v>0.18999999999999997</v>
      </c>
      <c r="E29" s="12">
        <f>Calculations!$C$20*(Calculations!$D$11*(1-Calculations!$C$11)*Calculations!F11)</f>
        <v>0.19569999999999996</v>
      </c>
      <c r="F29" s="12">
        <f>Calculations!$C$20*(Calculations!$D$11*(1-Calculations!$C$11)*Calculations!G11)</f>
        <v>0.20157099999999997</v>
      </c>
      <c r="G29" s="12">
        <f>Calculations!$C$20*(Calculations!$D$11*(1-Calculations!$C$11)*Calculations!H11)</f>
        <v>0.20761812999999998</v>
      </c>
      <c r="H29" s="12">
        <f>Calculations!$C$20*(Calculations!$D$11*(1-Calculations!$C$11)*Calculations!I11)</f>
        <v>0.21384667389999995</v>
      </c>
      <c r="I29" s="12">
        <f>Calculations!$C$20*(Calculations!$D$11*(1-Calculations!$C$11)*Calculations!J11)</f>
        <v>0.22026207411699994</v>
      </c>
      <c r="J29" s="12">
        <f>Calculations!$C$20*(Calculations!$D$11*(1-Calculations!$C$11)*Calculations!K11)</f>
        <v>0.22686993634050998</v>
      </c>
      <c r="K29" s="12">
        <f>Calculations!$C$20*(Calculations!$D$11*(1-Calculations!$C$11)*Calculations!L11)</f>
        <v>0.23367603443072529</v>
      </c>
      <c r="L29" s="12">
        <f>Calculations!$C$20*(Calculations!$D$11*(1-Calculations!$C$11)*Calculations!M11)</f>
        <v>0.24068631546364699</v>
      </c>
      <c r="M29" s="12">
        <f>Calculations!$C$20*(Calculations!$D$11*(1-Calculations!$C$11)*Calculations!N11)</f>
        <v>0.2479069049275564</v>
      </c>
      <c r="N29" s="13">
        <f t="shared" si="0"/>
        <v>2.1781370691794386</v>
      </c>
    </row>
    <row r="30" spans="2:14" ht="15">
      <c r="B30" s="105"/>
      <c r="C30" s="1" t="s">
        <v>1</v>
      </c>
      <c r="D30" s="10">
        <f>Calculations!$C$20*(Calculations!$D$11*(Calculations!$C$11)*Calculations!E11)</f>
        <v>0.010000000000000007</v>
      </c>
      <c r="E30" s="10">
        <f>Calculations!$C$20*(Calculations!$D$11*(Calculations!$C$11)*Calculations!F11)</f>
        <v>0.010300000000000009</v>
      </c>
      <c r="F30" s="10">
        <f>Calculations!$C$20*(Calculations!$D$11*(Calculations!$C$11)*Calculations!G11)</f>
        <v>0.010609000000000009</v>
      </c>
      <c r="G30" s="10">
        <f>Calculations!$C$20*(Calculations!$D$11*(Calculations!$C$11)*Calculations!H11)</f>
        <v>0.010927270000000008</v>
      </c>
      <c r="H30" s="10">
        <f>Calculations!$C$20*(Calculations!$D$11*(Calculations!$C$11)*Calculations!I11)</f>
        <v>0.01125508810000001</v>
      </c>
      <c r="I30" s="10">
        <f>Calculations!$C$20*(Calculations!$D$11*(Calculations!$C$11)*Calculations!J11)</f>
        <v>0.011592740743000008</v>
      </c>
      <c r="J30" s="10">
        <f>Calculations!$C$20*(Calculations!$D$11*(Calculations!$C$11)*Calculations!K11)</f>
        <v>0.011940522965290008</v>
      </c>
      <c r="K30" s="10">
        <f>Calculations!$C$20*(Calculations!$D$11*(Calculations!$C$11)*Calculations!L11)</f>
        <v>0.012298738654248711</v>
      </c>
      <c r="L30" s="10">
        <f>Calculations!$C$20*(Calculations!$D$11*(Calculations!$C$11)*Calculations!M11)</f>
        <v>0.012667700813876168</v>
      </c>
      <c r="M30" s="10">
        <f>Calculations!$C$20*(Calculations!$D$11*(Calculations!$C$11)*Calculations!N11)</f>
        <v>0.013047731838292454</v>
      </c>
      <c r="N30" s="11">
        <f t="shared" si="0"/>
        <v>0.1146387931147074</v>
      </c>
    </row>
    <row r="31" spans="2:14" ht="15.75" thickBot="1">
      <c r="B31" s="111"/>
      <c r="C31" s="17" t="s">
        <v>2</v>
      </c>
      <c r="D31" s="18">
        <f>SUM(D29:D30)</f>
        <v>0.19999999999999998</v>
      </c>
      <c r="E31" s="18">
        <f t="shared" si="65" ref="E31:M31">SUM(E29:E30)</f>
        <v>0.20599999999999996</v>
      </c>
      <c r="F31" s="18">
        <f t="shared" si="65"/>
        <v>0.21217999999999998</v>
      </c>
      <c r="G31" s="18">
        <f t="shared" si="65"/>
        <v>0.2185454</v>
      </c>
      <c r="H31" s="18">
        <f t="shared" si="65"/>
        <v>0.22510176199999996</v>
      </c>
      <c r="I31" s="18">
        <f t="shared" si="65"/>
        <v>0.23185481485999995</v>
      </c>
      <c r="J31" s="18">
        <f t="shared" si="65"/>
        <v>0.23881045930579997</v>
      </c>
      <c r="K31" s="18">
        <f t="shared" si="65"/>
        <v>0.24597477308497401</v>
      </c>
      <c r="L31" s="18">
        <f t="shared" si="65"/>
        <v>0.25335401627752319</v>
      </c>
      <c r="M31" s="18">
        <f t="shared" si="65"/>
        <v>0.26095463676584885</v>
      </c>
      <c r="N31" s="19">
        <f t="shared" si="0"/>
        <v>2.2927758622941461</v>
      </c>
    </row>
    <row r="32" spans="2:14" ht="15.75" thickTop="1">
      <c r="B32" s="103" t="s">
        <v>3</v>
      </c>
      <c r="C32" s="3" t="s">
        <v>0</v>
      </c>
      <c r="D32" s="8">
        <f>SUM(D23,D5,D8,D11,D14,D17,D20,D26,D29)</f>
        <v>2.3137401355015648</v>
      </c>
      <c r="E32" s="8">
        <f t="shared" si="66" ref="E32:M32">SUM(E23,E5,E8,E11,E14,E17,E20,E26,E29)</f>
        <v>6.7001239571804607</v>
      </c>
      <c r="F32" s="8">
        <f t="shared" si="66"/>
        <v>16.863998948097993</v>
      </c>
      <c r="G32" s="8">
        <f t="shared" si="66"/>
        <v>54.23239549792855</v>
      </c>
      <c r="H32" s="8">
        <f t="shared" si="66"/>
        <v>53.198125278610235</v>
      </c>
      <c r="I32" s="8">
        <f t="shared" si="66"/>
        <v>19.94909949631861</v>
      </c>
      <c r="J32" s="8">
        <f t="shared" si="66"/>
        <v>19.614921692802852</v>
      </c>
      <c r="K32" s="8">
        <f t="shared" si="66"/>
        <v>19.798576559846126</v>
      </c>
      <c r="L32" s="8">
        <f t="shared" si="66"/>
        <v>25.250053131488652</v>
      </c>
      <c r="M32" s="8">
        <f t="shared" si="66"/>
        <v>25.198363542949021</v>
      </c>
      <c r="N32" s="68">
        <f t="shared" si="0"/>
        <v>243.11939824072405</v>
      </c>
    </row>
    <row r="33" spans="2:16" ht="15">
      <c r="B33" s="103"/>
      <c r="C33" s="3" t="s">
        <v>1</v>
      </c>
      <c r="D33" s="8">
        <f>SUM(D24,D6,D9,D12,D15,D18,D21,D27,D30)</f>
        <v>1.3927308314360658</v>
      </c>
      <c r="E33" s="8">
        <f t="shared" si="67" ref="E33:M33">SUM(E24,E6,E9,E12,E15,E18,E21,E27,E30)</f>
        <v>1.5575334166522365</v>
      </c>
      <c r="F33" s="8">
        <f t="shared" si="67"/>
        <v>1.8816799947250533</v>
      </c>
      <c r="G33" s="8">
        <f t="shared" si="67"/>
        <v>3.0008155983312625</v>
      </c>
      <c r="H33" s="8">
        <f t="shared" si="67"/>
        <v>2.9322437959225582</v>
      </c>
      <c r="I33" s="8">
        <f t="shared" si="67"/>
        <v>1.8390999869561782</v>
      </c>
      <c r="J33" s="8">
        <f t="shared" si="67"/>
        <v>1.7797789303073592</v>
      </c>
      <c r="K33" s="8">
        <f t="shared" si="67"/>
        <v>1.7763283450361034</v>
      </c>
      <c r="L33" s="8">
        <f t="shared" si="67"/>
        <v>1.9450828625754093</v>
      </c>
      <c r="M33" s="8">
        <f t="shared" si="67"/>
        <v>1.9158058777852829</v>
      </c>
      <c r="N33" s="68">
        <f t="shared" si="0"/>
        <v>20.021099639727506</v>
      </c>
      <c r="P33" s="53"/>
    </row>
    <row r="34" spans="2:14" ht="15.75" thickBot="1">
      <c r="B34" s="104"/>
      <c r="C34" s="4" t="s">
        <v>2</v>
      </c>
      <c r="D34" s="9">
        <f>SUM(D32:D33)</f>
        <v>3.7064709669376308</v>
      </c>
      <c r="E34" s="9">
        <f t="shared" si="68" ref="E34:M34">SUM(E32:E33)</f>
        <v>8.2576573738326964</v>
      </c>
      <c r="F34" s="9">
        <f t="shared" si="68"/>
        <v>18.745678942823048</v>
      </c>
      <c r="G34" s="9">
        <f t="shared" si="68"/>
        <v>57.233211096259815</v>
      </c>
      <c r="H34" s="9">
        <f t="shared" si="68"/>
        <v>56.130369074532794</v>
      </c>
      <c r="I34" s="9">
        <f t="shared" si="68"/>
        <v>21.788199483274788</v>
      </c>
      <c r="J34" s="9">
        <f t="shared" si="68"/>
        <v>21.394700623110211</v>
      </c>
      <c r="K34" s="9">
        <f t="shared" si="68"/>
        <v>21.574904904882228</v>
      </c>
      <c r="L34" s="9">
        <f t="shared" si="68"/>
        <v>27.19513599406406</v>
      </c>
      <c r="M34" s="9">
        <f t="shared" si="68"/>
        <v>27.114169420734303</v>
      </c>
      <c r="N34" s="69">
        <f t="shared" si="0"/>
        <v>263.14049788045156</v>
      </c>
    </row>
    <row r="36" spans="4:13" ht="15"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4:13" ht="15">
      <c r="D37" s="23"/>
      <c r="E37" s="23"/>
      <c r="F37" s="23"/>
      <c r="G37" s="23"/>
      <c r="H37" s="23"/>
      <c r="I37" s="67"/>
      <c r="J37" s="23"/>
      <c r="K37" s="23"/>
      <c r="L37" s="23"/>
      <c r="M37" s="23"/>
    </row>
    <row r="40" spans="6:11" ht="15">
      <c r="F40" s="23"/>
      <c r="G40" s="23"/>
      <c r="H40" s="23"/>
      <c r="I40" s="23"/>
      <c r="J40" s="23"/>
      <c r="K40" s="23"/>
    </row>
    <row r="43" spans="4:8" ht="15">
      <c r="D43" s="23"/>
      <c r="E43" s="23"/>
      <c r="F43" s="23"/>
      <c r="G43" s="23"/>
      <c r="H43" s="23"/>
    </row>
  </sheetData>
  <mergeCells count="11">
    <mergeCell ref="B3:N3"/>
    <mergeCell ref="B32:B34"/>
    <mergeCell ref="B20:B22"/>
    <mergeCell ref="B26:B28"/>
    <mergeCell ref="B5:B7"/>
    <mergeCell ref="B8:B10"/>
    <mergeCell ref="B11:B13"/>
    <mergeCell ref="B14:B16"/>
    <mergeCell ref="B17:B19"/>
    <mergeCell ref="B23:B25"/>
    <mergeCell ref="B29:B31"/>
  </mergeCells>
  <pageMargins left="0.25" right="0.25" top="0.75" bottom="0.75" header="0.3" footer="0.3"/>
  <pageSetup orientation="landscape" scale="87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3044-8B50-42C5-98F7-67431EF912A5}">
  <dimension ref="B1:AA40"/>
  <sheetViews>
    <sheetView workbookViewId="0" topLeftCell="A1">
      <selection pane="topLeft" activeCell="J32" sqref="J32"/>
    </sheetView>
  </sheetViews>
  <sheetFormatPr defaultRowHeight="15"/>
  <cols>
    <col min="2" max="2" width="17" bestFit="1" customWidth="1"/>
    <col min="3" max="3" width="14.8571428571429" bestFit="1" customWidth="1"/>
    <col min="4" max="4" width="14.2857142857143" bestFit="1" customWidth="1"/>
    <col min="9" max="9" width="21.7142857142857" bestFit="1" customWidth="1"/>
    <col min="10" max="11" width="10.5714285714286" bestFit="1" customWidth="1"/>
    <col min="12" max="12" width="24.7142857142857" bestFit="1" customWidth="1"/>
    <col min="17" max="17" width="20.1428571428571" bestFit="1" customWidth="1"/>
    <col min="18" max="18" width="11.8571428571429" bestFit="1" customWidth="1"/>
    <col min="19" max="19" width="13.2857142857143" bestFit="1" customWidth="1"/>
    <col min="20" max="20" width="15.2857142857143" bestFit="1" customWidth="1"/>
    <col min="21" max="21" width="10.8571428571429" bestFit="1" customWidth="1"/>
    <col min="23" max="23" width="15" bestFit="1" customWidth="1"/>
    <col min="24" max="24" width="12.4285714285714" bestFit="1" customWidth="1"/>
    <col min="26" max="26" width="14.7142857142857" bestFit="1" customWidth="1"/>
    <col min="27" max="27" width="19" bestFit="1" customWidth="1"/>
  </cols>
  <sheetData>
    <row r="1" spans="2:15" ht="15">
      <c r="B1" s="77"/>
      <c r="C1" s="77"/>
      <c r="D1" s="77"/>
      <c r="E1" s="116" t="s">
        <v>17</v>
      </c>
      <c r="F1" s="116"/>
      <c r="G1" s="116"/>
      <c r="H1" s="116"/>
      <c r="I1" s="116"/>
      <c r="J1" s="116"/>
      <c r="K1" s="116"/>
      <c r="L1" s="116"/>
      <c r="M1" s="116"/>
      <c r="N1" s="116"/>
      <c r="O1" s="77"/>
    </row>
    <row r="2" spans="2:27" ht="15">
      <c r="B2" s="75"/>
      <c r="C2" s="76" t="s">
        <v>8</v>
      </c>
      <c r="D2" s="76" t="s">
        <v>10</v>
      </c>
      <c r="E2" s="76">
        <v>2022</v>
      </c>
      <c r="F2" s="76">
        <v>2023</v>
      </c>
      <c r="G2" s="76">
        <v>2024</v>
      </c>
      <c r="H2" s="76">
        <v>2025</v>
      </c>
      <c r="I2" s="76">
        <v>2026</v>
      </c>
      <c r="J2" s="76">
        <v>2027</v>
      </c>
      <c r="K2" s="76">
        <v>2028</v>
      </c>
      <c r="L2" s="76">
        <v>2029</v>
      </c>
      <c r="M2" s="76">
        <v>2030</v>
      </c>
      <c r="N2" s="76">
        <v>2031</v>
      </c>
      <c r="O2" s="76" t="s">
        <v>18</v>
      </c>
      <c r="Q2" s="117" t="s">
        <v>34</v>
      </c>
      <c r="R2" s="117"/>
      <c r="S2" s="61"/>
      <c r="T2" s="113" t="s">
        <v>55</v>
      </c>
      <c r="U2" s="113"/>
      <c r="W2" s="114" t="s">
        <v>32</v>
      </c>
      <c r="X2" s="114"/>
      <c r="Z2" s="115" t="s">
        <v>20</v>
      </c>
      <c r="AA2" s="115"/>
    </row>
    <row r="3" spans="2:27" ht="15">
      <c r="B3" s="30" t="s">
        <v>4</v>
      </c>
      <c r="C3" s="22">
        <v>0.029999999999999999</v>
      </c>
      <c r="D3" s="49">
        <v>0.16220043560926814</v>
      </c>
      <c r="E3" s="22">
        <v>0.01696997270245678</v>
      </c>
      <c r="F3" s="22">
        <v>0.17138307552320292</v>
      </c>
      <c r="G3" s="22">
        <v>0.17454504094631484</v>
      </c>
      <c r="H3" s="22">
        <v>0.075265392781316359</v>
      </c>
      <c r="I3" s="22">
        <v>0.14612526539278131</v>
      </c>
      <c r="J3" s="22">
        <v>0.086138914164391872</v>
      </c>
      <c r="K3" s="22">
        <v>0.085862147406733397</v>
      </c>
      <c r="L3" s="22">
        <v>0.083371246587807091</v>
      </c>
      <c r="M3" s="22">
        <v>0.083564604185623295</v>
      </c>
      <c r="N3" s="22">
        <v>0.076774340309372163</v>
      </c>
      <c r="O3" s="20">
        <f t="shared" si="0" ref="O3:O11">SUM(E3:N3)</f>
        <v>1</v>
      </c>
      <c r="Q3" t="s">
        <v>35</v>
      </c>
      <c r="R3" s="78">
        <v>31700</v>
      </c>
      <c r="S3" s="61"/>
      <c r="T3" t="s">
        <v>56</v>
      </c>
      <c r="U3" s="65">
        <v>102000</v>
      </c>
      <c r="W3" t="s">
        <v>69</v>
      </c>
      <c r="X3" s="65">
        <v>2570000</v>
      </c>
      <c r="Z3" t="s">
        <v>75</v>
      </c>
      <c r="AA3" s="65">
        <v>100000</v>
      </c>
    </row>
    <row r="4" spans="2:27" ht="15">
      <c r="B4" s="30" t="s">
        <v>5</v>
      </c>
      <c r="C4" s="22">
        <v>0.029999999999999999</v>
      </c>
      <c r="D4" s="49">
        <v>0.23535851424991339</v>
      </c>
      <c r="E4" s="22">
        <v>0.0022633744855967077</v>
      </c>
      <c r="F4" s="22">
        <v>0.022633744855967072</v>
      </c>
      <c r="G4" s="22">
        <v>0.0394081912600431</v>
      </c>
      <c r="H4" s="22">
        <v>0.17807172251616696</v>
      </c>
      <c r="I4" s="22">
        <v>0.072650075119210927</v>
      </c>
      <c r="J4" s="22">
        <v>0.12068064537200339</v>
      </c>
      <c r="K4" s="22">
        <v>0.12818603435887385</v>
      </c>
      <c r="L4" s="22">
        <v>0.19039780521262004</v>
      </c>
      <c r="M4" s="22">
        <v>0.1398883009994121</v>
      </c>
      <c r="N4" s="22">
        <v>0.10582010582010581</v>
      </c>
      <c r="O4" s="20">
        <f t="shared" si="0"/>
        <v>1</v>
      </c>
      <c r="Q4" t="s">
        <v>37</v>
      </c>
      <c r="R4" s="78">
        <v>8</v>
      </c>
      <c r="S4" s="61"/>
      <c r="T4" t="s">
        <v>37</v>
      </c>
      <c r="U4">
        <v>6</v>
      </c>
      <c r="W4" t="s">
        <v>71</v>
      </c>
      <c r="X4" s="65">
        <v>1750000</v>
      </c>
      <c r="Z4" t="s">
        <v>76</v>
      </c>
      <c r="AA4" s="65">
        <f>AA3</f>
        <v>100000</v>
      </c>
    </row>
    <row r="5" spans="2:27" ht="15">
      <c r="B5" s="30" t="s">
        <v>6</v>
      </c>
      <c r="C5" s="22">
        <v>0.029999999999999999</v>
      </c>
      <c r="D5" s="49">
        <v>0.6024410501408185</v>
      </c>
      <c r="E5" s="22">
        <v>0.0017193058100679099</v>
      </c>
      <c r="F5" s="22">
        <v>0.017193058100679098</v>
      </c>
      <c r="G5" s="22">
        <v>0.025588821817397866</v>
      </c>
      <c r="H5" s="22">
        <v>0.098310337393553951</v>
      </c>
      <c r="I5" s="22">
        <v>0.07892907189824297</v>
      </c>
      <c r="J5" s="22">
        <v>0.13456667025978225</v>
      </c>
      <c r="K5" s="22">
        <v>0.12729195860730841</v>
      </c>
      <c r="L5" s="22">
        <v>0.10171391613668211</v>
      </c>
      <c r="M5" s="22">
        <v>0.20734342998814273</v>
      </c>
      <c r="N5" s="22">
        <v>0.20734342998814273</v>
      </c>
      <c r="O5" s="20">
        <f t="shared" si="0"/>
        <v>0.99999999999999989</v>
      </c>
      <c r="Q5" t="s">
        <v>38</v>
      </c>
      <c r="R5" s="79">
        <f>R3/R4</f>
        <v>3962.5</v>
      </c>
      <c r="S5" s="60"/>
      <c r="T5" t="s">
        <v>57</v>
      </c>
      <c r="U5" s="65">
        <f>U3/U4</f>
        <v>17000</v>
      </c>
      <c r="W5" t="s">
        <v>74</v>
      </c>
      <c r="X5" s="65">
        <v>1010000</v>
      </c>
      <c r="Z5" t="s">
        <v>77</v>
      </c>
      <c r="AA5" s="21">
        <v>0.94999999999999996</v>
      </c>
    </row>
    <row r="6" spans="2:27" ht="15">
      <c r="B6" s="54" t="s">
        <v>9</v>
      </c>
      <c r="C6" s="98">
        <f>R10/SUM(R10:R11)</f>
        <v>0.12382331003106219</v>
      </c>
      <c r="D6" s="55">
        <v>1</v>
      </c>
      <c r="E6" s="21">
        <f>(($R$8*$R$9)+($R$5*$R$6))/((($R$8*$R$9)+($R$5*$R$6))*10+($R$26*$R$32))</f>
        <v>0.084663089275275411</v>
      </c>
      <c r="F6" s="21">
        <f>(($R$8*$R$9)+($R$5*$R$6)+(R27*R32))/((($R$8*$R$9)+($R$5*$R$6))*10+($R$26*$R$32))</f>
        <v>0.10546360110808453</v>
      </c>
      <c r="G6" s="21">
        <f>(($R$8*$R$9)+($R$5*$R$6)+(R28*R32))/((($R$8*$R$9)+($R$5*$R$6))*10+($R$26*$R$32))</f>
        <v>0.11239710505235423</v>
      </c>
      <c r="H6" s="21">
        <f>(($R$8*$R$9)+($R$5*$R$6)+(R29*R32))/((($R$8*$R$9)+($R$5*$R$6))*10+($R$26*$R$32))</f>
        <v>0.11933060899662394</v>
      </c>
      <c r="I6" s="21">
        <f>(($R$8*$R$9)+($R$5*$R$6)+(R30*R32))/((($R$8*$R$9)+($R$5*$R$6))*10+($R$26*$R$32))</f>
        <v>0.12626411294089365</v>
      </c>
      <c r="J6" s="21">
        <f>(($R$8*$R$9)+($R$5*$R$6)+(R31*R32))/((($R$8*$R$9)+($R$5*$R$6))*10+($R$26*$R$32))</f>
        <v>0.11322912552566659</v>
      </c>
      <c r="K6" s="21">
        <f>(($R$8*$R$9)+($R$5*$R$6))/((($R$8*$R$9)+($R$5*$R$6))*10+($R$26*$R$32))</f>
        <v>0.084663089275275411</v>
      </c>
      <c r="L6" s="21">
        <f>(($R$8*$R$9)+($R$5*$R$6))/((($R$8*$R$9)+($R$5*$R$6))*10+($R$26*$R$32))</f>
        <v>0.084663089275275411</v>
      </c>
      <c r="M6" s="21">
        <f>(($R$8*$R$9)+($R$5*$R$6))/((($R$8*$R$9)+($R$5*$R$6))*10+($R$26*$R$32))</f>
        <v>0.084663089275275411</v>
      </c>
      <c r="N6" s="21">
        <f>(($R$8*$R$9)+($R$5*$R$6))/((($R$8*$R$9)+($R$5*$R$6))*10+($R$26*$R$32))</f>
        <v>0.084663089275275411</v>
      </c>
      <c r="O6" s="24">
        <f t="shared" si="0"/>
        <v>1</v>
      </c>
      <c r="Q6" t="s">
        <v>36</v>
      </c>
      <c r="R6" s="42">
        <f>R22</f>
        <v>38.157022540250445</v>
      </c>
      <c r="S6" s="41"/>
      <c r="T6" t="s">
        <v>58</v>
      </c>
      <c r="U6">
        <v>95</v>
      </c>
      <c r="W6" t="s">
        <v>70</v>
      </c>
      <c r="X6" s="65">
        <v>83400000</v>
      </c>
      <c r="Z6" t="s">
        <v>78</v>
      </c>
      <c r="AA6" s="21">
        <v>0.029999999999999999</v>
      </c>
    </row>
    <row r="7" spans="2:27" ht="15">
      <c r="B7" s="39" t="s">
        <v>31</v>
      </c>
      <c r="C7" s="21">
        <v>1</v>
      </c>
      <c r="D7" s="40">
        <v>1</v>
      </c>
      <c r="E7" s="22">
        <v>0.10000000000000001</v>
      </c>
      <c r="F7" s="22">
        <v>0.10000000000000001</v>
      </c>
      <c r="G7" s="22">
        <v>0.10000000000000001</v>
      </c>
      <c r="H7" s="22">
        <v>0.10000000000000001</v>
      </c>
      <c r="I7" s="22">
        <v>0.10000000000000001</v>
      </c>
      <c r="J7" s="22">
        <v>0.10000000000000001</v>
      </c>
      <c r="K7" s="22">
        <v>0.10000000000000001</v>
      </c>
      <c r="L7" s="22">
        <v>0.10000000000000001</v>
      </c>
      <c r="M7" s="22">
        <v>0.10000000000000001</v>
      </c>
      <c r="N7" s="22">
        <v>0.10000000000000001</v>
      </c>
      <c r="O7" s="24">
        <f t="shared" si="0"/>
        <v>0.99999999999999989</v>
      </c>
      <c r="Q7" s="80" t="s">
        <v>39</v>
      </c>
      <c r="R7" s="85">
        <f>R24</f>
        <v>0.044999999999999998</v>
      </c>
      <c r="S7" s="41"/>
      <c r="T7" t="s">
        <v>59</v>
      </c>
      <c r="U7" s="65">
        <v>75000</v>
      </c>
      <c r="W7" t="s">
        <v>72</v>
      </c>
      <c r="X7" s="65">
        <f>SUM(X3:X6)</f>
        <v>88730000</v>
      </c>
      <c r="Z7" t="s">
        <v>80</v>
      </c>
      <c r="AA7">
        <v>10</v>
      </c>
    </row>
    <row r="8" spans="2:27" ht="15">
      <c r="B8" s="25" t="s">
        <v>24</v>
      </c>
      <c r="C8" s="21">
        <v>0</v>
      </c>
      <c r="D8" s="26">
        <v>1</v>
      </c>
      <c r="E8" s="21">
        <v>0</v>
      </c>
      <c r="F8" s="21">
        <v>0</v>
      </c>
      <c r="G8" s="21">
        <v>0</v>
      </c>
      <c r="H8" s="21">
        <v>0.050000000000000003</v>
      </c>
      <c r="I8" s="21">
        <v>0.10000000000000001</v>
      </c>
      <c r="J8" s="21">
        <v>0.14999999999999999</v>
      </c>
      <c r="K8" s="21">
        <v>0.16</v>
      </c>
      <c r="L8" s="21">
        <v>0.17000000000000001</v>
      </c>
      <c r="M8" s="21">
        <v>0.17000000000000001</v>
      </c>
      <c r="N8" s="21">
        <v>0.20000000000000001</v>
      </c>
      <c r="O8" s="24">
        <f t="shared" si="0"/>
        <v>1.0000000000000002</v>
      </c>
      <c r="Q8" s="41" t="s">
        <v>40</v>
      </c>
      <c r="R8" s="92">
        <f>R5*R7</f>
        <v>178.3125</v>
      </c>
      <c r="S8" s="41"/>
      <c r="T8" t="s">
        <v>64</v>
      </c>
      <c r="U8">
        <v>15</v>
      </c>
      <c r="W8" t="s">
        <v>73</v>
      </c>
      <c r="X8" s="97">
        <f>X6*0.1</f>
        <v>8340000</v>
      </c>
      <c r="Z8" t="s">
        <v>79</v>
      </c>
      <c r="AA8" s="73">
        <f>FV(AA6,AA7,-(AA3+AA4),,)</f>
        <v>2292775.8622941454</v>
      </c>
    </row>
    <row r="9" spans="2:21" ht="15">
      <c r="B9" s="28" t="s">
        <v>32</v>
      </c>
      <c r="C9" s="22">
        <v>0.029999999999999999</v>
      </c>
      <c r="D9" s="29">
        <v>1</v>
      </c>
      <c r="E9" s="21"/>
      <c r="F9" s="21"/>
      <c r="G9" s="21">
        <f>(X5+X8)/X7</f>
        <v>0.10537585934858559</v>
      </c>
      <c r="H9" s="21">
        <f>(X7-X8-X5)/X7/2</f>
        <v>0.44731207032570719</v>
      </c>
      <c r="I9" s="21">
        <f>(X7-X8-X5)/X7/2</f>
        <v>0.44731207032570719</v>
      </c>
      <c r="J9" s="21"/>
      <c r="K9" s="21"/>
      <c r="L9" s="21"/>
      <c r="M9" s="21"/>
      <c r="N9" s="21"/>
      <c r="O9" s="24">
        <f t="shared" si="0"/>
        <v>1</v>
      </c>
      <c r="Q9" s="42" t="s">
        <v>41</v>
      </c>
      <c r="R9" s="81">
        <v>6000</v>
      </c>
      <c r="S9" s="42"/>
      <c r="T9" t="s">
        <v>52</v>
      </c>
      <c r="U9">
        <v>3</v>
      </c>
    </row>
    <row r="10" spans="2:21" ht="15">
      <c r="B10" s="44" t="s">
        <v>33</v>
      </c>
      <c r="C10" s="22">
        <f>U5/U16</f>
        <v>0.028333333333333332</v>
      </c>
      <c r="D10" s="45">
        <v>1</v>
      </c>
      <c r="E10" s="21">
        <f>($U$16+$U$5)/$U$17</f>
        <v>0.084186109974075593</v>
      </c>
      <c r="F10" s="21">
        <f>($U$16+$U$5)/$U$17</f>
        <v>0.084186109974075593</v>
      </c>
      <c r="G10" s="21">
        <f t="shared" si="1" ref="G10:I10">($U$16+$U$5)/$U$17</f>
        <v>0.084186109974075593</v>
      </c>
      <c r="H10" s="21">
        <f t="shared" si="1"/>
        <v>0.084186109974075593</v>
      </c>
      <c r="I10" s="21">
        <f t="shared" si="1"/>
        <v>0.084186109974075593</v>
      </c>
      <c r="J10" s="21">
        <f>($U$16+$U$5+U7*U9)/$U$17</f>
        <v>0.11488606904079683</v>
      </c>
      <c r="K10" s="21">
        <f>($U$16+$U$5+U7*U10)/$U$17</f>
        <v>0.11488606904079683</v>
      </c>
      <c r="L10" s="21">
        <f>($U$16+$U$5+U7*U11)/$U$17</f>
        <v>0.11488606904079683</v>
      </c>
      <c r="M10" s="21">
        <f>($U$16+$U$5+U7*U12)/$U$17</f>
        <v>0.11488606904079683</v>
      </c>
      <c r="N10" s="21">
        <f>($U$16+$U$5+U13*U7)/$U$17</f>
        <v>0.11488606904079683</v>
      </c>
      <c r="O10" s="24">
        <f t="shared" si="0"/>
        <v>0.99536089507436198</v>
      </c>
      <c r="Q10" s="41" t="s">
        <v>42</v>
      </c>
      <c r="R10" s="82">
        <f>R5*R6</f>
        <v>151197.20181574239</v>
      </c>
      <c r="S10" s="60"/>
      <c r="T10" t="s">
        <v>60</v>
      </c>
      <c r="U10">
        <v>3</v>
      </c>
    </row>
    <row r="11" spans="2:25" ht="15">
      <c r="B11" s="46" t="s">
        <v>20</v>
      </c>
      <c r="C11" s="21">
        <f>100%-AA5</f>
        <v>0.050000000000000044</v>
      </c>
      <c r="D11" s="47">
        <v>1</v>
      </c>
      <c r="E11" s="21">
        <f>($AA$3+$AA$4)*(1+$AA$6)^0/$AA$8</f>
        <v>0.087230506605159616</v>
      </c>
      <c r="F11" s="21">
        <f>($AA$3+$AA$4)*(1+$AA$6)^1/$AA$8</f>
        <v>0.089847421803314412</v>
      </c>
      <c r="G11" s="21">
        <f>($AA$3+$AA$4)*(1+$AA$6)^2/$AA$8</f>
        <v>0.092542844457413842</v>
      </c>
      <c r="H11" s="21">
        <f>($AA$3+$AA$4)*(1+$AA$6)^3/$AA$8</f>
        <v>0.095319129791136256</v>
      </c>
      <c r="I11" s="21">
        <f>($AA$3+$AA$4)*(1+$AA$6)^4/$AA$8</f>
        <v>0.098178703684870347</v>
      </c>
      <c r="J11" s="21">
        <f>($AA$3+$AA$4)*(1+$AA$6)^5/$AA$8</f>
        <v>0.10112406479541644</v>
      </c>
      <c r="K11" s="21">
        <f>($AA$3+$AA$4)*(1+$AA$6)^6/$AA$8</f>
        <v>0.10415778673927895</v>
      </c>
      <c r="L11" s="21">
        <f>($AA$3+$AA$4)*(1+$AA$6)^7/$AA$8</f>
        <v>0.10728252034145733</v>
      </c>
      <c r="M11" s="21">
        <f>($AA$3+$AA$4)*(1+$AA$6)^8/$AA$8</f>
        <v>0.11050099595170103</v>
      </c>
      <c r="N11" s="21">
        <f>($AA$3+$AA$4)*(1+$AA$6)^9/$AA$8</f>
        <v>0.11381602583025206</v>
      </c>
      <c r="O11" s="24">
        <f t="shared" si="0"/>
        <v>1.0000000000000002</v>
      </c>
      <c r="Q11" s="41" t="s">
        <v>43</v>
      </c>
      <c r="R11" s="65">
        <f>R9*R8</f>
        <v>1069875</v>
      </c>
      <c r="T11" t="s">
        <v>61</v>
      </c>
      <c r="U11" s="62">
        <v>3</v>
      </c>
      <c r="V11" s="60"/>
      <c r="W11" s="60"/>
      <c r="X11" s="60"/>
      <c r="Y11" s="60"/>
    </row>
    <row r="12" spans="5:25" ht="15">
      <c r="E12" s="52"/>
      <c r="Q12" s="118" t="s">
        <v>81</v>
      </c>
      <c r="R12" s="118"/>
      <c r="T12" t="s">
        <v>62</v>
      </c>
      <c r="U12" s="62">
        <v>3</v>
      </c>
      <c r="V12" s="60"/>
      <c r="W12" s="60"/>
      <c r="X12" s="60"/>
      <c r="Y12" s="60"/>
    </row>
    <row r="13" spans="2:25" ht="15">
      <c r="B13" s="89"/>
      <c r="C13" s="86" t="s">
        <v>12</v>
      </c>
      <c r="Q13" t="s">
        <v>82</v>
      </c>
      <c r="R13">
        <v>6858</v>
      </c>
      <c r="T13" t="s">
        <v>63</v>
      </c>
      <c r="U13" s="62">
        <v>3</v>
      </c>
      <c r="V13" s="60"/>
      <c r="W13" s="60"/>
      <c r="X13" s="60"/>
      <c r="Y13" s="60"/>
    </row>
    <row r="14" spans="2:25" ht="15">
      <c r="B14" s="30" t="s">
        <v>11</v>
      </c>
      <c r="C14" s="50">
        <v>108.40000000000001</v>
      </c>
      <c r="Q14" t="s">
        <v>83</v>
      </c>
      <c r="R14">
        <v>4292</v>
      </c>
      <c r="T14" s="61" t="s">
        <v>65</v>
      </c>
      <c r="U14" s="95">
        <f>U3</f>
        <v>102000</v>
      </c>
      <c r="V14" s="60"/>
      <c r="W14" s="60"/>
      <c r="X14" s="60"/>
      <c r="Y14" s="60"/>
    </row>
    <row r="15" spans="2:25" ht="15.75">
      <c r="B15" s="28" t="s">
        <v>32</v>
      </c>
      <c r="C15" s="58">
        <f>X7/1000000</f>
        <v>88.730000000000004</v>
      </c>
      <c r="F15" s="56"/>
      <c r="I15" s="77"/>
      <c r="J15" s="86">
        <v>2022</v>
      </c>
      <c r="K15" s="86">
        <v>2023</v>
      </c>
      <c r="L15" s="86">
        <v>2024</v>
      </c>
      <c r="Q15" t="s">
        <v>84</v>
      </c>
      <c r="R15">
        <v>2825</v>
      </c>
      <c r="S15" s="22"/>
      <c r="T15" s="61" t="s">
        <v>66</v>
      </c>
      <c r="U15" s="95">
        <f>U3</f>
        <v>102000</v>
      </c>
      <c r="V15" s="60"/>
      <c r="W15" s="60"/>
      <c r="X15" s="60"/>
      <c r="Y15" s="60"/>
    </row>
    <row r="16" spans="2:25" ht="15.75">
      <c r="B16" s="25" t="s">
        <v>19</v>
      </c>
      <c r="C16" s="27">
        <v>30</v>
      </c>
      <c r="F16" s="64"/>
      <c r="I16" t="s">
        <v>13</v>
      </c>
      <c r="J16" s="23">
        <f>SUM('Appendix A'!D19,)</f>
        <v>1.2000000000000002</v>
      </c>
      <c r="K16" s="23">
        <f>SUM('Appendix A'!E19)</f>
        <v>1.2000000000000002</v>
      </c>
      <c r="L16" s="23">
        <f>SUM('Appendix A'!F19)</f>
        <v>1.2000000000000002</v>
      </c>
      <c r="Q16" t="s">
        <v>85</v>
      </c>
      <c r="R16">
        <v>509</v>
      </c>
      <c r="S16" s="22"/>
      <c r="T16" s="60" t="s">
        <v>67</v>
      </c>
      <c r="U16" s="96">
        <f>U7*(U6-U8)/10</f>
        <v>600000</v>
      </c>
      <c r="V16" s="60"/>
      <c r="W16" s="60"/>
      <c r="X16" s="60"/>
      <c r="Y16" s="60"/>
    </row>
    <row r="17" spans="2:25" ht="15.75">
      <c r="B17" s="54" t="s">
        <v>21</v>
      </c>
      <c r="C17" s="59">
        <f>((SUM(R10:R11)*10)+(R26*R32))/1000000</f>
        <v>14.422722018157422</v>
      </c>
      <c r="D17" s="93"/>
      <c r="F17" s="57"/>
      <c r="I17" t="s">
        <v>14</v>
      </c>
      <c r="J17" s="23">
        <f>SUM('Appendix A'!D28,'Appendix A'!D25)</f>
        <v>0.61699999999999988</v>
      </c>
      <c r="K17" s="23">
        <f>SUM('Appendix A'!E28,'Appendix A'!E25)</f>
        <v>0.61699999999999988</v>
      </c>
      <c r="L17" s="23">
        <f>SUM('Appendix A'!F28,'Appendix A'!F25)</f>
        <v>9.9669999999999987</v>
      </c>
      <c r="Q17" t="s">
        <v>86</v>
      </c>
      <c r="R17">
        <v>283</v>
      </c>
      <c r="T17" s="41" t="s">
        <v>68</v>
      </c>
      <c r="U17" s="96">
        <f>(U16*10)+U15+U14+(U7*U8)</f>
        <v>7329000</v>
      </c>
      <c r="V17" s="60"/>
      <c r="W17" s="60"/>
      <c r="X17" s="60"/>
      <c r="Y17" s="60"/>
    </row>
    <row r="18" spans="2:25" ht="15">
      <c r="B18" s="39" t="s">
        <v>31</v>
      </c>
      <c r="C18" s="63">
        <v>12</v>
      </c>
      <c r="D18" s="40"/>
      <c r="I18" t="s">
        <v>15</v>
      </c>
      <c r="J18" s="23">
        <f>SUM('Appendix A'!D16,'Appendix A'!D22)</f>
        <v>1.2210722018157421</v>
      </c>
      <c r="K18" s="23">
        <f>SUM('Appendix A'!E16,'Appendix A'!E22)</f>
        <v>1.5210722018157423</v>
      </c>
      <c r="L18" s="23">
        <f>SUM('Appendix A'!F16,'Appendix A'!F22)</f>
        <v>1.6210722018157422</v>
      </c>
      <c r="Q18" t="s">
        <v>87</v>
      </c>
      <c r="R18">
        <v>109</v>
      </c>
      <c r="T18" s="60"/>
      <c r="U18" s="60"/>
      <c r="V18" s="60"/>
      <c r="W18" s="60"/>
      <c r="X18" s="60"/>
      <c r="Y18" s="60"/>
    </row>
    <row r="19" spans="2:25" ht="15">
      <c r="B19" s="44" t="s">
        <v>33</v>
      </c>
      <c r="C19" s="70">
        <f>U17/1000000</f>
        <v>7.3289999999999997</v>
      </c>
      <c r="D19" s="40"/>
      <c r="I19" t="s">
        <v>22</v>
      </c>
      <c r="J19" s="23">
        <f>'Appendix A'!D31</f>
        <v>0.19999999999999998</v>
      </c>
      <c r="K19" s="23">
        <f>'Appendix A'!E31</f>
        <v>0.20599999999999996</v>
      </c>
      <c r="L19" s="23">
        <f>'Appendix A'!F31</f>
        <v>0.21217999999999998</v>
      </c>
      <c r="P19" s="83"/>
      <c r="Q19" t="s">
        <v>88</v>
      </c>
      <c r="R19" s="73">
        <v>278586.83000000002</v>
      </c>
      <c r="S19" s="48"/>
      <c r="T19" s="60"/>
      <c r="U19" s="60"/>
      <c r="V19" s="60"/>
      <c r="W19" s="60"/>
      <c r="X19" s="60"/>
      <c r="Y19" s="60"/>
    </row>
    <row r="20" spans="2:25" ht="15">
      <c r="B20" s="46" t="s">
        <v>20</v>
      </c>
      <c r="C20" s="51">
        <f>AA8/1000000</f>
        <v>2.2927758622941452</v>
      </c>
      <c r="D20" s="40"/>
      <c r="I20" s="87" t="s">
        <v>16</v>
      </c>
      <c r="J20" s="88">
        <f>SUM(J16:J19)</f>
        <v>3.2380722018157426</v>
      </c>
      <c r="K20" s="88">
        <f t="shared" si="2" ref="K20:L20">SUM(K16:K19)</f>
        <v>3.5440722018157422</v>
      </c>
      <c r="L20" s="88">
        <f t="shared" si="2"/>
        <v>13.000252201815741</v>
      </c>
      <c r="O20" s="41"/>
      <c r="P20" s="83"/>
      <c r="Q20" t="s">
        <v>89</v>
      </c>
      <c r="R20" s="73">
        <v>159704.98999999999</v>
      </c>
      <c r="S20" s="42"/>
      <c r="T20" s="60"/>
      <c r="U20" s="60"/>
      <c r="V20" s="60"/>
      <c r="W20" s="60"/>
      <c r="X20" s="60"/>
      <c r="Y20" s="60"/>
    </row>
    <row r="21" spans="15:25" ht="15">
      <c r="O21" s="41"/>
      <c r="P21" s="83"/>
      <c r="Q21" s="41" t="s">
        <v>90</v>
      </c>
      <c r="R21" s="83">
        <v>94952.570000000007</v>
      </c>
      <c r="S21" s="42"/>
      <c r="T21" s="60"/>
      <c r="U21" s="91"/>
      <c r="V21" s="60"/>
      <c r="W21" s="60"/>
      <c r="X21" s="60"/>
      <c r="Y21" s="60"/>
    </row>
    <row r="22" spans="15:25" ht="15">
      <c r="O22" s="41"/>
      <c r="P22" s="42"/>
      <c r="Q22" s="35" t="s">
        <v>44</v>
      </c>
      <c r="R22" s="35">
        <f>SUM(R19:R21)/SUM(R13:R15)</f>
        <v>38.157022540250445</v>
      </c>
      <c r="S22" s="42"/>
      <c r="V22" s="60"/>
      <c r="W22" s="60"/>
      <c r="X22" s="60"/>
      <c r="Y22" s="60"/>
    </row>
    <row r="23" spans="3:25" ht="15">
      <c r="C23" s="20"/>
      <c r="D23" s="20"/>
      <c r="I23" s="41"/>
      <c r="J23" s="41"/>
      <c r="K23" s="41"/>
      <c r="L23" s="41"/>
      <c r="Q23" s="35" t="s">
        <v>45</v>
      </c>
      <c r="R23" s="84">
        <f>SUM(R16:R18)/SUM(R13:R15)</f>
        <v>0.064472271914132379</v>
      </c>
      <c r="S23" s="42"/>
      <c r="V23" s="60"/>
      <c r="W23" s="60"/>
      <c r="X23" s="60"/>
      <c r="Y23" s="60"/>
    </row>
    <row r="24" spans="3:19" ht="15">
      <c r="C24" s="20"/>
      <c r="E24" s="21"/>
      <c r="I24" s="41"/>
      <c r="J24" s="41"/>
      <c r="K24" s="41"/>
      <c r="L24" s="41"/>
      <c r="Q24" s="35" t="s">
        <v>91</v>
      </c>
      <c r="R24" s="84">
        <v>0.044999999999999998</v>
      </c>
      <c r="S24" s="99" t="s">
        <v>92</v>
      </c>
    </row>
    <row r="25" spans="3:19" ht="15">
      <c r="C25" s="21"/>
      <c r="D25" s="20"/>
      <c r="E25" s="20"/>
      <c r="I25" s="35"/>
      <c r="J25" s="35"/>
      <c r="K25" s="35"/>
      <c r="L25" s="35"/>
      <c r="Q25" s="112" t="s">
        <v>46</v>
      </c>
      <c r="R25" s="112"/>
      <c r="S25" s="41"/>
    </row>
    <row r="26" spans="3:22" ht="15">
      <c r="C26" s="21"/>
      <c r="D26" s="20"/>
      <c r="I26" s="38"/>
      <c r="J26" s="35"/>
      <c r="K26" s="35"/>
      <c r="L26" s="35"/>
      <c r="Q26" s="42" t="s">
        <v>47</v>
      </c>
      <c r="R26" s="90">
        <v>553</v>
      </c>
      <c r="S26" s="41"/>
      <c r="V26" s="39"/>
    </row>
    <row r="27" spans="3:19" ht="15">
      <c r="C27" s="20"/>
      <c r="I27" s="73"/>
      <c r="Q27" s="41" t="s">
        <v>48</v>
      </c>
      <c r="R27" s="71">
        <v>75</v>
      </c>
      <c r="S27" s="41"/>
    </row>
    <row r="28" spans="3:22" ht="15">
      <c r="C28" s="21"/>
      <c r="I28" s="73"/>
      <c r="Q28" s="41" t="s">
        <v>49</v>
      </c>
      <c r="R28" s="71">
        <v>100</v>
      </c>
      <c r="V28" s="39"/>
    </row>
    <row r="29" spans="5:22" ht="15">
      <c r="E29" s="20"/>
      <c r="Q29" s="41" t="s">
        <v>50</v>
      </c>
      <c r="R29" s="71">
        <v>125</v>
      </c>
      <c r="V29" s="39"/>
    </row>
    <row r="30" spans="9:20" ht="15">
      <c r="I30" s="73"/>
      <c r="Q30" s="41" t="s">
        <v>51</v>
      </c>
      <c r="R30" s="71">
        <v>150</v>
      </c>
      <c r="T30" s="41"/>
    </row>
    <row r="31" spans="9:20" ht="15">
      <c r="I31" s="73"/>
      <c r="Q31" s="41" t="s">
        <v>52</v>
      </c>
      <c r="R31" s="71">
        <v>103</v>
      </c>
      <c r="T31" s="42"/>
    </row>
    <row r="32" spans="8:21" ht="15">
      <c r="H32" s="41"/>
      <c r="M32" s="41"/>
      <c r="N32" s="41"/>
      <c r="O32" s="41"/>
      <c r="P32" s="41"/>
      <c r="Q32" s="41" t="s">
        <v>53</v>
      </c>
      <c r="R32" s="65">
        <v>4000</v>
      </c>
      <c r="S32" s="74" t="s">
        <v>54</v>
      </c>
      <c r="T32" s="35"/>
      <c r="U32" s="41"/>
    </row>
    <row r="33" spans="8:21" ht="15">
      <c r="H33" s="41"/>
      <c r="I33" s="66"/>
      <c r="J33" s="35"/>
      <c r="K33" s="35"/>
      <c r="L33" s="35"/>
      <c r="M33" s="35"/>
      <c r="N33" s="35"/>
      <c r="O33" s="35"/>
      <c r="P33" s="35"/>
      <c r="T33" s="84"/>
      <c r="U33" s="94"/>
    </row>
    <row r="34" spans="8:21" ht="15">
      <c r="H34" s="41"/>
      <c r="I34" s="35"/>
      <c r="J34" s="35"/>
      <c r="K34" s="35"/>
      <c r="L34" s="35"/>
      <c r="M34" s="35"/>
      <c r="N34" s="35"/>
      <c r="O34" s="35"/>
      <c r="P34" s="35"/>
      <c r="T34" s="42"/>
      <c r="U34" s="41"/>
    </row>
    <row r="35" spans="8:20" ht="15">
      <c r="H35" s="41"/>
      <c r="I35" s="38"/>
      <c r="J35" s="38"/>
      <c r="K35" s="38"/>
      <c r="L35" s="35"/>
      <c r="M35" s="35"/>
      <c r="N35" s="35"/>
      <c r="O35" s="35"/>
      <c r="P35" s="35"/>
      <c r="R35" s="65"/>
      <c r="T35" s="41"/>
    </row>
    <row r="36" spans="8:20" ht="15">
      <c r="H36" s="41"/>
      <c r="I36" s="42"/>
      <c r="J36" s="42"/>
      <c r="K36" s="42"/>
      <c r="L36" s="42"/>
      <c r="M36" s="42"/>
      <c r="N36" s="42"/>
      <c r="O36" s="42"/>
      <c r="P36" s="42"/>
      <c r="T36" s="41"/>
    </row>
    <row r="37" spans="8:20" ht="15">
      <c r="H37" s="41"/>
      <c r="M37" s="41"/>
      <c r="N37" s="41"/>
      <c r="O37" s="41"/>
      <c r="P37" s="41"/>
      <c r="T37" s="41"/>
    </row>
    <row r="38" spans="8:20" ht="15">
      <c r="H38" s="41"/>
      <c r="M38" s="41"/>
      <c r="N38" s="41"/>
      <c r="O38" s="41"/>
      <c r="P38" s="41"/>
      <c r="T38" s="41"/>
    </row>
    <row r="39" spans="8:16" ht="15">
      <c r="H39" s="41"/>
      <c r="M39" s="35"/>
      <c r="N39" s="35"/>
      <c r="O39" s="35"/>
      <c r="P39" s="35"/>
    </row>
    <row r="40" spans="8:16" ht="15">
      <c r="H40" s="41"/>
      <c r="M40" s="35"/>
      <c r="N40" s="35"/>
      <c r="O40" s="35"/>
      <c r="P40" s="35"/>
    </row>
  </sheetData>
  <mergeCells count="7">
    <mergeCell ref="Q25:R25"/>
    <mergeCell ref="T2:U2"/>
    <mergeCell ref="W2:X2"/>
    <mergeCell ref="Z2:AA2"/>
    <mergeCell ref="E1:N1"/>
    <mergeCell ref="Q2:R2"/>
    <mergeCell ref="Q12:R12"/>
  </mergeCells>
  <pageMargins left="0.7" right="0.7" top="0.75" bottom="0.75" header="0.3" footer="0.3"/>
  <pageSetup horizontalDpi="300" verticalDpi="300" orientation="landscape" paperSize="9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A2ED36C1B59478AAB1282F80FDD3F" ma:contentTypeVersion="2" ma:contentTypeDescription="Create a new document." ma:contentTypeScope="" ma:versionID="87bf13c603125a789edcb07b81b38565">
  <xsd:schema xmlns:xsd="http://www.w3.org/2001/XMLSchema" xmlns:xs="http://www.w3.org/2001/XMLSchema" xmlns:p="http://schemas.microsoft.com/office/2006/metadata/properties" xmlns:ns2="fa0576d1-80e8-4ef1-ac14-2bd075900e7d" targetNamespace="http://schemas.microsoft.com/office/2006/metadata/properties" ma:root="true" ma:fieldsID="b51de054c8337680f82e5ae69be0ac94" ns2:_="">
    <xsd:import namespace="fa0576d1-80e8-4ef1-ac14-2bd075900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576d1-80e8-4ef1-ac14-2bd075900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3E7DBD1-CF3D-4A33-8A7E-CD6281A4A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2219E3-DBA5-4A5C-A77A-95F775E95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0576d1-80e8-4ef1-ac14-2bd075900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B6416A-91DE-4DA9-9F89-36DC56E142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10Year</vt:lpstr>
      <vt:lpstr>Appendix A</vt:lpstr>
      <vt:lpstr>3 Year</vt:lpstr>
      <vt:lpstr>Calculations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