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02 Florida Public Utilities Co. - Regulatory\"/>
    </mc:Choice>
  </mc:AlternateContent>
  <bookViews>
    <workbookView xWindow="-120" yWindow="-120" windowWidth="29040" windowHeight="15840" firstSheet="5" activeTab="5"/>
  </bookViews>
  <sheets>
    <sheet name="ModelResults" sheetId="1" r:id="rId2"/>
    <sheet name="Strategy" sheetId="3" r:id="rId3"/>
    <sheet name="FeederData" sheetId="2" r:id="rId4"/>
    <sheet name="10YrPlan" sheetId="4" r:id="rId5"/>
    <sheet name="TotalPlan" sheetId="5" r:id="rId6"/>
    <sheet name="Targets" sheetId="6" r:id="rId7"/>
  </sheets>
  <definedNames/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</calcChain>
</file>

<file path=xl/sharedStrings.xml><?xml version="1.0" encoding="utf-8"?>
<sst xmlns="http://schemas.openxmlformats.org/spreadsheetml/2006/main" count="1395" uniqueCount="384">
  <si>
    <t>Original System Inputs</t>
  </si>
  <si>
    <t>Probability</t>
  </si>
  <si>
    <t>Response</t>
  </si>
  <si>
    <t>Impact</t>
  </si>
  <si>
    <t>#</t>
  </si>
  <si>
    <t>Substation</t>
  </si>
  <si>
    <t>Feeder ID</t>
  </si>
  <si>
    <t>Wind Probability</t>
  </si>
  <si>
    <t>Flood/Storm Surge</t>
  </si>
  <si>
    <t>Past Performance</t>
  </si>
  <si>
    <t>Accessibility</t>
  </si>
  <si>
    <t>Contingency</t>
  </si>
  <si>
    <t>Vegetation Exposure</t>
  </si>
  <si>
    <t>Critical Load</t>
  </si>
  <si>
    <t>Customers Served</t>
  </si>
  <si>
    <t>ICE</t>
  </si>
  <si>
    <t>Risk</t>
  </si>
  <si>
    <t>BLOUNTSTOWN</t>
  </si>
  <si>
    <t>BRISTOL (9882)</t>
  </si>
  <si>
    <t>120mph</t>
  </si>
  <si>
    <t>1 to 2</t>
  </si>
  <si>
    <t>100-200</t>
  </si>
  <si>
    <t>&gt;50% Accessible</t>
  </si>
  <si>
    <t>Radial</t>
  </si>
  <si>
    <t>31-40%</t>
  </si>
  <si>
    <t>Tier 1</t>
  </si>
  <si>
    <t>1001-1500</t>
  </si>
  <si>
    <t>&gt;$10M</t>
  </si>
  <si>
    <t>MARIANNA</t>
  </si>
  <si>
    <t>SOUTH STREET (9854)</t>
  </si>
  <si>
    <t>200-400</t>
  </si>
  <si>
    <t>&gt;75% Accessible</t>
  </si>
  <si>
    <t>Looped</t>
  </si>
  <si>
    <t>1500-2000</t>
  </si>
  <si>
    <t>$1-$5M</t>
  </si>
  <si>
    <t>COTTONDALE (9866)</t>
  </si>
  <si>
    <t>JL TERRY</t>
  </si>
  <si>
    <t>JASMINE STREET (211)</t>
  </si>
  <si>
    <t>130mph</t>
  </si>
  <si>
    <t>50-100</t>
  </si>
  <si>
    <t>Fully Accessible</t>
  </si>
  <si>
    <t>11-20%</t>
  </si>
  <si>
    <t>$5-$10M</t>
  </si>
  <si>
    <t>STEPDOWN</t>
  </si>
  <si>
    <t>BAILEY (311)</t>
  </si>
  <si>
    <t>3 to 4</t>
  </si>
  <si>
    <t>21-30%</t>
  </si>
  <si>
    <t>Tier 2</t>
  </si>
  <si>
    <t>&gt;2000</t>
  </si>
  <si>
    <t>HOSPITAL (9872)</t>
  </si>
  <si>
    <t>41-50%</t>
  </si>
  <si>
    <t>501-1000</t>
  </si>
  <si>
    <t>$0-$150k</t>
  </si>
  <si>
    <t>ALTHA</t>
  </si>
  <si>
    <t>ALTHA (9952)</t>
  </si>
  <si>
    <t>FIFTEENTH STREET (209)</t>
  </si>
  <si>
    <t>0-25</t>
  </si>
  <si>
    <t>SADLER NECTARINE SO.14TH (215)</t>
  </si>
  <si>
    <t>RAILROAD (9512)</t>
  </si>
  <si>
    <t>CHIPOLA</t>
  </si>
  <si>
    <t>COLLEGE (9982)</t>
  </si>
  <si>
    <t>HWY 90E (9942)</t>
  </si>
  <si>
    <t>HWY 90W (9992)</t>
  </si>
  <si>
    <t>$151-$500k</t>
  </si>
  <si>
    <t>NECTARINE (210)</t>
  </si>
  <si>
    <t>25-50</t>
  </si>
  <si>
    <t>$500k-$1M</t>
  </si>
  <si>
    <t>INDIAN SPRINGS (9932)</t>
  </si>
  <si>
    <t>Tier 3</t>
  </si>
  <si>
    <t>CAVERNS ROAD</t>
  </si>
  <si>
    <t>GREENWOOD (9742)</t>
  </si>
  <si>
    <t>AMELIA ISLAND PARKWAY (312)</t>
  </si>
  <si>
    <t>PRISON (9732)</t>
  </si>
  <si>
    <t>1-250</t>
  </si>
  <si>
    <t>AIP</t>
  </si>
  <si>
    <t>SOUTH FLETCHER (102)</t>
  </si>
  <si>
    <t>5 to 6</t>
  </si>
  <si>
    <t>BLOUNTSTOWN (9972)</t>
  </si>
  <si>
    <t>ELEVEN STREET (212)</t>
  </si>
  <si>
    <t>FAMILY DOLLAR (9782)</t>
  </si>
  <si>
    <t>&gt;25% Accessible</t>
  </si>
  <si>
    <t>BONNIEVIEW (310)</t>
  </si>
  <si>
    <t>0-10%</t>
  </si>
  <si>
    <t>CLINCH DRIVE (214)</t>
  </si>
  <si>
    <t>PLANTATION FIELDSIDE (111)</t>
  </si>
  <si>
    <t>DOGWOOD HEIGHTS (9722)</t>
  </si>
  <si>
    <t>251-500</t>
  </si>
  <si>
    <t>PARKWAY SOUTH (104)</t>
  </si>
  <si>
    <t>PLANTATION ROADSIDE (110)</t>
  </si>
  <si>
    <t>INDUSTRIAL PARK (9752)</t>
  </si>
  <si>
    <t>Avg</t>
  </si>
  <si>
    <t>StdDev</t>
  </si>
  <si>
    <t>Threshold</t>
  </si>
  <si>
    <t>Strategy #1 - Harden entire feeder</t>
  </si>
  <si>
    <t>Strategy #2 - Harden Fdr/Lats by Risk</t>
  </si>
  <si>
    <t>Strategy #3 - Harden Feeder &amp; key Laterals on Feeder</t>
  </si>
  <si>
    <t>Prioritize feeders leveraging Risk Resiliency Model</t>
  </si>
  <si>
    <t>Focus on feeder with highest risk score</t>
  </si>
  <si>
    <t>Prioritize laterals leveraging Risk Resiliency Model</t>
  </si>
  <si>
    <t>Focus on feeders with highest risk score</t>
  </si>
  <si>
    <t>Harden the feeder backbone</t>
  </si>
  <si>
    <t>Harden the feeder backbone with highest risk</t>
  </si>
  <si>
    <t>Harden the laterals on that feeder</t>
  </si>
  <si>
    <t>Harden the laterals with highest risk</t>
  </si>
  <si>
    <t>Harden all multiphase OH and UG worst 16% (approx 1stdDev) single phase laterals on that feeder (based on ID count)</t>
  </si>
  <si>
    <t>Move to next feeder</t>
  </si>
  <si>
    <t>Move to next feeder and lateral in order</t>
  </si>
  <si>
    <t>Pros</t>
  </si>
  <si>
    <t>Simple to administer and keep track of</t>
  </si>
  <si>
    <t>Focuses on sections of system with highest risk</t>
  </si>
  <si>
    <t>Administration is simple if can identify all fuses with phasing and distance</t>
  </si>
  <si>
    <t>Balances cost with performance</t>
  </si>
  <si>
    <t>Cons</t>
  </si>
  <si>
    <t>Laterals of higher importance in other feeders may be deferred</t>
  </si>
  <si>
    <t>Administrative burden to know when done with feeder</t>
  </si>
  <si>
    <t>Costly to harden 100% of system</t>
  </si>
  <si>
    <t>Inefficient mobilization of resources</t>
  </si>
  <si>
    <t>May have to harden (UG) additional laterals if performance degrades over time</t>
  </si>
  <si>
    <t>Data intentisive process to feed model with lateral information</t>
  </si>
  <si>
    <t>Must keep track of un-hardened laterals that remain</t>
  </si>
  <si>
    <t>May cause re-work of poles as you circle back to next ranked lateral</t>
  </si>
  <si>
    <t>2019 data</t>
  </si>
  <si>
    <t>Cust Count</t>
  </si>
  <si>
    <t>Outages</t>
  </si>
  <si>
    <t>Average</t>
  </si>
  <si>
    <t>CMI</t>
  </si>
  <si>
    <t>CI</t>
  </si>
  <si>
    <t>Avg SAIDI</t>
  </si>
  <si>
    <t>Avg CAIDI</t>
  </si>
  <si>
    <t>Avg SAIFI</t>
  </si>
  <si>
    <t>Res Cust</t>
  </si>
  <si>
    <t>CI Cust</t>
  </si>
  <si>
    <t>Feeder</t>
  </si>
  <si>
    <t>1PhOH</t>
  </si>
  <si>
    <t>2PhOH</t>
  </si>
  <si>
    <t>3PhOH</t>
  </si>
  <si>
    <t>BB</t>
  </si>
  <si>
    <t>Lat</t>
  </si>
  <si>
    <t>UG</t>
  </si>
  <si>
    <t>Fdr</t>
  </si>
  <si>
    <t>Total</t>
  </si>
  <si>
    <t>10YrTot</t>
  </si>
  <si>
    <t>Mileage %</t>
  </si>
  <si>
    <t>OH Backbone vs. Lateral Mileage</t>
  </si>
  <si>
    <t>Mileage</t>
  </si>
  <si>
    <t>Target Miles</t>
  </si>
  <si>
    <t>Target Cost</t>
  </si>
  <si>
    <t>Miles per phase</t>
  </si>
  <si>
    <t>UG cost/phase</t>
  </si>
  <si>
    <t>Lat cost/phase</t>
  </si>
  <si>
    <t>Fdr cost/phase</t>
  </si>
  <si>
    <t>Top 5 Risk Feeders</t>
  </si>
  <si>
    <t>Backbone</t>
  </si>
  <si>
    <t>Lateral</t>
  </si>
  <si>
    <t>1 Phase</t>
  </si>
  <si>
    <t>2 Phase</t>
  </si>
  <si>
    <t>3 Phase</t>
  </si>
  <si>
    <t>Lat UG</t>
  </si>
  <si>
    <t>Lat Hard</t>
  </si>
  <si>
    <t>Fdr Hard</t>
  </si>
  <si>
    <t># Phases</t>
  </si>
  <si>
    <t>Design</t>
  </si>
  <si>
    <t>Const</t>
  </si>
  <si>
    <t>South Fletcher</t>
  </si>
  <si>
    <t>Placeholder (Balance Investment)</t>
  </si>
  <si>
    <t>Totals</t>
  </si>
  <si>
    <t>Assumptions</t>
  </si>
  <si>
    <t>% of single phase mileage in 1StdDev</t>
  </si>
  <si>
    <t>Feeder Hardening $/mile</t>
  </si>
  <si>
    <t>Lateral Undergrounding $/mile</t>
  </si>
  <si>
    <t>Lateral Hardening $/mile</t>
  </si>
  <si>
    <t>Design costs as % of total costs</t>
  </si>
  <si>
    <t>Lateral Hardening</t>
  </si>
  <si>
    <t>Lateral Undergrounding</t>
  </si>
  <si>
    <t>Feeder Hardening</t>
  </si>
  <si>
    <t>Bailey Phase 1 Design</t>
  </si>
  <si>
    <t>Bailey Phase 1 Construct</t>
  </si>
  <si>
    <t>Bailey Phase 2 Design</t>
  </si>
  <si>
    <t>Bailey Phase 2 Construct</t>
  </si>
  <si>
    <t>Cottondale Phase 1 Design</t>
  </si>
  <si>
    <t>Cottondale Phase 1 Construct</t>
  </si>
  <si>
    <t>Cottondale Phase 2 Design</t>
  </si>
  <si>
    <t>Cottondale Phase 2 Construct</t>
  </si>
  <si>
    <t>Cottondale Phase 3 Design</t>
  </si>
  <si>
    <t>Cottondale Phase 3 Construct</t>
  </si>
  <si>
    <t>Cottondale Phase 4 Design</t>
  </si>
  <si>
    <t>Cottondale Phase 4 Construct</t>
  </si>
  <si>
    <t>Bristol Phase 1 Design</t>
  </si>
  <si>
    <t>Bristol Phase 1 Construct</t>
  </si>
  <si>
    <t>Bristol Phase 2 Design</t>
  </si>
  <si>
    <t>Bristol Phase 2 Construct</t>
  </si>
  <si>
    <t>Bristol Phase 3 Design</t>
  </si>
  <si>
    <t>Bristol Phase 3 Construct</t>
  </si>
  <si>
    <t>Jasmine Phase 1 Design</t>
  </si>
  <si>
    <t>Jasmine Phase 1 Construct</t>
  </si>
  <si>
    <t>SouthStreet Phase 1 Design</t>
  </si>
  <si>
    <t>SouthStreet Phase 1 Construct</t>
  </si>
  <si>
    <t>SouthStreet Phase 2 Design</t>
  </si>
  <si>
    <t>SouthStreet Phase 2 Construct</t>
  </si>
  <si>
    <t>South Fletcher A1A Design</t>
  </si>
  <si>
    <t>South Fletcher A1A Construct</t>
  </si>
  <si>
    <t>Placeholder for future project</t>
  </si>
  <si>
    <t>1Ph</t>
  </si>
  <si>
    <t>2Ph</t>
  </si>
  <si>
    <t>3Ph</t>
  </si>
  <si>
    <t>NE</t>
  </si>
  <si>
    <t>NW</t>
  </si>
  <si>
    <t>100/100/45%</t>
  </si>
  <si>
    <t>Miles</t>
  </si>
  <si>
    <t>Total Invest</t>
  </si>
  <si>
    <t>FdrHard</t>
  </si>
  <si>
    <t>Assumes target 45% of single phase lateral mileage</t>
  </si>
  <si>
    <t>LatHard</t>
  </si>
  <si>
    <t>LatUG</t>
  </si>
  <si>
    <t>Years</t>
  </si>
  <si>
    <t>Annual Total</t>
  </si>
  <si>
    <t>Devices in Circuit</t>
  </si>
  <si>
    <t>Devices w/Outage</t>
  </si>
  <si>
    <t>Fuses</t>
  </si>
  <si>
    <t>Reclosers</t>
  </si>
  <si>
    <t>Outage Table</t>
  </si>
  <si>
    <t>OMS Table</t>
  </si>
  <si>
    <t>Lateral Hardening Targets</t>
  </si>
  <si>
    <t>Lateral UG Targets</t>
  </si>
  <si>
    <t>Fuse ID</t>
  </si>
  <si>
    <t>Fuse Out</t>
  </si>
  <si>
    <t>Dev ID</t>
  </si>
  <si>
    <t>Phase</t>
  </si>
  <si>
    <t>#Outages</t>
  </si>
  <si>
    <t>Proj. Type</t>
  </si>
  <si>
    <t>Dist</t>
  </si>
  <si>
    <t>FS.2107</t>
  </si>
  <si>
    <t>FS.1894</t>
  </si>
  <si>
    <t>B</t>
  </si>
  <si>
    <t>ABC</t>
  </si>
  <si>
    <t>FS.1873</t>
  </si>
  <si>
    <t>C</t>
  </si>
  <si>
    <t>FS.2764</t>
  </si>
  <si>
    <t>Note 3</t>
  </si>
  <si>
    <t>FS.2130</t>
  </si>
  <si>
    <t>FS.2074</t>
  </si>
  <si>
    <t>Note1</t>
  </si>
  <si>
    <t>FS.2204</t>
  </si>
  <si>
    <t>FS.2752</t>
  </si>
  <si>
    <t>AC</t>
  </si>
  <si>
    <t>Note2</t>
  </si>
  <si>
    <t>FS.8908</t>
  </si>
  <si>
    <t>FS.1888</t>
  </si>
  <si>
    <t>FS.1895</t>
  </si>
  <si>
    <t>A</t>
  </si>
  <si>
    <t>FS.1892</t>
  </si>
  <si>
    <t>AB</t>
  </si>
  <si>
    <t>FS.2038</t>
  </si>
  <si>
    <t>FS.2132</t>
  </si>
  <si>
    <t>FS.2028</t>
  </si>
  <si>
    <t>FS.2442</t>
  </si>
  <si>
    <t>FS.2184</t>
  </si>
  <si>
    <t>FS.2590</t>
  </si>
  <si>
    <t>FS.2060</t>
  </si>
  <si>
    <t>FS.2747</t>
  </si>
  <si>
    <t>FS.1889</t>
  </si>
  <si>
    <t>FS.2057</t>
  </si>
  <si>
    <t>FS.43587</t>
  </si>
  <si>
    <t>FS.64012</t>
  </si>
  <si>
    <t>FS.2294</t>
  </si>
  <si>
    <t>FS.2217</t>
  </si>
  <si>
    <t>FS.2218</t>
  </si>
  <si>
    <t>FS.2192</t>
  </si>
  <si>
    <t>FS.2106</t>
  </si>
  <si>
    <t>FS.2178</t>
  </si>
  <si>
    <t>FS.2716</t>
  </si>
  <si>
    <t>FS.2131</t>
  </si>
  <si>
    <t>fdr312</t>
  </si>
  <si>
    <t>FS.8828</t>
  </si>
  <si>
    <t>FS.8803</t>
  </si>
  <si>
    <t>Already UG</t>
  </si>
  <si>
    <t>FS.2093</t>
  </si>
  <si>
    <t>FS.8909</t>
  </si>
  <si>
    <t>FS.2108</t>
  </si>
  <si>
    <t>FS.63614</t>
  </si>
  <si>
    <t>FS.1973</t>
  </si>
  <si>
    <t>FS.2216</t>
  </si>
  <si>
    <t>FS.2223</t>
  </si>
  <si>
    <t>Note1 - Downstream of FS.2107</t>
  </si>
  <si>
    <t>FS.2021</t>
  </si>
  <si>
    <t>Note2 - Downstream of FS.2764</t>
  </si>
  <si>
    <t>Note 4</t>
  </si>
  <si>
    <t>FS.2563</t>
  </si>
  <si>
    <t>FS.8825</t>
  </si>
  <si>
    <t>FS.8826</t>
  </si>
  <si>
    <t>FS.2040</t>
  </si>
  <si>
    <t>FS.2612</t>
  </si>
  <si>
    <t>FS.2726</t>
  </si>
  <si>
    <t>FS.2583</t>
  </si>
  <si>
    <t>FS.8812</t>
  </si>
  <si>
    <t>FS.2470</t>
  </si>
  <si>
    <t>FS.8813</t>
  </si>
  <si>
    <t>FS.2759</t>
  </si>
  <si>
    <t>FS.8800</t>
  </si>
  <si>
    <t>FS.1881</t>
  </si>
  <si>
    <t>FS.1890</t>
  </si>
  <si>
    <t>FS.9983</t>
  </si>
  <si>
    <t>FS.1893</t>
  </si>
  <si>
    <t>FS.1898</t>
  </si>
  <si>
    <t>N.O. UG</t>
  </si>
  <si>
    <t>FS.2018</t>
  </si>
  <si>
    <t>FS.8381</t>
  </si>
  <si>
    <t>FS.1876</t>
  </si>
  <si>
    <t>FS.24787</t>
  </si>
  <si>
    <t>FS.63613</t>
  </si>
  <si>
    <t>FS.48787</t>
  </si>
  <si>
    <t>FS.48788</t>
  </si>
  <si>
    <t>FS.2110</t>
  </si>
  <si>
    <t>FS.26791</t>
  </si>
  <si>
    <t>FS.63213</t>
  </si>
  <si>
    <t>FS.2295</t>
  </si>
  <si>
    <t>FS.26786</t>
  </si>
  <si>
    <t>FS.2385</t>
  </si>
  <si>
    <t>FS.2205</t>
  </si>
  <si>
    <t>FS.2224</t>
  </si>
  <si>
    <t>FS.2041</t>
  </si>
  <si>
    <t>FS.2215</t>
  </si>
  <si>
    <t>FS.26792</t>
  </si>
  <si>
    <t>FS.2136</t>
  </si>
  <si>
    <t>FS.22384</t>
  </si>
  <si>
    <t>FS.2191</t>
  </si>
  <si>
    <t>FS.1975</t>
  </si>
  <si>
    <t>FS.76024</t>
  </si>
  <si>
    <t>FS.2655</t>
  </si>
  <si>
    <t>FS.76025</t>
  </si>
  <si>
    <t>FS.2662</t>
  </si>
  <si>
    <t>FS.2593</t>
  </si>
  <si>
    <t>FS.2250</t>
  </si>
  <si>
    <t>FS.2548</t>
  </si>
  <si>
    <t>FS.76026</t>
  </si>
  <si>
    <t>FS.8820</t>
  </si>
  <si>
    <t>FS.2688</t>
  </si>
  <si>
    <t>FS.8821</t>
  </si>
  <si>
    <t>FS.8824</t>
  </si>
  <si>
    <t>FS.2706</t>
  </si>
  <si>
    <t>FS.2711</t>
  </si>
  <si>
    <t>FS.2647</t>
  </si>
  <si>
    <t>FS.2574</t>
  </si>
  <si>
    <t>FS.8827</t>
  </si>
  <si>
    <t>FS.2723</t>
  </si>
  <si>
    <t>FS.2101</t>
  </si>
  <si>
    <t>FS.2721</t>
  </si>
  <si>
    <t>FS.8805</t>
  </si>
  <si>
    <t>FS.2710</t>
  </si>
  <si>
    <t>FS.2719</t>
  </si>
  <si>
    <t>FS.2530</t>
  </si>
  <si>
    <t>FS.2084</t>
  </si>
  <si>
    <t>FS.2516</t>
  </si>
  <si>
    <t>FS.2461</t>
  </si>
  <si>
    <t>FS.70421</t>
  </si>
  <si>
    <t>FS.2490</t>
  </si>
  <si>
    <t>FS.2082</t>
  </si>
  <si>
    <t>FS.69619</t>
  </si>
  <si>
    <t>FS.2448</t>
  </si>
  <si>
    <t>FS.2486</t>
  </si>
  <si>
    <t>FS.51190</t>
  </si>
  <si>
    <t>FS.2712</t>
  </si>
  <si>
    <t>FS.81227</t>
  </si>
  <si>
    <t>FS.2052</t>
  </si>
  <si>
    <t>FS.2480</t>
  </si>
  <si>
    <t>FS.2477</t>
  </si>
  <si>
    <t>FS.8811</t>
  </si>
  <si>
    <t>FS.2539</t>
  </si>
  <si>
    <t>FS.2462</t>
  </si>
  <si>
    <t>FS.8814</t>
  </si>
  <si>
    <t>FS.2457</t>
  </si>
  <si>
    <t>FS.2453</t>
  </si>
  <si>
    <t>FS.2551</t>
  </si>
  <si>
    <t>FS.2702</t>
  </si>
  <si>
    <t>FS.2302</t>
  </si>
  <si>
    <t>FS.2749</t>
  </si>
  <si>
    <t>FS.2544</t>
  </si>
  <si>
    <t>FS.2303</t>
  </si>
  <si>
    <t>FS.2746</t>
  </si>
  <si>
    <t>FS.2729</t>
  </si>
  <si>
    <t>FS.2757</t>
  </si>
  <si>
    <t>FS.2718</t>
  </si>
  <si>
    <t>Note 3 - Already UG</t>
  </si>
  <si>
    <t>Note 4 - Downstream of FS.2130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</si>
</sst>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_);[Red]\(&quot;$&quot;#,##0.0\)"/>
    <numFmt numFmtId="167" formatCode="0.000%"/>
    <numFmt numFmtId="168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3" tint="0.3999800086021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2" tint="-0.0999699980020523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0" tint="-0.249970003962517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 tint="-0.349979996681213"/>
        <bgColor indexed="64"/>
      </patternFill>
    </fill>
    <fill>
      <patternFill patternType="solid">
        <fgColor theme="4" tint="-0.249970003962517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/>
      <bottom style="double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medium">
        <color auto="1"/>
      </left>
      <right/>
      <top style="medium">
        <color auto="1"/>
      </top>
      <bottom style="double">
        <color auto="1"/>
      </bottom>
    </border>
    <border>
      <left/>
      <right/>
      <top style="medium">
        <color auto="1"/>
      </top>
      <bottom style="double">
        <color auto="1"/>
      </bottom>
    </border>
    <border>
      <left/>
      <right style="medium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8"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5" borderId="9" xfId="0" applyFill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4" fillId="0" borderId="0" xfId="0" applyFont="1"/>
    <xf numFmtId="0" fontId="4" fillId="5" borderId="0" xfId="0" applyFont="1" applyFill="1"/>
    <xf numFmtId="164" fontId="0" fillId="0" borderId="0" xfId="0" applyNumberFormat="1" applyAlignment="1">
      <alignment horizontal="center"/>
    </xf>
    <xf numFmtId="6" fontId="0" fillId="0" borderId="0" xfId="0" applyNumberFormat="1"/>
    <xf numFmtId="1" fontId="0" fillId="5" borderId="0" xfId="0" applyNumberFormat="1" applyFill="1" applyAlignment="1">
      <alignment horizontal="center"/>
    </xf>
    <xf numFmtId="3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6" borderId="0" xfId="0" applyFont="1" applyFill="1"/>
    <xf numFmtId="0" fontId="0" fillId="5" borderId="0" xfId="0" applyFill="1"/>
    <xf numFmtId="0" fontId="0" fillId="3" borderId="0" xfId="0" applyFill="1"/>
    <xf numFmtId="0" fontId="3" fillId="5" borderId="0" xfId="0" applyFont="1" applyFill="1"/>
    <xf numFmtId="0" fontId="3" fillId="3" borderId="0" xfId="0" applyFont="1" applyFill="1"/>
    <xf numFmtId="9" fontId="0" fillId="0" borderId="0" xfId="15" applyFont="1"/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" fontId="0" fillId="0" borderId="0" xfId="0" applyNumberFormat="1"/>
    <xf numFmtId="0" fontId="4" fillId="3" borderId="0" xfId="0" applyFont="1" applyFill="1"/>
    <xf numFmtId="0" fontId="0" fillId="7" borderId="9" xfId="0" applyFill="1" applyBorder="1"/>
    <xf numFmtId="0" fontId="2" fillId="8" borderId="14" xfId="0" applyFon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9" fontId="0" fillId="5" borderId="9" xfId="0" applyNumberFormat="1" applyFill="1" applyBorder="1" applyAlignment="1">
      <alignment horizontal="center"/>
    </xf>
    <xf numFmtId="0" fontId="2" fillId="8" borderId="9" xfId="0" applyFont="1" applyFill="1" applyBorder="1"/>
    <xf numFmtId="164" fontId="2" fillId="8" borderId="9" xfId="0" applyNumberFormat="1" applyFont="1" applyFill="1" applyBorder="1" applyAlignment="1">
      <alignment horizontal="center"/>
    </xf>
    <xf numFmtId="0" fontId="6" fillId="0" borderId="0" xfId="0" applyFont="1"/>
    <xf numFmtId="165" fontId="2" fillId="8" borderId="9" xfId="16" applyNumberFormat="1" applyFont="1" applyFill="1" applyBorder="1"/>
    <xf numFmtId="6" fontId="0" fillId="0" borderId="9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65" fontId="2" fillId="8" borderId="9" xfId="16" applyNumberFormat="1" applyFont="1" applyFill="1" applyBorder="1" applyAlignment="1">
      <alignment horizontal="center"/>
    </xf>
    <xf numFmtId="0" fontId="4" fillId="10" borderId="16" xfId="0" applyFont="1" applyFill="1" applyBorder="1"/>
    <xf numFmtId="0" fontId="4" fillId="10" borderId="17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0" fillId="11" borderId="19" xfId="0" applyFill="1" applyBorder="1"/>
    <xf numFmtId="0" fontId="0" fillId="0" borderId="20" xfId="0" applyBorder="1" applyAlignment="1">
      <alignment horizontal="center"/>
    </xf>
    <xf numFmtId="0" fontId="0" fillId="5" borderId="19" xfId="0" applyFill="1" applyBorder="1"/>
    <xf numFmtId="0" fontId="0" fillId="12" borderId="19" xfId="0" applyFill="1" applyBorder="1"/>
    <xf numFmtId="0" fontId="0" fillId="9" borderId="19" xfId="0" applyFill="1" applyBorder="1"/>
    <xf numFmtId="0" fontId="0" fillId="13" borderId="19" xfId="0" applyFill="1" applyBorder="1"/>
    <xf numFmtId="6" fontId="0" fillId="0" borderId="20" xfId="0" applyNumberFormat="1" applyBorder="1" applyAlignment="1">
      <alignment horizontal="center"/>
    </xf>
    <xf numFmtId="0" fontId="0" fillId="14" borderId="19" xfId="0" applyFill="1" applyBorder="1"/>
    <xf numFmtId="0" fontId="4" fillId="15" borderId="19" xfId="0" applyFont="1" applyFill="1" applyBorder="1"/>
    <xf numFmtId="6" fontId="0" fillId="15" borderId="20" xfId="0" applyNumberFormat="1" applyFill="1" applyBorder="1" applyAlignment="1">
      <alignment horizontal="center"/>
    </xf>
    <xf numFmtId="0" fontId="4" fillId="10" borderId="21" xfId="0" applyFont="1" applyFill="1" applyBorder="1"/>
    <xf numFmtId="6" fontId="4" fillId="10" borderId="22" xfId="0" applyNumberFormat="1" applyFont="1" applyFill="1" applyBorder="1" applyAlignment="1">
      <alignment horizontal="center"/>
    </xf>
    <xf numFmtId="6" fontId="4" fillId="10" borderId="23" xfId="0" applyNumberFormat="1" applyFont="1" applyFill="1" applyBorder="1" applyAlignment="1">
      <alignment horizontal="center"/>
    </xf>
    <xf numFmtId="0" fontId="0" fillId="0" borderId="20" xfId="0" applyBorder="1"/>
    <xf numFmtId="6" fontId="0" fillId="0" borderId="0" xfId="16" applyNumberFormat="1" applyFont="1" applyFill="1" applyAlignment="1">
      <alignment vertical="center"/>
    </xf>
    <xf numFmtId="0" fontId="0" fillId="16" borderId="20" xfId="0" applyFill="1" applyBorder="1"/>
    <xf numFmtId="166" fontId="0" fillId="16" borderId="20" xfId="0" applyNumberFormat="1" applyFill="1" applyBorder="1"/>
    <xf numFmtId="0" fontId="0" fillId="10" borderId="9" xfId="0" applyFill="1" applyBorder="1"/>
    <xf numFmtId="0" fontId="0" fillId="12" borderId="9" xfId="0" applyFill="1" applyBorder="1"/>
    <xf numFmtId="0" fontId="0" fillId="9" borderId="9" xfId="0" applyFill="1" applyBorder="1"/>
    <xf numFmtId="0" fontId="0" fillId="17" borderId="9" xfId="0" applyFill="1" applyBorder="1"/>
    <xf numFmtId="0" fontId="0" fillId="10" borderId="9" xfId="0" applyFill="1" applyBorder="1" applyAlignment="1">
      <alignment horizontal="center"/>
    </xf>
    <xf numFmtId="164" fontId="0" fillId="10" borderId="9" xfId="0" applyNumberFormat="1" applyFill="1" applyBorder="1" applyAlignment="1">
      <alignment horizontal="center"/>
    </xf>
    <xf numFmtId="165" fontId="0" fillId="10" borderId="9" xfId="0" applyNumberFormat="1" applyFill="1" applyBorder="1" applyAlignment="1">
      <alignment horizontal="center"/>
    </xf>
    <xf numFmtId="2" fontId="0" fillId="10" borderId="9" xfId="0" applyNumberFormat="1" applyFill="1" applyBorder="1" applyAlignment="1">
      <alignment horizontal="center"/>
    </xf>
    <xf numFmtId="8" fontId="0" fillId="10" borderId="9" xfId="0" applyNumberFormat="1" applyFill="1" applyBorder="1" applyAlignment="1">
      <alignment horizontal="center"/>
    </xf>
    <xf numFmtId="164" fontId="0" fillId="9" borderId="9" xfId="0" applyNumberFormat="1" applyFill="1" applyBorder="1" applyAlignment="1">
      <alignment horizontal="center"/>
    </xf>
    <xf numFmtId="165" fontId="0" fillId="9" borderId="9" xfId="0" applyNumberFormat="1" applyFill="1" applyBorder="1" applyAlignment="1">
      <alignment horizontal="center"/>
    </xf>
    <xf numFmtId="2" fontId="0" fillId="9" borderId="9" xfId="0" applyNumberFormat="1" applyFill="1" applyBorder="1" applyAlignment="1">
      <alignment horizontal="center"/>
    </xf>
    <xf numFmtId="8" fontId="0" fillId="9" borderId="9" xfId="0" applyNumberForma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5" fontId="0" fillId="5" borderId="9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8" fontId="0" fillId="5" borderId="9" xfId="0" applyNumberFormat="1" applyFill="1" applyBorder="1" applyAlignment="1">
      <alignment horizontal="center"/>
    </xf>
    <xf numFmtId="0" fontId="0" fillId="17" borderId="9" xfId="0" applyFill="1" applyBorder="1" applyAlignment="1">
      <alignment horizontal="center"/>
    </xf>
    <xf numFmtId="164" fontId="0" fillId="17" borderId="9" xfId="0" applyNumberFormat="1" applyFill="1" applyBorder="1" applyAlignment="1">
      <alignment horizontal="center"/>
    </xf>
    <xf numFmtId="165" fontId="0" fillId="17" borderId="9" xfId="0" applyNumberFormat="1" applyFill="1" applyBorder="1" applyAlignment="1">
      <alignment horizontal="center"/>
    </xf>
    <xf numFmtId="2" fontId="0" fillId="17" borderId="9" xfId="0" applyNumberFormat="1" applyFill="1" applyBorder="1" applyAlignment="1">
      <alignment horizontal="center"/>
    </xf>
    <xf numFmtId="8" fontId="0" fillId="17" borderId="9" xfId="0" applyNumberFormat="1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164" fontId="0" fillId="12" borderId="9" xfId="0" applyNumberFormat="1" applyFill="1" applyBorder="1" applyAlignment="1">
      <alignment horizontal="center"/>
    </xf>
    <xf numFmtId="165" fontId="0" fillId="12" borderId="9" xfId="0" applyNumberFormat="1" applyFill="1" applyBorder="1" applyAlignment="1">
      <alignment horizontal="center"/>
    </xf>
    <xf numFmtId="2" fontId="0" fillId="12" borderId="9" xfId="0" applyNumberFormat="1" applyFill="1" applyBorder="1" applyAlignment="1">
      <alignment horizontal="center"/>
    </xf>
    <xf numFmtId="8" fontId="0" fillId="12" borderId="9" xfId="0" applyNumberFormat="1" applyFill="1" applyBorder="1" applyAlignment="1">
      <alignment horizontal="center"/>
    </xf>
    <xf numFmtId="0" fontId="0" fillId="14" borderId="9" xfId="0" applyFill="1" applyBorder="1"/>
    <xf numFmtId="0" fontId="0" fillId="14" borderId="9" xfId="0" applyFill="1" applyBorder="1" applyAlignment="1">
      <alignment horizontal="center"/>
    </xf>
    <xf numFmtId="164" fontId="0" fillId="14" borderId="9" xfId="0" applyNumberFormat="1" applyFill="1" applyBorder="1" applyAlignment="1">
      <alignment horizontal="center"/>
    </xf>
    <xf numFmtId="165" fontId="0" fillId="14" borderId="9" xfId="0" applyNumberFormat="1" applyFill="1" applyBorder="1" applyAlignment="1">
      <alignment horizontal="center"/>
    </xf>
    <xf numFmtId="2" fontId="0" fillId="14" borderId="9" xfId="0" applyNumberFormat="1" applyFill="1" applyBorder="1" applyAlignment="1">
      <alignment horizontal="center"/>
    </xf>
    <xf numFmtId="8" fontId="0" fillId="14" borderId="9" xfId="0" applyNumberFormat="1" applyFill="1" applyBorder="1" applyAlignment="1">
      <alignment horizontal="center"/>
    </xf>
    <xf numFmtId="166" fontId="0" fillId="11" borderId="0" xfId="0" applyNumberFormat="1" applyFill="1"/>
    <xf numFmtId="0" fontId="0" fillId="11" borderId="0" xfId="0" applyFill="1"/>
    <xf numFmtId="166" fontId="0" fillId="5" borderId="0" xfId="0" applyNumberFormat="1" applyFill="1"/>
    <xf numFmtId="0" fontId="0" fillId="5" borderId="0" xfId="0" applyFill="1" applyAlignment="1">
      <alignment horizontal="center"/>
    </xf>
    <xf numFmtId="6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6" fontId="0" fillId="12" borderId="0" xfId="0" applyNumberFormat="1" applyFill="1"/>
    <xf numFmtId="0" fontId="0" fillId="12" borderId="0" xfId="0" applyFill="1"/>
    <xf numFmtId="6" fontId="0" fillId="12" borderId="0" xfId="0" applyNumberFormat="1" applyFill="1"/>
    <xf numFmtId="6" fontId="0" fillId="9" borderId="0" xfId="0" applyNumberFormat="1" applyFill="1"/>
    <xf numFmtId="0" fontId="0" fillId="9" borderId="0" xfId="0" applyFill="1"/>
    <xf numFmtId="166" fontId="0" fillId="0" borderId="0" xfId="0" applyNumberFormat="1"/>
    <xf numFmtId="166" fontId="0" fillId="9" borderId="0" xfId="0" applyNumberFormat="1" applyFill="1"/>
    <xf numFmtId="166" fontId="0" fillId="16" borderId="0" xfId="0" applyNumberFormat="1" applyFill="1"/>
    <xf numFmtId="0" fontId="0" fillId="16" borderId="0" xfId="0" applyFill="1"/>
    <xf numFmtId="6" fontId="0" fillId="16" borderId="0" xfId="0" applyNumberFormat="1" applyFill="1"/>
    <xf numFmtId="6" fontId="0" fillId="0" borderId="0" xfId="0" applyNumberFormat="1" applyAlignment="1">
      <alignment horizontal="center"/>
    </xf>
    <xf numFmtId="6" fontId="0" fillId="15" borderId="0" xfId="0" applyNumberFormat="1" applyFill="1" applyAlignment="1">
      <alignment horizontal="center"/>
    </xf>
    <xf numFmtId="166" fontId="0" fillId="11" borderId="19" xfId="0" applyNumberFormat="1" applyFill="1" applyBorder="1"/>
    <xf numFmtId="6" fontId="0" fillId="11" borderId="19" xfId="0" applyNumberFormat="1" applyFill="1" applyBorder="1"/>
    <xf numFmtId="0" fontId="0" fillId="0" borderId="19" xfId="0" applyBorder="1"/>
    <xf numFmtId="6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6" fontId="4" fillId="10" borderId="21" xfId="0" applyNumberFormat="1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9" borderId="0" xfId="0" applyFont="1" applyFill="1" applyAlignment="1">
      <alignment horizontal="center"/>
    </xf>
    <xf numFmtId="6" fontId="0" fillId="9" borderId="0" xfId="0" applyNumberFormat="1" applyFill="1" applyAlignment="1">
      <alignment horizontal="center"/>
    </xf>
    <xf numFmtId="6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6" fontId="0" fillId="5" borderId="0" xfId="0" applyNumberFormat="1" applyFill="1"/>
    <xf numFmtId="6" fontId="0" fillId="12" borderId="0" xfId="0" applyNumberFormat="1" applyFill="1" applyAlignment="1">
      <alignment horizontal="center"/>
    </xf>
    <xf numFmtId="0" fontId="0" fillId="12" borderId="0" xfId="0" applyFill="1" applyAlignment="1">
      <alignment horizontal="center"/>
    </xf>
    <xf numFmtId="0" fontId="0" fillId="9" borderId="0" xfId="0" applyFill="1" applyAlignment="1">
      <alignment horizontal="center"/>
    </xf>
    <xf numFmtId="166" fontId="0" fillId="16" borderId="0" xfId="0" applyNumberFormat="1" applyFill="1" applyAlignment="1">
      <alignment horizontal="center"/>
    </xf>
    <xf numFmtId="6" fontId="0" fillId="16" borderId="0" xfId="0" applyNumberFormat="1" applyFill="1" applyAlignment="1">
      <alignment horizontal="center"/>
    </xf>
    <xf numFmtId="0" fontId="0" fillId="16" borderId="0" xfId="0" applyFill="1" applyAlignment="1">
      <alignment horizontal="center"/>
    </xf>
    <xf numFmtId="6" fontId="0" fillId="14" borderId="0" xfId="0" applyNumberFormat="1" applyFill="1" applyAlignment="1">
      <alignment horizontal="center"/>
    </xf>
    <xf numFmtId="0" fontId="0" fillId="14" borderId="0" xfId="0" applyFill="1" applyAlignment="1">
      <alignment horizontal="center"/>
    </xf>
    <xf numFmtId="167" fontId="0" fillId="0" borderId="0" xfId="15" applyNumberFormat="1" applyFont="1" applyAlignment="1">
      <alignment horizontal="center"/>
    </xf>
    <xf numFmtId="10" fontId="0" fillId="0" borderId="0" xfId="15" applyNumberFormat="1" applyFont="1" applyFill="1" applyBorder="1"/>
    <xf numFmtId="0" fontId="0" fillId="15" borderId="9" xfId="0" applyFill="1" applyBorder="1"/>
    <xf numFmtId="0" fontId="0" fillId="15" borderId="9" xfId="0" applyFill="1" applyBorder="1" applyAlignment="1">
      <alignment horizontal="center"/>
    </xf>
    <xf numFmtId="164" fontId="0" fillId="15" borderId="9" xfId="0" applyNumberFormat="1" applyFill="1" applyBorder="1" applyAlignment="1">
      <alignment horizontal="center"/>
    </xf>
    <xf numFmtId="165" fontId="0" fillId="15" borderId="9" xfId="0" applyNumberFormat="1" applyFill="1" applyBorder="1" applyAlignment="1">
      <alignment horizontal="center"/>
    </xf>
    <xf numFmtId="2" fontId="0" fillId="15" borderId="9" xfId="0" applyNumberFormat="1" applyFill="1" applyBorder="1" applyAlignment="1">
      <alignment horizontal="center"/>
    </xf>
    <xf numFmtId="8" fontId="0" fillId="15" borderId="9" xfId="0" applyNumberForma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26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10" fontId="2" fillId="8" borderId="16" xfId="15" applyNumberFormat="1" applyFont="1" applyFill="1" applyBorder="1"/>
    <xf numFmtId="0" fontId="2" fillId="8" borderId="18" xfId="0" applyFont="1" applyFill="1" applyBorder="1" applyAlignment="1">
      <alignment horizontal="center"/>
    </xf>
    <xf numFmtId="10" fontId="4" fillId="0" borderId="19" xfId="15" applyNumberFormat="1" applyFont="1" applyBorder="1"/>
    <xf numFmtId="168" fontId="0" fillId="0" borderId="20" xfId="0" applyNumberFormat="1" applyBorder="1" applyAlignment="1">
      <alignment horizontal="center" vertical="center"/>
    </xf>
    <xf numFmtId="0" fontId="4" fillId="0" borderId="19" xfId="0" applyFont="1" applyBorder="1"/>
    <xf numFmtId="10" fontId="4" fillId="0" borderId="21" xfId="15" applyNumberFormat="1" applyFont="1" applyBorder="1"/>
    <xf numFmtId="168" fontId="0" fillId="0" borderId="23" xfId="0" applyNumberFormat="1" applyBorder="1" applyAlignment="1">
      <alignment horizontal="center" vertical="center"/>
    </xf>
    <xf numFmtId="0" fontId="2" fillId="8" borderId="17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168" fontId="4" fillId="0" borderId="0" xfId="0" applyNumberFormat="1" applyFont="1"/>
    <xf numFmtId="9" fontId="2" fillId="8" borderId="24" xfId="0" applyNumberFormat="1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0" fillId="0" borderId="22" xfId="0" applyNumberFormat="1" applyBorder="1" applyAlignment="1">
      <alignment horizontal="center"/>
    </xf>
    <xf numFmtId="6" fontId="0" fillId="0" borderId="23" xfId="0" applyNumberFormat="1" applyBorder="1" applyAlignment="1">
      <alignment horizontal="center"/>
    </xf>
    <xf numFmtId="0" fontId="2" fillId="8" borderId="0" xfId="0" applyFont="1" applyFill="1" applyAlignment="1">
      <alignment horizontal="center"/>
    </xf>
    <xf numFmtId="6" fontId="0" fillId="18" borderId="0" xfId="0" applyNumberFormat="1" applyFill="1" applyAlignment="1">
      <alignment horizontal="center"/>
    </xf>
    <xf numFmtId="0" fontId="2" fillId="18" borderId="0" xfId="0" applyFont="1" applyFill="1" applyAlignment="1">
      <alignment horizontal="center"/>
    </xf>
    <xf numFmtId="6" fontId="0" fillId="18" borderId="22" xfId="0" applyNumberForma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1" fontId="2" fillId="7" borderId="9" xfId="0" applyNumberFormat="1" applyFont="1" applyFill="1" applyBorder="1" applyAlignment="1">
      <alignment horizontal="center"/>
    </xf>
    <xf numFmtId="1" fontId="2" fillId="8" borderId="9" xfId="0" applyNumberFormat="1" applyFont="1" applyFill="1" applyBorder="1" applyAlignment="1">
      <alignment horizontal="center"/>
    </xf>
    <xf numFmtId="2" fontId="2" fillId="7" borderId="9" xfId="0" applyNumberFormat="1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2" fontId="2" fillId="7" borderId="7" xfId="0" applyNumberFormat="1" applyFont="1" applyFill="1" applyBorder="1" applyAlignment="1">
      <alignment horizontal="center"/>
    </xf>
    <xf numFmtId="0" fontId="0" fillId="19" borderId="9" xfId="0" applyFill="1" applyBorder="1"/>
    <xf numFmtId="0" fontId="0" fillId="19" borderId="9" xfId="0" applyFill="1" applyBorder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16" borderId="9" xfId="0" applyFill="1" applyBorder="1"/>
    <xf numFmtId="0" fontId="0" fillId="16" borderId="9" xfId="0" applyFill="1" applyBorder="1" applyAlignment="1">
      <alignment horizontal="center"/>
    </xf>
    <xf numFmtId="0" fontId="6" fillId="17" borderId="9" xfId="0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0" fillId="19" borderId="27" xfId="0" applyFill="1" applyBorder="1" applyAlignment="1">
      <alignment horizontal="center"/>
    </xf>
    <xf numFmtId="0" fontId="0" fillId="19" borderId="2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9" borderId="9" xfId="0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20" borderId="9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left"/>
    </xf>
    <xf numFmtId="165" fontId="2" fillId="7" borderId="9" xfId="0" applyNumberFormat="1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left"/>
    </xf>
    <xf numFmtId="0" fontId="2" fillId="7" borderId="15" xfId="0" applyFont="1" applyFill="1" applyBorder="1" applyAlignment="1">
      <alignment horizontal="left"/>
    </xf>
    <xf numFmtId="0" fontId="2" fillId="7" borderId="40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ill>
        <patternFill>
          <bgColor theme="5" tint="0.79997998476028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calcChain" Target="calcChain.xml" /><Relationship Id="rId1" Type="http://schemas.openxmlformats.org/officeDocument/2006/relationships/theme" Target="theme/theme1.xml" /><Relationship Id="rId5" Type="http://schemas.openxmlformats.org/officeDocument/2006/relationships/worksheet" Target="worksheets/sheet4.xml" /><Relationship Id="rId9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customXml" Target="../customXml/item1.xml" /><Relationship Id="rId11" Type="http://schemas.openxmlformats.org/officeDocument/2006/relationships/customXml" Target="../customXml/item2.xml" /><Relationship Id="rId12" Type="http://schemas.openxmlformats.org/officeDocument/2006/relationships/customXml" Target="../customXml/item3.xml" /><Relationship Id="rId13" Type="http://schemas.openxmlformats.org/officeDocument/2006/relationships/customXml" Target="../customXml/item4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152400</xdr:colOff>
      <xdr:row>9</xdr:row>
      <xdr:rowOff>9525</xdr:rowOff>
    </xdr:from>
    <xdr:to>
      <xdr:col>14</xdr:col>
      <xdr:colOff>457200</xdr:colOff>
      <xdr:row>9</xdr:row>
      <xdr:rowOff>9525</xdr:rowOff>
    </xdr:to>
    <xdr:cxnSp macro="">
      <xdr:nvCxnSpPr>
        <xdr:cNvPr id="3" name="Straight Connector 2"/>
        <xdr:cNvCxnSpPr/>
      </xdr:nvCxnSpPr>
      <xdr:spPr>
        <a:xfrm>
          <a:off x="152400" y="1752600"/>
          <a:ext cx="13944600" cy="0"/>
        </a:xfrm>
        <a:prstGeom prst="line"/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6D0D-C0F6-4E83-AEF8-4DE5493FECFF}">
  <dimension ref="B2:P39"/>
  <sheetViews>
    <sheetView showGridLines="0" workbookViewId="0" topLeftCell="A1">
      <selection pane="topLeft" activeCell="O13" sqref="O13"/>
    </sheetView>
  </sheetViews>
  <sheetFormatPr defaultRowHeight="15"/>
  <cols>
    <col min="2" max="2" width="3" bestFit="1" customWidth="1"/>
    <col min="3" max="3" width="15" bestFit="1" customWidth="1"/>
    <col min="4" max="4" width="31.2857142857143" bestFit="1" customWidth="1"/>
    <col min="5" max="5" width="16.1428571428571" bestFit="1" customWidth="1"/>
    <col min="6" max="6" width="17.8571428571429" bestFit="1" customWidth="1"/>
    <col min="7" max="7" width="16.7142857142857" bestFit="1" customWidth="1"/>
    <col min="8" max="8" width="15.4285714285714" bestFit="1" customWidth="1"/>
    <col min="9" max="9" width="12" bestFit="1" customWidth="1"/>
    <col min="10" max="10" width="19.7142857142857" bestFit="1" customWidth="1"/>
    <col min="11" max="11" width="11.7142857142857" bestFit="1" customWidth="1"/>
    <col min="12" max="12" width="17.2857142857143" bestFit="1" customWidth="1"/>
    <col min="13" max="13" width="10.7142857142857" bestFit="1" customWidth="1"/>
    <col min="14" max="14" width="8.57142857142857" bestFit="1" customWidth="1"/>
  </cols>
  <sheetData>
    <row r="1" ht="15.75" thickBot="1"/>
    <row r="2" spans="2:14" ht="15">
      <c r="B2" s="199"/>
      <c r="C2" s="200"/>
      <c r="D2" s="200"/>
      <c r="E2" s="203" t="s">
        <v>0</v>
      </c>
      <c r="F2" s="203"/>
      <c r="G2" s="203"/>
      <c r="H2" s="203"/>
      <c r="I2" s="203"/>
      <c r="J2" s="203"/>
      <c r="K2" s="203"/>
      <c r="L2" s="203"/>
      <c r="M2" s="203"/>
      <c r="N2" s="1"/>
    </row>
    <row r="3" spans="2:14" ht="15">
      <c r="B3" s="201"/>
      <c r="C3" s="202"/>
      <c r="D3" s="202"/>
      <c r="E3" s="204" t="s">
        <v>1</v>
      </c>
      <c r="F3" s="204"/>
      <c r="G3" s="204"/>
      <c r="H3" s="204" t="s">
        <v>2</v>
      </c>
      <c r="I3" s="204"/>
      <c r="J3" s="204"/>
      <c r="K3" s="204" t="s">
        <v>3</v>
      </c>
      <c r="L3" s="204"/>
      <c r="M3" s="204"/>
      <c r="N3" s="2"/>
    </row>
    <row r="4" spans="2:14" ht="15.75" thickBot="1">
      <c r="B4" s="3" t="s">
        <v>4</v>
      </c>
      <c r="C4" s="4" t="s">
        <v>5</v>
      </c>
      <c r="D4" s="4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6" t="s">
        <v>16</v>
      </c>
    </row>
    <row r="5" spans="2:14" ht="15.75" thickTop="1">
      <c r="B5" s="7">
        <v>16</v>
      </c>
      <c r="C5" s="8" t="s">
        <v>17</v>
      </c>
      <c r="D5" s="8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33">
        <v>66.850000000000009</v>
      </c>
    </row>
    <row r="6" spans="2:14" ht="15">
      <c r="B6" s="10">
        <v>29</v>
      </c>
      <c r="C6" s="11" t="s">
        <v>28</v>
      </c>
      <c r="D6" s="11" t="s">
        <v>29</v>
      </c>
      <c r="E6" s="9" t="s">
        <v>19</v>
      </c>
      <c r="F6" s="12" t="s">
        <v>20</v>
      </c>
      <c r="G6" s="12" t="s">
        <v>30</v>
      </c>
      <c r="H6" s="12" t="s">
        <v>31</v>
      </c>
      <c r="I6" s="12" t="s">
        <v>32</v>
      </c>
      <c r="J6" s="12" t="s">
        <v>24</v>
      </c>
      <c r="K6" s="12" t="s">
        <v>25</v>
      </c>
      <c r="L6" s="12" t="s">
        <v>33</v>
      </c>
      <c r="M6" s="12" t="s">
        <v>34</v>
      </c>
      <c r="N6" s="33">
        <v>65.25</v>
      </c>
    </row>
    <row r="7" spans="2:14" ht="15">
      <c r="B7" s="10">
        <v>25</v>
      </c>
      <c r="C7" s="11" t="s">
        <v>28</v>
      </c>
      <c r="D7" s="13" t="s">
        <v>35</v>
      </c>
      <c r="E7" s="9" t="s">
        <v>19</v>
      </c>
      <c r="F7" s="12" t="s">
        <v>20</v>
      </c>
      <c r="G7" s="12" t="s">
        <v>30</v>
      </c>
      <c r="H7" s="12" t="s">
        <v>31</v>
      </c>
      <c r="I7" s="12" t="s">
        <v>23</v>
      </c>
      <c r="J7" s="12" t="s">
        <v>24</v>
      </c>
      <c r="K7" s="12" t="s">
        <v>25</v>
      </c>
      <c r="L7" s="12" t="s">
        <v>26</v>
      </c>
      <c r="M7" s="12" t="s">
        <v>34</v>
      </c>
      <c r="N7" s="33">
        <v>64.650000000000006</v>
      </c>
    </row>
    <row r="8" spans="2:14" ht="15">
      <c r="B8" s="10">
        <v>8</v>
      </c>
      <c r="C8" s="11" t="s">
        <v>36</v>
      </c>
      <c r="D8" s="11" t="s">
        <v>37</v>
      </c>
      <c r="E8" s="9" t="s">
        <v>38</v>
      </c>
      <c r="F8" s="12">
        <v>9</v>
      </c>
      <c r="G8" s="12" t="s">
        <v>39</v>
      </c>
      <c r="H8" s="12" t="s">
        <v>40</v>
      </c>
      <c r="I8" s="12" t="s">
        <v>32</v>
      </c>
      <c r="J8" s="12" t="s">
        <v>41</v>
      </c>
      <c r="K8" s="12" t="s">
        <v>25</v>
      </c>
      <c r="L8" s="12" t="s">
        <v>33</v>
      </c>
      <c r="M8" s="12" t="s">
        <v>42</v>
      </c>
      <c r="N8" s="33">
        <v>57.900000000000006</v>
      </c>
    </row>
    <row r="9" spans="2:14" ht="15">
      <c r="B9" s="10">
        <v>12</v>
      </c>
      <c r="C9" s="11" t="s">
        <v>43</v>
      </c>
      <c r="D9" s="11" t="s">
        <v>44</v>
      </c>
      <c r="E9" s="9" t="s">
        <v>38</v>
      </c>
      <c r="F9" s="12" t="s">
        <v>45</v>
      </c>
      <c r="G9" s="12" t="s">
        <v>39</v>
      </c>
      <c r="H9" s="12" t="s">
        <v>31</v>
      </c>
      <c r="I9" s="12" t="s">
        <v>32</v>
      </c>
      <c r="J9" s="12" t="s">
        <v>46</v>
      </c>
      <c r="K9" s="12" t="s">
        <v>47</v>
      </c>
      <c r="L9" s="12" t="s">
        <v>48</v>
      </c>
      <c r="M9" s="12" t="s">
        <v>27</v>
      </c>
      <c r="N9" s="33">
        <v>54.575000000000003</v>
      </c>
    </row>
    <row r="10" spans="2:14" ht="15">
      <c r="B10" s="10">
        <v>27</v>
      </c>
      <c r="C10" s="11" t="s">
        <v>28</v>
      </c>
      <c r="D10" s="13" t="s">
        <v>49</v>
      </c>
      <c r="E10" s="9" t="s">
        <v>19</v>
      </c>
      <c r="F10" s="12" t="s">
        <v>20</v>
      </c>
      <c r="G10" s="12" t="s">
        <v>39</v>
      </c>
      <c r="H10" s="12" t="s">
        <v>22</v>
      </c>
      <c r="I10" s="12" t="s">
        <v>32</v>
      </c>
      <c r="J10" s="12" t="s">
        <v>50</v>
      </c>
      <c r="K10" s="12" t="s">
        <v>25</v>
      </c>
      <c r="L10" s="12" t="s">
        <v>51</v>
      </c>
      <c r="M10" s="12" t="s">
        <v>52</v>
      </c>
      <c r="N10" s="33">
        <v>54.349999999999994</v>
      </c>
    </row>
    <row r="11" spans="2:14" ht="15">
      <c r="B11" s="10">
        <v>14</v>
      </c>
      <c r="C11" s="11" t="s">
        <v>53</v>
      </c>
      <c r="D11" s="11" t="s">
        <v>54</v>
      </c>
      <c r="E11" s="9" t="s">
        <v>19</v>
      </c>
      <c r="F11" s="12" t="s">
        <v>20</v>
      </c>
      <c r="G11" s="12" t="s">
        <v>21</v>
      </c>
      <c r="H11" s="12" t="s">
        <v>31</v>
      </c>
      <c r="I11" s="12" t="s">
        <v>32</v>
      </c>
      <c r="J11" s="12" t="s">
        <v>46</v>
      </c>
      <c r="K11" s="12" t="s">
        <v>25</v>
      </c>
      <c r="L11" s="12" t="s">
        <v>51</v>
      </c>
      <c r="M11" s="12" t="s">
        <v>34</v>
      </c>
      <c r="N11" s="33">
        <v>51.700000000000003</v>
      </c>
    </row>
    <row r="12" spans="2:14" ht="15">
      <c r="B12" s="10">
        <v>7</v>
      </c>
      <c r="C12" s="11" t="s">
        <v>36</v>
      </c>
      <c r="D12" s="11" t="s">
        <v>55</v>
      </c>
      <c r="E12" s="9" t="s">
        <v>38</v>
      </c>
      <c r="F12" s="12">
        <v>9</v>
      </c>
      <c r="G12" s="12" t="s">
        <v>56</v>
      </c>
      <c r="H12" s="12" t="s">
        <v>40</v>
      </c>
      <c r="I12" s="12" t="s">
        <v>32</v>
      </c>
      <c r="J12" s="12" t="s">
        <v>41</v>
      </c>
      <c r="K12" s="12" t="s">
        <v>25</v>
      </c>
      <c r="L12" s="12" t="s">
        <v>33</v>
      </c>
      <c r="M12" s="12" t="s">
        <v>34</v>
      </c>
      <c r="N12" s="33">
        <v>51.050000000000004</v>
      </c>
    </row>
    <row r="13" spans="2:14" ht="15">
      <c r="B13" s="10">
        <v>10</v>
      </c>
      <c r="C13" s="11" t="s">
        <v>36</v>
      </c>
      <c r="D13" s="13" t="s">
        <v>57</v>
      </c>
      <c r="E13" s="9" t="s">
        <v>38</v>
      </c>
      <c r="F13" s="12">
        <v>9</v>
      </c>
      <c r="G13" s="12" t="s">
        <v>56</v>
      </c>
      <c r="H13" s="12" t="s">
        <v>40</v>
      </c>
      <c r="I13" s="12" t="s">
        <v>32</v>
      </c>
      <c r="J13" s="12" t="s">
        <v>41</v>
      </c>
      <c r="K13" s="12" t="s">
        <v>25</v>
      </c>
      <c r="L13" s="12" t="s">
        <v>33</v>
      </c>
      <c r="M13" s="12" t="s">
        <v>34</v>
      </c>
      <c r="N13" s="33">
        <v>51.050000000000004</v>
      </c>
    </row>
    <row r="14" spans="2:14" ht="15">
      <c r="B14" s="10">
        <v>28</v>
      </c>
      <c r="C14" s="11" t="s">
        <v>28</v>
      </c>
      <c r="D14" s="11" t="s">
        <v>58</v>
      </c>
      <c r="E14" s="9" t="s">
        <v>19</v>
      </c>
      <c r="F14" s="12" t="s">
        <v>20</v>
      </c>
      <c r="G14" s="12" t="s">
        <v>39</v>
      </c>
      <c r="H14" s="12" t="s">
        <v>40</v>
      </c>
      <c r="I14" s="12" t="s">
        <v>32</v>
      </c>
      <c r="J14" s="12" t="s">
        <v>24</v>
      </c>
      <c r="K14" s="12" t="s">
        <v>25</v>
      </c>
      <c r="L14" s="12" t="s">
        <v>51</v>
      </c>
      <c r="M14" s="12" t="s">
        <v>34</v>
      </c>
      <c r="N14" s="33">
        <v>50.299999999999997</v>
      </c>
    </row>
    <row r="15" spans="2:14" ht="15">
      <c r="B15" s="10">
        <v>21</v>
      </c>
      <c r="C15" s="11" t="s">
        <v>59</v>
      </c>
      <c r="D15" s="13" t="s">
        <v>60</v>
      </c>
      <c r="E15" s="9" t="s">
        <v>19</v>
      </c>
      <c r="F15" s="12" t="s">
        <v>20</v>
      </c>
      <c r="G15" s="12" t="s">
        <v>21</v>
      </c>
      <c r="H15" s="12" t="s">
        <v>31</v>
      </c>
      <c r="I15" s="12" t="s">
        <v>32</v>
      </c>
      <c r="J15" s="12" t="s">
        <v>24</v>
      </c>
      <c r="K15" s="12" t="s">
        <v>47</v>
      </c>
      <c r="L15" s="12" t="s">
        <v>26</v>
      </c>
      <c r="M15" s="12" t="s">
        <v>42</v>
      </c>
      <c r="N15" s="33">
        <v>50.125</v>
      </c>
    </row>
    <row r="16" spans="2:14" ht="15">
      <c r="B16" s="10">
        <v>22</v>
      </c>
      <c r="C16" s="11" t="s">
        <v>59</v>
      </c>
      <c r="D16" s="11" t="s">
        <v>61</v>
      </c>
      <c r="E16" s="9" t="s">
        <v>19</v>
      </c>
      <c r="F16" s="12" t="s">
        <v>20</v>
      </c>
      <c r="G16" s="12" t="s">
        <v>21</v>
      </c>
      <c r="H16" s="12" t="s">
        <v>31</v>
      </c>
      <c r="I16" s="12" t="s">
        <v>32</v>
      </c>
      <c r="J16" s="12" t="s">
        <v>46</v>
      </c>
      <c r="K16" s="12" t="s">
        <v>25</v>
      </c>
      <c r="L16" s="12" t="s">
        <v>51</v>
      </c>
      <c r="M16" s="12" t="s">
        <v>52</v>
      </c>
      <c r="N16" s="33">
        <v>47.649999999999999</v>
      </c>
    </row>
    <row r="17" spans="2:14" ht="15">
      <c r="B17" s="10">
        <v>23</v>
      </c>
      <c r="C17" s="11" t="s">
        <v>59</v>
      </c>
      <c r="D17" s="13" t="s">
        <v>62</v>
      </c>
      <c r="E17" s="9" t="s">
        <v>19</v>
      </c>
      <c r="F17" s="12" t="s">
        <v>20</v>
      </c>
      <c r="G17" s="12" t="s">
        <v>39</v>
      </c>
      <c r="H17" s="12" t="s">
        <v>40</v>
      </c>
      <c r="I17" s="12" t="s">
        <v>32</v>
      </c>
      <c r="J17" s="12" t="s">
        <v>24</v>
      </c>
      <c r="K17" s="12" t="s">
        <v>25</v>
      </c>
      <c r="L17" s="12" t="s">
        <v>51</v>
      </c>
      <c r="M17" s="12" t="s">
        <v>63</v>
      </c>
      <c r="N17" s="33">
        <v>47.599999999999994</v>
      </c>
    </row>
    <row r="18" spans="2:14" ht="15">
      <c r="B18" s="10">
        <v>9</v>
      </c>
      <c r="C18" s="11" t="s">
        <v>36</v>
      </c>
      <c r="D18" s="11" t="s">
        <v>64</v>
      </c>
      <c r="E18" s="12" t="s">
        <v>38</v>
      </c>
      <c r="F18" s="12">
        <v>9</v>
      </c>
      <c r="G18" s="12" t="s">
        <v>65</v>
      </c>
      <c r="H18" s="12" t="s">
        <v>40</v>
      </c>
      <c r="I18" s="12" t="s">
        <v>32</v>
      </c>
      <c r="J18" s="12" t="s">
        <v>41</v>
      </c>
      <c r="K18" s="12" t="s">
        <v>25</v>
      </c>
      <c r="L18" s="12" t="s">
        <v>51</v>
      </c>
      <c r="M18" s="12" t="s">
        <v>66</v>
      </c>
      <c r="N18" s="33">
        <v>45.25</v>
      </c>
    </row>
    <row r="19" spans="2:14" ht="15">
      <c r="B19" s="10">
        <v>24</v>
      </c>
      <c r="C19" s="11" t="s">
        <v>59</v>
      </c>
      <c r="D19" s="11" t="s">
        <v>67</v>
      </c>
      <c r="E19" s="12" t="s">
        <v>19</v>
      </c>
      <c r="F19" s="12" t="s">
        <v>20</v>
      </c>
      <c r="G19" s="12" t="s">
        <v>21</v>
      </c>
      <c r="H19" s="12" t="s">
        <v>22</v>
      </c>
      <c r="I19" s="12" t="s">
        <v>23</v>
      </c>
      <c r="J19" s="12" t="s">
        <v>50</v>
      </c>
      <c r="K19" s="12" t="s">
        <v>68</v>
      </c>
      <c r="L19" s="12" t="s">
        <v>51</v>
      </c>
      <c r="M19" s="12" t="s">
        <v>66</v>
      </c>
      <c r="N19" s="33">
        <v>42.549999999999997</v>
      </c>
    </row>
    <row r="20" spans="2:14" ht="15">
      <c r="B20" s="10">
        <v>18</v>
      </c>
      <c r="C20" s="11" t="s">
        <v>69</v>
      </c>
      <c r="D20" s="11" t="s">
        <v>70</v>
      </c>
      <c r="E20" s="12" t="s">
        <v>19</v>
      </c>
      <c r="F20" s="12" t="s">
        <v>20</v>
      </c>
      <c r="G20" s="12" t="s">
        <v>21</v>
      </c>
      <c r="H20" s="12" t="s">
        <v>31</v>
      </c>
      <c r="I20" s="12" t="s">
        <v>23</v>
      </c>
      <c r="J20" s="12" t="s">
        <v>24</v>
      </c>
      <c r="K20" s="12" t="s">
        <v>68</v>
      </c>
      <c r="L20" s="12" t="s">
        <v>26</v>
      </c>
      <c r="M20" s="12" t="s">
        <v>66</v>
      </c>
      <c r="N20" s="33">
        <v>40.299999999999997</v>
      </c>
    </row>
    <row r="21" spans="2:14" ht="15">
      <c r="B21" s="10">
        <v>11</v>
      </c>
      <c r="C21" s="11" t="s">
        <v>43</v>
      </c>
      <c r="D21" s="13" t="s">
        <v>71</v>
      </c>
      <c r="E21" s="12" t="s">
        <v>38</v>
      </c>
      <c r="F21" s="12" t="s">
        <v>45</v>
      </c>
      <c r="G21" s="12" t="s">
        <v>56</v>
      </c>
      <c r="H21" s="12" t="s">
        <v>40</v>
      </c>
      <c r="I21" s="12" t="s">
        <v>32</v>
      </c>
      <c r="J21" s="12" t="s">
        <v>41</v>
      </c>
      <c r="K21" s="12" t="s">
        <v>25</v>
      </c>
      <c r="L21" s="12" t="s">
        <v>51</v>
      </c>
      <c r="M21" s="12" t="s">
        <v>34</v>
      </c>
      <c r="N21" s="33">
        <v>39.850000000000001</v>
      </c>
    </row>
    <row r="22" spans="2:14" ht="15">
      <c r="B22" s="10">
        <v>20</v>
      </c>
      <c r="C22" s="11" t="s">
        <v>69</v>
      </c>
      <c r="D22" s="11" t="s">
        <v>72</v>
      </c>
      <c r="E22" s="12" t="s">
        <v>19</v>
      </c>
      <c r="F22" s="12" t="s">
        <v>20</v>
      </c>
      <c r="G22" s="12" t="s">
        <v>56</v>
      </c>
      <c r="H22" s="12" t="s">
        <v>22</v>
      </c>
      <c r="I22" s="12" t="s">
        <v>32</v>
      </c>
      <c r="J22" s="12" t="s">
        <v>24</v>
      </c>
      <c r="K22" s="12" t="s">
        <v>25</v>
      </c>
      <c r="L22" s="12" t="s">
        <v>73</v>
      </c>
      <c r="M22" s="12" t="s">
        <v>52</v>
      </c>
      <c r="N22" s="33">
        <v>38.049999999999997</v>
      </c>
    </row>
    <row r="23" spans="2:14" ht="15">
      <c r="B23" s="10">
        <v>4</v>
      </c>
      <c r="C23" s="11" t="s">
        <v>74</v>
      </c>
      <c r="D23" s="11" t="s">
        <v>75</v>
      </c>
      <c r="E23" s="12" t="s">
        <v>38</v>
      </c>
      <c r="F23" s="12" t="s">
        <v>76</v>
      </c>
      <c r="G23" s="12" t="s">
        <v>39</v>
      </c>
      <c r="H23" s="12" t="s">
        <v>31</v>
      </c>
      <c r="I23" s="12" t="s">
        <v>32</v>
      </c>
      <c r="J23" s="12" t="s">
        <v>41</v>
      </c>
      <c r="K23" s="12" t="s">
        <v>68</v>
      </c>
      <c r="L23" s="12" t="s">
        <v>33</v>
      </c>
      <c r="M23" s="12" t="s">
        <v>42</v>
      </c>
      <c r="N23" s="33">
        <v>36.900000000000006</v>
      </c>
    </row>
    <row r="24" spans="2:14" ht="15">
      <c r="B24" s="10">
        <v>15</v>
      </c>
      <c r="C24" s="11" t="s">
        <v>53</v>
      </c>
      <c r="D24" s="11" t="s">
        <v>77</v>
      </c>
      <c r="E24" s="12" t="s">
        <v>19</v>
      </c>
      <c r="F24" s="12" t="s">
        <v>20</v>
      </c>
      <c r="G24" s="12" t="s">
        <v>56</v>
      </c>
      <c r="H24" s="12" t="s">
        <v>31</v>
      </c>
      <c r="I24" s="12" t="s">
        <v>32</v>
      </c>
      <c r="J24" s="12" t="s">
        <v>46</v>
      </c>
      <c r="K24" s="12" t="s">
        <v>25</v>
      </c>
      <c r="L24" s="12" t="s">
        <v>73</v>
      </c>
      <c r="M24" s="12" t="s">
        <v>34</v>
      </c>
      <c r="N24" s="33">
        <v>36.25</v>
      </c>
    </row>
    <row r="25" spans="2:14" ht="15">
      <c r="B25" s="10">
        <v>6</v>
      </c>
      <c r="C25" s="11" t="s">
        <v>36</v>
      </c>
      <c r="D25" s="11" t="s">
        <v>78</v>
      </c>
      <c r="E25" s="12" t="s">
        <v>38</v>
      </c>
      <c r="F25" s="12">
        <v>9</v>
      </c>
      <c r="G25" s="12" t="s">
        <v>65</v>
      </c>
      <c r="H25" s="12" t="s">
        <v>22</v>
      </c>
      <c r="I25" s="12" t="s">
        <v>32</v>
      </c>
      <c r="J25" s="12" t="s">
        <v>46</v>
      </c>
      <c r="K25" s="12" t="s">
        <v>68</v>
      </c>
      <c r="L25" s="12" t="s">
        <v>51</v>
      </c>
      <c r="M25" s="12" t="s">
        <v>34</v>
      </c>
      <c r="N25" s="33">
        <v>34.450000000000003</v>
      </c>
    </row>
    <row r="26" spans="2:14" ht="15">
      <c r="B26" s="10">
        <v>26</v>
      </c>
      <c r="C26" s="11" t="s">
        <v>28</v>
      </c>
      <c r="D26" s="11" t="s">
        <v>79</v>
      </c>
      <c r="E26" s="12" t="s">
        <v>19</v>
      </c>
      <c r="F26" s="12" t="s">
        <v>20</v>
      </c>
      <c r="G26" s="12" t="s">
        <v>56</v>
      </c>
      <c r="H26" s="12" t="s">
        <v>80</v>
      </c>
      <c r="I26" s="12" t="s">
        <v>32</v>
      </c>
      <c r="J26" s="12" t="s">
        <v>24</v>
      </c>
      <c r="K26" s="12" t="s">
        <v>47</v>
      </c>
      <c r="L26" s="12" t="s">
        <v>73</v>
      </c>
      <c r="M26" s="12" t="s">
        <v>52</v>
      </c>
      <c r="N26" s="33">
        <v>30.175000000000001</v>
      </c>
    </row>
    <row r="27" spans="2:14" ht="15">
      <c r="B27" s="10">
        <v>13</v>
      </c>
      <c r="C27" s="11" t="s">
        <v>43</v>
      </c>
      <c r="D27" s="11" t="s">
        <v>81</v>
      </c>
      <c r="E27" s="12" t="s">
        <v>38</v>
      </c>
      <c r="F27" s="12" t="s">
        <v>45</v>
      </c>
      <c r="G27" s="12" t="s">
        <v>65</v>
      </c>
      <c r="H27" s="12" t="s">
        <v>40</v>
      </c>
      <c r="I27" s="12" t="s">
        <v>32</v>
      </c>
      <c r="J27" s="12" t="s">
        <v>82</v>
      </c>
      <c r="K27" s="12" t="s">
        <v>47</v>
      </c>
      <c r="L27" s="12" t="s">
        <v>51</v>
      </c>
      <c r="M27" s="12" t="s">
        <v>34</v>
      </c>
      <c r="N27" s="33">
        <v>28.875</v>
      </c>
    </row>
    <row r="28" spans="2:14" ht="15">
      <c r="B28" s="10">
        <v>5</v>
      </c>
      <c r="C28" s="11" t="s">
        <v>36</v>
      </c>
      <c r="D28" s="11" t="s">
        <v>83</v>
      </c>
      <c r="E28" s="12" t="s">
        <v>38</v>
      </c>
      <c r="F28" s="12">
        <v>9</v>
      </c>
      <c r="G28" s="12" t="s">
        <v>65</v>
      </c>
      <c r="H28" s="12" t="s">
        <v>40</v>
      </c>
      <c r="I28" s="12" t="s">
        <v>32</v>
      </c>
      <c r="J28" s="12" t="s">
        <v>41</v>
      </c>
      <c r="K28" s="12" t="s">
        <v>68</v>
      </c>
      <c r="L28" s="12" t="s">
        <v>51</v>
      </c>
      <c r="M28" s="12" t="s">
        <v>34</v>
      </c>
      <c r="N28" s="33">
        <v>26.350000000000001</v>
      </c>
    </row>
    <row r="29" spans="2:14" ht="15">
      <c r="B29" s="10">
        <v>2</v>
      </c>
      <c r="C29" s="11" t="s">
        <v>74</v>
      </c>
      <c r="D29" s="11" t="s">
        <v>84</v>
      </c>
      <c r="E29" s="12" t="s">
        <v>38</v>
      </c>
      <c r="F29" s="12" t="s">
        <v>76</v>
      </c>
      <c r="G29" s="12" t="s">
        <v>56</v>
      </c>
      <c r="H29" s="12" t="s">
        <v>40</v>
      </c>
      <c r="I29" s="12" t="s">
        <v>32</v>
      </c>
      <c r="J29" s="12" t="s">
        <v>41</v>
      </c>
      <c r="K29" s="12" t="s">
        <v>68</v>
      </c>
      <c r="L29" s="12" t="s">
        <v>26</v>
      </c>
      <c r="M29" s="12" t="s">
        <v>34</v>
      </c>
      <c r="N29" s="33">
        <v>24.199999999999999</v>
      </c>
    </row>
    <row r="30" spans="2:14" ht="15">
      <c r="B30" s="10">
        <v>17</v>
      </c>
      <c r="C30" s="11" t="s">
        <v>69</v>
      </c>
      <c r="D30" s="11" t="s">
        <v>85</v>
      </c>
      <c r="E30" s="12" t="s">
        <v>19</v>
      </c>
      <c r="F30" s="12" t="s">
        <v>20</v>
      </c>
      <c r="G30" s="12" t="s">
        <v>65</v>
      </c>
      <c r="H30" s="12" t="s">
        <v>31</v>
      </c>
      <c r="I30" s="12" t="s">
        <v>32</v>
      </c>
      <c r="J30" s="12" t="s">
        <v>24</v>
      </c>
      <c r="K30" s="12" t="s">
        <v>68</v>
      </c>
      <c r="L30" s="12" t="s">
        <v>86</v>
      </c>
      <c r="M30" s="12" t="s">
        <v>63</v>
      </c>
      <c r="N30" s="33">
        <v>23.249999999999996</v>
      </c>
    </row>
    <row r="31" spans="2:14" ht="15">
      <c r="B31" s="10">
        <v>1</v>
      </c>
      <c r="C31" s="11" t="s">
        <v>74</v>
      </c>
      <c r="D31" s="11" t="s">
        <v>87</v>
      </c>
      <c r="E31" s="12" t="s">
        <v>38</v>
      </c>
      <c r="F31" s="12" t="s">
        <v>76</v>
      </c>
      <c r="G31" s="12" t="s">
        <v>56</v>
      </c>
      <c r="H31" s="12" t="s">
        <v>40</v>
      </c>
      <c r="I31" s="12" t="s">
        <v>32</v>
      </c>
      <c r="J31" s="12" t="s">
        <v>41</v>
      </c>
      <c r="K31" s="12" t="s">
        <v>68</v>
      </c>
      <c r="L31" s="12" t="s">
        <v>26</v>
      </c>
      <c r="M31" s="12" t="s">
        <v>52</v>
      </c>
      <c r="N31" s="33">
        <v>20.149999999999999</v>
      </c>
    </row>
    <row r="32" spans="2:14" ht="15">
      <c r="B32" s="10">
        <v>3</v>
      </c>
      <c r="C32" s="11" t="s">
        <v>74</v>
      </c>
      <c r="D32" s="11" t="s">
        <v>88</v>
      </c>
      <c r="E32" s="12" t="s">
        <v>38</v>
      </c>
      <c r="F32" s="12" t="s">
        <v>76</v>
      </c>
      <c r="G32" s="12" t="s">
        <v>56</v>
      </c>
      <c r="H32" s="12" t="s">
        <v>40</v>
      </c>
      <c r="I32" s="12" t="s">
        <v>32</v>
      </c>
      <c r="J32" s="12" t="s">
        <v>41</v>
      </c>
      <c r="K32" s="12" t="s">
        <v>68</v>
      </c>
      <c r="L32" s="12" t="s">
        <v>26</v>
      </c>
      <c r="M32" s="12" t="s">
        <v>52</v>
      </c>
      <c r="N32" s="33">
        <v>20.149999999999999</v>
      </c>
    </row>
    <row r="33" spans="2:14" ht="15.75" thickBot="1">
      <c r="B33" s="14">
        <v>19</v>
      </c>
      <c r="C33" s="15" t="s">
        <v>69</v>
      </c>
      <c r="D33" s="15" t="s">
        <v>89</v>
      </c>
      <c r="E33" s="16" t="s">
        <v>19</v>
      </c>
      <c r="F33" s="16" t="s">
        <v>20</v>
      </c>
      <c r="G33" s="16" t="s">
        <v>56</v>
      </c>
      <c r="H33" s="16" t="s">
        <v>40</v>
      </c>
      <c r="I33" s="16" t="s">
        <v>32</v>
      </c>
      <c r="J33" s="16" t="s">
        <v>82</v>
      </c>
      <c r="K33" s="16" t="s">
        <v>47</v>
      </c>
      <c r="L33" s="16" t="s">
        <v>73</v>
      </c>
      <c r="M33" s="16" t="s">
        <v>52</v>
      </c>
      <c r="N33" s="34">
        <v>12.625</v>
      </c>
    </row>
    <row r="35" spans="13:16" ht="15">
      <c r="M35" s="17" t="s">
        <v>90</v>
      </c>
      <c r="N35" s="21">
        <f>AVERAGE(N5:N33)</f>
        <v>41.807758620689654</v>
      </c>
      <c r="P35" s="35"/>
    </row>
    <row r="36" spans="13:16" ht="15">
      <c r="M36" s="17" t="s">
        <v>91</v>
      </c>
      <c r="N36" s="21">
        <f>_xlfn.STDEV.P(N5:N33)</f>
        <v>14.242716080703476</v>
      </c>
      <c r="P36" s="35"/>
    </row>
    <row r="37" spans="13:16" ht="15">
      <c r="M37" s="17" t="s">
        <v>92</v>
      </c>
      <c r="N37" s="21">
        <f>N35+N36</f>
        <v>56.050474701393128</v>
      </c>
      <c r="P37" s="35"/>
    </row>
    <row r="38" spans="13:13" ht="15">
      <c r="M38" s="17"/>
    </row>
    <row r="39" spans="13:13" ht="15">
      <c r="M39" s="17"/>
    </row>
  </sheetData>
  <mergeCells count="5">
    <mergeCell ref="B2:D3"/>
    <mergeCell ref="E2:M2"/>
    <mergeCell ref="E3:G3"/>
    <mergeCell ref="H3:J3"/>
    <mergeCell ref="K3:M3"/>
  </mergeCells>
  <pageMargins left="0.7" right="0.7" top="0.75" bottom="0.75" header="0.3" footer="0.3"/>
  <pageSetup horizontalDpi="1200" verticalDpi="1200" orientation="landscape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6D66-3321-460F-AC10-FA518A6A32F7}">
  <dimension ref="B3:V18"/>
  <sheetViews>
    <sheetView showGridLines="0" workbookViewId="0" topLeftCell="A1">
      <selection pane="topLeft" activeCell="K27" sqref="K27"/>
    </sheetView>
  </sheetViews>
  <sheetFormatPr defaultRowHeight="15"/>
  <sheetData>
    <row r="3" spans="2:22" ht="15">
      <c r="B3" s="19" t="s">
        <v>93</v>
      </c>
      <c r="C3" s="19"/>
      <c r="D3" s="19"/>
      <c r="E3" s="19"/>
      <c r="J3" s="19" t="s">
        <v>94</v>
      </c>
      <c r="K3" s="19"/>
      <c r="L3" s="19"/>
      <c r="M3" s="19"/>
      <c r="R3" s="36" t="s">
        <v>95</v>
      </c>
      <c r="S3" s="36"/>
      <c r="T3" s="36"/>
      <c r="U3" s="36"/>
      <c r="V3" s="29"/>
    </row>
    <row r="4" spans="3:19" ht="15">
      <c r="C4" t="s">
        <v>96</v>
      </c>
      <c r="K4" t="s">
        <v>96</v>
      </c>
      <c r="S4" t="s">
        <v>96</v>
      </c>
    </row>
    <row r="5" spans="3:19" ht="15">
      <c r="C5" t="s">
        <v>97</v>
      </c>
      <c r="K5" t="s">
        <v>98</v>
      </c>
      <c r="S5" t="s">
        <v>99</v>
      </c>
    </row>
    <row r="6" spans="3:19" ht="15">
      <c r="C6" t="s">
        <v>100</v>
      </c>
      <c r="K6" t="s">
        <v>101</v>
      </c>
      <c r="S6" t="s">
        <v>100</v>
      </c>
    </row>
    <row r="7" spans="3:19" ht="15">
      <c r="C7" t="s">
        <v>102</v>
      </c>
      <c r="K7" t="s">
        <v>103</v>
      </c>
      <c r="S7" t="s">
        <v>104</v>
      </c>
    </row>
    <row r="8" spans="3:19" ht="15">
      <c r="C8" t="s">
        <v>105</v>
      </c>
      <c r="K8" t="s">
        <v>106</v>
      </c>
      <c r="S8" t="s">
        <v>105</v>
      </c>
    </row>
    <row r="10" spans="2:18" ht="15">
      <c r="B10" s="19" t="s">
        <v>107</v>
      </c>
      <c r="J10" s="19" t="s">
        <v>107</v>
      </c>
      <c r="R10" s="19" t="s">
        <v>107</v>
      </c>
    </row>
    <row r="11" spans="3:19" ht="15">
      <c r="C11" t="s">
        <v>108</v>
      </c>
      <c r="K11" t="s">
        <v>109</v>
      </c>
      <c r="S11" t="s">
        <v>110</v>
      </c>
    </row>
    <row r="12" spans="19:19" ht="15">
      <c r="S12" t="s">
        <v>111</v>
      </c>
    </row>
    <row r="14" spans="2:18" ht="15">
      <c r="B14" s="19" t="s">
        <v>112</v>
      </c>
      <c r="J14" s="19" t="s">
        <v>112</v>
      </c>
      <c r="R14" s="19" t="s">
        <v>112</v>
      </c>
    </row>
    <row r="15" spans="3:19" ht="15">
      <c r="C15" t="s">
        <v>113</v>
      </c>
      <c r="K15" t="s">
        <v>114</v>
      </c>
      <c r="S15" t="s">
        <v>113</v>
      </c>
    </row>
    <row r="16" spans="3:19" ht="15">
      <c r="C16" t="s">
        <v>115</v>
      </c>
      <c r="K16" t="s">
        <v>116</v>
      </c>
      <c r="S16" t="s">
        <v>117</v>
      </c>
    </row>
    <row r="17" spans="11:19" ht="15">
      <c r="K17" t="s">
        <v>118</v>
      </c>
      <c r="S17" t="s">
        <v>119</v>
      </c>
    </row>
    <row r="18" spans="11:11" ht="15">
      <c r="K18" t="s">
        <v>120</v>
      </c>
    </row>
  </sheetData>
  <pageMargins left="0.7" right="0.7" top="0.75" bottom="0.75" header="0.3" footer="0.3"/>
  <pageSetup horizontalDpi="1200" verticalDpi="1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80A85-CB9E-40C2-82B0-9CF8C9607E7D}">
  <dimension ref="B1:AO34"/>
  <sheetViews>
    <sheetView showGridLines="0" workbookViewId="0" topLeftCell="P1">
      <selection pane="topLeft" activeCell="AI25" sqref="AI25"/>
    </sheetView>
  </sheetViews>
  <sheetFormatPr defaultRowHeight="15"/>
  <cols>
    <col min="2" max="2" width="10.5714285714286" style="17" bestFit="1" customWidth="1"/>
    <col min="3" max="3" width="31.2857142857143" bestFit="1" customWidth="1"/>
    <col min="4" max="8" width="5" bestFit="1" customWidth="1"/>
    <col min="9" max="9" width="8.28571428571429" bestFit="1" customWidth="1"/>
    <col min="11" max="11" width="31.2857142857143" bestFit="1" customWidth="1"/>
    <col min="12" max="12" width="8" bestFit="1" customWidth="1"/>
    <col min="13" max="14" width="10.1428571428571" bestFit="1" customWidth="1"/>
    <col min="15" max="15" width="7.57142857142857" bestFit="1" customWidth="1"/>
    <col min="17" max="17" width="9" bestFit="1" customWidth="1"/>
    <col min="19" max="19" width="31.2857142857143" bestFit="1" customWidth="1"/>
    <col min="20" max="20" width="6" bestFit="1" customWidth="1"/>
    <col min="21" max="21" width="6.57142857142857" bestFit="1" customWidth="1"/>
    <col min="22" max="23" width="5.57142857142857" bestFit="1" customWidth="1"/>
    <col min="24" max="24" width="6" bestFit="1" customWidth="1"/>
    <col min="25" max="25" width="8.28571428571429" bestFit="1" customWidth="1"/>
    <col min="26" max="26" width="9.42857142857143" bestFit="1" customWidth="1"/>
    <col min="27" max="27" width="9.57142857142857" bestFit="1" customWidth="1"/>
    <col min="29" max="29" width="8.42857142857143" bestFit="1" customWidth="1"/>
    <col min="30" max="30" width="7" bestFit="1" customWidth="1"/>
    <col min="31" max="31" width="11.8571428571429" bestFit="1" customWidth="1"/>
    <col min="33" max="33" width="31.2857142857143" bestFit="1" customWidth="1"/>
  </cols>
  <sheetData>
    <row r="1" spans="34:38" ht="15">
      <c r="AH1" s="205">
        <v>44196</v>
      </c>
      <c r="AI1" s="206"/>
      <c r="AJ1" s="206"/>
      <c r="AK1" s="207" t="s">
        <v>121</v>
      </c>
      <c r="AL1" s="207"/>
    </row>
    <row r="2" spans="2:41" ht="15">
      <c r="B2" s="26" t="s">
        <v>122</v>
      </c>
      <c r="C2" s="27" t="s">
        <v>123</v>
      </c>
      <c r="D2" s="19">
        <v>2016</v>
      </c>
      <c r="E2" s="19">
        <v>2017</v>
      </c>
      <c r="F2" s="19">
        <v>2018</v>
      </c>
      <c r="G2" s="19">
        <v>2019</v>
      </c>
      <c r="H2" s="19">
        <v>2020</v>
      </c>
      <c r="I2" s="20" t="s">
        <v>124</v>
      </c>
      <c r="K2" s="27" t="s">
        <v>125</v>
      </c>
      <c r="L2" s="19">
        <v>2016</v>
      </c>
      <c r="M2" s="19">
        <v>2017</v>
      </c>
      <c r="N2" s="19">
        <v>2018</v>
      </c>
      <c r="O2" s="19">
        <v>2019</v>
      </c>
      <c r="P2" s="19">
        <v>2020</v>
      </c>
      <c r="Q2" s="20" t="s">
        <v>124</v>
      </c>
      <c r="S2" s="27" t="s">
        <v>126</v>
      </c>
      <c r="T2" s="19">
        <v>2016</v>
      </c>
      <c r="U2" s="19">
        <v>2017</v>
      </c>
      <c r="V2" s="19">
        <v>2018</v>
      </c>
      <c r="W2" s="19">
        <v>2019</v>
      </c>
      <c r="X2" s="19">
        <v>2020</v>
      </c>
      <c r="Y2" s="20" t="s">
        <v>124</v>
      </c>
      <c r="Z2" s="20" t="s">
        <v>127</v>
      </c>
      <c r="AA2" s="20" t="s">
        <v>128</v>
      </c>
      <c r="AB2" s="20" t="s">
        <v>129</v>
      </c>
      <c r="AC2" s="20" t="s">
        <v>130</v>
      </c>
      <c r="AD2" s="20" t="s">
        <v>131</v>
      </c>
      <c r="AE2" s="20" t="s">
        <v>15</v>
      </c>
      <c r="AG2" s="26" t="s">
        <v>132</v>
      </c>
      <c r="AH2" s="26" t="s">
        <v>133</v>
      </c>
      <c r="AI2" s="26" t="s">
        <v>134</v>
      </c>
      <c r="AJ2" s="26" t="s">
        <v>135</v>
      </c>
      <c r="AK2" s="26" t="s">
        <v>136</v>
      </c>
      <c r="AL2" s="26" t="s">
        <v>137</v>
      </c>
      <c r="AM2" s="26" t="s">
        <v>138</v>
      </c>
      <c r="AN2" s="26" t="s">
        <v>137</v>
      </c>
      <c r="AO2" s="26" t="s">
        <v>139</v>
      </c>
    </row>
    <row r="3" spans="2:41" ht="15">
      <c r="B3" s="17">
        <v>1009</v>
      </c>
      <c r="C3" t="s">
        <v>87</v>
      </c>
      <c r="D3">
        <v>1</v>
      </c>
      <c r="E3">
        <v>3</v>
      </c>
      <c r="F3">
        <v>2</v>
      </c>
      <c r="G3">
        <v>1</v>
      </c>
      <c r="H3">
        <v>1</v>
      </c>
      <c r="I3" s="23">
        <f>AVERAGE(D3:H3)</f>
        <v>1.6000000000000001</v>
      </c>
      <c r="K3" t="s">
        <v>87</v>
      </c>
      <c r="L3" s="24">
        <v>949</v>
      </c>
      <c r="M3" s="24">
        <v>1887771</v>
      </c>
      <c r="N3">
        <v>161</v>
      </c>
      <c r="O3">
        <v>34</v>
      </c>
      <c r="P3">
        <v>131</v>
      </c>
      <c r="Q3" s="23">
        <f>AVERAGE(L3:P3)</f>
        <v>377809.20000000001</v>
      </c>
      <c r="S3" t="s">
        <v>87</v>
      </c>
      <c r="T3" s="24">
        <v>1</v>
      </c>
      <c r="U3" s="24">
        <v>905</v>
      </c>
      <c r="V3">
        <v>2</v>
      </c>
      <c r="W3">
        <v>1</v>
      </c>
      <c r="X3">
        <v>1</v>
      </c>
      <c r="Y3" s="23">
        <f>AVERAGE(T3:X3)</f>
        <v>182</v>
      </c>
      <c r="Z3" s="21">
        <f>Q3/B3</f>
        <v>374.43924677898912</v>
      </c>
      <c r="AA3" s="21">
        <f>Q3/Y3</f>
        <v>2075.8747252747253</v>
      </c>
      <c r="AB3" s="21">
        <f>Y3/B3</f>
        <v>0.18037661050545095</v>
      </c>
      <c r="AC3" s="25">
        <f>B3*0.8</f>
        <v>807.20000000000005</v>
      </c>
      <c r="AD3" s="25">
        <f>B3*0.2</f>
        <v>201.80000000000001</v>
      </c>
      <c r="AE3" s="22">
        <v>6894</v>
      </c>
      <c r="AG3" t="s">
        <v>87</v>
      </c>
      <c r="AH3">
        <v>0.17000000000000001</v>
      </c>
      <c r="AI3">
        <v>0</v>
      </c>
      <c r="AJ3">
        <v>0.25</v>
      </c>
      <c r="AK3">
        <v>0.25</v>
      </c>
      <c r="AL3">
        <v>0.17000000000000001</v>
      </c>
      <c r="AM3">
        <f>AH3</f>
        <v>0.17000000000000001</v>
      </c>
      <c r="AN3">
        <f>AI3+AJ3-AK3</f>
        <v>0</v>
      </c>
      <c r="AO3">
        <f>AK3</f>
        <v>0.25</v>
      </c>
    </row>
    <row r="4" spans="2:41" ht="15">
      <c r="B4" s="17">
        <v>1414</v>
      </c>
      <c r="C4" t="s">
        <v>84</v>
      </c>
      <c r="D4">
        <v>16</v>
      </c>
      <c r="E4">
        <v>24</v>
      </c>
      <c r="F4">
        <v>12</v>
      </c>
      <c r="G4">
        <v>8</v>
      </c>
      <c r="H4">
        <v>12</v>
      </c>
      <c r="I4" s="23">
        <f t="shared" si="0" ref="I4:I31">AVERAGE(D4:H4)</f>
        <v>14.4</v>
      </c>
      <c r="K4" t="s">
        <v>84</v>
      </c>
      <c r="L4">
        <v>172408</v>
      </c>
      <c r="M4" s="24">
        <v>5325572</v>
      </c>
      <c r="N4" s="24">
        <v>30561</v>
      </c>
      <c r="O4" s="24">
        <v>236682</v>
      </c>
      <c r="P4" s="24">
        <v>20970</v>
      </c>
      <c r="Q4" s="23">
        <f t="shared" si="1" ref="Q4:Q31">AVERAGE(L4:P4)</f>
        <v>1157238.6000000001</v>
      </c>
      <c r="S4" t="s">
        <v>84</v>
      </c>
      <c r="T4" s="24">
        <v>2072</v>
      </c>
      <c r="U4" s="24">
        <v>1548</v>
      </c>
      <c r="V4">
        <v>329</v>
      </c>
      <c r="W4">
        <v>2226</v>
      </c>
      <c r="X4">
        <v>222</v>
      </c>
      <c r="Y4" s="23">
        <f t="shared" si="2" ref="Y4:Y31">AVERAGE(T4:X4)</f>
        <v>1279.4000000000001</v>
      </c>
      <c r="Z4" s="21">
        <f t="shared" si="3" ref="Z4:Z31">Q4/B4</f>
        <v>818.41485148514857</v>
      </c>
      <c r="AA4" s="21">
        <f t="shared" si="4" ref="AA4:AA31">Q4/Y4</f>
        <v>904.51664842895104</v>
      </c>
      <c r="AB4" s="21">
        <f t="shared" si="5" ref="AB4:AB31">Y4/B4</f>
        <v>0.90480905233380482</v>
      </c>
      <c r="AC4" s="25">
        <f t="shared" si="6" ref="AC4:AC31">B4*0.8</f>
        <v>1131.2</v>
      </c>
      <c r="AD4" s="25">
        <f t="shared" si="7" ref="AD4:AD31">B4*0.2</f>
        <v>282.80000000000001</v>
      </c>
      <c r="AE4" s="22">
        <v>3656475</v>
      </c>
      <c r="AG4" t="s">
        <v>84</v>
      </c>
      <c r="AH4">
        <v>1.3200000000000001</v>
      </c>
      <c r="AI4">
        <v>0.26000000000000001</v>
      </c>
      <c r="AJ4">
        <v>2.0800000000000001</v>
      </c>
      <c r="AK4">
        <v>1.96</v>
      </c>
      <c r="AL4">
        <v>1.7</v>
      </c>
      <c r="AM4">
        <f t="shared" si="8" ref="AM4:AM31">AH4</f>
        <v>1.3200000000000001</v>
      </c>
      <c r="AN4">
        <f t="shared" si="9" ref="AN4:AN31">AI4+AJ4-AK4</f>
        <v>0.37999999999999989</v>
      </c>
      <c r="AO4">
        <f t="shared" si="10" ref="AO4:AO31">AK4</f>
        <v>1.96</v>
      </c>
    </row>
    <row r="5" spans="2:41" ht="15">
      <c r="B5" s="17">
        <v>1363</v>
      </c>
      <c r="C5" t="s">
        <v>88</v>
      </c>
      <c r="D5">
        <v>6</v>
      </c>
      <c r="E5">
        <v>11</v>
      </c>
      <c r="F5">
        <v>14</v>
      </c>
      <c r="G5">
        <v>9</v>
      </c>
      <c r="H5">
        <v>15</v>
      </c>
      <c r="I5" s="23">
        <f t="shared" si="0"/>
        <v>11</v>
      </c>
      <c r="K5" t="s">
        <v>88</v>
      </c>
      <c r="L5">
        <v>3333</v>
      </c>
      <c r="M5" s="24">
        <v>4941054</v>
      </c>
      <c r="N5" s="24">
        <v>9245</v>
      </c>
      <c r="O5" s="24">
        <v>6270</v>
      </c>
      <c r="P5" s="24">
        <v>99474</v>
      </c>
      <c r="Q5" s="23">
        <f t="shared" si="1"/>
        <v>1011875.2</v>
      </c>
      <c r="S5" t="s">
        <v>88</v>
      </c>
      <c r="T5" s="24">
        <v>28</v>
      </c>
      <c r="U5" s="24">
        <v>1790</v>
      </c>
      <c r="V5">
        <v>122</v>
      </c>
      <c r="W5">
        <v>58</v>
      </c>
      <c r="X5">
        <v>336</v>
      </c>
      <c r="Y5" s="23">
        <f t="shared" si="2"/>
        <v>466.80000000000001</v>
      </c>
      <c r="Z5" s="21">
        <f t="shared" si="3"/>
        <v>742.38826118855468</v>
      </c>
      <c r="AA5" s="21">
        <f t="shared" si="4"/>
        <v>2167.6846615252784</v>
      </c>
      <c r="AB5" s="21">
        <f t="shared" si="5"/>
        <v>0.34247982391782833</v>
      </c>
      <c r="AC5" s="25">
        <f t="shared" si="6"/>
        <v>1090.4000000000001</v>
      </c>
      <c r="AD5" s="25">
        <f t="shared" si="7"/>
        <v>272.60000000000002</v>
      </c>
      <c r="AE5" s="22">
        <v>2460</v>
      </c>
      <c r="AG5" t="s">
        <v>88</v>
      </c>
      <c r="AH5">
        <v>0.77000000000000002</v>
      </c>
      <c r="AI5">
        <v>0</v>
      </c>
      <c r="AJ5">
        <v>2.6000000000000001</v>
      </c>
      <c r="AK5">
        <v>1.95</v>
      </c>
      <c r="AL5">
        <v>1.4299999999999999</v>
      </c>
      <c r="AM5">
        <f t="shared" si="8"/>
        <v>0.77000000000000002</v>
      </c>
      <c r="AN5">
        <f t="shared" si="9"/>
        <v>0.65000000000000013</v>
      </c>
      <c r="AO5">
        <f t="shared" si="10"/>
        <v>1.95</v>
      </c>
    </row>
    <row r="6" spans="2:41" ht="15">
      <c r="B6" s="17">
        <v>1862</v>
      </c>
      <c r="C6" t="s">
        <v>75</v>
      </c>
      <c r="D6">
        <v>89</v>
      </c>
      <c r="E6">
        <v>70</v>
      </c>
      <c r="F6">
        <v>50</v>
      </c>
      <c r="G6">
        <v>43</v>
      </c>
      <c r="H6">
        <v>63</v>
      </c>
      <c r="I6" s="23">
        <f t="shared" si="0"/>
        <v>63</v>
      </c>
      <c r="K6" t="s">
        <v>75</v>
      </c>
      <c r="L6">
        <v>1022707</v>
      </c>
      <c r="M6" s="24">
        <v>5844283</v>
      </c>
      <c r="N6" s="24">
        <v>972029</v>
      </c>
      <c r="O6" s="24">
        <v>129005</v>
      </c>
      <c r="P6" s="24">
        <v>174407</v>
      </c>
      <c r="Q6" s="23">
        <f t="shared" si="1"/>
        <v>1628486.2</v>
      </c>
      <c r="S6" t="s">
        <v>75</v>
      </c>
      <c r="T6">
        <v>7505</v>
      </c>
      <c r="U6" s="24">
        <v>3498</v>
      </c>
      <c r="V6" s="24">
        <v>7254</v>
      </c>
      <c r="W6">
        <v>639</v>
      </c>
      <c r="X6">
        <v>2804</v>
      </c>
      <c r="Y6" s="23">
        <f t="shared" si="2"/>
        <v>4340</v>
      </c>
      <c r="Z6" s="21">
        <f t="shared" si="3"/>
        <v>874.58979591836737</v>
      </c>
      <c r="AA6" s="21">
        <f t="shared" si="4"/>
        <v>375.22723502304149</v>
      </c>
      <c r="AB6" s="21">
        <f t="shared" si="5"/>
        <v>2.3308270676691731</v>
      </c>
      <c r="AC6" s="25">
        <f t="shared" si="6"/>
        <v>1489.6000000000001</v>
      </c>
      <c r="AD6" s="25">
        <f t="shared" si="7"/>
        <v>372.40000000000003</v>
      </c>
      <c r="AE6" s="22">
        <v>5131749</v>
      </c>
      <c r="AG6" t="s">
        <v>75</v>
      </c>
      <c r="AH6">
        <v>4.9699999999999998</v>
      </c>
      <c r="AI6">
        <v>1.0700000000000001</v>
      </c>
      <c r="AJ6">
        <v>4.2800000000000002</v>
      </c>
      <c r="AK6">
        <v>3.6499999999999999</v>
      </c>
      <c r="AL6">
        <v>6.6699999999999999</v>
      </c>
      <c r="AM6">
        <f t="shared" si="8"/>
        <v>4.9699999999999998</v>
      </c>
      <c r="AN6">
        <f t="shared" si="9"/>
        <v>1.7000000000000006</v>
      </c>
      <c r="AO6">
        <f t="shared" si="10"/>
        <v>3.6499999999999999</v>
      </c>
    </row>
    <row r="7" spans="2:41" ht="15">
      <c r="B7" s="17">
        <v>556</v>
      </c>
      <c r="C7" t="s">
        <v>83</v>
      </c>
      <c r="D7">
        <v>37</v>
      </c>
      <c r="E7">
        <v>34</v>
      </c>
      <c r="F7">
        <v>30</v>
      </c>
      <c r="G7">
        <v>19</v>
      </c>
      <c r="H7">
        <v>34</v>
      </c>
      <c r="I7" s="23">
        <f t="shared" si="0"/>
        <v>30.800000000000001</v>
      </c>
      <c r="K7" t="s">
        <v>83</v>
      </c>
      <c r="L7">
        <v>784337</v>
      </c>
      <c r="M7" s="24">
        <v>1512055</v>
      </c>
      <c r="N7" s="24">
        <v>107943</v>
      </c>
      <c r="O7" s="24">
        <v>43686</v>
      </c>
      <c r="P7" s="24">
        <v>71429</v>
      </c>
      <c r="Q7" s="23">
        <f t="shared" si="1"/>
        <v>503890</v>
      </c>
      <c r="S7" t="s">
        <v>83</v>
      </c>
      <c r="T7">
        <v>1559</v>
      </c>
      <c r="U7" s="24">
        <v>1924</v>
      </c>
      <c r="V7">
        <v>1184</v>
      </c>
      <c r="W7">
        <v>666</v>
      </c>
      <c r="X7">
        <v>766</v>
      </c>
      <c r="Y7" s="23">
        <f t="shared" si="2"/>
        <v>1219.8</v>
      </c>
      <c r="Z7" s="21">
        <f t="shared" si="3"/>
        <v>906.27697841726615</v>
      </c>
      <c r="AA7" s="21">
        <f t="shared" si="4"/>
        <v>413.09231021478934</v>
      </c>
      <c r="AB7" s="21">
        <f t="shared" si="5"/>
        <v>2.1938848920863308</v>
      </c>
      <c r="AC7" s="25">
        <f t="shared" si="6"/>
        <v>444.80000000000001</v>
      </c>
      <c r="AD7" s="25">
        <f t="shared" si="7"/>
        <v>111.2</v>
      </c>
      <c r="AE7" s="22">
        <v>1605944</v>
      </c>
      <c r="AG7" t="s">
        <v>83</v>
      </c>
      <c r="AH7">
        <v>3.71</v>
      </c>
      <c r="AI7">
        <v>0.23000000000000001</v>
      </c>
      <c r="AJ7">
        <v>3.71</v>
      </c>
      <c r="AK7">
        <v>2.8300000000000001</v>
      </c>
      <c r="AL7">
        <v>4.8200000000000003</v>
      </c>
      <c r="AM7">
        <f t="shared" si="8"/>
        <v>3.71</v>
      </c>
      <c r="AN7">
        <f t="shared" si="9"/>
        <v>1.1099999999999999</v>
      </c>
      <c r="AO7">
        <f t="shared" si="10"/>
        <v>2.8300000000000001</v>
      </c>
    </row>
    <row r="8" spans="2:41" ht="15">
      <c r="B8" s="17">
        <v>979</v>
      </c>
      <c r="C8" t="s">
        <v>78</v>
      </c>
      <c r="D8">
        <v>61</v>
      </c>
      <c r="E8">
        <v>37</v>
      </c>
      <c r="F8">
        <v>26</v>
      </c>
      <c r="G8">
        <v>23</v>
      </c>
      <c r="H8">
        <v>45</v>
      </c>
      <c r="I8" s="23">
        <f t="shared" si="0"/>
        <v>38.399999999999999</v>
      </c>
      <c r="K8" t="s">
        <v>78</v>
      </c>
      <c r="L8">
        <v>2014629</v>
      </c>
      <c r="M8" s="24">
        <v>2085530</v>
      </c>
      <c r="N8" s="24">
        <v>152395</v>
      </c>
      <c r="O8" s="24">
        <v>49550</v>
      </c>
      <c r="P8" s="24">
        <v>304662</v>
      </c>
      <c r="Q8" s="23">
        <f t="shared" si="1"/>
        <v>921353.19999999995</v>
      </c>
      <c r="S8" t="s">
        <v>78</v>
      </c>
      <c r="T8">
        <v>4552</v>
      </c>
      <c r="U8" s="24">
        <v>2085</v>
      </c>
      <c r="V8">
        <v>1209</v>
      </c>
      <c r="W8">
        <v>237</v>
      </c>
      <c r="X8">
        <v>2614</v>
      </c>
      <c r="Y8" s="23">
        <f t="shared" si="2"/>
        <v>2139.4000000000001</v>
      </c>
      <c r="Z8" s="21">
        <f t="shared" si="3"/>
        <v>941.11664964249235</v>
      </c>
      <c r="AA8" s="21">
        <f t="shared" si="4"/>
        <v>430.65962419369913</v>
      </c>
      <c r="AB8" s="21">
        <f t="shared" si="5"/>
        <v>2.1852911133810009</v>
      </c>
      <c r="AC8" s="25">
        <f t="shared" si="6"/>
        <v>783.20000000000005</v>
      </c>
      <c r="AD8" s="25">
        <f t="shared" si="7"/>
        <v>195.80000000000001</v>
      </c>
      <c r="AE8" s="22">
        <v>3011729</v>
      </c>
      <c r="AG8" t="s">
        <v>78</v>
      </c>
      <c r="AH8">
        <v>6.9199999999999999</v>
      </c>
      <c r="AI8">
        <v>1.76</v>
      </c>
      <c r="AJ8">
        <v>6.4000000000000004</v>
      </c>
      <c r="AK8">
        <v>3.3100000000000001</v>
      </c>
      <c r="AL8">
        <v>11.779999999999999</v>
      </c>
      <c r="AM8">
        <f t="shared" si="8"/>
        <v>6.9199999999999999</v>
      </c>
      <c r="AN8">
        <f t="shared" si="9"/>
        <v>4.8499999999999996</v>
      </c>
      <c r="AO8">
        <f t="shared" si="10"/>
        <v>3.3100000000000001</v>
      </c>
    </row>
    <row r="9" spans="2:41" ht="15">
      <c r="B9" s="17">
        <v>1546</v>
      </c>
      <c r="C9" t="s">
        <v>55</v>
      </c>
      <c r="D9">
        <v>47</v>
      </c>
      <c r="E9">
        <v>27</v>
      </c>
      <c r="F9">
        <v>10</v>
      </c>
      <c r="G9">
        <v>17</v>
      </c>
      <c r="H9">
        <v>23</v>
      </c>
      <c r="I9" s="23">
        <f t="shared" si="0"/>
        <v>24.800000000000001</v>
      </c>
      <c r="K9" t="s">
        <v>55</v>
      </c>
      <c r="L9">
        <v>504395</v>
      </c>
      <c r="M9" s="24">
        <v>1628085</v>
      </c>
      <c r="N9" s="24">
        <v>85733</v>
      </c>
      <c r="O9" s="24">
        <v>8688</v>
      </c>
      <c r="P9" s="24">
        <v>12895</v>
      </c>
      <c r="Q9" s="23">
        <f t="shared" si="1"/>
        <v>447959.20000000001</v>
      </c>
      <c r="S9" t="s">
        <v>55</v>
      </c>
      <c r="T9" s="24">
        <v>4909</v>
      </c>
      <c r="U9" s="24">
        <v>2527</v>
      </c>
      <c r="V9">
        <v>1585</v>
      </c>
      <c r="W9">
        <v>106</v>
      </c>
      <c r="X9">
        <v>134</v>
      </c>
      <c r="Y9" s="23">
        <f t="shared" si="2"/>
        <v>1852.2</v>
      </c>
      <c r="Z9" s="21">
        <f t="shared" si="3"/>
        <v>289.75368693402328</v>
      </c>
      <c r="AA9" s="21">
        <f t="shared" si="4"/>
        <v>241.85249973005074</v>
      </c>
      <c r="AB9" s="21">
        <f t="shared" si="5"/>
        <v>1.1980595084087968</v>
      </c>
      <c r="AC9" s="25">
        <f t="shared" si="6"/>
        <v>1236.8000000000002</v>
      </c>
      <c r="AD9" s="25">
        <f t="shared" si="7"/>
        <v>309.20000000000005</v>
      </c>
      <c r="AE9" s="22">
        <v>1315756</v>
      </c>
      <c r="AG9" t="s">
        <v>55</v>
      </c>
      <c r="AH9">
        <v>2.04</v>
      </c>
      <c r="AI9">
        <v>1.0700000000000001</v>
      </c>
      <c r="AJ9">
        <v>5.7400000000000002</v>
      </c>
      <c r="AK9">
        <v>4.8099999999999996</v>
      </c>
      <c r="AL9">
        <v>4.0300000000000002</v>
      </c>
      <c r="AM9">
        <f t="shared" si="8"/>
        <v>2.04</v>
      </c>
      <c r="AN9">
        <f t="shared" si="9"/>
        <v>2.0000000000000009</v>
      </c>
      <c r="AO9">
        <f t="shared" si="10"/>
        <v>4.8099999999999996</v>
      </c>
    </row>
    <row r="10" spans="2:41" ht="15">
      <c r="B10" s="17">
        <v>1891</v>
      </c>
      <c r="C10" t="s">
        <v>37</v>
      </c>
      <c r="D10">
        <v>85</v>
      </c>
      <c r="E10">
        <v>102</v>
      </c>
      <c r="F10">
        <v>59</v>
      </c>
      <c r="G10">
        <v>46</v>
      </c>
      <c r="H10">
        <v>70</v>
      </c>
      <c r="I10" s="23">
        <f t="shared" si="0"/>
        <v>72.400000000000006</v>
      </c>
      <c r="K10" t="s">
        <v>37</v>
      </c>
      <c r="L10">
        <v>4277150</v>
      </c>
      <c r="M10" s="24">
        <v>5199262</v>
      </c>
      <c r="N10" s="24">
        <v>228950</v>
      </c>
      <c r="O10" s="24">
        <v>107326</v>
      </c>
      <c r="P10" s="24">
        <v>930615</v>
      </c>
      <c r="Q10" s="23">
        <f t="shared" si="1"/>
        <v>2148660.6000000001</v>
      </c>
      <c r="S10" t="s">
        <v>37</v>
      </c>
      <c r="T10" s="24">
        <v>6065</v>
      </c>
      <c r="U10" s="24">
        <v>9835</v>
      </c>
      <c r="V10">
        <v>3717</v>
      </c>
      <c r="W10">
        <v>1534</v>
      </c>
      <c r="X10">
        <v>10964</v>
      </c>
      <c r="Y10" s="23">
        <f t="shared" si="2"/>
        <v>6423</v>
      </c>
      <c r="Z10" s="21">
        <f t="shared" si="3"/>
        <v>1136.2562665256478</v>
      </c>
      <c r="AA10" s="21">
        <f t="shared" si="4"/>
        <v>334.52601588042972</v>
      </c>
      <c r="AB10" s="21">
        <f t="shared" si="5"/>
        <v>3.3966155473294553</v>
      </c>
      <c r="AC10" s="25">
        <f t="shared" si="6"/>
        <v>1512.8000000000002</v>
      </c>
      <c r="AD10" s="25">
        <f t="shared" si="7"/>
        <v>378.20000000000005</v>
      </c>
      <c r="AE10" s="22">
        <v>6600059</v>
      </c>
      <c r="AG10" s="29" t="s">
        <v>37</v>
      </c>
      <c r="AH10" s="29">
        <v>5.2699999999999996</v>
      </c>
      <c r="AI10" s="29">
        <v>3.3700000000000001</v>
      </c>
      <c r="AJ10" s="29">
        <v>5.5599999999999996</v>
      </c>
      <c r="AK10" s="29">
        <v>2.6499999999999999</v>
      </c>
      <c r="AL10" s="29">
        <v>11.550000000000001</v>
      </c>
      <c r="AM10" s="29">
        <f t="shared" si="8"/>
        <v>5.2699999999999996</v>
      </c>
      <c r="AN10" s="29">
        <f t="shared" si="9"/>
        <v>6.2799999999999994</v>
      </c>
      <c r="AO10" s="29">
        <f t="shared" si="10"/>
        <v>2.6499999999999999</v>
      </c>
    </row>
    <row r="11" spans="2:41" ht="15">
      <c r="B11" s="17">
        <v>646</v>
      </c>
      <c r="C11" t="s">
        <v>64</v>
      </c>
      <c r="D11">
        <v>40</v>
      </c>
      <c r="E11">
        <v>23</v>
      </c>
      <c r="F11">
        <v>28</v>
      </c>
      <c r="G11">
        <v>20</v>
      </c>
      <c r="H11">
        <v>17</v>
      </c>
      <c r="I11" s="23">
        <f t="shared" si="0"/>
        <v>25.600000000000001</v>
      </c>
      <c r="K11" t="s">
        <v>64</v>
      </c>
      <c r="L11">
        <v>482328</v>
      </c>
      <c r="M11" s="24">
        <v>573416</v>
      </c>
      <c r="N11" s="24">
        <v>155499</v>
      </c>
      <c r="O11" s="24">
        <v>59643</v>
      </c>
      <c r="P11" s="24">
        <v>24023</v>
      </c>
      <c r="Q11" s="23">
        <f t="shared" si="1"/>
        <v>258981.79999999999</v>
      </c>
      <c r="S11" t="s">
        <v>64</v>
      </c>
      <c r="T11" s="24">
        <v>3675</v>
      </c>
      <c r="U11" s="24">
        <v>1540</v>
      </c>
      <c r="V11">
        <v>959</v>
      </c>
      <c r="W11">
        <v>282</v>
      </c>
      <c r="X11">
        <v>331</v>
      </c>
      <c r="Y11" s="23">
        <f t="shared" si="2"/>
        <v>1357.4000000000001</v>
      </c>
      <c r="Z11" s="21">
        <f t="shared" si="3"/>
        <v>400.90061919504643</v>
      </c>
      <c r="AA11" s="21">
        <f t="shared" si="4"/>
        <v>190.7925445705024</v>
      </c>
      <c r="AB11" s="21">
        <f t="shared" si="5"/>
        <v>2.1012383900928793</v>
      </c>
      <c r="AC11" s="25">
        <f t="shared" si="6"/>
        <v>516.80000000000007</v>
      </c>
      <c r="AD11" s="25">
        <f t="shared" si="7"/>
        <v>129.20000000000002</v>
      </c>
      <c r="AE11" s="22">
        <v>755716</v>
      </c>
      <c r="AG11" t="s">
        <v>64</v>
      </c>
      <c r="AH11">
        <v>1.6299999999999999</v>
      </c>
      <c r="AI11">
        <v>0.23000000000000001</v>
      </c>
      <c r="AJ11">
        <v>3.75</v>
      </c>
      <c r="AK11">
        <v>1.8899999999999999</v>
      </c>
      <c r="AL11">
        <v>3.73</v>
      </c>
      <c r="AM11">
        <f t="shared" si="8"/>
        <v>1.6299999999999999</v>
      </c>
      <c r="AN11">
        <f t="shared" si="9"/>
        <v>2.0899999999999999</v>
      </c>
      <c r="AO11">
        <f t="shared" si="10"/>
        <v>1.8899999999999999</v>
      </c>
    </row>
    <row r="12" spans="2:41" ht="15">
      <c r="B12" s="17">
        <v>1898</v>
      </c>
      <c r="C12" t="s">
        <v>57</v>
      </c>
      <c r="D12">
        <v>22</v>
      </c>
      <c r="E12">
        <v>9</v>
      </c>
      <c r="F12">
        <v>12</v>
      </c>
      <c r="G12">
        <v>13</v>
      </c>
      <c r="H12">
        <v>18</v>
      </c>
      <c r="I12" s="23">
        <f t="shared" si="0"/>
        <v>14.800000000000001</v>
      </c>
      <c r="K12" t="s">
        <v>57</v>
      </c>
      <c r="L12">
        <v>162589</v>
      </c>
      <c r="M12" s="24">
        <v>2648111</v>
      </c>
      <c r="N12" s="24">
        <v>393458</v>
      </c>
      <c r="O12" s="24">
        <v>173092</v>
      </c>
      <c r="P12" s="24">
        <v>27247</v>
      </c>
      <c r="Q12" s="23">
        <f t="shared" si="1"/>
        <v>680899.40000000002</v>
      </c>
      <c r="S12" t="s">
        <v>57</v>
      </c>
      <c r="T12">
        <v>640</v>
      </c>
      <c r="U12" s="24">
        <v>1897</v>
      </c>
      <c r="V12" s="24">
        <v>2283</v>
      </c>
      <c r="W12">
        <v>3398</v>
      </c>
      <c r="X12">
        <v>282</v>
      </c>
      <c r="Y12" s="23">
        <f t="shared" si="2"/>
        <v>1700</v>
      </c>
      <c r="Z12" s="21">
        <f t="shared" si="3"/>
        <v>358.74573234984194</v>
      </c>
      <c r="AA12" s="21">
        <f t="shared" si="4"/>
        <v>400.52905882352945</v>
      </c>
      <c r="AB12" s="21">
        <f t="shared" si="5"/>
        <v>0.89567966280295053</v>
      </c>
      <c r="AC12" s="25">
        <f t="shared" si="6"/>
        <v>1518.4000000000001</v>
      </c>
      <c r="AD12" s="25">
        <f t="shared" si="7"/>
        <v>379.60000000000002</v>
      </c>
      <c r="AE12" s="22">
        <v>2181550</v>
      </c>
      <c r="AG12" t="s">
        <v>57</v>
      </c>
      <c r="AH12">
        <v>3.9199999999999999</v>
      </c>
      <c r="AI12">
        <v>0.26000000000000001</v>
      </c>
      <c r="AJ12">
        <v>4.3099999999999996</v>
      </c>
      <c r="AK12">
        <v>2.1299999999999999</v>
      </c>
      <c r="AL12">
        <v>6.3600000000000003</v>
      </c>
      <c r="AM12">
        <f t="shared" si="8"/>
        <v>3.9199999999999999</v>
      </c>
      <c r="AN12">
        <f t="shared" si="9"/>
        <v>2.4399999999999995</v>
      </c>
      <c r="AO12">
        <f t="shared" si="10"/>
        <v>2.1299999999999999</v>
      </c>
    </row>
    <row r="13" spans="2:41" ht="15">
      <c r="B13" s="17">
        <v>597</v>
      </c>
      <c r="C13" t="s">
        <v>71</v>
      </c>
      <c r="D13">
        <v>25</v>
      </c>
      <c r="E13">
        <v>4</v>
      </c>
      <c r="F13">
        <v>1</v>
      </c>
      <c r="G13">
        <v>11</v>
      </c>
      <c r="H13">
        <v>17</v>
      </c>
      <c r="I13" s="23">
        <f t="shared" si="0"/>
        <v>11.6</v>
      </c>
      <c r="K13" t="s">
        <v>71</v>
      </c>
      <c r="L13">
        <v>56012</v>
      </c>
      <c r="M13" s="24">
        <v>1484492</v>
      </c>
      <c r="N13" s="24">
        <v>3418</v>
      </c>
      <c r="O13" s="24">
        <v>102944</v>
      </c>
      <c r="P13" s="24">
        <v>126889</v>
      </c>
      <c r="Q13" s="23">
        <f t="shared" si="1"/>
        <v>354751</v>
      </c>
      <c r="S13" t="s">
        <v>71</v>
      </c>
      <c r="T13" s="24">
        <v>263</v>
      </c>
      <c r="U13" s="24">
        <v>1249</v>
      </c>
      <c r="V13">
        <v>50</v>
      </c>
      <c r="W13">
        <v>834</v>
      </c>
      <c r="X13">
        <v>1209</v>
      </c>
      <c r="Y13" s="23">
        <f t="shared" si="2"/>
        <v>721</v>
      </c>
      <c r="Z13" s="21">
        <f t="shared" si="3"/>
        <v>594.22278056951427</v>
      </c>
      <c r="AA13" s="21">
        <f t="shared" si="4"/>
        <v>492.02635228848823</v>
      </c>
      <c r="AB13" s="21">
        <f t="shared" si="5"/>
        <v>1.2077051926298157</v>
      </c>
      <c r="AC13" s="25">
        <f t="shared" si="6"/>
        <v>477.60000000000002</v>
      </c>
      <c r="AD13" s="25">
        <f t="shared" si="7"/>
        <v>119.40000000000001</v>
      </c>
      <c r="AE13" s="22">
        <v>1191589</v>
      </c>
      <c r="AG13" t="s">
        <v>71</v>
      </c>
      <c r="AH13">
        <v>0.23999999999999999</v>
      </c>
      <c r="AI13">
        <v>0.050000000000000003</v>
      </c>
      <c r="AJ13">
        <v>1.03</v>
      </c>
      <c r="AK13">
        <v>1.03</v>
      </c>
      <c r="AL13">
        <v>0.28999999999999998</v>
      </c>
      <c r="AM13">
        <f t="shared" si="8"/>
        <v>0.23999999999999999</v>
      </c>
      <c r="AN13">
        <f t="shared" si="9"/>
        <v>0.050000000000000044</v>
      </c>
      <c r="AO13">
        <f t="shared" si="10"/>
        <v>1.03</v>
      </c>
    </row>
    <row r="14" spans="2:41" ht="15">
      <c r="B14" s="17">
        <v>2530</v>
      </c>
      <c r="C14" t="s">
        <v>44</v>
      </c>
      <c r="D14">
        <v>92</v>
      </c>
      <c r="E14">
        <v>87</v>
      </c>
      <c r="F14">
        <v>39</v>
      </c>
      <c r="G14">
        <v>44</v>
      </c>
      <c r="H14">
        <v>61</v>
      </c>
      <c r="I14" s="23">
        <f t="shared" si="0"/>
        <v>64.599999999999994</v>
      </c>
      <c r="K14" t="s">
        <v>44</v>
      </c>
      <c r="L14">
        <v>6664971</v>
      </c>
      <c r="M14" s="24">
        <v>10043803</v>
      </c>
      <c r="N14" s="24">
        <v>96448</v>
      </c>
      <c r="O14" s="24">
        <v>745313</v>
      </c>
      <c r="P14" s="24">
        <v>267456</v>
      </c>
      <c r="Q14" s="23">
        <f t="shared" si="1"/>
        <v>3563598.2000000002</v>
      </c>
      <c r="S14" t="s">
        <v>44</v>
      </c>
      <c r="T14">
        <v>20208</v>
      </c>
      <c r="U14" s="24">
        <v>10030</v>
      </c>
      <c r="V14">
        <v>3587</v>
      </c>
      <c r="W14">
        <v>8058</v>
      </c>
      <c r="X14">
        <v>7180</v>
      </c>
      <c r="Y14" s="23">
        <f t="shared" si="2"/>
        <v>9812.6000000000004</v>
      </c>
      <c r="Z14" s="21">
        <f t="shared" si="3"/>
        <v>1408.5368379446641</v>
      </c>
      <c r="AA14" s="21">
        <f t="shared" si="4"/>
        <v>363.16554226198969</v>
      </c>
      <c r="AB14" s="21">
        <f t="shared" si="5"/>
        <v>3.878498023715415</v>
      </c>
      <c r="AC14" s="25">
        <f t="shared" si="6"/>
        <v>2024</v>
      </c>
      <c r="AD14" s="25">
        <f t="shared" si="7"/>
        <v>506</v>
      </c>
      <c r="AE14" s="22">
        <v>11138129</v>
      </c>
      <c r="AG14" s="29" t="s">
        <v>44</v>
      </c>
      <c r="AH14" s="29">
        <v>6.3799999999999999</v>
      </c>
      <c r="AI14" s="29">
        <v>0.20999999999999999</v>
      </c>
      <c r="AJ14" s="29">
        <v>7.3399999999999999</v>
      </c>
      <c r="AK14" s="29">
        <v>5.2400000000000002</v>
      </c>
      <c r="AL14" s="29">
        <v>8.6899999999999995</v>
      </c>
      <c r="AM14" s="29">
        <f t="shared" si="8"/>
        <v>6.3799999999999999</v>
      </c>
      <c r="AN14" s="29">
        <f t="shared" si="9"/>
        <v>2.3099999999999996</v>
      </c>
      <c r="AO14" s="29">
        <f t="shared" si="10"/>
        <v>5.2400000000000002</v>
      </c>
    </row>
    <row r="15" spans="2:41" ht="15">
      <c r="B15" s="17">
        <v>530</v>
      </c>
      <c r="C15" t="s">
        <v>81</v>
      </c>
      <c r="D15">
        <v>49</v>
      </c>
      <c r="E15">
        <v>40</v>
      </c>
      <c r="F15">
        <v>30</v>
      </c>
      <c r="G15">
        <v>21</v>
      </c>
      <c r="H15">
        <v>23</v>
      </c>
      <c r="I15" s="23">
        <f t="shared" si="0"/>
        <v>32.600000000000001</v>
      </c>
      <c r="K15" t="s">
        <v>81</v>
      </c>
      <c r="L15">
        <v>1705341</v>
      </c>
      <c r="M15" s="24">
        <v>2613818</v>
      </c>
      <c r="N15" s="24">
        <v>42433</v>
      </c>
      <c r="O15" s="24">
        <v>230609</v>
      </c>
      <c r="P15" s="24">
        <v>63524</v>
      </c>
      <c r="Q15" s="23">
        <f t="shared" si="1"/>
        <v>931145</v>
      </c>
      <c r="S15" t="s">
        <v>81</v>
      </c>
      <c r="T15">
        <v>2554</v>
      </c>
      <c r="U15" s="24">
        <v>3007</v>
      </c>
      <c r="V15">
        <v>770</v>
      </c>
      <c r="W15">
        <v>2717</v>
      </c>
      <c r="X15">
        <v>626</v>
      </c>
      <c r="Y15" s="23">
        <f t="shared" si="2"/>
        <v>1934.8</v>
      </c>
      <c r="Z15" s="21">
        <f t="shared" si="3"/>
        <v>1756.8773584905659</v>
      </c>
      <c r="AA15" s="21">
        <f t="shared" si="4"/>
        <v>481.26162910895187</v>
      </c>
      <c r="AB15" s="21">
        <f t="shared" si="5"/>
        <v>3.6505660377358491</v>
      </c>
      <c r="AC15" s="25">
        <f t="shared" si="6"/>
        <v>424</v>
      </c>
      <c r="AD15" s="25">
        <f t="shared" si="7"/>
        <v>106</v>
      </c>
      <c r="AE15" s="22">
        <v>3085011</v>
      </c>
      <c r="AG15" t="s">
        <v>81</v>
      </c>
      <c r="AH15">
        <v>2.9700000000000002</v>
      </c>
      <c r="AI15">
        <v>1.1200000000000001</v>
      </c>
      <c r="AJ15">
        <v>2.9900000000000002</v>
      </c>
      <c r="AK15">
        <v>3.0499999999999998</v>
      </c>
      <c r="AL15">
        <v>4.0300000000000002</v>
      </c>
      <c r="AM15">
        <f t="shared" si="8"/>
        <v>2.9700000000000002</v>
      </c>
      <c r="AN15">
        <f t="shared" si="9"/>
        <v>1.0600000000000005</v>
      </c>
      <c r="AO15">
        <f t="shared" si="10"/>
        <v>3.0499999999999998</v>
      </c>
    </row>
    <row r="16" spans="2:41" ht="15">
      <c r="B16" s="17">
        <v>886</v>
      </c>
      <c r="C16" t="s">
        <v>54</v>
      </c>
      <c r="D16">
        <v>78</v>
      </c>
      <c r="E16">
        <v>65</v>
      </c>
      <c r="F16">
        <v>208</v>
      </c>
      <c r="G16">
        <v>135</v>
      </c>
      <c r="H16">
        <v>86</v>
      </c>
      <c r="I16" s="23">
        <f t="shared" si="0"/>
        <v>114.40000000000001</v>
      </c>
      <c r="K16" t="s">
        <v>54</v>
      </c>
      <c r="L16">
        <v>244999</v>
      </c>
      <c r="M16" s="24">
        <v>656167</v>
      </c>
      <c r="N16" s="24">
        <v>32600595</v>
      </c>
      <c r="O16" s="24">
        <v>329483</v>
      </c>
      <c r="P16" s="24">
        <v>627763</v>
      </c>
      <c r="Q16" s="23">
        <f t="shared" si="1"/>
        <v>6891801.4000000004</v>
      </c>
      <c r="S16" t="s">
        <v>54</v>
      </c>
      <c r="T16">
        <v>2461</v>
      </c>
      <c r="U16" s="24">
        <v>3805</v>
      </c>
      <c r="V16" s="24">
        <v>6914</v>
      </c>
      <c r="W16">
        <v>3365</v>
      </c>
      <c r="X16" s="24">
        <v>4047</v>
      </c>
      <c r="Y16" s="23">
        <f t="shared" si="2"/>
        <v>4118.3999999999996</v>
      </c>
      <c r="Z16" s="21">
        <f t="shared" si="3"/>
        <v>7778.5568848758467</v>
      </c>
      <c r="AA16" s="21">
        <f t="shared" si="4"/>
        <v>1673.4172008547012</v>
      </c>
      <c r="AB16" s="21">
        <f t="shared" si="5"/>
        <v>4.6483069977426634</v>
      </c>
      <c r="AC16" s="25">
        <f t="shared" si="6"/>
        <v>708.80000000000007</v>
      </c>
      <c r="AD16" s="25">
        <f t="shared" si="7"/>
        <v>177.20000000000002</v>
      </c>
      <c r="AE16" s="22">
        <v>2284298</v>
      </c>
      <c r="AG16" t="s">
        <v>54</v>
      </c>
      <c r="AH16">
        <v>59.969999999999999</v>
      </c>
      <c r="AI16">
        <v>0.5</v>
      </c>
      <c r="AJ16">
        <v>19.75</v>
      </c>
      <c r="AK16" s="28">
        <v>4.5999999999999996</v>
      </c>
      <c r="AL16" s="30">
        <v>75.609999999999999</v>
      </c>
      <c r="AM16">
        <f t="shared" si="8"/>
        <v>59.969999999999999</v>
      </c>
      <c r="AN16">
        <f t="shared" si="9"/>
        <v>15.65</v>
      </c>
      <c r="AO16">
        <f t="shared" si="10"/>
        <v>4.5999999999999996</v>
      </c>
    </row>
    <row r="17" spans="2:41" ht="15">
      <c r="B17" s="17">
        <v>174</v>
      </c>
      <c r="C17" t="s">
        <v>77</v>
      </c>
      <c r="D17">
        <v>15</v>
      </c>
      <c r="E17">
        <v>12</v>
      </c>
      <c r="F17">
        <v>56</v>
      </c>
      <c r="G17">
        <v>20</v>
      </c>
      <c r="H17">
        <v>16</v>
      </c>
      <c r="I17" s="23">
        <f t="shared" si="0"/>
        <v>23.800000000000001</v>
      </c>
      <c r="K17" t="s">
        <v>77</v>
      </c>
      <c r="L17">
        <v>92109</v>
      </c>
      <c r="M17" s="24">
        <v>94254</v>
      </c>
      <c r="N17" s="24">
        <v>1710771</v>
      </c>
      <c r="O17" s="24">
        <v>32513</v>
      </c>
      <c r="P17" s="24">
        <v>21199</v>
      </c>
      <c r="Q17" s="23">
        <f t="shared" si="1"/>
        <v>390169.20000000001</v>
      </c>
      <c r="S17" t="s">
        <v>77</v>
      </c>
      <c r="T17">
        <v>517</v>
      </c>
      <c r="U17" s="24">
        <v>560</v>
      </c>
      <c r="V17">
        <v>828</v>
      </c>
      <c r="W17">
        <v>518</v>
      </c>
      <c r="X17">
        <v>348</v>
      </c>
      <c r="Y17" s="23">
        <f t="shared" si="2"/>
        <v>554.20000000000005</v>
      </c>
      <c r="Z17" s="21">
        <f t="shared" si="3"/>
        <v>2242.3517241379309</v>
      </c>
      <c r="AA17" s="21">
        <f t="shared" si="4"/>
        <v>704.02237459400931</v>
      </c>
      <c r="AB17" s="21">
        <f t="shared" si="5"/>
        <v>3.185057471264368</v>
      </c>
      <c r="AC17" s="25">
        <f t="shared" si="6"/>
        <v>139.20000000000002</v>
      </c>
      <c r="AD17" s="25">
        <f t="shared" si="7"/>
        <v>34.800000000000004</v>
      </c>
      <c r="AE17" s="22">
        <v>1371888</v>
      </c>
      <c r="AG17" t="s">
        <v>77</v>
      </c>
      <c r="AH17">
        <v>6.0199999999999996</v>
      </c>
      <c r="AI17">
        <v>0.19</v>
      </c>
      <c r="AJ17">
        <v>7.71</v>
      </c>
      <c r="AK17" s="28">
        <v>6.2400000000000002</v>
      </c>
      <c r="AL17" s="30">
        <v>7.6799999999999997</v>
      </c>
      <c r="AM17">
        <f t="shared" si="8"/>
        <v>6.0199999999999996</v>
      </c>
      <c r="AN17">
        <f t="shared" si="9"/>
        <v>1.6600000000000001</v>
      </c>
      <c r="AO17">
        <f t="shared" si="10"/>
        <v>6.2400000000000002</v>
      </c>
    </row>
    <row r="18" spans="2:41" ht="15">
      <c r="B18" s="17">
        <v>1022</v>
      </c>
      <c r="C18" t="s">
        <v>18</v>
      </c>
      <c r="D18">
        <v>78</v>
      </c>
      <c r="E18">
        <v>73</v>
      </c>
      <c r="F18">
        <v>209</v>
      </c>
      <c r="G18">
        <v>80</v>
      </c>
      <c r="H18">
        <v>75</v>
      </c>
      <c r="I18" s="23">
        <f t="shared" si="0"/>
        <v>103</v>
      </c>
      <c r="K18" t="s">
        <v>18</v>
      </c>
      <c r="L18">
        <v>276497</v>
      </c>
      <c r="M18" s="24">
        <v>319323</v>
      </c>
      <c r="N18" s="24">
        <v>23872099</v>
      </c>
      <c r="O18" s="24">
        <v>538287</v>
      </c>
      <c r="P18" s="24">
        <v>575929</v>
      </c>
      <c r="Q18" s="23">
        <f t="shared" si="1"/>
        <v>5116427</v>
      </c>
      <c r="S18" t="s">
        <v>18</v>
      </c>
      <c r="T18">
        <v>3109</v>
      </c>
      <c r="U18" s="24">
        <v>2317</v>
      </c>
      <c r="V18" s="24">
        <v>5128</v>
      </c>
      <c r="W18">
        <v>5907</v>
      </c>
      <c r="X18">
        <v>4921</v>
      </c>
      <c r="Y18" s="23">
        <f t="shared" si="2"/>
        <v>4276.3999999999996</v>
      </c>
      <c r="Z18" s="21">
        <f t="shared" si="3"/>
        <v>5006.2886497064583</v>
      </c>
      <c r="AA18" s="21">
        <f t="shared" si="4"/>
        <v>1196.4332148536153</v>
      </c>
      <c r="AB18" s="21">
        <f t="shared" si="5"/>
        <v>4.1843444227005868</v>
      </c>
      <c r="AC18" s="25">
        <f t="shared" si="6"/>
        <v>817.60000000000002</v>
      </c>
      <c r="AD18" s="25">
        <f t="shared" si="7"/>
        <v>204.40000000000001</v>
      </c>
      <c r="AE18" s="22">
        <v>10566490</v>
      </c>
      <c r="AG18" s="29" t="s">
        <v>18</v>
      </c>
      <c r="AH18" s="29">
        <v>34.409999999999997</v>
      </c>
      <c r="AI18" s="29">
        <v>3.3900000000000001</v>
      </c>
      <c r="AJ18" s="29">
        <v>16.140000000000001</v>
      </c>
      <c r="AK18" s="29">
        <v>11.359999999999999</v>
      </c>
      <c r="AL18" s="31">
        <v>42.57</v>
      </c>
      <c r="AM18" s="29">
        <f t="shared" si="8"/>
        <v>34.409999999999997</v>
      </c>
      <c r="AN18" s="29">
        <f t="shared" si="9"/>
        <v>8.1700000000000017</v>
      </c>
      <c r="AO18" s="29">
        <f t="shared" si="10"/>
        <v>11.359999999999999</v>
      </c>
    </row>
    <row r="19" spans="2:41" ht="15">
      <c r="B19" s="17">
        <v>290</v>
      </c>
      <c r="C19" t="s">
        <v>85</v>
      </c>
      <c r="D19">
        <v>25</v>
      </c>
      <c r="E19">
        <v>41</v>
      </c>
      <c r="F19">
        <v>74</v>
      </c>
      <c r="G19">
        <v>29</v>
      </c>
      <c r="H19">
        <v>26</v>
      </c>
      <c r="I19" s="23">
        <f t="shared" si="0"/>
        <v>39</v>
      </c>
      <c r="K19" t="s">
        <v>85</v>
      </c>
      <c r="L19">
        <v>29639</v>
      </c>
      <c r="M19" s="24">
        <v>40943</v>
      </c>
      <c r="N19" s="24">
        <v>8891995</v>
      </c>
      <c r="O19" s="24">
        <v>58329</v>
      </c>
      <c r="P19" s="24">
        <v>100114</v>
      </c>
      <c r="Q19" s="23">
        <f t="shared" si="1"/>
        <v>1824204</v>
      </c>
      <c r="S19" t="s">
        <v>85</v>
      </c>
      <c r="T19">
        <v>504</v>
      </c>
      <c r="U19" s="24">
        <v>890</v>
      </c>
      <c r="V19" s="24">
        <v>2415</v>
      </c>
      <c r="W19">
        <v>539</v>
      </c>
      <c r="X19">
        <v>842</v>
      </c>
      <c r="Y19" s="23">
        <f t="shared" si="2"/>
        <v>1038</v>
      </c>
      <c r="Z19" s="21">
        <f t="shared" si="3"/>
        <v>6290.3586206896553</v>
      </c>
      <c r="AA19" s="21">
        <f t="shared" si="4"/>
        <v>1757.4219653179191</v>
      </c>
      <c r="AB19" s="21">
        <f t="shared" si="5"/>
        <v>3.579310344827586</v>
      </c>
      <c r="AC19" s="25">
        <f t="shared" si="6"/>
        <v>232</v>
      </c>
      <c r="AD19" s="25">
        <f t="shared" si="7"/>
        <v>58</v>
      </c>
      <c r="AE19" s="22">
        <v>435536</v>
      </c>
      <c r="AG19" t="s">
        <v>85</v>
      </c>
      <c r="AH19">
        <v>10.09</v>
      </c>
      <c r="AI19">
        <v>0</v>
      </c>
      <c r="AJ19">
        <v>3.3999999999999999</v>
      </c>
      <c r="AK19" s="28">
        <v>4.2599999999999998</v>
      </c>
      <c r="AL19" s="30">
        <v>9.2300000000000004</v>
      </c>
      <c r="AM19">
        <f t="shared" si="8"/>
        <v>10.09</v>
      </c>
      <c r="AN19">
        <f t="shared" si="9"/>
        <v>-0.85999999999999988</v>
      </c>
      <c r="AO19">
        <f t="shared" si="10"/>
        <v>4.2599999999999998</v>
      </c>
    </row>
    <row r="20" spans="2:41" ht="15">
      <c r="B20" s="17">
        <v>1103</v>
      </c>
      <c r="C20" t="s">
        <v>70</v>
      </c>
      <c r="D20">
        <v>135</v>
      </c>
      <c r="E20">
        <v>104</v>
      </c>
      <c r="F20">
        <v>315</v>
      </c>
      <c r="G20">
        <v>100</v>
      </c>
      <c r="H20">
        <v>84</v>
      </c>
      <c r="I20" s="23">
        <f t="shared" si="0"/>
        <v>147.59999999999999</v>
      </c>
      <c r="K20" t="s">
        <v>70</v>
      </c>
      <c r="L20">
        <v>252980</v>
      </c>
      <c r="M20" s="24">
        <v>590458</v>
      </c>
      <c r="N20" s="24">
        <v>49189503</v>
      </c>
      <c r="O20" s="24">
        <v>776565</v>
      </c>
      <c r="P20" s="24">
        <v>553701</v>
      </c>
      <c r="Q20" s="23">
        <f t="shared" si="1"/>
        <v>10272641.4</v>
      </c>
      <c r="S20" t="s">
        <v>70</v>
      </c>
      <c r="T20">
        <v>2120</v>
      </c>
      <c r="U20" s="24">
        <v>4816</v>
      </c>
      <c r="V20" s="24">
        <v>8938</v>
      </c>
      <c r="W20">
        <v>5935</v>
      </c>
      <c r="X20">
        <v>5097</v>
      </c>
      <c r="Y20" s="23">
        <f t="shared" si="2"/>
        <v>5381.1999999999998</v>
      </c>
      <c r="Z20" s="21">
        <f t="shared" si="3"/>
        <v>9313.3648232094292</v>
      </c>
      <c r="AA20" s="21">
        <f t="shared" si="4"/>
        <v>1908.9871032483463</v>
      </c>
      <c r="AB20" s="21">
        <f t="shared" si="5"/>
        <v>4.8786944696282859</v>
      </c>
      <c r="AC20" s="25">
        <f t="shared" si="6"/>
        <v>882.40000000000009</v>
      </c>
      <c r="AD20" s="25">
        <f t="shared" si="7"/>
        <v>220.60000000000002</v>
      </c>
      <c r="AE20" s="22">
        <v>823885</v>
      </c>
      <c r="AG20" t="s">
        <v>70</v>
      </c>
      <c r="AH20">
        <v>33.840000000000003</v>
      </c>
      <c r="AI20">
        <v>1.6299999999999999</v>
      </c>
      <c r="AJ20">
        <v>24.620000000000001</v>
      </c>
      <c r="AK20" s="28">
        <v>6.79</v>
      </c>
      <c r="AL20" s="30">
        <v>53.310000000000002</v>
      </c>
      <c r="AM20">
        <f t="shared" si="8"/>
        <v>33.840000000000003</v>
      </c>
      <c r="AN20">
        <f t="shared" si="9"/>
        <v>19.460000000000001</v>
      </c>
      <c r="AO20">
        <f t="shared" si="10"/>
        <v>6.79</v>
      </c>
    </row>
    <row r="21" spans="2:41" ht="15">
      <c r="B21" s="17">
        <v>47</v>
      </c>
      <c r="C21" t="s">
        <v>89</v>
      </c>
      <c r="D21">
        <v>4</v>
      </c>
      <c r="E21">
        <v>2</v>
      </c>
      <c r="F21">
        <v>8</v>
      </c>
      <c r="G21">
        <v>10</v>
      </c>
      <c r="H21">
        <v>8</v>
      </c>
      <c r="I21" s="23">
        <f t="shared" si="0"/>
        <v>6.4000000000000004</v>
      </c>
      <c r="K21" t="s">
        <v>89</v>
      </c>
      <c r="L21">
        <v>22406</v>
      </c>
      <c r="M21" s="24">
        <v>11252</v>
      </c>
      <c r="N21" s="24">
        <v>579917</v>
      </c>
      <c r="O21" s="24">
        <v>8022</v>
      </c>
      <c r="P21" s="24">
        <v>1436</v>
      </c>
      <c r="Q21" s="23">
        <f t="shared" si="1"/>
        <v>124606.60000000001</v>
      </c>
      <c r="S21" t="s">
        <v>89</v>
      </c>
      <c r="T21">
        <v>92</v>
      </c>
      <c r="U21" s="24">
        <v>94</v>
      </c>
      <c r="V21">
        <v>95</v>
      </c>
      <c r="W21">
        <v>88</v>
      </c>
      <c r="X21">
        <v>8</v>
      </c>
      <c r="Y21" s="23">
        <f t="shared" si="2"/>
        <v>75.400000000000006</v>
      </c>
      <c r="Z21" s="21">
        <f t="shared" si="3"/>
        <v>2651.2042553191491</v>
      </c>
      <c r="AA21" s="21">
        <f t="shared" si="4"/>
        <v>1652.6074270557028</v>
      </c>
      <c r="AB21" s="21">
        <f t="shared" si="5"/>
        <v>1.6042553191489364</v>
      </c>
      <c r="AC21" s="25">
        <f t="shared" si="6"/>
        <v>37.600000000000001</v>
      </c>
      <c r="AD21" s="25">
        <f t="shared" si="7"/>
        <v>9.4000000000000004</v>
      </c>
      <c r="AE21" s="22">
        <v>49283</v>
      </c>
      <c r="AG21" t="s">
        <v>89</v>
      </c>
      <c r="AH21">
        <v>0.28000000000000003</v>
      </c>
      <c r="AI21">
        <v>0</v>
      </c>
      <c r="AJ21">
        <v>3.9399999999999999</v>
      </c>
      <c r="AK21" s="28">
        <v>3.5299999999999998</v>
      </c>
      <c r="AL21" s="30">
        <v>0.68999999999999995</v>
      </c>
      <c r="AM21">
        <f t="shared" si="8"/>
        <v>0.28000000000000003</v>
      </c>
      <c r="AN21">
        <f t="shared" si="9"/>
        <v>0.41000000000000014</v>
      </c>
      <c r="AO21">
        <f t="shared" si="10"/>
        <v>3.5299999999999998</v>
      </c>
    </row>
    <row r="22" spans="2:41" ht="15">
      <c r="B22" s="17">
        <v>55</v>
      </c>
      <c r="C22" t="s">
        <v>72</v>
      </c>
      <c r="D22">
        <v>11</v>
      </c>
      <c r="E22">
        <v>5</v>
      </c>
      <c r="F22">
        <v>17</v>
      </c>
      <c r="G22">
        <v>8</v>
      </c>
      <c r="H22">
        <v>11</v>
      </c>
      <c r="I22" s="23">
        <f t="shared" si="0"/>
        <v>10.4</v>
      </c>
      <c r="K22" t="s">
        <v>72</v>
      </c>
      <c r="L22">
        <v>9346</v>
      </c>
      <c r="M22" s="24">
        <v>521</v>
      </c>
      <c r="N22" s="24">
        <v>1108865</v>
      </c>
      <c r="O22" s="24">
        <v>2247</v>
      </c>
      <c r="P22" s="24">
        <v>75208</v>
      </c>
      <c r="Q22" s="23">
        <f t="shared" si="1"/>
        <v>239237.39999999999</v>
      </c>
      <c r="S22" t="s">
        <v>72</v>
      </c>
      <c r="T22">
        <v>67</v>
      </c>
      <c r="U22" s="24">
        <v>9</v>
      </c>
      <c r="V22">
        <v>196</v>
      </c>
      <c r="W22">
        <v>22</v>
      </c>
      <c r="X22">
        <v>184</v>
      </c>
      <c r="Y22" s="23">
        <f t="shared" si="2"/>
        <v>95.599999999999994</v>
      </c>
      <c r="Z22" s="21">
        <f t="shared" si="3"/>
        <v>4349.7709090909093</v>
      </c>
      <c r="AA22" s="21">
        <f t="shared" si="4"/>
        <v>2502.4832635983266</v>
      </c>
      <c r="AB22" s="21">
        <f t="shared" si="5"/>
        <v>1.7381818181818181</v>
      </c>
      <c r="AC22" s="25">
        <f t="shared" si="6"/>
        <v>44</v>
      </c>
      <c r="AD22" s="25">
        <f t="shared" si="7"/>
        <v>11</v>
      </c>
      <c r="AE22" s="22">
        <v>427</v>
      </c>
      <c r="AG22" t="s">
        <v>72</v>
      </c>
      <c r="AH22">
        <v>0.48999999999999999</v>
      </c>
      <c r="AI22">
        <v>0</v>
      </c>
      <c r="AJ22">
        <v>5.7000000000000002</v>
      </c>
      <c r="AK22" s="28">
        <v>3.21</v>
      </c>
      <c r="AL22" s="30">
        <v>2.98</v>
      </c>
      <c r="AM22">
        <f t="shared" si="8"/>
        <v>0.48999999999999999</v>
      </c>
      <c r="AN22">
        <f t="shared" si="9"/>
        <v>2.4900000000000002</v>
      </c>
      <c r="AO22">
        <f t="shared" si="10"/>
        <v>3.21</v>
      </c>
    </row>
    <row r="23" spans="2:41" ht="15">
      <c r="B23" s="17">
        <v>1184</v>
      </c>
      <c r="C23" t="s">
        <v>60</v>
      </c>
      <c r="D23">
        <v>143</v>
      </c>
      <c r="E23">
        <v>157</v>
      </c>
      <c r="F23">
        <v>408</v>
      </c>
      <c r="G23">
        <v>125</v>
      </c>
      <c r="H23">
        <v>110</v>
      </c>
      <c r="I23" s="23">
        <f t="shared" si="0"/>
        <v>188.59999999999999</v>
      </c>
      <c r="K23" t="s">
        <v>60</v>
      </c>
      <c r="L23">
        <v>364730</v>
      </c>
      <c r="M23" s="24">
        <v>483027</v>
      </c>
      <c r="N23" s="24">
        <v>37758721</v>
      </c>
      <c r="O23" s="24">
        <v>298948</v>
      </c>
      <c r="P23" s="24">
        <v>1327924</v>
      </c>
      <c r="Q23" s="23">
        <f t="shared" si="1"/>
        <v>8046670</v>
      </c>
      <c r="S23" t="s">
        <v>60</v>
      </c>
      <c r="T23">
        <v>3274</v>
      </c>
      <c r="U23" s="24">
        <v>3733</v>
      </c>
      <c r="V23" s="24">
        <v>8525</v>
      </c>
      <c r="W23">
        <v>3319</v>
      </c>
      <c r="X23">
        <v>7654</v>
      </c>
      <c r="Y23" s="23">
        <f t="shared" si="2"/>
        <v>5301</v>
      </c>
      <c r="Z23" s="21">
        <f t="shared" si="3"/>
        <v>6796.1739864864867</v>
      </c>
      <c r="AA23" s="21">
        <f t="shared" si="4"/>
        <v>1517.953216374269</v>
      </c>
      <c r="AB23" s="21">
        <f t="shared" si="5"/>
        <v>4.4771959459459456</v>
      </c>
      <c r="AC23" s="25">
        <f t="shared" si="6"/>
        <v>947.20000000000005</v>
      </c>
      <c r="AD23" s="25">
        <f t="shared" si="7"/>
        <v>236.80000000000001</v>
      </c>
      <c r="AE23" s="22">
        <v>6373238</v>
      </c>
      <c r="AG23" t="s">
        <v>60</v>
      </c>
      <c r="AH23">
        <v>24.649999999999999</v>
      </c>
      <c r="AI23">
        <v>6.4000000000000004</v>
      </c>
      <c r="AJ23">
        <v>21.710000000000001</v>
      </c>
      <c r="AK23" s="28">
        <v>13.44</v>
      </c>
      <c r="AL23" s="30">
        <v>39.32</v>
      </c>
      <c r="AM23">
        <f t="shared" si="8"/>
        <v>24.649999999999999</v>
      </c>
      <c r="AN23">
        <f t="shared" si="9"/>
        <v>14.67</v>
      </c>
      <c r="AO23">
        <f t="shared" si="10"/>
        <v>13.44</v>
      </c>
    </row>
    <row r="24" spans="2:41" ht="15">
      <c r="B24" s="17">
        <v>768</v>
      </c>
      <c r="C24" t="s">
        <v>61</v>
      </c>
      <c r="D24">
        <v>78</v>
      </c>
      <c r="E24">
        <v>130</v>
      </c>
      <c r="F24">
        <v>426</v>
      </c>
      <c r="G24">
        <v>53</v>
      </c>
      <c r="H24">
        <v>68</v>
      </c>
      <c r="I24" s="23">
        <f t="shared" si="0"/>
        <v>151</v>
      </c>
      <c r="K24" t="s">
        <v>61</v>
      </c>
      <c r="L24">
        <v>161724</v>
      </c>
      <c r="M24" s="24">
        <v>283912</v>
      </c>
      <c r="N24" s="24">
        <v>41172225</v>
      </c>
      <c r="O24" s="24">
        <v>118737</v>
      </c>
      <c r="P24" s="24">
        <v>255790</v>
      </c>
      <c r="Q24" s="23">
        <f t="shared" si="1"/>
        <v>8398477.5999999996</v>
      </c>
      <c r="S24" t="s">
        <v>61</v>
      </c>
      <c r="T24">
        <v>970</v>
      </c>
      <c r="U24" s="24">
        <v>1887</v>
      </c>
      <c r="V24" s="24">
        <v>6473</v>
      </c>
      <c r="W24">
        <v>1104</v>
      </c>
      <c r="X24">
        <v>1896</v>
      </c>
      <c r="Y24" s="23">
        <f t="shared" si="2"/>
        <v>2466</v>
      </c>
      <c r="Z24" s="21">
        <f t="shared" si="3"/>
        <v>10935.517708333333</v>
      </c>
      <c r="AA24" s="21">
        <f t="shared" si="4"/>
        <v>3405.7086780210866</v>
      </c>
      <c r="AB24" s="21">
        <f t="shared" si="5"/>
        <v>3.2109375</v>
      </c>
      <c r="AC24" s="25">
        <f t="shared" si="6"/>
        <v>614.40000000000009</v>
      </c>
      <c r="AD24" s="25">
        <f t="shared" si="7"/>
        <v>153.60000000000002</v>
      </c>
      <c r="AE24" s="22">
        <v>62</v>
      </c>
      <c r="AG24" t="s">
        <v>61</v>
      </c>
      <c r="AH24">
        <v>20.690000000000001</v>
      </c>
      <c r="AI24">
        <v>2.4399999999999999</v>
      </c>
      <c r="AJ24">
        <v>11.029999999999999</v>
      </c>
      <c r="AK24" s="28">
        <v>11.26</v>
      </c>
      <c r="AL24" s="30">
        <v>22.899999999999999</v>
      </c>
      <c r="AM24">
        <f t="shared" si="8"/>
        <v>20.690000000000001</v>
      </c>
      <c r="AN24">
        <f t="shared" si="9"/>
        <v>2.2099999999999991</v>
      </c>
      <c r="AO24">
        <f t="shared" si="10"/>
        <v>11.26</v>
      </c>
    </row>
    <row r="25" spans="2:41" ht="15">
      <c r="B25" s="17">
        <v>923</v>
      </c>
      <c r="C25" t="s">
        <v>62</v>
      </c>
      <c r="D25">
        <v>71</v>
      </c>
      <c r="E25">
        <v>50</v>
      </c>
      <c r="F25">
        <v>215</v>
      </c>
      <c r="G25">
        <v>53</v>
      </c>
      <c r="H25">
        <v>46</v>
      </c>
      <c r="I25" s="23">
        <f t="shared" si="0"/>
        <v>87</v>
      </c>
      <c r="K25" t="s">
        <v>62</v>
      </c>
      <c r="L25">
        <v>594546</v>
      </c>
      <c r="M25" s="24">
        <v>183932</v>
      </c>
      <c r="N25" s="24">
        <v>30570084</v>
      </c>
      <c r="O25" s="24">
        <v>109128</v>
      </c>
      <c r="P25" s="24">
        <v>523925</v>
      </c>
      <c r="Q25" s="23">
        <f t="shared" si="1"/>
        <v>6396323</v>
      </c>
      <c r="S25" t="s">
        <v>62</v>
      </c>
      <c r="T25">
        <v>3544</v>
      </c>
      <c r="U25" s="24">
        <v>886</v>
      </c>
      <c r="V25" s="24">
        <v>5483</v>
      </c>
      <c r="W25">
        <v>1813</v>
      </c>
      <c r="X25">
        <v>3773</v>
      </c>
      <c r="Y25" s="23">
        <f t="shared" si="2"/>
        <v>3099.8000000000002</v>
      </c>
      <c r="Z25" s="21">
        <f t="shared" si="3"/>
        <v>6929.9274106175517</v>
      </c>
      <c r="AA25" s="21">
        <f t="shared" si="4"/>
        <v>2063.4631266533324</v>
      </c>
      <c r="AB25" s="21">
        <f t="shared" si="5"/>
        <v>3.3583965330444205</v>
      </c>
      <c r="AC25" s="25">
        <f t="shared" si="6"/>
        <v>738.40000000000009</v>
      </c>
      <c r="AD25" s="25">
        <f t="shared" si="7"/>
        <v>184.60000000000002</v>
      </c>
      <c r="AE25" s="22">
        <v>161229</v>
      </c>
      <c r="AG25" t="s">
        <v>62</v>
      </c>
      <c r="AH25">
        <v>6.0700000000000003</v>
      </c>
      <c r="AI25">
        <v>0.95999999999999996</v>
      </c>
      <c r="AJ25">
        <v>8.5500000000000007</v>
      </c>
      <c r="AK25" s="28">
        <v>2.8599999999999999</v>
      </c>
      <c r="AL25" s="30">
        <v>12.720000000000001</v>
      </c>
      <c r="AM25">
        <f t="shared" si="8"/>
        <v>6.0700000000000003</v>
      </c>
      <c r="AN25">
        <f t="shared" si="9"/>
        <v>6.6500000000000021</v>
      </c>
      <c r="AO25">
        <f t="shared" si="10"/>
        <v>2.8599999999999999</v>
      </c>
    </row>
    <row r="26" spans="2:41" ht="15">
      <c r="B26" s="17">
        <v>926</v>
      </c>
      <c r="C26" t="s">
        <v>67</v>
      </c>
      <c r="D26">
        <v>68</v>
      </c>
      <c r="E26">
        <v>134</v>
      </c>
      <c r="F26">
        <v>243</v>
      </c>
      <c r="G26">
        <v>80</v>
      </c>
      <c r="H26">
        <v>75</v>
      </c>
      <c r="I26" s="23">
        <f t="shared" si="0"/>
        <v>120</v>
      </c>
      <c r="K26" t="s">
        <v>67</v>
      </c>
      <c r="L26">
        <v>167477</v>
      </c>
      <c r="M26" s="24">
        <v>453453</v>
      </c>
      <c r="N26" s="24">
        <v>36313678</v>
      </c>
      <c r="O26" s="24">
        <v>145905</v>
      </c>
      <c r="P26" s="24">
        <v>1078328</v>
      </c>
      <c r="Q26" s="23">
        <f t="shared" si="1"/>
        <v>7631768.2000000002</v>
      </c>
      <c r="S26" t="s">
        <v>67</v>
      </c>
      <c r="T26">
        <v>1842</v>
      </c>
      <c r="U26" s="24">
        <v>4395</v>
      </c>
      <c r="V26" s="24">
        <v>8251</v>
      </c>
      <c r="W26">
        <v>1578</v>
      </c>
      <c r="X26">
        <v>3793</v>
      </c>
      <c r="Y26" s="23">
        <f t="shared" si="2"/>
        <v>3971.8000000000002</v>
      </c>
      <c r="Z26" s="21">
        <f t="shared" si="3"/>
        <v>8241.6503239740814</v>
      </c>
      <c r="AA26" s="21">
        <f t="shared" si="4"/>
        <v>1921.48854423687</v>
      </c>
      <c r="AB26" s="21">
        <f t="shared" si="5"/>
        <v>4.2892008639308861</v>
      </c>
      <c r="AC26" s="25">
        <f t="shared" si="6"/>
        <v>740.80000000000007</v>
      </c>
      <c r="AD26" s="25">
        <f t="shared" si="7"/>
        <v>185.20000000000002</v>
      </c>
      <c r="AE26" s="22">
        <v>535052</v>
      </c>
      <c r="AG26" t="s">
        <v>67</v>
      </c>
      <c r="AH26">
        <v>18.719999999999999</v>
      </c>
      <c r="AI26">
        <v>2.8700000000000001</v>
      </c>
      <c r="AJ26">
        <v>10.81</v>
      </c>
      <c r="AK26" s="28">
        <v>5.7000000000000002</v>
      </c>
      <c r="AL26" s="30">
        <v>26.699999999999999</v>
      </c>
      <c r="AM26">
        <f t="shared" si="8"/>
        <v>18.719999999999999</v>
      </c>
      <c r="AN26">
        <f t="shared" si="9"/>
        <v>7.9799999999999995</v>
      </c>
      <c r="AO26">
        <f t="shared" si="10"/>
        <v>5.7000000000000002</v>
      </c>
    </row>
    <row r="27" spans="2:41" ht="15">
      <c r="B27" s="17">
        <v>1429</v>
      </c>
      <c r="C27" t="s">
        <v>35</v>
      </c>
      <c r="D27">
        <v>143</v>
      </c>
      <c r="E27">
        <v>157</v>
      </c>
      <c r="F27">
        <v>401</v>
      </c>
      <c r="G27">
        <v>160</v>
      </c>
      <c r="H27">
        <v>141</v>
      </c>
      <c r="I27" s="23">
        <f t="shared" si="0"/>
        <v>200.40000000000001</v>
      </c>
      <c r="K27" t="s">
        <v>35</v>
      </c>
      <c r="L27">
        <v>294839</v>
      </c>
      <c r="M27" s="24">
        <v>532321</v>
      </c>
      <c r="N27" s="24">
        <v>48650838</v>
      </c>
      <c r="O27" s="24">
        <v>370885</v>
      </c>
      <c r="P27" s="24">
        <v>1952971</v>
      </c>
      <c r="Q27" s="23">
        <f t="shared" si="1"/>
        <v>10360370.800000001</v>
      </c>
      <c r="S27" t="s">
        <v>35</v>
      </c>
      <c r="T27">
        <v>4041</v>
      </c>
      <c r="U27" s="24">
        <v>6013</v>
      </c>
      <c r="V27" s="24">
        <v>6613</v>
      </c>
      <c r="W27">
        <v>3665</v>
      </c>
      <c r="X27">
        <v>10163</v>
      </c>
      <c r="Y27" s="23">
        <f t="shared" si="2"/>
        <v>6099</v>
      </c>
      <c r="Z27" s="21">
        <f t="shared" si="3"/>
        <v>7250.084534639609</v>
      </c>
      <c r="AA27" s="21">
        <f t="shared" si="4"/>
        <v>1698.6999180193475</v>
      </c>
      <c r="AB27" s="21">
        <f t="shared" si="5"/>
        <v>4.2680195941217631</v>
      </c>
      <c r="AC27" s="25">
        <f t="shared" si="6"/>
        <v>1143.2</v>
      </c>
      <c r="AD27" s="25">
        <f t="shared" si="7"/>
        <v>285.80000000000001</v>
      </c>
      <c r="AE27" s="22">
        <v>3532713</v>
      </c>
      <c r="AG27" s="29" t="s">
        <v>35</v>
      </c>
      <c r="AH27" s="29">
        <v>53.990000000000002</v>
      </c>
      <c r="AI27" s="29">
        <v>2.8900000000000001</v>
      </c>
      <c r="AJ27" s="29">
        <v>22.57</v>
      </c>
      <c r="AK27" s="29">
        <v>11.720000000000001</v>
      </c>
      <c r="AL27" s="31">
        <v>67.730000000000004</v>
      </c>
      <c r="AM27" s="29">
        <f t="shared" si="8"/>
        <v>53.990000000000002</v>
      </c>
      <c r="AN27" s="29">
        <f t="shared" si="9"/>
        <v>13.74</v>
      </c>
      <c r="AO27" s="29">
        <f t="shared" si="10"/>
        <v>11.720000000000001</v>
      </c>
    </row>
    <row r="28" spans="2:41" ht="15">
      <c r="B28" s="17">
        <v>25</v>
      </c>
      <c r="C28" t="s">
        <v>79</v>
      </c>
      <c r="D28">
        <v>4</v>
      </c>
      <c r="E28">
        <v>3</v>
      </c>
      <c r="F28">
        <v>9</v>
      </c>
      <c r="G28">
        <v>4</v>
      </c>
      <c r="H28">
        <v>2</v>
      </c>
      <c r="I28" s="23">
        <f t="shared" si="0"/>
        <v>4.4000000000000004</v>
      </c>
      <c r="K28" t="s">
        <v>79</v>
      </c>
      <c r="L28">
        <v>11470</v>
      </c>
      <c r="M28" s="24">
        <v>2296</v>
      </c>
      <c r="N28" s="24">
        <v>476278</v>
      </c>
      <c r="O28" s="24">
        <v>10027</v>
      </c>
      <c r="P28" s="24">
        <v>2005</v>
      </c>
      <c r="Q28" s="23">
        <f t="shared" si="1"/>
        <v>100415.2</v>
      </c>
      <c r="S28" t="s">
        <v>79</v>
      </c>
      <c r="T28">
        <v>51</v>
      </c>
      <c r="U28" s="24">
        <v>9</v>
      </c>
      <c r="V28" s="24">
        <v>57</v>
      </c>
      <c r="W28">
        <v>72</v>
      </c>
      <c r="X28">
        <v>26</v>
      </c>
      <c r="Y28" s="23">
        <f t="shared" si="2"/>
        <v>43</v>
      </c>
      <c r="Z28" s="21">
        <f t="shared" si="3"/>
        <v>4016.6079999999997</v>
      </c>
      <c r="AA28" s="21">
        <f t="shared" si="4"/>
        <v>2335.2372093023255</v>
      </c>
      <c r="AB28" s="21">
        <f t="shared" si="5"/>
        <v>1.72</v>
      </c>
      <c r="AC28" s="25">
        <f t="shared" si="6"/>
        <v>20</v>
      </c>
      <c r="AD28" s="25">
        <f t="shared" si="7"/>
        <v>5</v>
      </c>
      <c r="AE28" s="22">
        <v>358</v>
      </c>
      <c r="AG28" t="s">
        <v>79</v>
      </c>
      <c r="AH28">
        <v>0.84999999999999998</v>
      </c>
      <c r="AI28">
        <v>0</v>
      </c>
      <c r="AJ28">
        <v>3.0299999999999998</v>
      </c>
      <c r="AK28" s="28">
        <v>2.5800000000000001</v>
      </c>
      <c r="AL28" s="30">
        <v>1.3</v>
      </c>
      <c r="AM28">
        <f t="shared" si="8"/>
        <v>0.84999999999999998</v>
      </c>
      <c r="AN28">
        <f t="shared" si="9"/>
        <v>0.44999999999999973</v>
      </c>
      <c r="AO28">
        <f t="shared" si="10"/>
        <v>2.5800000000000001</v>
      </c>
    </row>
    <row r="29" spans="2:41" ht="15">
      <c r="B29" s="17">
        <v>780</v>
      </c>
      <c r="C29" t="s">
        <v>49</v>
      </c>
      <c r="D29">
        <v>70</v>
      </c>
      <c r="E29">
        <v>63</v>
      </c>
      <c r="F29">
        <v>196</v>
      </c>
      <c r="G29">
        <v>56</v>
      </c>
      <c r="H29">
        <v>89</v>
      </c>
      <c r="I29" s="23">
        <f t="shared" si="0"/>
        <v>94.799999999999997</v>
      </c>
      <c r="K29" t="s">
        <v>49</v>
      </c>
      <c r="L29">
        <v>161724</v>
      </c>
      <c r="M29" s="24">
        <v>222824</v>
      </c>
      <c r="N29" s="24">
        <v>35840481</v>
      </c>
      <c r="O29" s="24">
        <v>252280</v>
      </c>
      <c r="P29" s="24">
        <v>1123506</v>
      </c>
      <c r="Q29" s="23">
        <f t="shared" si="1"/>
        <v>7520163</v>
      </c>
      <c r="S29" t="s">
        <v>49</v>
      </c>
      <c r="T29">
        <v>1847</v>
      </c>
      <c r="U29" s="24">
        <v>2205</v>
      </c>
      <c r="V29" s="24">
        <v>5298</v>
      </c>
      <c r="W29">
        <v>2624</v>
      </c>
      <c r="X29">
        <v>3613</v>
      </c>
      <c r="Y29" s="23">
        <f t="shared" si="2"/>
        <v>3117.4000000000001</v>
      </c>
      <c r="Z29" s="21">
        <f t="shared" si="3"/>
        <v>9641.2346153846156</v>
      </c>
      <c r="AA29" s="21">
        <f t="shared" si="4"/>
        <v>2412.3189196124977</v>
      </c>
      <c r="AB29" s="21">
        <f t="shared" si="5"/>
        <v>3.9966666666666666</v>
      </c>
      <c r="AC29" s="25">
        <f t="shared" si="6"/>
        <v>624</v>
      </c>
      <c r="AD29" s="25">
        <f t="shared" si="7"/>
        <v>156</v>
      </c>
      <c r="AE29" s="22">
        <v>22745</v>
      </c>
      <c r="AG29" t="s">
        <v>49</v>
      </c>
      <c r="AH29">
        <v>29.940000000000001</v>
      </c>
      <c r="AI29">
        <v>2.7599999999999998</v>
      </c>
      <c r="AJ29">
        <v>6.8700000000000001</v>
      </c>
      <c r="AK29" s="28">
        <v>3.0800000000000001</v>
      </c>
      <c r="AL29" s="30">
        <v>36.490000000000002</v>
      </c>
      <c r="AM29">
        <f t="shared" si="8"/>
        <v>29.940000000000001</v>
      </c>
      <c r="AN29">
        <f t="shared" si="9"/>
        <v>6.5499999999999989</v>
      </c>
      <c r="AO29">
        <f t="shared" si="10"/>
        <v>3.0800000000000001</v>
      </c>
    </row>
    <row r="30" spans="2:41" ht="15">
      <c r="B30" s="17">
        <v>600</v>
      </c>
      <c r="C30" t="s">
        <v>58</v>
      </c>
      <c r="D30">
        <v>38</v>
      </c>
      <c r="E30">
        <v>33</v>
      </c>
      <c r="F30">
        <v>189</v>
      </c>
      <c r="G30">
        <v>30</v>
      </c>
      <c r="H30">
        <v>35</v>
      </c>
      <c r="I30" s="23">
        <f t="shared" si="0"/>
        <v>65</v>
      </c>
      <c r="K30" t="s">
        <v>58</v>
      </c>
      <c r="L30">
        <v>65279</v>
      </c>
      <c r="M30" s="24">
        <v>201262</v>
      </c>
      <c r="N30" s="24">
        <v>7918924</v>
      </c>
      <c r="O30" s="24">
        <v>41602</v>
      </c>
      <c r="P30" s="24">
        <v>78760</v>
      </c>
      <c r="Q30" s="23">
        <f t="shared" si="1"/>
        <v>1661165.3999999999</v>
      </c>
      <c r="S30" t="s">
        <v>58</v>
      </c>
      <c r="T30">
        <v>771</v>
      </c>
      <c r="U30" s="24">
        <v>1780</v>
      </c>
      <c r="V30" s="24">
        <v>4189</v>
      </c>
      <c r="W30">
        <v>319</v>
      </c>
      <c r="X30">
        <v>414</v>
      </c>
      <c r="Y30" s="23">
        <f t="shared" si="2"/>
        <v>1494.5999999999999</v>
      </c>
      <c r="Z30" s="21">
        <f t="shared" si="3"/>
        <v>2768.6089999999999</v>
      </c>
      <c r="AA30" s="21">
        <f t="shared" si="4"/>
        <v>1111.4448012846246</v>
      </c>
      <c r="AB30" s="21">
        <f t="shared" si="5"/>
        <v>2.4909999999999997</v>
      </c>
      <c r="AC30" s="25">
        <f t="shared" si="6"/>
        <v>480</v>
      </c>
      <c r="AD30" s="25">
        <f t="shared" si="7"/>
        <v>120</v>
      </c>
      <c r="AE30" s="22">
        <v>4039023</v>
      </c>
      <c r="AG30" t="s">
        <v>58</v>
      </c>
      <c r="AH30">
        <v>6.9900000000000002</v>
      </c>
      <c r="AI30">
        <v>1.1599999999999999</v>
      </c>
      <c r="AJ30">
        <v>9.8499999999999996</v>
      </c>
      <c r="AK30" s="28">
        <v>7.9400000000000004</v>
      </c>
      <c r="AL30" s="30">
        <v>10.07</v>
      </c>
      <c r="AM30">
        <f t="shared" si="8"/>
        <v>6.9900000000000002</v>
      </c>
      <c r="AN30">
        <f t="shared" si="9"/>
        <v>3.0699999999999994</v>
      </c>
      <c r="AO30">
        <f t="shared" si="10"/>
        <v>7.9400000000000004</v>
      </c>
    </row>
    <row r="31" spans="2:41" ht="15">
      <c r="B31" s="17">
        <v>1947</v>
      </c>
      <c r="C31" t="s">
        <v>29</v>
      </c>
      <c r="D31">
        <v>185</v>
      </c>
      <c r="E31">
        <v>210</v>
      </c>
      <c r="F31">
        <v>608</v>
      </c>
      <c r="G31">
        <v>193</v>
      </c>
      <c r="H31">
        <v>139</v>
      </c>
      <c r="I31" s="23">
        <f t="shared" si="0"/>
        <v>267</v>
      </c>
      <c r="K31" t="s">
        <v>29</v>
      </c>
      <c r="L31">
        <v>649676</v>
      </c>
      <c r="M31" s="24">
        <v>2487682</v>
      </c>
      <c r="N31" s="24">
        <v>84101397</v>
      </c>
      <c r="O31" s="24">
        <v>680888</v>
      </c>
      <c r="P31" s="24">
        <v>966152</v>
      </c>
      <c r="Q31" s="23">
        <f t="shared" si="1"/>
        <v>17777159</v>
      </c>
      <c r="S31" t="s">
        <v>29</v>
      </c>
      <c r="T31">
        <v>9072</v>
      </c>
      <c r="U31" s="24">
        <v>17532</v>
      </c>
      <c r="V31" s="24">
        <v>9815</v>
      </c>
      <c r="W31" s="24">
        <v>9404</v>
      </c>
      <c r="X31">
        <v>4392</v>
      </c>
      <c r="Y31" s="23">
        <f t="shared" si="2"/>
        <v>10043</v>
      </c>
      <c r="Z31" s="21">
        <f t="shared" si="3"/>
        <v>9130.5387776065745</v>
      </c>
      <c r="AA31" s="21">
        <f t="shared" si="4"/>
        <v>1770.1044508612965</v>
      </c>
      <c r="AB31" s="21">
        <f t="shared" si="5"/>
        <v>5.1581920903954801</v>
      </c>
      <c r="AC31" s="25">
        <f t="shared" si="6"/>
        <v>1557.6000000000001</v>
      </c>
      <c r="AD31" s="25">
        <f t="shared" si="7"/>
        <v>389.40000000000003</v>
      </c>
      <c r="AE31" s="22">
        <v>3988432</v>
      </c>
      <c r="AG31" s="29" t="s">
        <v>29</v>
      </c>
      <c r="AH31" s="29">
        <v>85.489999999999995</v>
      </c>
      <c r="AI31" s="29">
        <v>4.0199999999999996</v>
      </c>
      <c r="AJ31" s="29">
        <v>17.84</v>
      </c>
      <c r="AK31" s="29">
        <v>7.3300000000000001</v>
      </c>
      <c r="AL31" s="31">
        <v>100.02</v>
      </c>
      <c r="AM31" s="29">
        <f t="shared" si="8"/>
        <v>85.489999999999995</v>
      </c>
      <c r="AN31" s="29">
        <f t="shared" si="9"/>
        <v>14.529999999999999</v>
      </c>
      <c r="AO31" s="29">
        <f t="shared" si="10"/>
        <v>7.3300000000000001</v>
      </c>
    </row>
    <row r="32" spans="38:41" ht="15">
      <c r="AL32" s="19" t="s">
        <v>140</v>
      </c>
      <c r="AM32">
        <f>SUM(AM3:AM31)</f>
        <v>432.80000000000001</v>
      </c>
      <c r="AN32">
        <f t="shared" si="11" ref="AN32:AO32">SUM(AN3:AN31)</f>
        <v>141.74999999999997</v>
      </c>
      <c r="AO32">
        <f t="shared" si="11"/>
        <v>140.65000000000001</v>
      </c>
    </row>
    <row r="33" spans="38:41" ht="15">
      <c r="AL33" s="29" t="s">
        <v>141</v>
      </c>
      <c r="AM33">
        <f>SUM(AM31,AM27,AM18,AM14,AM10)</f>
        <v>185.53999999999999</v>
      </c>
      <c r="AN33">
        <f>SUM(AN31,AN27,AN18,AN14,AN10)</f>
        <v>45.030000000000001</v>
      </c>
      <c r="AO33">
        <f>SUM(AO31,AO27,AO18,AO14,AO10)</f>
        <v>38.299999999999997</v>
      </c>
    </row>
    <row r="34" spans="39:41" ht="15">
      <c r="AM34" s="32">
        <f>AM33/AM32</f>
        <v>0.42869685767097965</v>
      </c>
      <c r="AN34" s="32">
        <f>AN33/AN32</f>
        <v>0.31767195767195772</v>
      </c>
      <c r="AO34" s="32">
        <f>AO33/AO32</f>
        <v>0.27230714539637396</v>
      </c>
    </row>
  </sheetData>
  <mergeCells count="2">
    <mergeCell ref="AH1:AJ1"/>
    <mergeCell ref="AK1:A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27C5-66B4-47B7-931F-453CF7F82327}">
  <dimension ref="B1:AH57"/>
  <sheetViews>
    <sheetView showGridLines="0" workbookViewId="0" topLeftCell="A22">
      <selection pane="topLeft" activeCell="D59" sqref="D59"/>
    </sheetView>
  </sheetViews>
  <sheetFormatPr defaultRowHeight="15"/>
  <cols>
    <col min="2" max="2" width="31.5714285714286" bestFit="1" customWidth="1"/>
    <col min="3" max="4" width="15.5714285714286" customWidth="1"/>
    <col min="5" max="5" width="12.4285714285714" bestFit="1" customWidth="1"/>
    <col min="6" max="6" width="11.8571428571429" bestFit="1" customWidth="1"/>
    <col min="7" max="7" width="10.8571428571429" bestFit="1" customWidth="1"/>
    <col min="8" max="9" width="11.8571428571429" bestFit="1" customWidth="1"/>
    <col min="10" max="11" width="12.4285714285714" bestFit="1" customWidth="1"/>
    <col min="12" max="12" width="11.8571428571429" bestFit="1" customWidth="1"/>
    <col min="13" max="13" width="12.8571428571429" bestFit="1" customWidth="1"/>
    <col min="14" max="14" width="9.85714285714286" bestFit="1" customWidth="1"/>
    <col min="15" max="16" width="10.8571428571429" bestFit="1" customWidth="1"/>
    <col min="17" max="17" width="12.4285714285714" bestFit="1" customWidth="1"/>
    <col min="18" max="18" width="13.5714285714286" bestFit="1" customWidth="1"/>
    <col min="19" max="19" width="14.5714285714286" bestFit="1" customWidth="1"/>
    <col min="20" max="20" width="12.4285714285714" bestFit="1" customWidth="1"/>
    <col min="21" max="21" width="13.5714285714286" bestFit="1" customWidth="1"/>
    <col min="22" max="22" width="12.4285714285714" bestFit="1" customWidth="1"/>
    <col min="23" max="23" width="13.5714285714286" bestFit="1" customWidth="1"/>
    <col min="24" max="25" width="10.8571428571429" bestFit="1" customWidth="1"/>
    <col min="26" max="32" width="12.4285714285714" bestFit="1" customWidth="1"/>
    <col min="33" max="34" width="13.5714285714286" bestFit="1" customWidth="1"/>
  </cols>
  <sheetData>
    <row r="1" spans="8:10" ht="15">
      <c r="H1" s="208" t="s">
        <v>142</v>
      </c>
      <c r="I1" s="208"/>
      <c r="J1" s="208"/>
    </row>
    <row r="2" spans="8:11" ht="15">
      <c r="H2" s="42">
        <f>D16</f>
        <v>0.32000000000000001</v>
      </c>
      <c r="I2" s="42">
        <v>1</v>
      </c>
      <c r="J2" s="42">
        <v>1</v>
      </c>
      <c r="K2" s="45"/>
    </row>
    <row r="3" spans="2:23" ht="15">
      <c r="B3" s="37"/>
      <c r="C3" s="208" t="s">
        <v>143</v>
      </c>
      <c r="D3" s="208"/>
      <c r="E3" s="208" t="s">
        <v>144</v>
      </c>
      <c r="F3" s="208"/>
      <c r="G3" s="208"/>
      <c r="H3" s="213" t="s">
        <v>145</v>
      </c>
      <c r="I3" s="214"/>
      <c r="J3" s="215"/>
      <c r="K3" s="208" t="s">
        <v>146</v>
      </c>
      <c r="L3" s="208"/>
      <c r="M3" s="208"/>
      <c r="O3" s="213" t="s">
        <v>147</v>
      </c>
      <c r="P3" s="214"/>
      <c r="Q3" s="215"/>
      <c r="R3" s="213" t="s">
        <v>148</v>
      </c>
      <c r="S3" s="214"/>
      <c r="T3" s="213" t="s">
        <v>149</v>
      </c>
      <c r="U3" s="214"/>
      <c r="V3" s="213" t="s">
        <v>150</v>
      </c>
      <c r="W3" s="214"/>
    </row>
    <row r="4" spans="2:23" ht="15">
      <c r="B4" s="38" t="s">
        <v>151</v>
      </c>
      <c r="C4" s="38" t="s">
        <v>152</v>
      </c>
      <c r="D4" s="38" t="s">
        <v>153</v>
      </c>
      <c r="E4" s="38" t="s">
        <v>154</v>
      </c>
      <c r="F4" s="38" t="s">
        <v>155</v>
      </c>
      <c r="G4" s="38" t="s">
        <v>156</v>
      </c>
      <c r="H4" s="41" t="s">
        <v>157</v>
      </c>
      <c r="I4" s="41" t="s">
        <v>158</v>
      </c>
      <c r="J4" s="41" t="s">
        <v>159</v>
      </c>
      <c r="K4" s="41" t="s">
        <v>157</v>
      </c>
      <c r="L4" s="41" t="s">
        <v>158</v>
      </c>
      <c r="M4" s="41" t="s">
        <v>159</v>
      </c>
      <c r="N4" s="38" t="s">
        <v>160</v>
      </c>
      <c r="O4" s="41" t="s">
        <v>157</v>
      </c>
      <c r="P4" s="41" t="s">
        <v>158</v>
      </c>
      <c r="Q4" s="41" t="s">
        <v>159</v>
      </c>
      <c r="R4" s="41" t="s">
        <v>161</v>
      </c>
      <c r="S4" s="41" t="s">
        <v>162</v>
      </c>
      <c r="T4" s="41" t="s">
        <v>161</v>
      </c>
      <c r="U4" s="41" t="s">
        <v>162</v>
      </c>
      <c r="V4" s="41" t="s">
        <v>161</v>
      </c>
      <c r="W4" s="41" t="s">
        <v>162</v>
      </c>
    </row>
    <row r="5" spans="2:23" ht="15">
      <c r="B5" s="71" t="s">
        <v>18</v>
      </c>
      <c r="C5" s="92">
        <f>FeederData!AO18</f>
        <v>11.359999999999999</v>
      </c>
      <c r="D5" s="92">
        <f>FeederData!AL18</f>
        <v>42.57</v>
      </c>
      <c r="E5" s="92">
        <f>FeederData!AH18</f>
        <v>34.409999999999997</v>
      </c>
      <c r="F5" s="92">
        <f>FeederData!AI18</f>
        <v>3.3900000000000001</v>
      </c>
      <c r="G5" s="92">
        <f>FeederData!AJ18</f>
        <v>16.140000000000001</v>
      </c>
      <c r="H5" s="93">
        <f>$H$2*E5</f>
        <v>11.011199999999999</v>
      </c>
      <c r="I5" s="93">
        <f>$I$2*(F5+G5-C5)</f>
        <v>8.1700000000000017</v>
      </c>
      <c r="J5" s="93">
        <f>C5</f>
        <v>11.359999999999999</v>
      </c>
      <c r="K5" s="94">
        <f>H5*$D$18</f>
        <v>12112319.999999998</v>
      </c>
      <c r="L5" s="94">
        <f>I5*$D$19</f>
        <v>4085000.0000000009</v>
      </c>
      <c r="M5" s="94">
        <f t="shared" si="0" ref="M5:M10">J5*$D$17</f>
        <v>4544000</v>
      </c>
      <c r="N5" s="92">
        <v>3</v>
      </c>
      <c r="O5" s="95">
        <f>H5/$N5</f>
        <v>3.6703999999999994</v>
      </c>
      <c r="P5" s="95">
        <f t="shared" si="1" ref="P5:Q10">I5/$N5</f>
        <v>2.723333333333334</v>
      </c>
      <c r="Q5" s="95">
        <f t="shared" si="1"/>
        <v>3.7866666666666666</v>
      </c>
      <c r="R5" s="96">
        <f t="shared" si="2" ref="R5:R11">$O5*$D$18*$D$20</f>
        <v>403744</v>
      </c>
      <c r="S5" s="96">
        <f t="shared" si="3" ref="S5:S11">$O5*$D$18*(1-$D$20)</f>
        <v>3633695.9999999995</v>
      </c>
      <c r="T5" s="96">
        <f t="shared" si="4" ref="T5:T11">$P5*$D$19*$D$20</f>
        <v>136166.66666666672</v>
      </c>
      <c r="U5" s="96">
        <f t="shared" si="5" ref="U5:U11">$P5*$D$19*(1-$D$20)</f>
        <v>1225500.0000000002</v>
      </c>
      <c r="V5" s="96">
        <f t="shared" si="6" ref="V5:V11">$Q5*$D$17*$D$20</f>
        <v>151466.66666666669</v>
      </c>
      <c r="W5" s="96">
        <f t="shared" si="7" ref="W5:W11">$Q5*$D$17*(1-$D$20)</f>
        <v>1363200</v>
      </c>
    </row>
    <row r="6" spans="2:23" ht="15">
      <c r="B6" s="73" t="s">
        <v>29</v>
      </c>
      <c r="C6" s="87">
        <f>FeederData!AO31</f>
        <v>7.3300000000000001</v>
      </c>
      <c r="D6" s="87">
        <f>FeederData!AL31</f>
        <v>100.02</v>
      </c>
      <c r="E6" s="87">
        <f>FeederData!AH31</f>
        <v>85.489999999999995</v>
      </c>
      <c r="F6" s="87">
        <f>FeederData!AI31</f>
        <v>4.0199999999999996</v>
      </c>
      <c r="G6" s="87">
        <f>FeederData!AJ31</f>
        <v>17.84</v>
      </c>
      <c r="H6" s="88">
        <f>$H$2*E6</f>
        <v>27.3568</v>
      </c>
      <c r="I6" s="88">
        <f>$I$2*(F6+G6-C6)</f>
        <v>14.529999999999999</v>
      </c>
      <c r="J6" s="88">
        <f>C6</f>
        <v>7.3300000000000001</v>
      </c>
      <c r="K6" s="89">
        <f>H6*$D$18</f>
        <v>30092480</v>
      </c>
      <c r="L6" s="89">
        <f>I6*$D$19</f>
        <v>7265000</v>
      </c>
      <c r="M6" s="89">
        <f t="shared" si="0"/>
        <v>2932000</v>
      </c>
      <c r="N6" s="87">
        <v>2</v>
      </c>
      <c r="O6" s="90">
        <f t="shared" si="8" ref="O6:O10">H6/$N6</f>
        <v>13.6784</v>
      </c>
      <c r="P6" s="90">
        <f t="shared" si="1"/>
        <v>7.2649999999999997</v>
      </c>
      <c r="Q6" s="90">
        <f t="shared" si="1"/>
        <v>3.665</v>
      </c>
      <c r="R6" s="91">
        <f t="shared" si="2"/>
        <v>1504624</v>
      </c>
      <c r="S6" s="91">
        <f t="shared" si="3"/>
        <v>13541616</v>
      </c>
      <c r="T6" s="91">
        <f t="shared" si="4"/>
        <v>363250</v>
      </c>
      <c r="U6" s="91">
        <f t="shared" si="5"/>
        <v>3269250</v>
      </c>
      <c r="V6" s="91">
        <f t="shared" si="6"/>
        <v>146600</v>
      </c>
      <c r="W6" s="91">
        <f t="shared" si="7"/>
        <v>1319400</v>
      </c>
    </row>
    <row r="7" spans="2:23" ht="15">
      <c r="B7" s="13" t="s">
        <v>35</v>
      </c>
      <c r="C7" s="40">
        <f>FeederData!AO27</f>
        <v>11.720000000000001</v>
      </c>
      <c r="D7" s="40">
        <f>FeederData!AL27</f>
        <v>67.730000000000004</v>
      </c>
      <c r="E7" s="40">
        <f>FeederData!AH27</f>
        <v>53.990000000000002</v>
      </c>
      <c r="F7" s="40">
        <f>FeederData!AI27</f>
        <v>2.8900000000000001</v>
      </c>
      <c r="G7" s="40">
        <f>FeederData!AJ27</f>
        <v>22.57</v>
      </c>
      <c r="H7" s="83">
        <f>$H$2*E7</f>
        <v>17.276800000000001</v>
      </c>
      <c r="I7" s="83">
        <f>$I$2*(F7+G7-C7)</f>
        <v>13.74</v>
      </c>
      <c r="J7" s="83">
        <f>C7</f>
        <v>11.720000000000001</v>
      </c>
      <c r="K7" s="84">
        <f>H7*$D$18</f>
        <v>19004480</v>
      </c>
      <c r="L7" s="84">
        <f>I7*$D$19</f>
        <v>6870000</v>
      </c>
      <c r="M7" s="84">
        <f t="shared" si="0"/>
        <v>4688000</v>
      </c>
      <c r="N7" s="40">
        <v>4</v>
      </c>
      <c r="O7" s="85">
        <f t="shared" si="8"/>
        <v>4.3192000000000004</v>
      </c>
      <c r="P7" s="85">
        <f t="shared" si="1"/>
        <v>3.4350000000000001</v>
      </c>
      <c r="Q7" s="85">
        <f t="shared" si="1"/>
        <v>2.9300000000000002</v>
      </c>
      <c r="R7" s="86">
        <f t="shared" si="2"/>
        <v>475112</v>
      </c>
      <c r="S7" s="86">
        <f t="shared" si="3"/>
        <v>4276008</v>
      </c>
      <c r="T7" s="86">
        <f t="shared" si="4"/>
        <v>171750</v>
      </c>
      <c r="U7" s="86">
        <f t="shared" si="5"/>
        <v>1545750</v>
      </c>
      <c r="V7" s="86">
        <f t="shared" si="6"/>
        <v>117200</v>
      </c>
      <c r="W7" s="86">
        <f t="shared" si="7"/>
        <v>1054800</v>
      </c>
    </row>
    <row r="8" spans="2:23" ht="15">
      <c r="B8" s="72" t="s">
        <v>37</v>
      </c>
      <c r="C8" s="39">
        <f>FeederData!AO10</f>
        <v>2.6499999999999999</v>
      </c>
      <c r="D8" s="39">
        <f>FeederData!AL10</f>
        <v>11.550000000000001</v>
      </c>
      <c r="E8" s="39">
        <f>FeederData!AH10</f>
        <v>5.2699999999999996</v>
      </c>
      <c r="F8" s="39">
        <f>FeederData!AI10</f>
        <v>3.3700000000000001</v>
      </c>
      <c r="G8" s="39">
        <f>FeederData!AJ10</f>
        <v>5.5599999999999996</v>
      </c>
      <c r="H8" s="79">
        <f>$H$2*E8</f>
        <v>1.6863999999999999</v>
      </c>
      <c r="I8" s="79">
        <f>$I$2*(F8+G8-C8)</f>
        <v>6.2799999999999994</v>
      </c>
      <c r="J8" s="79">
        <f>C8</f>
        <v>2.6499999999999999</v>
      </c>
      <c r="K8" s="80">
        <f>H8*$D$18</f>
        <v>1855040</v>
      </c>
      <c r="L8" s="80">
        <f>I8*$D$19</f>
        <v>3139999.9999999995</v>
      </c>
      <c r="M8" s="80">
        <f t="shared" si="0"/>
        <v>1060000</v>
      </c>
      <c r="N8" s="39">
        <v>1</v>
      </c>
      <c r="O8" s="81">
        <f t="shared" si="8"/>
        <v>1.6863999999999999</v>
      </c>
      <c r="P8" s="81">
        <f t="shared" si="1"/>
        <v>6.2799999999999994</v>
      </c>
      <c r="Q8" s="81">
        <f t="shared" si="1"/>
        <v>2.6499999999999999</v>
      </c>
      <c r="R8" s="82">
        <f t="shared" si="2"/>
        <v>185504</v>
      </c>
      <c r="S8" s="82">
        <f t="shared" si="3"/>
        <v>1669536</v>
      </c>
      <c r="T8" s="82">
        <f t="shared" si="4"/>
        <v>313999.99999999994</v>
      </c>
      <c r="U8" s="82">
        <f t="shared" si="5"/>
        <v>2825999.9999999995</v>
      </c>
      <c r="V8" s="82">
        <f t="shared" si="6"/>
        <v>106000</v>
      </c>
      <c r="W8" s="82">
        <f t="shared" si="7"/>
        <v>954000</v>
      </c>
    </row>
    <row r="9" spans="2:23" ht="15">
      <c r="B9" s="70" t="s">
        <v>44</v>
      </c>
      <c r="C9" s="74">
        <f>FeederData!AO14</f>
        <v>5.2400000000000002</v>
      </c>
      <c r="D9" s="74">
        <f>FeederData!AL14</f>
        <v>8.6899999999999995</v>
      </c>
      <c r="E9" s="74">
        <f>FeederData!AH14</f>
        <v>6.3799999999999999</v>
      </c>
      <c r="F9" s="74">
        <f>FeederData!AI14</f>
        <v>0.20999999999999999</v>
      </c>
      <c r="G9" s="74">
        <f>FeederData!AJ14</f>
        <v>7.3399999999999999</v>
      </c>
      <c r="H9" s="75">
        <f>$H$2*E9</f>
        <v>2.0415999999999999</v>
      </c>
      <c r="I9" s="75">
        <f>$I$2*(F9+G9-C9)</f>
        <v>2.3099999999999996</v>
      </c>
      <c r="J9" s="75">
        <f>C9</f>
        <v>5.2400000000000002</v>
      </c>
      <c r="K9" s="76">
        <f>H9*$D$18</f>
        <v>2245760</v>
      </c>
      <c r="L9" s="76">
        <f>I9*$D$19</f>
        <v>1154999.9999999998</v>
      </c>
      <c r="M9" s="76">
        <f t="shared" si="0"/>
        <v>2096000</v>
      </c>
      <c r="N9" s="74">
        <v>2</v>
      </c>
      <c r="O9" s="77">
        <f t="shared" si="8"/>
        <v>1.0207999999999999</v>
      </c>
      <c r="P9" s="77">
        <f t="shared" si="1"/>
        <v>1.1549999999999998</v>
      </c>
      <c r="Q9" s="77">
        <f t="shared" si="1"/>
        <v>2.6200000000000001</v>
      </c>
      <c r="R9" s="78">
        <f t="shared" si="2"/>
        <v>112288</v>
      </c>
      <c r="S9" s="78">
        <f t="shared" si="3"/>
        <v>1010592</v>
      </c>
      <c r="T9" s="78">
        <f t="shared" si="4"/>
        <v>57749.999999999993</v>
      </c>
      <c r="U9" s="78">
        <f t="shared" si="5"/>
        <v>519749.99999999988</v>
      </c>
      <c r="V9" s="78">
        <f t="shared" si="6"/>
        <v>104800</v>
      </c>
      <c r="W9" s="78">
        <f t="shared" si="7"/>
        <v>943200</v>
      </c>
    </row>
    <row r="10" spans="2:23" ht="15">
      <c r="B10" s="97" t="s">
        <v>163</v>
      </c>
      <c r="C10" s="98"/>
      <c r="D10" s="98"/>
      <c r="E10" s="98"/>
      <c r="F10" s="98"/>
      <c r="G10" s="98"/>
      <c r="H10" s="99">
        <v>0</v>
      </c>
      <c r="I10" s="99">
        <v>0</v>
      </c>
      <c r="J10" s="99">
        <v>1.9099999999999999</v>
      </c>
      <c r="K10" s="100">
        <f t="shared" si="9" ref="K10">H10*$D$18</f>
        <v>0</v>
      </c>
      <c r="L10" s="100">
        <f t="shared" si="10" ref="L10">I10*$D$19</f>
        <v>0</v>
      </c>
      <c r="M10" s="100">
        <f t="shared" si="0"/>
        <v>764000</v>
      </c>
      <c r="N10" s="98">
        <v>1</v>
      </c>
      <c r="O10" s="101">
        <f t="shared" si="8"/>
        <v>0</v>
      </c>
      <c r="P10" s="101">
        <f t="shared" si="1"/>
        <v>0</v>
      </c>
      <c r="Q10" s="101">
        <f t="shared" si="1"/>
        <v>1.9099999999999999</v>
      </c>
      <c r="R10" s="102">
        <f t="shared" si="2"/>
        <v>0</v>
      </c>
      <c r="S10" s="102">
        <f t="shared" si="3"/>
        <v>0</v>
      </c>
      <c r="T10" s="102">
        <f t="shared" si="4"/>
        <v>0</v>
      </c>
      <c r="U10" s="102">
        <f t="shared" si="5"/>
        <v>0</v>
      </c>
      <c r="V10" s="102">
        <f t="shared" si="6"/>
        <v>76400</v>
      </c>
      <c r="W10" s="102">
        <f t="shared" si="7"/>
        <v>687600</v>
      </c>
    </row>
    <row r="11" spans="2:23" ht="15">
      <c r="B11" s="144" t="s">
        <v>164</v>
      </c>
      <c r="C11" s="145"/>
      <c r="D11" s="145"/>
      <c r="E11" s="145"/>
      <c r="F11" s="145"/>
      <c r="G11" s="145"/>
      <c r="H11" s="146">
        <f>K11/D18</f>
        <v>0</v>
      </c>
      <c r="I11" s="146">
        <f>L11/D19</f>
        <v>6</v>
      </c>
      <c r="J11" s="146">
        <f>M11/D17</f>
        <v>3.75</v>
      </c>
      <c r="K11" s="147">
        <v>0</v>
      </c>
      <c r="L11" s="147">
        <v>3000000</v>
      </c>
      <c r="M11" s="147">
        <v>1500000</v>
      </c>
      <c r="N11" s="145">
        <v>1</v>
      </c>
      <c r="O11" s="148">
        <f t="shared" si="11" ref="O11">H11/$N11</f>
        <v>0</v>
      </c>
      <c r="P11" s="148">
        <f>I11/$N11</f>
        <v>6</v>
      </c>
      <c r="Q11" s="148">
        <f t="shared" si="12" ref="Q11">J11/$N11</f>
        <v>3.75</v>
      </c>
      <c r="R11" s="149">
        <f t="shared" si="2"/>
        <v>0</v>
      </c>
      <c r="S11" s="149">
        <f t="shared" si="3"/>
        <v>0</v>
      </c>
      <c r="T11" s="149">
        <f t="shared" si="4"/>
        <v>300000</v>
      </c>
      <c r="U11" s="149">
        <f t="shared" si="5"/>
        <v>2700000</v>
      </c>
      <c r="V11" s="149">
        <f t="shared" si="6"/>
        <v>150000</v>
      </c>
      <c r="W11" s="149">
        <f t="shared" si="7"/>
        <v>1350000</v>
      </c>
    </row>
    <row r="12" spans="2:23" ht="15">
      <c r="B12" s="43" t="s">
        <v>165</v>
      </c>
      <c r="C12" s="44">
        <f>SUM(C5:C9)</f>
        <v>38.299999999999997</v>
      </c>
      <c r="D12" s="44">
        <f>SUM(D5:D9)</f>
        <v>230.56</v>
      </c>
      <c r="E12" s="44">
        <f>SUM(E5:E9)</f>
        <v>185.53999999999999</v>
      </c>
      <c r="F12" s="44">
        <f>SUM(F5:F9)</f>
        <v>13.880000000000003</v>
      </c>
      <c r="G12" s="44">
        <f>SUM(G5:G9)</f>
        <v>69.450000000000003</v>
      </c>
      <c r="H12" s="44">
        <f t="shared" si="13" ref="H12:M12">SUM(H5:H11)</f>
        <v>59.372799999999998</v>
      </c>
      <c r="I12" s="44">
        <f t="shared" si="13"/>
        <v>51.030000000000008</v>
      </c>
      <c r="J12" s="44">
        <f t="shared" si="13"/>
        <v>43.959999999999994</v>
      </c>
      <c r="K12" s="46">
        <f t="shared" si="13"/>
        <v>65310080</v>
      </c>
      <c r="L12" s="46">
        <f t="shared" si="13"/>
        <v>25515000</v>
      </c>
      <c r="M12" s="46">
        <f t="shared" si="13"/>
        <v>17584000</v>
      </c>
      <c r="N12" s="44"/>
      <c r="O12" s="44">
        <f t="shared" si="14" ref="O12:Q12">SUM(O5:O10)</f>
        <v>24.3752</v>
      </c>
      <c r="P12" s="44">
        <f t="shared" si="14"/>
        <v>20.858333333333334</v>
      </c>
      <c r="Q12" s="44">
        <f t="shared" si="14"/>
        <v>17.561666666666667</v>
      </c>
      <c r="R12" s="49">
        <f>SUM(R5:R10)</f>
        <v>2681272</v>
      </c>
      <c r="S12" s="49">
        <f t="shared" si="15" ref="S12:W12">SUM(S5:S10)</f>
        <v>24131448</v>
      </c>
      <c r="T12" s="49">
        <f t="shared" si="15"/>
        <v>1042916.6666666667</v>
      </c>
      <c r="U12" s="49">
        <f t="shared" si="15"/>
        <v>9386250</v>
      </c>
      <c r="V12" s="49">
        <f t="shared" si="15"/>
        <v>702466.66666666674</v>
      </c>
      <c r="W12" s="49">
        <f t="shared" si="15"/>
        <v>6322200</v>
      </c>
    </row>
    <row r="13" spans="11:13" ht="15">
      <c r="K13" s="221">
        <f>SUM(K12:M12)</f>
        <v>108409080</v>
      </c>
      <c r="L13" s="208"/>
      <c r="M13" s="208"/>
    </row>
    <row r="14" ht="15.75" thickBot="1"/>
    <row r="15" spans="2:4" ht="15">
      <c r="B15" s="209" t="s">
        <v>166</v>
      </c>
      <c r="C15" s="210"/>
      <c r="D15" s="211"/>
    </row>
    <row r="16" spans="2:4" ht="15">
      <c r="B16" s="212" t="s">
        <v>167</v>
      </c>
      <c r="C16" s="212"/>
      <c r="D16" s="48">
        <v>0.32000000000000001</v>
      </c>
    </row>
    <row r="17" spans="2:4" ht="15">
      <c r="B17" s="212" t="s">
        <v>168</v>
      </c>
      <c r="C17" s="212"/>
      <c r="D17" s="47">
        <v>400000</v>
      </c>
    </row>
    <row r="18" spans="2:4" ht="15">
      <c r="B18" s="212" t="s">
        <v>169</v>
      </c>
      <c r="C18" s="212"/>
      <c r="D18" s="47">
        <v>1100000</v>
      </c>
    </row>
    <row r="19" spans="2:4" ht="15">
      <c r="B19" s="212" t="s">
        <v>170</v>
      </c>
      <c r="C19" s="212"/>
      <c r="D19" s="47">
        <v>500000</v>
      </c>
    </row>
    <row r="20" spans="2:4" ht="15">
      <c r="B20" s="219" t="s">
        <v>171</v>
      </c>
      <c r="C20" s="220"/>
      <c r="D20" s="48">
        <v>0.10000000000000001</v>
      </c>
    </row>
    <row r="21" ht="15.75" thickBot="1"/>
    <row r="22" spans="14:34" ht="15.75" thickBot="1">
      <c r="N22" s="216" t="s">
        <v>172</v>
      </c>
      <c r="O22" s="217"/>
      <c r="P22" s="217"/>
      <c r="Q22" s="217"/>
      <c r="R22" s="217"/>
      <c r="S22" s="217"/>
      <c r="T22" s="217"/>
      <c r="U22" s="217"/>
      <c r="V22" s="217"/>
      <c r="W22" s="218"/>
      <c r="Y22" s="216" t="s">
        <v>173</v>
      </c>
      <c r="Z22" s="217"/>
      <c r="AA22" s="217"/>
      <c r="AB22" s="217"/>
      <c r="AC22" s="217"/>
      <c r="AD22" s="217"/>
      <c r="AE22" s="217"/>
      <c r="AF22" s="217"/>
      <c r="AG22" s="217"/>
      <c r="AH22" s="218"/>
    </row>
    <row r="23" spans="2:34" ht="15.75" thickBot="1">
      <c r="B23" s="50" t="s">
        <v>174</v>
      </c>
      <c r="C23" s="51">
        <v>2022</v>
      </c>
      <c r="D23" s="51">
        <v>2023</v>
      </c>
      <c r="E23" s="51">
        <v>2024</v>
      </c>
      <c r="F23" s="51">
        <v>2025</v>
      </c>
      <c r="G23" s="51">
        <v>2026</v>
      </c>
      <c r="H23" s="51">
        <v>2027</v>
      </c>
      <c r="I23" s="51">
        <v>2028</v>
      </c>
      <c r="J23" s="51">
        <v>2029</v>
      </c>
      <c r="K23" s="51">
        <v>2030</v>
      </c>
      <c r="L23" s="52">
        <v>2031</v>
      </c>
      <c r="N23" s="127">
        <v>2022</v>
      </c>
      <c r="O23" s="51">
        <v>2023</v>
      </c>
      <c r="P23" s="51">
        <v>2024</v>
      </c>
      <c r="Q23" s="51">
        <v>2025</v>
      </c>
      <c r="R23" s="51">
        <v>2026</v>
      </c>
      <c r="S23" s="51">
        <v>2027</v>
      </c>
      <c r="T23" s="51">
        <v>2028</v>
      </c>
      <c r="U23" s="51">
        <v>2029</v>
      </c>
      <c r="V23" s="51">
        <v>2030</v>
      </c>
      <c r="W23" s="52">
        <v>2031</v>
      </c>
      <c r="X23" s="22"/>
      <c r="Y23" s="127">
        <v>2022</v>
      </c>
      <c r="Z23" s="51">
        <v>2023</v>
      </c>
      <c r="AA23" s="51">
        <v>2024</v>
      </c>
      <c r="AB23" s="51">
        <v>2025</v>
      </c>
      <c r="AC23" s="51">
        <v>2026</v>
      </c>
      <c r="AD23" s="51">
        <v>2027</v>
      </c>
      <c r="AE23" s="51">
        <v>2028</v>
      </c>
      <c r="AF23" s="51">
        <v>2029</v>
      </c>
      <c r="AG23" s="51">
        <v>2030</v>
      </c>
      <c r="AH23" s="52">
        <v>2031</v>
      </c>
    </row>
    <row r="24" spans="2:34" ht="15.75" thickTop="1">
      <c r="B24" s="53" t="s">
        <v>175</v>
      </c>
      <c r="C24" s="131">
        <f>V9</f>
        <v>104800</v>
      </c>
      <c r="D24" s="132"/>
      <c r="E24" s="104"/>
      <c r="G24" s="17"/>
      <c r="H24" s="17"/>
      <c r="I24" s="17"/>
      <c r="J24" s="17"/>
      <c r="K24" s="17"/>
      <c r="L24" s="54"/>
      <c r="N24" s="121">
        <f>T9</f>
        <v>57749.999999999993</v>
      </c>
      <c r="O24" s="104"/>
      <c r="P24" s="104"/>
      <c r="W24" s="66"/>
      <c r="Y24" s="121">
        <f>R9</f>
        <v>112288</v>
      </c>
      <c r="Z24" s="104"/>
      <c r="AA24" s="104"/>
      <c r="AH24" s="66"/>
    </row>
    <row r="25" spans="2:34" ht="15">
      <c r="B25" s="53" t="s">
        <v>176</v>
      </c>
      <c r="C25" s="132"/>
      <c r="D25" s="131">
        <f>W9</f>
        <v>943200</v>
      </c>
      <c r="E25" s="104"/>
      <c r="G25" s="17"/>
      <c r="H25" s="17"/>
      <c r="I25" s="17"/>
      <c r="L25" s="54"/>
      <c r="N25" s="53"/>
      <c r="O25" s="103">
        <f>U9</f>
        <v>519749.99999999988</v>
      </c>
      <c r="P25" s="104"/>
      <c r="W25" s="66"/>
      <c r="X25" s="67"/>
      <c r="Y25" s="53"/>
      <c r="Z25" s="103">
        <f>S9</f>
        <v>1010592</v>
      </c>
      <c r="AA25" s="104"/>
      <c r="AH25" s="66"/>
    </row>
    <row r="26" spans="2:34" ht="15">
      <c r="B26" s="53" t="s">
        <v>177</v>
      </c>
      <c r="C26" s="131"/>
      <c r="D26" s="103">
        <f>V9</f>
        <v>104800</v>
      </c>
      <c r="E26" s="104"/>
      <c r="G26" s="17"/>
      <c r="H26" s="17"/>
      <c r="I26" s="17"/>
      <c r="L26" s="54"/>
      <c r="N26" s="121"/>
      <c r="O26" s="103">
        <f>N24</f>
        <v>57749.999999999993</v>
      </c>
      <c r="P26" s="104"/>
      <c r="W26" s="66"/>
      <c r="Y26" s="121"/>
      <c r="Z26" s="103">
        <f>Y24</f>
        <v>112288</v>
      </c>
      <c r="AA26" s="104"/>
      <c r="AH26" s="66"/>
    </row>
    <row r="27" spans="2:34" ht="15">
      <c r="B27" s="53" t="s">
        <v>178</v>
      </c>
      <c r="C27" s="131"/>
      <c r="D27" s="104"/>
      <c r="E27" s="131">
        <f>W9</f>
        <v>943200</v>
      </c>
      <c r="G27" s="17"/>
      <c r="H27" s="17"/>
      <c r="I27" s="17"/>
      <c r="L27" s="54"/>
      <c r="N27" s="122"/>
      <c r="O27" s="103"/>
      <c r="P27" s="103">
        <f>O25</f>
        <v>519749.99999999988</v>
      </c>
      <c r="W27" s="66"/>
      <c r="Y27" s="122"/>
      <c r="Z27" s="103"/>
      <c r="AA27" s="103">
        <f>Z25</f>
        <v>1010592</v>
      </c>
      <c r="AH27" s="66"/>
    </row>
    <row r="28" spans="2:34" ht="15">
      <c r="B28" s="55" t="s">
        <v>179</v>
      </c>
      <c r="C28" s="133">
        <f>V7</f>
        <v>117200</v>
      </c>
      <c r="D28" s="107"/>
      <c r="E28" s="28"/>
      <c r="F28" s="106"/>
      <c r="G28" s="17"/>
      <c r="H28" s="17"/>
      <c r="I28" s="17"/>
      <c r="L28" s="54"/>
      <c r="N28" s="123"/>
      <c r="P28" s="105">
        <f>T7</f>
        <v>171750</v>
      </c>
      <c r="Q28" s="106"/>
      <c r="R28" s="106"/>
      <c r="S28" s="28"/>
      <c r="T28" s="28"/>
      <c r="W28" s="66"/>
      <c r="Y28" s="123"/>
      <c r="AA28" s="105">
        <f>R7</f>
        <v>475112</v>
      </c>
      <c r="AB28" s="106"/>
      <c r="AC28" s="106"/>
      <c r="AD28" s="28"/>
      <c r="AE28" s="28"/>
      <c r="AH28" s="66"/>
    </row>
    <row r="29" spans="2:34" ht="15">
      <c r="B29" s="55" t="s">
        <v>180</v>
      </c>
      <c r="C29" s="28"/>
      <c r="D29" s="133">
        <f>W7</f>
        <v>1054800</v>
      </c>
      <c r="E29" s="107"/>
      <c r="F29" s="28"/>
      <c r="G29" s="119"/>
      <c r="H29" s="17"/>
      <c r="I29" s="17"/>
      <c r="L29" s="54"/>
      <c r="N29" s="123"/>
      <c r="P29" s="28"/>
      <c r="Q29" s="105">
        <f>U7</f>
        <v>1545750</v>
      </c>
      <c r="R29" s="107"/>
      <c r="S29" s="28"/>
      <c r="T29" s="28"/>
      <c r="W29" s="66"/>
      <c r="Y29" s="123"/>
      <c r="AA29" s="28"/>
      <c r="AB29" s="108">
        <f>S7</f>
        <v>4276008</v>
      </c>
      <c r="AC29" s="107"/>
      <c r="AD29" s="28"/>
      <c r="AE29" s="28"/>
      <c r="AH29" s="66"/>
    </row>
    <row r="30" spans="2:34" ht="15">
      <c r="B30" s="55" t="s">
        <v>181</v>
      </c>
      <c r="C30" s="28"/>
      <c r="D30" s="105">
        <f>V7</f>
        <v>117200</v>
      </c>
      <c r="E30" s="107"/>
      <c r="F30" s="28"/>
      <c r="G30" s="17"/>
      <c r="H30" s="17"/>
      <c r="I30" s="17"/>
      <c r="L30" s="54"/>
      <c r="N30" s="123"/>
      <c r="P30" s="28"/>
      <c r="Q30" s="105">
        <f>P28</f>
        <v>171750</v>
      </c>
      <c r="R30" s="106"/>
      <c r="S30" s="28"/>
      <c r="T30" s="28"/>
      <c r="W30" s="66"/>
      <c r="Y30" s="123"/>
      <c r="AA30" s="28"/>
      <c r="AB30" s="108">
        <f>AA28</f>
        <v>475112</v>
      </c>
      <c r="AC30" s="106"/>
      <c r="AD30" s="28"/>
      <c r="AE30" s="28"/>
      <c r="AH30" s="66"/>
    </row>
    <row r="31" spans="2:34" ht="15">
      <c r="B31" s="55" t="s">
        <v>182</v>
      </c>
      <c r="C31" s="28"/>
      <c r="D31" s="28"/>
      <c r="E31" s="108">
        <f>W7</f>
        <v>1054800</v>
      </c>
      <c r="F31" s="107"/>
      <c r="H31" s="17"/>
      <c r="I31" s="17"/>
      <c r="L31" s="54"/>
      <c r="N31" s="123"/>
      <c r="P31" s="28"/>
      <c r="Q31" s="28"/>
      <c r="R31" s="108">
        <f>Q29</f>
        <v>1545750</v>
      </c>
      <c r="S31" s="28"/>
      <c r="T31" s="28"/>
      <c r="W31" s="66"/>
      <c r="Y31" s="123"/>
      <c r="AA31" s="106"/>
      <c r="AB31" s="28"/>
      <c r="AC31" s="108">
        <f>AB29</f>
        <v>4276008</v>
      </c>
      <c r="AD31" s="28"/>
      <c r="AE31" s="28"/>
      <c r="AH31" s="66"/>
    </row>
    <row r="32" spans="2:34" ht="15">
      <c r="B32" s="55" t="s">
        <v>183</v>
      </c>
      <c r="C32" s="28"/>
      <c r="D32" s="28"/>
      <c r="E32" s="108">
        <f>V7</f>
        <v>117200</v>
      </c>
      <c r="F32" s="107"/>
      <c r="H32" s="17"/>
      <c r="I32" s="17"/>
      <c r="L32" s="54"/>
      <c r="N32" s="123"/>
      <c r="P32" s="28"/>
      <c r="Q32" s="28"/>
      <c r="R32" s="108">
        <f>Q30</f>
        <v>171750</v>
      </c>
      <c r="S32" s="28"/>
      <c r="T32" s="28"/>
      <c r="W32" s="66"/>
      <c r="Y32" s="123"/>
      <c r="AA32" s="106"/>
      <c r="AB32" s="28"/>
      <c r="AC32" s="108">
        <f>AB30</f>
        <v>475112</v>
      </c>
      <c r="AD32" s="28"/>
      <c r="AE32" s="28"/>
      <c r="AH32" s="66"/>
    </row>
    <row r="33" spans="2:34" ht="15">
      <c r="B33" s="55" t="s">
        <v>184</v>
      </c>
      <c r="C33" s="28"/>
      <c r="D33" s="28"/>
      <c r="E33" s="106"/>
      <c r="F33" s="107">
        <f>W7</f>
        <v>1054800</v>
      </c>
      <c r="H33" s="17"/>
      <c r="I33" s="17"/>
      <c r="L33" s="54"/>
      <c r="N33" s="123"/>
      <c r="P33" s="28"/>
      <c r="Q33" s="28"/>
      <c r="R33" s="28"/>
      <c r="S33" s="108">
        <f>R31</f>
        <v>1545750</v>
      </c>
      <c r="T33" s="28"/>
      <c r="W33" s="66"/>
      <c r="Y33" s="123"/>
      <c r="AA33" s="106"/>
      <c r="AB33" s="106"/>
      <c r="AC33" s="28"/>
      <c r="AD33" s="108">
        <f>AC31</f>
        <v>4276008</v>
      </c>
      <c r="AE33" s="28"/>
      <c r="AH33" s="66"/>
    </row>
    <row r="34" spans="2:34" ht="15">
      <c r="B34" s="55" t="s">
        <v>185</v>
      </c>
      <c r="C34" s="28"/>
      <c r="D34" s="28"/>
      <c r="E34" s="106"/>
      <c r="F34" s="108">
        <f>V7</f>
        <v>117200</v>
      </c>
      <c r="G34" s="107"/>
      <c r="H34" s="17"/>
      <c r="I34" s="17"/>
      <c r="L34" s="54"/>
      <c r="N34" s="123"/>
      <c r="P34" s="28"/>
      <c r="Q34" s="28"/>
      <c r="R34" s="28"/>
      <c r="S34" s="108">
        <f>R32</f>
        <v>171750</v>
      </c>
      <c r="T34" s="28"/>
      <c r="W34" s="66"/>
      <c r="Y34" s="123"/>
      <c r="AA34" s="106"/>
      <c r="AB34" s="106"/>
      <c r="AC34" s="28"/>
      <c r="AD34" s="108">
        <f>AC32</f>
        <v>475112</v>
      </c>
      <c r="AE34" s="28"/>
      <c r="AH34" s="66"/>
    </row>
    <row r="35" spans="2:34" ht="15">
      <c r="B35" s="55" t="s">
        <v>186</v>
      </c>
      <c r="C35" s="28"/>
      <c r="D35" s="28"/>
      <c r="E35" s="106"/>
      <c r="F35" s="106"/>
      <c r="G35" s="107">
        <f>W7</f>
        <v>1054800</v>
      </c>
      <c r="H35" s="17"/>
      <c r="I35" s="17"/>
      <c r="L35" s="54"/>
      <c r="N35" s="123"/>
      <c r="P35" s="28"/>
      <c r="Q35" s="108"/>
      <c r="R35" s="28"/>
      <c r="S35" s="28"/>
      <c r="T35" s="108">
        <f>S33</f>
        <v>1545750</v>
      </c>
      <c r="W35" s="66"/>
      <c r="Y35" s="123"/>
      <c r="AA35" s="106"/>
      <c r="AB35" s="106"/>
      <c r="AC35" s="108"/>
      <c r="AD35" s="28"/>
      <c r="AE35" s="105">
        <f>AD33</f>
        <v>4276008</v>
      </c>
      <c r="AH35" s="66"/>
    </row>
    <row r="36" spans="2:34" ht="15">
      <c r="B36" s="56" t="s">
        <v>187</v>
      </c>
      <c r="C36" s="17"/>
      <c r="D36" s="17"/>
      <c r="E36" s="119"/>
      <c r="F36" s="109">
        <f>V5</f>
        <v>151466.66666666669</v>
      </c>
      <c r="G36" s="134"/>
      <c r="H36" s="135"/>
      <c r="I36" s="135"/>
      <c r="J36" s="17"/>
      <c r="K36" s="17"/>
      <c r="L36" s="54"/>
      <c r="N36" s="123"/>
      <c r="P36" s="22"/>
      <c r="R36" s="109">
        <f>T5</f>
        <v>136166.66666666672</v>
      </c>
      <c r="S36" s="109"/>
      <c r="T36" s="110"/>
      <c r="U36" s="110"/>
      <c r="W36" s="66"/>
      <c r="Y36" s="123"/>
      <c r="AA36" s="22"/>
      <c r="AC36" s="109">
        <f>R5</f>
        <v>403744</v>
      </c>
      <c r="AD36" s="109"/>
      <c r="AE36" s="110"/>
      <c r="AF36" s="110"/>
      <c r="AH36" s="66"/>
    </row>
    <row r="37" spans="2:34" ht="15">
      <c r="B37" s="56" t="s">
        <v>188</v>
      </c>
      <c r="C37" s="17"/>
      <c r="D37" s="17"/>
      <c r="E37" s="17"/>
      <c r="F37" s="110"/>
      <c r="G37" s="134">
        <f>W5</f>
        <v>1363200</v>
      </c>
      <c r="H37" s="134"/>
      <c r="I37" s="135"/>
      <c r="J37" s="17"/>
      <c r="K37" s="17"/>
      <c r="L37" s="54"/>
      <c r="N37" s="123"/>
      <c r="R37" s="110"/>
      <c r="S37" s="111">
        <f>U5</f>
        <v>1225500.0000000002</v>
      </c>
      <c r="T37" s="109"/>
      <c r="U37" s="110"/>
      <c r="W37" s="66"/>
      <c r="Y37" s="123"/>
      <c r="AC37" s="110"/>
      <c r="AD37" s="111">
        <f>S5</f>
        <v>3633695.9999999995</v>
      </c>
      <c r="AE37" s="109"/>
      <c r="AF37" s="110"/>
      <c r="AH37" s="66"/>
    </row>
    <row r="38" spans="2:34" ht="15">
      <c r="B38" s="56" t="s">
        <v>189</v>
      </c>
      <c r="C38" s="17"/>
      <c r="D38" s="17"/>
      <c r="E38" s="17"/>
      <c r="F38" s="110"/>
      <c r="G38" s="134">
        <f>F36</f>
        <v>151466.66666666669</v>
      </c>
      <c r="H38" s="135"/>
      <c r="I38" s="135"/>
      <c r="J38" s="17"/>
      <c r="K38" s="17"/>
      <c r="L38" s="54"/>
      <c r="N38" s="123"/>
      <c r="R38" s="110"/>
      <c r="S38" s="111">
        <f>R36</f>
        <v>136166.66666666672</v>
      </c>
      <c r="T38" s="110"/>
      <c r="U38" s="110"/>
      <c r="W38" s="66"/>
      <c r="Y38" s="123"/>
      <c r="AC38" s="110"/>
      <c r="AD38" s="111">
        <f>AC36</f>
        <v>403744</v>
      </c>
      <c r="AE38" s="110"/>
      <c r="AF38" s="110"/>
      <c r="AH38" s="66"/>
    </row>
    <row r="39" spans="2:34" ht="15">
      <c r="B39" s="56" t="s">
        <v>190</v>
      </c>
      <c r="C39" s="17"/>
      <c r="D39" s="17"/>
      <c r="E39" s="17"/>
      <c r="F39" s="110"/>
      <c r="G39" s="135"/>
      <c r="H39" s="134">
        <f>G37</f>
        <v>1363200</v>
      </c>
      <c r="I39" s="134"/>
      <c r="J39" s="17"/>
      <c r="K39" s="17"/>
      <c r="L39" s="54"/>
      <c r="N39" s="123"/>
      <c r="R39" s="110"/>
      <c r="S39" s="110"/>
      <c r="T39" s="111">
        <f>S37</f>
        <v>1225500.0000000002</v>
      </c>
      <c r="U39" s="109"/>
      <c r="W39" s="66"/>
      <c r="Y39" s="123"/>
      <c r="AC39" s="110"/>
      <c r="AD39" s="110"/>
      <c r="AE39" s="111">
        <f>AD37</f>
        <v>3633695.9999999995</v>
      </c>
      <c r="AF39" s="109"/>
      <c r="AH39" s="66"/>
    </row>
    <row r="40" spans="2:34" ht="15">
      <c r="B40" s="56" t="s">
        <v>191</v>
      </c>
      <c r="C40" s="17"/>
      <c r="D40" s="17"/>
      <c r="E40" s="17"/>
      <c r="F40" s="110"/>
      <c r="G40" s="135"/>
      <c r="H40" s="134">
        <f>G38</f>
        <v>151466.66666666669</v>
      </c>
      <c r="I40" s="110"/>
      <c r="J40" s="17"/>
      <c r="K40" s="17"/>
      <c r="L40" s="54"/>
      <c r="N40" s="123"/>
      <c r="R40" s="110"/>
      <c r="S40" s="110"/>
      <c r="T40" s="111">
        <f>S38</f>
        <v>136166.66666666672</v>
      </c>
      <c r="U40" s="109"/>
      <c r="W40" s="66"/>
      <c r="Y40" s="123"/>
      <c r="AC40" s="110"/>
      <c r="AD40" s="110"/>
      <c r="AE40" s="111">
        <f>AD38</f>
        <v>403744</v>
      </c>
      <c r="AF40" s="109"/>
      <c r="AH40" s="66"/>
    </row>
    <row r="41" spans="2:34" ht="15">
      <c r="B41" s="56" t="s">
        <v>192</v>
      </c>
      <c r="C41" s="17"/>
      <c r="D41" s="17"/>
      <c r="E41" s="17"/>
      <c r="F41" s="110"/>
      <c r="G41" s="135"/>
      <c r="H41" s="134"/>
      <c r="I41" s="134">
        <f>H39</f>
        <v>1363200</v>
      </c>
      <c r="J41" s="17"/>
      <c r="K41" s="17"/>
      <c r="L41" s="54"/>
      <c r="N41" s="123"/>
      <c r="R41" s="110"/>
      <c r="S41" s="110"/>
      <c r="T41" s="111"/>
      <c r="U41" s="109">
        <f>T39</f>
        <v>1225500.0000000002</v>
      </c>
      <c r="W41" s="66"/>
      <c r="Y41" s="123"/>
      <c r="AC41" s="110"/>
      <c r="AD41" s="110"/>
      <c r="AE41" s="111"/>
      <c r="AF41" s="109">
        <f>AE39</f>
        <v>3633695.9999999995</v>
      </c>
      <c r="AH41" s="66"/>
    </row>
    <row r="42" spans="2:34" ht="15">
      <c r="B42" s="57" t="s">
        <v>193</v>
      </c>
      <c r="C42" s="17"/>
      <c r="D42" s="130">
        <f>V8</f>
        <v>106000</v>
      </c>
      <c r="E42" s="130"/>
      <c r="H42" s="119"/>
      <c r="I42" s="17"/>
      <c r="K42" s="17"/>
      <c r="L42" s="54"/>
      <c r="N42" s="123"/>
      <c r="P42" s="112">
        <f>T8</f>
        <v>313999.99999999994</v>
      </c>
      <c r="Q42" s="113"/>
      <c r="S42" s="114"/>
      <c r="W42" s="66"/>
      <c r="Y42" s="123"/>
      <c r="AA42" s="112">
        <f>R8</f>
        <v>185504</v>
      </c>
      <c r="AB42" s="113"/>
      <c r="AD42" s="114"/>
      <c r="AH42" s="66"/>
    </row>
    <row r="43" spans="2:34" ht="15">
      <c r="B43" s="57" t="s">
        <v>194</v>
      </c>
      <c r="C43" s="17"/>
      <c r="D43" s="136"/>
      <c r="E43" s="130">
        <f>W8</f>
        <v>954000</v>
      </c>
      <c r="G43" s="17"/>
      <c r="H43" s="119"/>
      <c r="I43" s="17"/>
      <c r="K43" s="17"/>
      <c r="L43" s="54"/>
      <c r="N43" s="123"/>
      <c r="P43" s="112"/>
      <c r="Q43" s="115">
        <f>U8</f>
        <v>2825999.9999999995</v>
      </c>
      <c r="S43" s="114"/>
      <c r="W43" s="66"/>
      <c r="Y43" s="123"/>
      <c r="AA43" s="112"/>
      <c r="AB43" s="115">
        <f>S8</f>
        <v>1669536</v>
      </c>
      <c r="AD43" s="114"/>
      <c r="AH43" s="66"/>
    </row>
    <row r="44" spans="2:34" ht="15">
      <c r="B44" s="58" t="s">
        <v>195</v>
      </c>
      <c r="C44" s="17"/>
      <c r="D44" s="17"/>
      <c r="E44" s="17"/>
      <c r="F44" s="17"/>
      <c r="G44" s="119"/>
      <c r="H44" s="17"/>
      <c r="I44" s="137">
        <f>V6</f>
        <v>146600</v>
      </c>
      <c r="J44" s="138"/>
      <c r="K44" s="139"/>
      <c r="L44" s="54"/>
      <c r="N44" s="123"/>
      <c r="R44" s="22"/>
      <c r="T44" s="116">
        <f>T6</f>
        <v>363250</v>
      </c>
      <c r="U44" s="116"/>
      <c r="V44" s="117"/>
      <c r="W44" s="66"/>
      <c r="Y44" s="123"/>
      <c r="AC44" s="22"/>
      <c r="AF44" s="116">
        <f>R6</f>
        <v>1504624</v>
      </c>
      <c r="AG44" s="117"/>
      <c r="AH44" s="68"/>
    </row>
    <row r="45" spans="2:34" ht="15">
      <c r="B45" s="58" t="s">
        <v>196</v>
      </c>
      <c r="C45" s="17"/>
      <c r="D45" s="17"/>
      <c r="E45" s="17"/>
      <c r="F45" s="17"/>
      <c r="G45" s="17"/>
      <c r="H45" s="119"/>
      <c r="I45" s="139"/>
      <c r="J45" s="137">
        <f>W6</f>
        <v>1319400</v>
      </c>
      <c r="K45" s="138"/>
      <c r="L45" s="54"/>
      <c r="N45" s="123"/>
      <c r="S45" s="22"/>
      <c r="T45" s="117"/>
      <c r="U45" s="116">
        <f>U6</f>
        <v>3269250</v>
      </c>
      <c r="V45" s="116"/>
      <c r="W45" s="66"/>
      <c r="Y45" s="123"/>
      <c r="AD45" s="22"/>
      <c r="AF45" s="117"/>
      <c r="AG45" s="116">
        <f>S6</f>
        <v>13541616</v>
      </c>
      <c r="AH45" s="68"/>
    </row>
    <row r="46" spans="2:34" ht="15">
      <c r="B46" s="58" t="s">
        <v>197</v>
      </c>
      <c r="C46" s="17"/>
      <c r="D46" s="17"/>
      <c r="E46" s="17"/>
      <c r="F46" s="17"/>
      <c r="G46" s="17"/>
      <c r="H46" s="119"/>
      <c r="I46" s="139"/>
      <c r="J46" s="137">
        <f>I44</f>
        <v>146600</v>
      </c>
      <c r="K46" s="138"/>
      <c r="L46" s="54"/>
      <c r="N46" s="123"/>
      <c r="S46" s="22"/>
      <c r="T46" s="117"/>
      <c r="U46" s="116">
        <f>T44</f>
        <v>363250</v>
      </c>
      <c r="V46" s="117"/>
      <c r="W46" s="66"/>
      <c r="Y46" s="123"/>
      <c r="AD46" s="22"/>
      <c r="AF46" s="116">
        <f>R6</f>
        <v>1504624</v>
      </c>
      <c r="AG46" s="117"/>
      <c r="AH46" s="69"/>
    </row>
    <row r="47" spans="2:34" ht="15">
      <c r="B47" s="58" t="s">
        <v>198</v>
      </c>
      <c r="C47" s="17"/>
      <c r="D47" s="17"/>
      <c r="E47" s="17"/>
      <c r="F47" s="17"/>
      <c r="G47" s="17"/>
      <c r="H47" s="17"/>
      <c r="I47" s="138"/>
      <c r="J47" s="139"/>
      <c r="K47" s="137">
        <f>J45</f>
        <v>1319400</v>
      </c>
      <c r="L47" s="59"/>
      <c r="N47" s="123"/>
      <c r="T47" s="117"/>
      <c r="U47" s="118"/>
      <c r="V47" s="116">
        <f>U45</f>
        <v>3269250</v>
      </c>
      <c r="W47" s="66"/>
      <c r="Y47" s="123"/>
      <c r="AF47" s="118"/>
      <c r="AG47" s="117"/>
      <c r="AH47" s="69">
        <f>AG45</f>
        <v>13541616</v>
      </c>
    </row>
    <row r="48" spans="2:34" ht="15">
      <c r="B48" s="60" t="s">
        <v>199</v>
      </c>
      <c r="C48" s="140">
        <f>V10</f>
        <v>76400</v>
      </c>
      <c r="D48" s="141"/>
      <c r="E48" s="17"/>
      <c r="F48" s="17"/>
      <c r="G48" s="17"/>
      <c r="H48" s="17"/>
      <c r="I48" s="119"/>
      <c r="J48" s="17"/>
      <c r="K48" s="17"/>
      <c r="L48" s="59"/>
      <c r="N48" s="124"/>
      <c r="O48" s="17"/>
      <c r="P48" s="17"/>
      <c r="Q48" s="17"/>
      <c r="R48" s="17"/>
      <c r="S48" s="17"/>
      <c r="T48" s="119"/>
      <c r="U48" s="17"/>
      <c r="V48" s="17"/>
      <c r="W48" s="59"/>
      <c r="Y48" s="124"/>
      <c r="Z48" s="17"/>
      <c r="AA48" s="17"/>
      <c r="AB48" s="17"/>
      <c r="AC48" s="17"/>
      <c r="AD48" s="17"/>
      <c r="AE48" s="119"/>
      <c r="AF48" s="17"/>
      <c r="AG48" s="17"/>
      <c r="AH48" s="59"/>
    </row>
    <row r="49" spans="2:34" ht="15">
      <c r="B49" s="60" t="s">
        <v>200</v>
      </c>
      <c r="C49" s="141"/>
      <c r="D49" s="140">
        <f>W10</f>
        <v>687600</v>
      </c>
      <c r="E49" s="17"/>
      <c r="F49" s="17"/>
      <c r="G49" s="17"/>
      <c r="H49" s="17"/>
      <c r="I49" s="119"/>
      <c r="J49" s="17"/>
      <c r="K49" s="17"/>
      <c r="L49" s="59"/>
      <c r="N49" s="125"/>
      <c r="O49" s="119"/>
      <c r="P49" s="17"/>
      <c r="Q49" s="17"/>
      <c r="R49" s="17"/>
      <c r="S49" s="17"/>
      <c r="T49" s="119"/>
      <c r="U49" s="17"/>
      <c r="V49" s="17"/>
      <c r="W49" s="59"/>
      <c r="Y49" s="125"/>
      <c r="Z49" s="119"/>
      <c r="AA49" s="17"/>
      <c r="AB49" s="17"/>
      <c r="AC49" s="17"/>
      <c r="AD49" s="17"/>
      <c r="AE49" s="119"/>
      <c r="AF49" s="17"/>
      <c r="AG49" s="17"/>
      <c r="AH49" s="59"/>
    </row>
    <row r="50" spans="2:34" ht="15">
      <c r="B50" s="61" t="s">
        <v>201</v>
      </c>
      <c r="C50" s="17"/>
      <c r="D50" s="119"/>
      <c r="E50" s="17"/>
      <c r="F50" s="17"/>
      <c r="G50" s="17"/>
      <c r="H50" s="17"/>
      <c r="I50" s="119"/>
      <c r="J50" s="17"/>
      <c r="K50" s="120">
        <v>150000</v>
      </c>
      <c r="L50" s="62">
        <v>1350000</v>
      </c>
      <c r="N50" s="125"/>
      <c r="O50" s="119"/>
      <c r="P50" s="17"/>
      <c r="Q50" s="17"/>
      <c r="R50" s="17"/>
      <c r="S50" s="17"/>
      <c r="T50" s="119"/>
      <c r="U50" s="17"/>
      <c r="V50" s="120">
        <v>300000</v>
      </c>
      <c r="W50" s="62">
        <v>2700000</v>
      </c>
      <c r="Y50" s="125"/>
      <c r="Z50" s="119"/>
      <c r="AA50" s="17"/>
      <c r="AB50" s="17"/>
      <c r="AC50" s="17"/>
      <c r="AD50" s="17"/>
      <c r="AE50" s="119"/>
      <c r="AF50" s="17"/>
      <c r="AG50" s="17"/>
      <c r="AH50" s="59"/>
    </row>
    <row r="51" spans="2:34" ht="15.75" thickBot="1">
      <c r="B51" s="63" t="s">
        <v>159</v>
      </c>
      <c r="C51" s="64">
        <f>SUM(C24:C50)</f>
        <v>298400</v>
      </c>
      <c r="D51" s="64">
        <f t="shared" si="16" ref="D51:J51">SUM(D24:D50)</f>
        <v>3013600</v>
      </c>
      <c r="E51" s="64">
        <f t="shared" si="16"/>
        <v>3069200</v>
      </c>
      <c r="F51" s="64">
        <f t="shared" si="16"/>
        <v>1323466.6666666667</v>
      </c>
      <c r="G51" s="64">
        <f t="shared" si="16"/>
        <v>2569466.6666666665</v>
      </c>
      <c r="H51" s="64">
        <f t="shared" si="16"/>
        <v>1514666.6666666667</v>
      </c>
      <c r="I51" s="64">
        <f t="shared" si="16"/>
        <v>1509800</v>
      </c>
      <c r="J51" s="64">
        <f t="shared" si="16"/>
        <v>1466000</v>
      </c>
      <c r="K51" s="64">
        <f>SUM(K24:K50)</f>
        <v>1469400</v>
      </c>
      <c r="L51" s="65">
        <f>SUM(L24:L50)</f>
        <v>1350000</v>
      </c>
      <c r="M51" s="22">
        <f t="shared" si="17" ref="M51:M53">SUM(C51:L51)</f>
        <v>17584000</v>
      </c>
      <c r="N51" s="126">
        <f>SUM(N24:N50)</f>
        <v>57749.999999999993</v>
      </c>
      <c r="O51" s="64">
        <f t="shared" si="18" ref="O51:U51">SUM(O24:O50)</f>
        <v>577499.99999999988</v>
      </c>
      <c r="P51" s="64">
        <f t="shared" si="18"/>
        <v>1005499.9999999998</v>
      </c>
      <c r="Q51" s="64">
        <f t="shared" si="18"/>
        <v>4543500</v>
      </c>
      <c r="R51" s="64">
        <f t="shared" si="18"/>
        <v>1853666.6666666667</v>
      </c>
      <c r="S51" s="64">
        <f t="shared" si="18"/>
        <v>3079166.6666666665</v>
      </c>
      <c r="T51" s="64">
        <f t="shared" si="18"/>
        <v>3270666.6666666665</v>
      </c>
      <c r="U51" s="64">
        <f t="shared" si="18"/>
        <v>4858000</v>
      </c>
      <c r="V51" s="64">
        <f>SUM(V24:V50)</f>
        <v>3569250</v>
      </c>
      <c r="W51" s="65">
        <f>SUM(W24:W50)</f>
        <v>2700000</v>
      </c>
      <c r="Y51" s="126">
        <f>SUM(Y24:Y50)</f>
        <v>112288</v>
      </c>
      <c r="Z51" s="64">
        <f t="shared" si="19" ref="Z51:AG51">SUM(Z24:Z50)</f>
        <v>1122880</v>
      </c>
      <c r="AA51" s="64">
        <f t="shared" si="19"/>
        <v>1671208</v>
      </c>
      <c r="AB51" s="64">
        <f t="shared" si="19"/>
        <v>6420656</v>
      </c>
      <c r="AC51" s="64">
        <f t="shared" si="19"/>
        <v>5154864</v>
      </c>
      <c r="AD51" s="64">
        <f t="shared" si="19"/>
        <v>8788560</v>
      </c>
      <c r="AE51" s="64">
        <f t="shared" si="19"/>
        <v>8313448</v>
      </c>
      <c r="AF51" s="64">
        <f t="shared" si="19"/>
        <v>6642944</v>
      </c>
      <c r="AG51" s="64">
        <f t="shared" si="19"/>
        <v>13541616</v>
      </c>
      <c r="AH51" s="65">
        <f>SUM(AH24:AH50)</f>
        <v>13541616</v>
      </c>
    </row>
    <row r="52" spans="2:13" ht="15">
      <c r="B52" s="128" t="s">
        <v>158</v>
      </c>
      <c r="C52" s="119">
        <v>57749.999999999993</v>
      </c>
      <c r="D52" s="119">
        <v>577499.99999999988</v>
      </c>
      <c r="E52" s="119">
        <v>1005499.9999999998</v>
      </c>
      <c r="F52" s="119">
        <v>4543500</v>
      </c>
      <c r="G52" s="119">
        <v>1853666.6666666667</v>
      </c>
      <c r="H52" s="119">
        <v>3079166.6666666665</v>
      </c>
      <c r="I52" s="119">
        <v>3270666.6666666665</v>
      </c>
      <c r="J52" s="119">
        <v>4858000</v>
      </c>
      <c r="K52" s="119">
        <v>3569250</v>
      </c>
      <c r="L52" s="119">
        <v>2700000</v>
      </c>
      <c r="M52" s="22">
        <f t="shared" si="17"/>
        <v>25515000</v>
      </c>
    </row>
    <row r="53" spans="2:13" ht="15">
      <c r="B53" s="128" t="s">
        <v>157</v>
      </c>
      <c r="C53" s="119">
        <v>112288</v>
      </c>
      <c r="D53" s="119">
        <v>1122880</v>
      </c>
      <c r="E53" s="119">
        <v>1671208</v>
      </c>
      <c r="F53" s="119">
        <v>6420656</v>
      </c>
      <c r="G53" s="119">
        <v>5154864</v>
      </c>
      <c r="H53" s="119">
        <v>8788560</v>
      </c>
      <c r="I53" s="119">
        <v>8313448</v>
      </c>
      <c r="J53" s="119">
        <v>6642944</v>
      </c>
      <c r="K53" s="119">
        <v>13541616</v>
      </c>
      <c r="L53" s="119">
        <v>13541616</v>
      </c>
      <c r="M53" s="22">
        <f t="shared" si="17"/>
        <v>65310080</v>
      </c>
    </row>
    <row r="54" spans="2:13" ht="15">
      <c r="B54" s="129" t="s">
        <v>140</v>
      </c>
      <c r="C54" s="130">
        <f>SUM(C51:C53)</f>
        <v>468438</v>
      </c>
      <c r="D54" s="130">
        <f t="shared" si="20" ref="D54:L54">SUM(D51:D53)</f>
        <v>4713980</v>
      </c>
      <c r="E54" s="130">
        <f t="shared" si="20"/>
        <v>5745908</v>
      </c>
      <c r="F54" s="130">
        <f t="shared" si="20"/>
        <v>12287622.666666668</v>
      </c>
      <c r="G54" s="130">
        <f t="shared" si="20"/>
        <v>9577997.3333333321</v>
      </c>
      <c r="H54" s="130">
        <f t="shared" si="20"/>
        <v>13382393.333333332</v>
      </c>
      <c r="I54" s="130">
        <f t="shared" si="20"/>
        <v>13093914.666666666</v>
      </c>
      <c r="J54" s="130">
        <f t="shared" si="20"/>
        <v>12966944</v>
      </c>
      <c r="K54" s="130">
        <f t="shared" si="20"/>
        <v>18580266</v>
      </c>
      <c r="L54" s="130">
        <f t="shared" si="20"/>
        <v>17591616</v>
      </c>
      <c r="M54" s="22">
        <f>SUM(C54:L54)</f>
        <v>108409080</v>
      </c>
    </row>
    <row r="55" spans="2:13" ht="15">
      <c r="B55" t="s">
        <v>159</v>
      </c>
      <c r="C55" s="142">
        <f>C51/$M51</f>
        <v>0.01696997270245678</v>
      </c>
      <c r="D55" s="142">
        <f t="shared" si="21" ref="D55:L55">D51/$M51</f>
        <v>0.17138307552320292</v>
      </c>
      <c r="E55" s="142">
        <f t="shared" si="21"/>
        <v>0.17454504094631484</v>
      </c>
      <c r="F55" s="142">
        <f t="shared" si="21"/>
        <v>0.075265392781316359</v>
      </c>
      <c r="G55" s="142">
        <f t="shared" si="21"/>
        <v>0.14612526539278131</v>
      </c>
      <c r="H55" s="142">
        <f t="shared" si="21"/>
        <v>0.086138914164391872</v>
      </c>
      <c r="I55" s="142">
        <f t="shared" si="21"/>
        <v>0.085862147406733397</v>
      </c>
      <c r="J55" s="142">
        <f t="shared" si="21"/>
        <v>0.083371246587807091</v>
      </c>
      <c r="K55" s="142">
        <f t="shared" si="21"/>
        <v>0.083564604185623295</v>
      </c>
      <c r="L55" s="142">
        <f t="shared" si="21"/>
        <v>0.076774340309372163</v>
      </c>
      <c r="M55" s="143">
        <f>M51/$M$54</f>
        <v>0.16220043560926814</v>
      </c>
    </row>
    <row r="56" spans="2:13" ht="15">
      <c r="B56" t="s">
        <v>158</v>
      </c>
      <c r="C56" s="142">
        <f t="shared" si="22" ref="C56:L56">C52/$M52</f>
        <v>0.0022633744855967077</v>
      </c>
      <c r="D56" s="142">
        <f t="shared" si="22"/>
        <v>0.022633744855967072</v>
      </c>
      <c r="E56" s="142">
        <f t="shared" si="22"/>
        <v>0.0394081912600431</v>
      </c>
      <c r="F56" s="142">
        <f t="shared" si="22"/>
        <v>0.17807172251616696</v>
      </c>
      <c r="G56" s="142">
        <f t="shared" si="22"/>
        <v>0.072650075119210927</v>
      </c>
      <c r="H56" s="142">
        <f t="shared" si="22"/>
        <v>0.12068064537200339</v>
      </c>
      <c r="I56" s="142">
        <f t="shared" si="22"/>
        <v>0.12818603435887385</v>
      </c>
      <c r="J56" s="142">
        <f t="shared" si="22"/>
        <v>0.19039780521262004</v>
      </c>
      <c r="K56" s="142">
        <f t="shared" si="22"/>
        <v>0.1398883009994121</v>
      </c>
      <c r="L56" s="142">
        <f t="shared" si="22"/>
        <v>0.10582010582010581</v>
      </c>
      <c r="M56" s="143">
        <f t="shared" si="23" ref="M56:M57">M52/$M$54</f>
        <v>0.23535851424991339</v>
      </c>
    </row>
    <row r="57" spans="2:13" ht="15">
      <c r="B57" t="s">
        <v>157</v>
      </c>
      <c r="C57" s="142">
        <f t="shared" si="24" ref="C57:K57">C53/$M53</f>
        <v>0.0017193058100679099</v>
      </c>
      <c r="D57" s="142">
        <f t="shared" si="24"/>
        <v>0.017193058100679098</v>
      </c>
      <c r="E57" s="142">
        <f t="shared" si="24"/>
        <v>0.025588821817397866</v>
      </c>
      <c r="F57" s="142">
        <f t="shared" si="24"/>
        <v>0.098310337393553951</v>
      </c>
      <c r="G57" s="142">
        <f t="shared" si="24"/>
        <v>0.07892907189824297</v>
      </c>
      <c r="H57" s="142">
        <f t="shared" si="24"/>
        <v>0.13456667025978225</v>
      </c>
      <c r="I57" s="142">
        <f t="shared" si="24"/>
        <v>0.12729195860730841</v>
      </c>
      <c r="J57" s="142">
        <f t="shared" si="24"/>
        <v>0.10171391613668211</v>
      </c>
      <c r="K57" s="142">
        <f t="shared" si="24"/>
        <v>0.20734342998814273</v>
      </c>
      <c r="L57" s="142">
        <f>L53/$M53</f>
        <v>0.20734342998814273</v>
      </c>
      <c r="M57" s="143">
        <f t="shared" si="23"/>
        <v>0.6024410501408185</v>
      </c>
    </row>
  </sheetData>
  <mergeCells count="18">
    <mergeCell ref="V3:W3"/>
    <mergeCell ref="Y22:AH22"/>
    <mergeCell ref="N22:W22"/>
    <mergeCell ref="B20:C20"/>
    <mergeCell ref="B19:C19"/>
    <mergeCell ref="B16:C16"/>
    <mergeCell ref="K13:M13"/>
    <mergeCell ref="O3:Q3"/>
    <mergeCell ref="R3:S3"/>
    <mergeCell ref="T3:U3"/>
    <mergeCell ref="H1:J1"/>
    <mergeCell ref="K3:M3"/>
    <mergeCell ref="B15:D15"/>
    <mergeCell ref="B17:C17"/>
    <mergeCell ref="B18:C18"/>
    <mergeCell ref="C3:D3"/>
    <mergeCell ref="E3:G3"/>
    <mergeCell ref="H3:J3"/>
  </mergeCells>
  <pageMargins left="0.7" right="0.7" top="0.75" bottom="0.75" header="0.3" footer="0.3"/>
  <pageSetup horizontalDpi="1200" verticalDpi="1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E137-97D7-4CC9-AEDA-FB46D6F5C46E}">
  <dimension ref="B3:L19"/>
  <sheetViews>
    <sheetView showGridLines="0" workbookViewId="0" topLeftCell="A1">
      <selection pane="topLeft" activeCell="G28" sqref="G28"/>
    </sheetView>
  </sheetViews>
  <sheetFormatPr defaultRowHeight="15"/>
  <cols>
    <col min="2" max="2" width="13.7142857142857" customWidth="1"/>
    <col min="3" max="3" width="11.8571428571429" bestFit="1" customWidth="1"/>
    <col min="4" max="4" width="13.7142857142857" bestFit="1" customWidth="1"/>
    <col min="5" max="8" width="11.8571428571429" bestFit="1" customWidth="1"/>
    <col min="9" max="12" width="10.8571428571429" bestFit="1" customWidth="1"/>
  </cols>
  <sheetData>
    <row r="2" ht="15.75" thickBot="1"/>
    <row r="3" spans="2:7" ht="15">
      <c r="B3" s="150"/>
      <c r="C3" s="151" t="s">
        <v>202</v>
      </c>
      <c r="D3" s="151" t="s">
        <v>203</v>
      </c>
      <c r="E3" s="151" t="s">
        <v>204</v>
      </c>
      <c r="F3" s="151" t="s">
        <v>136</v>
      </c>
      <c r="G3" s="152" t="s">
        <v>137</v>
      </c>
    </row>
    <row r="4" spans="2:7" ht="15">
      <c r="B4" s="153" t="s">
        <v>205</v>
      </c>
      <c r="C4" s="17">
        <f>SUM(FeederData!AH3:AH15)</f>
        <v>40.309999999999995</v>
      </c>
      <c r="D4" s="17">
        <f>SUM(FeederData!AI3:AI15)</f>
        <v>9.6300000000000026</v>
      </c>
      <c r="E4" s="17">
        <f>SUM(FeederData!AJ3:AJ15)</f>
        <v>50.040000000000013</v>
      </c>
      <c r="F4" s="17">
        <f>SUM(FeederData!AK3:AK15)</f>
        <v>34.75</v>
      </c>
      <c r="G4" s="54">
        <f>SUM(FeederData!AL3:AL15)</f>
        <v>65.25</v>
      </c>
    </row>
    <row r="5" spans="2:7" ht="15">
      <c r="B5" s="153" t="s">
        <v>206</v>
      </c>
      <c r="C5" s="17">
        <f>SUM(FeederData!AH16:AH31)</f>
        <v>392.49000000000001</v>
      </c>
      <c r="D5" s="17">
        <f>SUM(FeederData!AI16:AI31)</f>
        <v>29.210000000000001</v>
      </c>
      <c r="E5" s="17">
        <f>SUM(FeederData!AJ16:AJ31)</f>
        <v>193.51999999999998</v>
      </c>
      <c r="F5" s="17">
        <f>SUM(FeederData!AK16:AK31)</f>
        <v>105.89999999999999</v>
      </c>
      <c r="G5" s="54">
        <f>SUM(FeederData!AL16:AL31)</f>
        <v>509.31999999999999</v>
      </c>
    </row>
    <row r="6" spans="2:7" ht="15.75" thickBot="1">
      <c r="B6" s="154" t="s">
        <v>140</v>
      </c>
      <c r="C6" s="155">
        <f>SUM(C4:C5)</f>
        <v>432.80000000000001</v>
      </c>
      <c r="D6" s="155">
        <f t="shared" si="0" ref="D6:G6">SUM(D4:D5)</f>
        <v>38.840000000000003</v>
      </c>
      <c r="E6" s="155">
        <f t="shared" si="0"/>
        <v>243.56</v>
      </c>
      <c r="F6" s="155">
        <f t="shared" si="0"/>
        <v>140.64999999999998</v>
      </c>
      <c r="G6" s="156">
        <f t="shared" si="0"/>
        <v>574.56999999999994</v>
      </c>
    </row>
    <row r="7" ht="15.75" thickBot="1"/>
    <row r="8" spans="2:4" ht="15.75" thickBot="1">
      <c r="B8" s="157" t="s">
        <v>207</v>
      </c>
      <c r="C8" s="164" t="s">
        <v>208</v>
      </c>
      <c r="D8" s="158" t="s">
        <v>209</v>
      </c>
    </row>
    <row r="9" spans="2:4" ht="15.75" thickTop="1">
      <c r="B9" s="159" t="s">
        <v>210</v>
      </c>
      <c r="C9" s="17">
        <f>F6</f>
        <v>140.64999999999998</v>
      </c>
      <c r="D9" s="160">
        <f>'10YrPlan'!D17*TotalPlan!F6</f>
        <v>56259999.999999993</v>
      </c>
    </row>
    <row r="10" spans="2:4" ht="15">
      <c r="B10" s="161" t="s">
        <v>158</v>
      </c>
      <c r="C10" s="17">
        <f>D6+(E6-F6)</f>
        <v>141.75000000000003</v>
      </c>
      <c r="D10" s="160">
        <f>C10*'10YrPlan'!D19</f>
        <v>70875000.000000015</v>
      </c>
    </row>
    <row r="11" spans="2:5" ht="15.75" thickBot="1">
      <c r="B11" s="162" t="s">
        <v>157</v>
      </c>
      <c r="C11" s="165">
        <f>C6*0.45</f>
        <v>194.76000000000002</v>
      </c>
      <c r="D11" s="163">
        <f>C11*'10YrPlan'!D18</f>
        <v>214236000.00000003</v>
      </c>
      <c r="E11" s="45" t="s">
        <v>211</v>
      </c>
    </row>
    <row r="12" spans="4:4" ht="15">
      <c r="D12" s="166">
        <f>SUM(D9:D11)</f>
        <v>341371000</v>
      </c>
    </row>
    <row r="13" ht="15.75" thickBot="1"/>
    <row r="14" spans="2:12" ht="15">
      <c r="B14" s="167" t="str">
        <f>"100/100/45%"</f>
        <v>100/100/45%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2"/>
    </row>
    <row r="15" spans="2:12" ht="15">
      <c r="B15" s="153" t="s">
        <v>210</v>
      </c>
      <c r="C15" s="119">
        <f>$D$9/C18</f>
        <v>11251999.999999998</v>
      </c>
      <c r="D15" s="119">
        <f t="shared" si="1" ref="D15:K15">$D$9/D18</f>
        <v>5625999.9999999991</v>
      </c>
      <c r="E15" s="119">
        <f t="shared" si="1"/>
        <v>3750666.666666666</v>
      </c>
      <c r="F15" s="119">
        <f t="shared" si="1"/>
        <v>2812999.9999999995</v>
      </c>
      <c r="G15" s="119">
        <f t="shared" si="1"/>
        <v>2250399.9999999995</v>
      </c>
      <c r="H15" s="174">
        <f t="shared" si="1"/>
        <v>1875333.333333333</v>
      </c>
      <c r="I15" s="119">
        <f t="shared" si="1"/>
        <v>1607428.5714285711</v>
      </c>
      <c r="J15" s="119">
        <f t="shared" si="1"/>
        <v>1406499.9999999998</v>
      </c>
      <c r="K15" s="119">
        <f t="shared" si="1"/>
        <v>1250222.222222222</v>
      </c>
      <c r="L15" s="59">
        <f>$D$9/L18</f>
        <v>1125199.9999999998</v>
      </c>
    </row>
    <row r="16" spans="2:12" ht="15">
      <c r="B16" s="153" t="s">
        <v>212</v>
      </c>
      <c r="C16" s="119">
        <f>$D$10/C18</f>
        <v>14175000.000000004</v>
      </c>
      <c r="D16" s="119">
        <f t="shared" si="2" ref="D16:L16">$D$10/D18</f>
        <v>7087500.0000000019</v>
      </c>
      <c r="E16" s="119">
        <f t="shared" si="2"/>
        <v>4725000.0000000009</v>
      </c>
      <c r="F16" s="119">
        <f t="shared" si="2"/>
        <v>3543750.0000000009</v>
      </c>
      <c r="G16" s="119">
        <f t="shared" si="2"/>
        <v>2835000.0000000005</v>
      </c>
      <c r="H16" s="174">
        <f t="shared" si="2"/>
        <v>2362500.0000000005</v>
      </c>
      <c r="I16" s="119">
        <f t="shared" si="2"/>
        <v>2025000.0000000005</v>
      </c>
      <c r="J16" s="119">
        <f t="shared" si="2"/>
        <v>1771875.0000000005</v>
      </c>
      <c r="K16" s="119">
        <f t="shared" si="2"/>
        <v>1575000.0000000002</v>
      </c>
      <c r="L16" s="59">
        <f t="shared" si="2"/>
        <v>1417500.0000000002</v>
      </c>
    </row>
    <row r="17" spans="2:12" ht="15">
      <c r="B17" s="153" t="s">
        <v>213</v>
      </c>
      <c r="C17" s="119">
        <f>$D$11/C18</f>
        <v>42847200.000000007</v>
      </c>
      <c r="D17" s="119">
        <f t="shared" si="3" ref="D17:L17">$D$11/D18</f>
        <v>21423600.000000004</v>
      </c>
      <c r="E17" s="119">
        <f t="shared" si="3"/>
        <v>14282400.000000002</v>
      </c>
      <c r="F17" s="119">
        <f t="shared" si="3"/>
        <v>10711800.000000002</v>
      </c>
      <c r="G17" s="119">
        <f t="shared" si="3"/>
        <v>8569440.0000000019</v>
      </c>
      <c r="H17" s="174">
        <f t="shared" si="3"/>
        <v>7141200.0000000009</v>
      </c>
      <c r="I17" s="119">
        <f t="shared" si="3"/>
        <v>6121028.5714285718</v>
      </c>
      <c r="J17" s="119">
        <f t="shared" si="3"/>
        <v>5355900.0000000009</v>
      </c>
      <c r="K17" s="119">
        <f t="shared" si="3"/>
        <v>4760800.0000000009</v>
      </c>
      <c r="L17" s="59">
        <f t="shared" si="3"/>
        <v>4284720.0000000009</v>
      </c>
    </row>
    <row r="18" spans="2:12" ht="15">
      <c r="B18" s="168" t="s">
        <v>214</v>
      </c>
      <c r="C18" s="173">
        <v>5</v>
      </c>
      <c r="D18" s="173">
        <v>10</v>
      </c>
      <c r="E18" s="173">
        <v>15</v>
      </c>
      <c r="F18" s="173">
        <v>20</v>
      </c>
      <c r="G18" s="173">
        <v>25</v>
      </c>
      <c r="H18" s="175">
        <v>30</v>
      </c>
      <c r="I18" s="173">
        <v>35</v>
      </c>
      <c r="J18" s="173">
        <v>40</v>
      </c>
      <c r="K18" s="173">
        <v>45</v>
      </c>
      <c r="L18" s="169">
        <v>50</v>
      </c>
    </row>
    <row r="19" spans="2:12" ht="15.75" thickBot="1">
      <c r="B19" s="170" t="s">
        <v>215</v>
      </c>
      <c r="C19" s="171">
        <f>SUM(C15:C17)</f>
        <v>68274200</v>
      </c>
      <c r="D19" s="171">
        <f t="shared" si="4" ref="D19:L19">SUM(D15:D17)</f>
        <v>34137100</v>
      </c>
      <c r="E19" s="171">
        <f t="shared" si="4"/>
        <v>22758066.666666672</v>
      </c>
      <c r="F19" s="171">
        <f t="shared" si="4"/>
        <v>17068550</v>
      </c>
      <c r="G19" s="171">
        <f t="shared" si="4"/>
        <v>13654840.000000002</v>
      </c>
      <c r="H19" s="176">
        <f t="shared" si="4"/>
        <v>11379033.333333336</v>
      </c>
      <c r="I19" s="171">
        <f t="shared" si="4"/>
        <v>9753457.1428571437</v>
      </c>
      <c r="J19" s="171">
        <f t="shared" si="4"/>
        <v>8534275</v>
      </c>
      <c r="K19" s="171">
        <f t="shared" si="4"/>
        <v>7586022.2222222229</v>
      </c>
      <c r="L19" s="172">
        <f t="shared" si="4"/>
        <v>6827420.0000000009</v>
      </c>
    </row>
  </sheetData>
  <pageMargins left="0.7" right="0.7" top="0.75" bottom="0.75" header="0.3" footer="0.3"/>
  <pageSetup horizontalDpi="1200" verticalDpi="12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B515-0B9C-4E4E-871A-094718093BCE}">
  <dimension ref="B2:V148"/>
  <sheetViews>
    <sheetView showGridLines="0" tabSelected="1" workbookViewId="0" topLeftCell="A7">
      <selection pane="topLeft" activeCell="V18" sqref="V18"/>
    </sheetView>
  </sheetViews>
  <sheetFormatPr defaultRowHeight="15"/>
  <cols>
    <col min="2" max="2" width="26.7142857142857" bestFit="1" customWidth="1"/>
    <col min="6" max="8" width="9.14285714285714" style="17"/>
    <col min="15" max="15" width="10.1428571428571" customWidth="1"/>
    <col min="20" max="20" width="9.14285714285714" style="17"/>
  </cols>
  <sheetData>
    <row r="2" spans="2:6" ht="15">
      <c r="B2" s="37"/>
      <c r="C2" s="208" t="s">
        <v>216</v>
      </c>
      <c r="D2" s="208"/>
      <c r="E2" s="208" t="s">
        <v>217</v>
      </c>
      <c r="F2" s="208"/>
    </row>
    <row r="3" spans="2:6" ht="15">
      <c r="B3" s="38" t="s">
        <v>151</v>
      </c>
      <c r="C3" s="38" t="s">
        <v>218</v>
      </c>
      <c r="D3" s="38" t="s">
        <v>219</v>
      </c>
      <c r="E3" s="38" t="s">
        <v>218</v>
      </c>
      <c r="F3" s="38" t="s">
        <v>219</v>
      </c>
    </row>
    <row r="4" spans="2:6" ht="15">
      <c r="B4" s="71" t="s">
        <v>18</v>
      </c>
      <c r="C4" s="92">
        <v>138</v>
      </c>
      <c r="D4" s="92">
        <v>7</v>
      </c>
      <c r="E4" s="92">
        <v>66</v>
      </c>
      <c r="F4" s="92">
        <v>8</v>
      </c>
    </row>
    <row r="5" spans="2:6" ht="15">
      <c r="B5" s="73" t="s">
        <v>29</v>
      </c>
      <c r="C5" s="87">
        <v>277</v>
      </c>
      <c r="D5" s="87">
        <v>14</v>
      </c>
      <c r="E5" s="87">
        <v>231</v>
      </c>
      <c r="F5" s="87">
        <v>13</v>
      </c>
    </row>
    <row r="6" spans="2:6" ht="15">
      <c r="B6" s="13" t="s">
        <v>35</v>
      </c>
      <c r="C6" s="40">
        <v>225</v>
      </c>
      <c r="D6" s="40">
        <v>9</v>
      </c>
      <c r="E6" s="40">
        <v>180</v>
      </c>
      <c r="F6" s="40">
        <v>9</v>
      </c>
    </row>
    <row r="7" spans="2:6" ht="15">
      <c r="B7" s="72" t="s">
        <v>37</v>
      </c>
      <c r="C7" s="39">
        <v>93</v>
      </c>
      <c r="D7" s="39">
        <v>1</v>
      </c>
      <c r="E7" s="39">
        <v>36</v>
      </c>
      <c r="F7" s="39">
        <v>1</v>
      </c>
    </row>
    <row r="8" spans="2:6" ht="15">
      <c r="B8" s="70" t="s">
        <v>44</v>
      </c>
      <c r="C8" s="74">
        <v>133</v>
      </c>
      <c r="D8" s="74">
        <v>2</v>
      </c>
      <c r="E8" s="74">
        <v>44</v>
      </c>
      <c r="F8" s="74">
        <v>2</v>
      </c>
    </row>
    <row r="9" spans="2:6" ht="15">
      <c r="B9" s="43" t="s">
        <v>165</v>
      </c>
      <c r="C9" s="179">
        <f>SUM(C4:C8)</f>
        <v>866</v>
      </c>
      <c r="D9" s="179">
        <f>SUM(D4:D8)</f>
        <v>33</v>
      </c>
      <c r="E9" s="179">
        <f>SUM(E4:E8)</f>
        <v>557</v>
      </c>
      <c r="F9" s="179">
        <f>SUM(F4:F8)</f>
        <v>33</v>
      </c>
    </row>
    <row r="12" spans="2:20" ht="15">
      <c r="B12" s="213" t="s">
        <v>220</v>
      </c>
      <c r="C12" s="214"/>
      <c r="E12" s="208" t="s">
        <v>221</v>
      </c>
      <c r="F12" s="208"/>
      <c r="G12" s="208"/>
      <c r="H12" s="208"/>
      <c r="J12" s="226" t="s">
        <v>222</v>
      </c>
      <c r="K12" s="227"/>
      <c r="L12" s="227"/>
      <c r="M12" s="227"/>
      <c r="N12" s="227"/>
      <c r="P12" s="222" t="s">
        <v>223</v>
      </c>
      <c r="Q12" s="223"/>
      <c r="R12" s="223"/>
      <c r="S12" s="223"/>
      <c r="T12" s="223"/>
    </row>
    <row r="13" spans="2:20" ht="15">
      <c r="B13" s="177" t="s">
        <v>224</v>
      </c>
      <c r="C13" s="177" t="s">
        <v>225</v>
      </c>
      <c r="E13" s="181" t="s">
        <v>226</v>
      </c>
      <c r="F13" s="181" t="s">
        <v>227</v>
      </c>
      <c r="G13" s="181" t="s">
        <v>228</v>
      </c>
      <c r="H13" s="181" t="s">
        <v>229</v>
      </c>
      <c r="J13" s="181" t="s">
        <v>226</v>
      </c>
      <c r="K13" s="181" t="s">
        <v>227</v>
      </c>
      <c r="L13" s="181" t="s">
        <v>228</v>
      </c>
      <c r="M13" s="181" t="s">
        <v>229</v>
      </c>
      <c r="N13" s="181" t="s">
        <v>230</v>
      </c>
      <c r="P13" s="181" t="s">
        <v>226</v>
      </c>
      <c r="Q13" s="181" t="s">
        <v>227</v>
      </c>
      <c r="R13" s="181" t="s">
        <v>228</v>
      </c>
      <c r="S13" s="181" t="s">
        <v>229</v>
      </c>
      <c r="T13" s="181" t="s">
        <v>230</v>
      </c>
    </row>
    <row r="14" spans="2:22" ht="15">
      <c r="B14" s="11" t="s">
        <v>231</v>
      </c>
      <c r="C14" s="12">
        <v>16</v>
      </c>
      <c r="E14" s="11" t="s">
        <v>232</v>
      </c>
      <c r="F14" s="12" t="s">
        <v>233</v>
      </c>
      <c r="G14" s="12">
        <f t="shared" si="0" ref="G14:G45">IF(ISERROR(VLOOKUP(E14,B$14:C$59,2,FALSE)),0,VLOOKUP(E14,B$14:C$59,2,FALSE))</f>
        <v>4</v>
      </c>
      <c r="H14" s="12" t="str">
        <f t="shared" si="1" ref="H14:H45">IF(LEN(F14)&gt;1,"Hard","UG")</f>
        <v>UG</v>
      </c>
      <c r="J14" s="190" t="s">
        <v>231</v>
      </c>
      <c r="K14" s="191" t="s">
        <v>234</v>
      </c>
      <c r="L14" s="191">
        <v>16</v>
      </c>
      <c r="M14" s="191" t="str">
        <f t="shared" si="2" ref="M14:M32">IF(LEN(K14)&gt;1,"Hard","UG")</f>
        <v>Hard</v>
      </c>
      <c r="N14" s="193">
        <v>4574</v>
      </c>
      <c r="O14" s="194"/>
      <c r="P14" s="190" t="s">
        <v>232</v>
      </c>
      <c r="Q14" s="191" t="s">
        <v>233</v>
      </c>
      <c r="R14" s="191">
        <v>4</v>
      </c>
      <c r="S14" s="191" t="s">
        <v>138</v>
      </c>
      <c r="T14" s="192">
        <v>457</v>
      </c>
      <c r="V14" s="18"/>
    </row>
    <row r="15" spans="2:20" ht="15">
      <c r="B15" s="11" t="s">
        <v>235</v>
      </c>
      <c r="C15" s="12">
        <v>4</v>
      </c>
      <c r="E15" s="11" t="s">
        <v>235</v>
      </c>
      <c r="F15" s="12" t="s">
        <v>236</v>
      </c>
      <c r="G15" s="12">
        <f t="shared" si="0"/>
        <v>4</v>
      </c>
      <c r="H15" s="12" t="str">
        <f t="shared" si="1"/>
        <v>UG</v>
      </c>
      <c r="J15" s="190" t="s">
        <v>237</v>
      </c>
      <c r="K15" s="191" t="s">
        <v>234</v>
      </c>
      <c r="L15" s="191">
        <v>4</v>
      </c>
      <c r="M15" s="191" t="str">
        <f t="shared" si="2"/>
        <v>Hard</v>
      </c>
      <c r="N15" s="192">
        <v>493</v>
      </c>
      <c r="O15" s="194"/>
      <c r="P15" s="195" t="s">
        <v>235</v>
      </c>
      <c r="Q15" s="196" t="s">
        <v>236</v>
      </c>
      <c r="R15" s="196">
        <v>4</v>
      </c>
      <c r="S15" s="196" t="s">
        <v>138</v>
      </c>
      <c r="T15" s="197" t="s">
        <v>238</v>
      </c>
    </row>
    <row r="16" spans="2:22" ht="15">
      <c r="B16" s="11" t="s">
        <v>232</v>
      </c>
      <c r="C16" s="12">
        <v>4</v>
      </c>
      <c r="E16" s="11" t="s">
        <v>239</v>
      </c>
      <c r="F16" s="12" t="s">
        <v>233</v>
      </c>
      <c r="G16" s="12">
        <f t="shared" si="0"/>
        <v>4</v>
      </c>
      <c r="H16" s="12" t="str">
        <f t="shared" si="1"/>
        <v>UG</v>
      </c>
      <c r="J16" s="190" t="s">
        <v>240</v>
      </c>
      <c r="K16" s="191" t="s">
        <v>234</v>
      </c>
      <c r="L16" s="191">
        <v>3</v>
      </c>
      <c r="M16" s="191" t="str">
        <f t="shared" si="2"/>
        <v>Hard</v>
      </c>
      <c r="N16" s="192" t="s">
        <v>241</v>
      </c>
      <c r="O16" s="194"/>
      <c r="P16" s="190" t="s">
        <v>239</v>
      </c>
      <c r="Q16" s="191" t="s">
        <v>233</v>
      </c>
      <c r="R16" s="191">
        <v>4</v>
      </c>
      <c r="S16" s="191" t="s">
        <v>138</v>
      </c>
      <c r="T16" s="193">
        <v>4484</v>
      </c>
      <c r="V16" s="18"/>
    </row>
    <row r="17" spans="2:20" ht="15">
      <c r="B17" s="11" t="s">
        <v>239</v>
      </c>
      <c r="C17" s="12">
        <v>4</v>
      </c>
      <c r="E17" s="11" t="s">
        <v>242</v>
      </c>
      <c r="F17" s="12" t="s">
        <v>233</v>
      </c>
      <c r="G17" s="12">
        <f t="shared" si="0"/>
        <v>4</v>
      </c>
      <c r="H17" s="12" t="str">
        <f t="shared" si="1"/>
        <v>UG</v>
      </c>
      <c r="J17" s="190" t="s">
        <v>243</v>
      </c>
      <c r="K17" s="191" t="s">
        <v>244</v>
      </c>
      <c r="L17" s="191">
        <v>2</v>
      </c>
      <c r="M17" s="191" t="str">
        <f t="shared" si="2"/>
        <v>Hard</v>
      </c>
      <c r="N17" s="192" t="s">
        <v>245</v>
      </c>
      <c r="O17" s="194"/>
      <c r="P17" s="11" t="s">
        <v>242</v>
      </c>
      <c r="Q17" s="12" t="s">
        <v>233</v>
      </c>
      <c r="R17" s="12">
        <v>4</v>
      </c>
      <c r="S17" s="12" t="s">
        <v>138</v>
      </c>
      <c r="T17" s="189">
        <v>925</v>
      </c>
    </row>
    <row r="18" spans="2:20" ht="15">
      <c r="B18" s="11" t="s">
        <v>242</v>
      </c>
      <c r="C18" s="12">
        <v>4</v>
      </c>
      <c r="E18" s="11" t="s">
        <v>246</v>
      </c>
      <c r="F18" s="12" t="s">
        <v>236</v>
      </c>
      <c r="G18" s="12">
        <f t="shared" si="0"/>
        <v>4</v>
      </c>
      <c r="H18" s="12" t="str">
        <f t="shared" si="1"/>
        <v>UG</v>
      </c>
      <c r="J18" s="190" t="s">
        <v>247</v>
      </c>
      <c r="K18" s="191" t="s">
        <v>244</v>
      </c>
      <c r="L18" s="191">
        <v>1</v>
      </c>
      <c r="M18" s="191" t="str">
        <f t="shared" si="2"/>
        <v>Hard</v>
      </c>
      <c r="N18" s="192">
        <v>327</v>
      </c>
      <c r="O18" s="194"/>
      <c r="P18" s="11" t="s">
        <v>246</v>
      </c>
      <c r="Q18" s="12" t="s">
        <v>236</v>
      </c>
      <c r="R18" s="12">
        <v>4</v>
      </c>
      <c r="S18" s="12" t="s">
        <v>138</v>
      </c>
      <c r="T18" s="198">
        <v>2226</v>
      </c>
    </row>
    <row r="19" spans="2:22" ht="15">
      <c r="B19" s="11" t="s">
        <v>237</v>
      </c>
      <c r="C19" s="12">
        <v>4</v>
      </c>
      <c r="E19" s="11" t="s">
        <v>248</v>
      </c>
      <c r="F19" s="12" t="s">
        <v>249</v>
      </c>
      <c r="G19" s="12">
        <f t="shared" si="0"/>
        <v>3</v>
      </c>
      <c r="H19" s="12" t="str">
        <f t="shared" si="1"/>
        <v>UG</v>
      </c>
      <c r="J19" s="11" t="s">
        <v>250</v>
      </c>
      <c r="K19" s="12" t="s">
        <v>251</v>
      </c>
      <c r="L19" s="12">
        <v>1</v>
      </c>
      <c r="M19" s="12" t="str">
        <f t="shared" si="2"/>
        <v>Hard</v>
      </c>
      <c r="N19" s="189">
        <v>425</v>
      </c>
      <c r="O19" s="194"/>
      <c r="P19" s="190" t="s">
        <v>248</v>
      </c>
      <c r="Q19" s="191" t="s">
        <v>249</v>
      </c>
      <c r="R19" s="191">
        <v>3</v>
      </c>
      <c r="S19" s="191" t="s">
        <v>138</v>
      </c>
      <c r="T19" s="192">
        <v>600</v>
      </c>
      <c r="V19" s="18"/>
    </row>
    <row r="20" spans="2:20" ht="15">
      <c r="B20" s="11" t="s">
        <v>246</v>
      </c>
      <c r="C20" s="12">
        <v>4</v>
      </c>
      <c r="E20" s="11" t="s">
        <v>252</v>
      </c>
      <c r="F20" s="12" t="s">
        <v>236</v>
      </c>
      <c r="G20" s="12">
        <f t="shared" si="0"/>
        <v>3</v>
      </c>
      <c r="H20" s="12" t="str">
        <f t="shared" si="1"/>
        <v>UG</v>
      </c>
      <c r="J20" s="190" t="s">
        <v>253</v>
      </c>
      <c r="K20" s="191" t="s">
        <v>234</v>
      </c>
      <c r="L20" s="191">
        <v>1</v>
      </c>
      <c r="M20" s="191" t="str">
        <f t="shared" si="2"/>
        <v>Hard</v>
      </c>
      <c r="N20" s="192">
        <v>409</v>
      </c>
      <c r="O20" s="194"/>
      <c r="P20" s="195" t="s">
        <v>252</v>
      </c>
      <c r="Q20" s="196" t="s">
        <v>236</v>
      </c>
      <c r="R20" s="196">
        <v>3</v>
      </c>
      <c r="S20" s="196" t="s">
        <v>138</v>
      </c>
      <c r="T20" s="197" t="s">
        <v>238</v>
      </c>
    </row>
    <row r="21" spans="2:20" ht="15">
      <c r="B21" s="11" t="s">
        <v>248</v>
      </c>
      <c r="C21" s="12">
        <v>3</v>
      </c>
      <c r="E21" s="11" t="s">
        <v>254</v>
      </c>
      <c r="F21" s="12" t="s">
        <v>233</v>
      </c>
      <c r="G21" s="12">
        <f t="shared" si="0"/>
        <v>3</v>
      </c>
      <c r="H21" s="12" t="str">
        <f t="shared" si="1"/>
        <v>UG</v>
      </c>
      <c r="J21" s="11" t="s">
        <v>255</v>
      </c>
      <c r="K21" s="12" t="s">
        <v>251</v>
      </c>
      <c r="L21" s="12">
        <v>1</v>
      </c>
      <c r="M21" s="12" t="str">
        <f t="shared" si="2"/>
        <v>Hard</v>
      </c>
      <c r="N21" s="189"/>
      <c r="P21" s="73" t="s">
        <v>254</v>
      </c>
      <c r="Q21" s="87" t="s">
        <v>233</v>
      </c>
      <c r="R21" s="87">
        <v>3</v>
      </c>
      <c r="S21" s="87" t="s">
        <v>138</v>
      </c>
      <c r="T21" s="197" t="s">
        <v>238</v>
      </c>
    </row>
    <row r="22" spans="2:20" ht="15">
      <c r="B22" s="11" t="s">
        <v>254</v>
      </c>
      <c r="C22" s="12">
        <v>3</v>
      </c>
      <c r="E22" s="11" t="s">
        <v>256</v>
      </c>
      <c r="F22" s="12" t="s">
        <v>249</v>
      </c>
      <c r="G22" s="12">
        <f t="shared" si="0"/>
        <v>3</v>
      </c>
      <c r="H22" s="12" t="str">
        <f t="shared" si="1"/>
        <v>UG</v>
      </c>
      <c r="J22" s="11" t="s">
        <v>257</v>
      </c>
      <c r="K22" s="12" t="s">
        <v>234</v>
      </c>
      <c r="L22" s="12">
        <v>1</v>
      </c>
      <c r="M22" s="12" t="str">
        <f t="shared" si="2"/>
        <v>Hard</v>
      </c>
      <c r="N22" s="189">
        <v>5169</v>
      </c>
      <c r="P22" s="11" t="s">
        <v>256</v>
      </c>
      <c r="Q22" s="12" t="s">
        <v>249</v>
      </c>
      <c r="R22" s="12">
        <v>3</v>
      </c>
      <c r="S22" s="12" t="s">
        <v>138</v>
      </c>
      <c r="T22" s="189">
        <v>629</v>
      </c>
    </row>
    <row r="23" spans="2:20" ht="15">
      <c r="B23" s="11" t="s">
        <v>252</v>
      </c>
      <c r="C23" s="12">
        <v>3</v>
      </c>
      <c r="E23" s="11" t="s">
        <v>258</v>
      </c>
      <c r="F23" s="12" t="s">
        <v>249</v>
      </c>
      <c r="G23" s="12">
        <f t="shared" si="0"/>
        <v>3</v>
      </c>
      <c r="H23" s="12" t="str">
        <f t="shared" si="1"/>
        <v>UG</v>
      </c>
      <c r="J23" s="11" t="s">
        <v>259</v>
      </c>
      <c r="K23" s="12" t="s">
        <v>234</v>
      </c>
      <c r="L23" s="12">
        <v>1</v>
      </c>
      <c r="M23" s="12" t="str">
        <f t="shared" si="2"/>
        <v>Hard</v>
      </c>
      <c r="N23" s="189"/>
      <c r="P23" s="11" t="s">
        <v>258</v>
      </c>
      <c r="Q23" s="12" t="s">
        <v>249</v>
      </c>
      <c r="R23" s="12">
        <v>3</v>
      </c>
      <c r="S23" s="12" t="s">
        <v>138</v>
      </c>
      <c r="T23" s="189">
        <v>376</v>
      </c>
    </row>
    <row r="24" spans="2:20" ht="15">
      <c r="B24" s="11" t="s">
        <v>258</v>
      </c>
      <c r="C24" s="12">
        <v>3</v>
      </c>
      <c r="E24" s="11" t="s">
        <v>260</v>
      </c>
      <c r="F24" s="12" t="s">
        <v>249</v>
      </c>
      <c r="G24" s="12">
        <f t="shared" si="0"/>
        <v>2</v>
      </c>
      <c r="H24" s="12" t="str">
        <f t="shared" si="1"/>
        <v>UG</v>
      </c>
      <c r="J24" s="190" t="s">
        <v>261</v>
      </c>
      <c r="K24" s="191" t="s">
        <v>234</v>
      </c>
      <c r="L24" s="191">
        <v>1</v>
      </c>
      <c r="M24" s="191" t="str">
        <f t="shared" si="2"/>
        <v>Hard</v>
      </c>
      <c r="N24" s="192" t="s">
        <v>241</v>
      </c>
      <c r="P24" s="11" t="s">
        <v>260</v>
      </c>
      <c r="Q24" s="12" t="s">
        <v>249</v>
      </c>
      <c r="R24" s="12">
        <v>2</v>
      </c>
      <c r="S24" s="12" t="s">
        <v>138</v>
      </c>
      <c r="T24" s="189">
        <v>401</v>
      </c>
    </row>
    <row r="25" spans="2:20" ht="15">
      <c r="B25" s="11" t="s">
        <v>240</v>
      </c>
      <c r="C25" s="12">
        <v>3</v>
      </c>
      <c r="E25" s="11" t="s">
        <v>262</v>
      </c>
      <c r="F25" s="12" t="s">
        <v>236</v>
      </c>
      <c r="G25" s="12">
        <f t="shared" si="0"/>
        <v>2</v>
      </c>
      <c r="H25" s="12" t="str">
        <f t="shared" si="1"/>
        <v>UG</v>
      </c>
      <c r="J25" s="11" t="s">
        <v>263</v>
      </c>
      <c r="K25" s="12" t="s">
        <v>234</v>
      </c>
      <c r="L25" s="12">
        <v>0</v>
      </c>
      <c r="M25" s="12" t="str">
        <f t="shared" si="2"/>
        <v>Hard</v>
      </c>
      <c r="N25" s="189"/>
      <c r="P25" s="73" t="s">
        <v>262</v>
      </c>
      <c r="Q25" s="87" t="s">
        <v>236</v>
      </c>
      <c r="R25" s="87">
        <v>2</v>
      </c>
      <c r="S25" s="87" t="s">
        <v>138</v>
      </c>
      <c r="T25" s="197" t="s">
        <v>238</v>
      </c>
    </row>
    <row r="26" spans="2:20" ht="15">
      <c r="B26" s="11" t="s">
        <v>256</v>
      </c>
      <c r="C26" s="12">
        <v>3</v>
      </c>
      <c r="E26" s="11" t="s">
        <v>264</v>
      </c>
      <c r="F26" s="12" t="s">
        <v>249</v>
      </c>
      <c r="G26" s="12">
        <f t="shared" si="0"/>
        <v>2</v>
      </c>
      <c r="H26" s="12" t="str">
        <f t="shared" si="1"/>
        <v>UG</v>
      </c>
      <c r="J26" s="11" t="s">
        <v>265</v>
      </c>
      <c r="K26" s="12" t="s">
        <v>234</v>
      </c>
      <c r="L26" s="12">
        <v>0</v>
      </c>
      <c r="M26" s="12" t="str">
        <f t="shared" si="2"/>
        <v>Hard</v>
      </c>
      <c r="N26" s="189"/>
      <c r="P26" s="11" t="s">
        <v>264</v>
      </c>
      <c r="Q26" s="12" t="s">
        <v>249</v>
      </c>
      <c r="R26" s="12">
        <v>2</v>
      </c>
      <c r="S26" s="12" t="s">
        <v>138</v>
      </c>
      <c r="T26" s="189">
        <v>1284</v>
      </c>
    </row>
    <row r="27" spans="2:20" ht="15">
      <c r="B27" s="11" t="s">
        <v>260</v>
      </c>
      <c r="C27" s="12">
        <v>2</v>
      </c>
      <c r="E27" s="11" t="s">
        <v>266</v>
      </c>
      <c r="F27" s="12" t="s">
        <v>236</v>
      </c>
      <c r="G27" s="12">
        <f t="shared" si="0"/>
        <v>2</v>
      </c>
      <c r="H27" s="12" t="str">
        <f t="shared" si="1"/>
        <v>UG</v>
      </c>
      <c r="J27" s="11" t="s">
        <v>267</v>
      </c>
      <c r="K27" s="12" t="s">
        <v>251</v>
      </c>
      <c r="L27" s="12">
        <v>0</v>
      </c>
      <c r="M27" s="12" t="str">
        <f t="shared" si="2"/>
        <v>Hard</v>
      </c>
      <c r="N27" s="189"/>
      <c r="P27" s="11" t="s">
        <v>266</v>
      </c>
      <c r="Q27" s="12" t="s">
        <v>236</v>
      </c>
      <c r="R27" s="12">
        <v>2</v>
      </c>
      <c r="S27" s="12" t="s">
        <v>138</v>
      </c>
      <c r="T27" s="189">
        <v>1301</v>
      </c>
    </row>
    <row r="28" spans="2:20" ht="15">
      <c r="B28" s="11" t="s">
        <v>268</v>
      </c>
      <c r="C28" s="12">
        <v>2</v>
      </c>
      <c r="E28" s="11" t="s">
        <v>269</v>
      </c>
      <c r="F28" s="12" t="s">
        <v>233</v>
      </c>
      <c r="G28" s="12">
        <f t="shared" si="0"/>
        <v>2</v>
      </c>
      <c r="H28" s="12" t="str">
        <f t="shared" si="1"/>
        <v>UG</v>
      </c>
      <c r="J28" s="11" t="s">
        <v>270</v>
      </c>
      <c r="K28" s="12" t="s">
        <v>234</v>
      </c>
      <c r="L28" s="12">
        <v>0</v>
      </c>
      <c r="M28" s="12" t="str">
        <f t="shared" si="2"/>
        <v>Hard</v>
      </c>
      <c r="N28" s="189"/>
      <c r="P28" s="11" t="s">
        <v>269</v>
      </c>
      <c r="Q28" s="12" t="s">
        <v>233</v>
      </c>
      <c r="R28" s="12">
        <v>2</v>
      </c>
      <c r="S28" s="12" t="s">
        <v>138</v>
      </c>
      <c r="T28" s="189">
        <v>2361</v>
      </c>
    </row>
    <row r="29" spans="2:20" ht="15">
      <c r="B29" s="183" t="s">
        <v>271</v>
      </c>
      <c r="C29" s="184">
        <v>2</v>
      </c>
      <c r="D29" s="45" t="s">
        <v>272</v>
      </c>
      <c r="E29" s="11" t="s">
        <v>268</v>
      </c>
      <c r="F29" s="12" t="s">
        <v>236</v>
      </c>
      <c r="G29" s="12">
        <f t="shared" si="0"/>
        <v>2</v>
      </c>
      <c r="H29" s="12" t="str">
        <f t="shared" si="1"/>
        <v>UG</v>
      </c>
      <c r="J29" s="11" t="s">
        <v>273</v>
      </c>
      <c r="K29" s="12" t="s">
        <v>234</v>
      </c>
      <c r="L29" s="12">
        <v>0</v>
      </c>
      <c r="M29" s="12" t="str">
        <f t="shared" si="2"/>
        <v>Hard</v>
      </c>
      <c r="N29" s="189"/>
      <c r="P29" s="11" t="s">
        <v>268</v>
      </c>
      <c r="Q29" s="12" t="s">
        <v>236</v>
      </c>
      <c r="R29" s="12">
        <v>2</v>
      </c>
      <c r="S29" s="12" t="s">
        <v>138</v>
      </c>
      <c r="T29" s="189">
        <v>619</v>
      </c>
    </row>
    <row r="30" spans="2:20" ht="15">
      <c r="B30" s="11" t="s">
        <v>269</v>
      </c>
      <c r="C30" s="12">
        <v>2</v>
      </c>
      <c r="E30" s="73" t="s">
        <v>274</v>
      </c>
      <c r="F30" s="87" t="s">
        <v>233</v>
      </c>
      <c r="G30" s="87">
        <f t="shared" si="0"/>
        <v>2</v>
      </c>
      <c r="H30" s="87" t="str">
        <f t="shared" si="1"/>
        <v>UG</v>
      </c>
      <c r="I30" s="45" t="s">
        <v>275</v>
      </c>
      <c r="J30" s="190" t="s">
        <v>276</v>
      </c>
      <c r="K30" s="191" t="s">
        <v>234</v>
      </c>
      <c r="L30" s="191">
        <v>0</v>
      </c>
      <c r="M30" s="191" t="str">
        <f t="shared" si="2"/>
        <v>Hard</v>
      </c>
      <c r="N30" s="192" t="s">
        <v>241</v>
      </c>
      <c r="P30" s="195" t="s">
        <v>274</v>
      </c>
      <c r="Q30" s="196" t="s">
        <v>233</v>
      </c>
      <c r="R30" s="196">
        <v>2</v>
      </c>
      <c r="S30" s="196" t="s">
        <v>138</v>
      </c>
      <c r="T30" s="197" t="s">
        <v>238</v>
      </c>
    </row>
    <row r="31" spans="2:20" ht="15">
      <c r="B31" s="11" t="s">
        <v>266</v>
      </c>
      <c r="C31" s="12">
        <v>2</v>
      </c>
      <c r="E31" s="11" t="s">
        <v>277</v>
      </c>
      <c r="F31" s="12" t="s">
        <v>236</v>
      </c>
      <c r="G31" s="12">
        <f t="shared" si="0"/>
        <v>1</v>
      </c>
      <c r="H31" s="12" t="str">
        <f t="shared" si="1"/>
        <v>UG</v>
      </c>
      <c r="J31" s="190" t="s">
        <v>278</v>
      </c>
      <c r="K31" s="191" t="s">
        <v>234</v>
      </c>
      <c r="L31" s="191">
        <v>0</v>
      </c>
      <c r="M31" s="191" t="str">
        <f t="shared" si="2"/>
        <v>Hard</v>
      </c>
      <c r="N31" s="192" t="s">
        <v>241</v>
      </c>
      <c r="P31" s="11" t="s">
        <v>277</v>
      </c>
      <c r="Q31" s="12" t="s">
        <v>236</v>
      </c>
      <c r="R31" s="12">
        <v>1</v>
      </c>
      <c r="S31" s="12" t="s">
        <v>138</v>
      </c>
      <c r="T31" s="189"/>
    </row>
    <row r="32" spans="2:20" ht="15">
      <c r="B32" s="11" t="s">
        <v>264</v>
      </c>
      <c r="C32" s="12">
        <v>2</v>
      </c>
      <c r="E32" s="11" t="s">
        <v>279</v>
      </c>
      <c r="F32" s="12" t="s">
        <v>236</v>
      </c>
      <c r="G32" s="12">
        <f t="shared" si="0"/>
        <v>1</v>
      </c>
      <c r="H32" s="12" t="str">
        <f t="shared" si="1"/>
        <v>UG</v>
      </c>
      <c r="J32" s="190" t="s">
        <v>280</v>
      </c>
      <c r="K32" s="191" t="s">
        <v>234</v>
      </c>
      <c r="L32" s="191">
        <v>0</v>
      </c>
      <c r="M32" s="191" t="str">
        <f t="shared" si="2"/>
        <v>Hard</v>
      </c>
      <c r="N32" s="192" t="s">
        <v>241</v>
      </c>
      <c r="P32" s="11" t="s">
        <v>279</v>
      </c>
      <c r="Q32" s="12" t="s">
        <v>236</v>
      </c>
      <c r="R32" s="12">
        <v>1</v>
      </c>
      <c r="S32" s="12" t="s">
        <v>138</v>
      </c>
      <c r="T32" s="189"/>
    </row>
    <row r="33" spans="2:20" ht="15">
      <c r="B33" s="11" t="s">
        <v>243</v>
      </c>
      <c r="C33" s="12">
        <v>2</v>
      </c>
      <c r="E33" s="11" t="s">
        <v>281</v>
      </c>
      <c r="F33" s="12" t="s">
        <v>249</v>
      </c>
      <c r="G33" s="12">
        <f t="shared" si="0"/>
        <v>1</v>
      </c>
      <c r="H33" s="12" t="str">
        <f t="shared" si="1"/>
        <v>UG</v>
      </c>
      <c r="P33" s="11" t="s">
        <v>281</v>
      </c>
      <c r="Q33" s="12" t="s">
        <v>249</v>
      </c>
      <c r="R33" s="12">
        <v>1</v>
      </c>
      <c r="S33" s="12" t="s">
        <v>138</v>
      </c>
      <c r="T33" s="189"/>
    </row>
    <row r="34" spans="2:20" ht="15">
      <c r="B34" s="11" t="s">
        <v>262</v>
      </c>
      <c r="C34" s="12">
        <v>2</v>
      </c>
      <c r="E34" s="11" t="s">
        <v>282</v>
      </c>
      <c r="F34" s="12" t="s">
        <v>249</v>
      </c>
      <c r="G34" s="12">
        <f t="shared" si="0"/>
        <v>1</v>
      </c>
      <c r="H34" s="12" t="str">
        <f t="shared" si="1"/>
        <v>UG</v>
      </c>
      <c r="J34" s="45" t="s">
        <v>283</v>
      </c>
      <c r="P34" s="11" t="s">
        <v>282</v>
      </c>
      <c r="Q34" s="12" t="s">
        <v>249</v>
      </c>
      <c r="R34" s="12">
        <v>1</v>
      </c>
      <c r="S34" s="12" t="s">
        <v>138</v>
      </c>
      <c r="T34" s="189"/>
    </row>
    <row r="35" spans="2:20" ht="15">
      <c r="B35" s="11" t="s">
        <v>274</v>
      </c>
      <c r="C35" s="12">
        <v>2</v>
      </c>
      <c r="E35" s="11" t="s">
        <v>284</v>
      </c>
      <c r="F35" s="12" t="s">
        <v>233</v>
      </c>
      <c r="G35" s="12">
        <f t="shared" si="0"/>
        <v>1</v>
      </c>
      <c r="H35" s="12" t="str">
        <f t="shared" si="1"/>
        <v>UG</v>
      </c>
      <c r="J35" s="45" t="s">
        <v>285</v>
      </c>
      <c r="P35" s="190" t="s">
        <v>284</v>
      </c>
      <c r="Q35" s="191" t="s">
        <v>233</v>
      </c>
      <c r="R35" s="191">
        <v>1</v>
      </c>
      <c r="S35" s="191" t="s">
        <v>138</v>
      </c>
      <c r="T35" s="192" t="s">
        <v>286</v>
      </c>
    </row>
    <row r="36" spans="2:20" ht="15">
      <c r="B36" s="11" t="s">
        <v>247</v>
      </c>
      <c r="C36" s="12">
        <v>1</v>
      </c>
      <c r="E36" s="11" t="s">
        <v>287</v>
      </c>
      <c r="F36" s="12" t="s">
        <v>249</v>
      </c>
      <c r="G36" s="12">
        <f t="shared" si="0"/>
        <v>1</v>
      </c>
      <c r="H36" s="12" t="str">
        <f t="shared" si="1"/>
        <v>UG</v>
      </c>
      <c r="P36" s="11" t="s">
        <v>287</v>
      </c>
      <c r="Q36" s="12" t="s">
        <v>249</v>
      </c>
      <c r="R36" s="12">
        <v>1</v>
      </c>
      <c r="S36" s="12" t="s">
        <v>138</v>
      </c>
      <c r="T36" s="189"/>
    </row>
    <row r="37" spans="2:20" ht="15">
      <c r="B37" s="11" t="s">
        <v>250</v>
      </c>
      <c r="C37" s="12">
        <v>1</v>
      </c>
      <c r="E37" s="11" t="s">
        <v>288</v>
      </c>
      <c r="F37" s="12" t="s">
        <v>233</v>
      </c>
      <c r="G37" s="12">
        <f t="shared" si="0"/>
        <v>1</v>
      </c>
      <c r="H37" s="12" t="str">
        <f t="shared" si="1"/>
        <v>UG</v>
      </c>
      <c r="P37" s="11" t="s">
        <v>288</v>
      </c>
      <c r="Q37" s="12" t="s">
        <v>233</v>
      </c>
      <c r="R37" s="12">
        <v>1</v>
      </c>
      <c r="S37" s="12" t="s">
        <v>138</v>
      </c>
      <c r="T37" s="189"/>
    </row>
    <row r="38" spans="2:20" ht="15">
      <c r="B38" s="11" t="s">
        <v>284</v>
      </c>
      <c r="C38" s="12">
        <v>1</v>
      </c>
      <c r="E38" s="11" t="s">
        <v>289</v>
      </c>
      <c r="F38" s="12" t="s">
        <v>233</v>
      </c>
      <c r="G38" s="12">
        <f t="shared" si="0"/>
        <v>1</v>
      </c>
      <c r="H38" s="12" t="str">
        <f t="shared" si="1"/>
        <v>UG</v>
      </c>
      <c r="P38" s="11" t="s">
        <v>289</v>
      </c>
      <c r="Q38" s="12" t="s">
        <v>233</v>
      </c>
      <c r="R38" s="12">
        <v>1</v>
      </c>
      <c r="S38" s="12" t="s">
        <v>138</v>
      </c>
      <c r="T38" s="189"/>
    </row>
    <row r="39" spans="2:20" ht="15">
      <c r="B39" s="11" t="s">
        <v>290</v>
      </c>
      <c r="C39" s="12">
        <v>1</v>
      </c>
      <c r="E39" s="11" t="s">
        <v>291</v>
      </c>
      <c r="F39" s="12" t="s">
        <v>249</v>
      </c>
      <c r="G39" s="12">
        <f t="shared" si="0"/>
        <v>1</v>
      </c>
      <c r="H39" s="12" t="str">
        <f t="shared" si="1"/>
        <v>UG</v>
      </c>
      <c r="P39" s="11" t="s">
        <v>291</v>
      </c>
      <c r="Q39" s="12" t="s">
        <v>249</v>
      </c>
      <c r="R39" s="12">
        <v>1</v>
      </c>
      <c r="S39" s="12" t="s">
        <v>138</v>
      </c>
      <c r="T39" s="189"/>
    </row>
    <row r="40" spans="2:20" ht="15">
      <c r="B40" s="11" t="s">
        <v>261</v>
      </c>
      <c r="C40" s="12">
        <v>1</v>
      </c>
      <c r="E40" s="11" t="s">
        <v>292</v>
      </c>
      <c r="F40" s="12" t="s">
        <v>249</v>
      </c>
      <c r="G40" s="12">
        <f t="shared" si="0"/>
        <v>1</v>
      </c>
      <c r="H40" s="12" t="str">
        <f t="shared" si="1"/>
        <v>UG</v>
      </c>
      <c r="P40" s="11" t="s">
        <v>292</v>
      </c>
      <c r="Q40" s="12" t="s">
        <v>249</v>
      </c>
      <c r="R40" s="12">
        <v>1</v>
      </c>
      <c r="S40" s="12" t="s">
        <v>138</v>
      </c>
      <c r="T40" s="189"/>
    </row>
    <row r="41" spans="2:20" ht="15">
      <c r="B41" s="11" t="s">
        <v>253</v>
      </c>
      <c r="C41" s="12">
        <v>1</v>
      </c>
      <c r="E41" s="11" t="s">
        <v>293</v>
      </c>
      <c r="F41" s="12" t="s">
        <v>249</v>
      </c>
      <c r="G41" s="12">
        <f t="shared" si="0"/>
        <v>1</v>
      </c>
      <c r="H41" s="12" t="str">
        <f t="shared" si="1"/>
        <v>UG</v>
      </c>
      <c r="P41" s="11" t="s">
        <v>293</v>
      </c>
      <c r="Q41" s="12" t="s">
        <v>249</v>
      </c>
      <c r="R41" s="12">
        <v>1</v>
      </c>
      <c r="S41" s="12" t="s">
        <v>138</v>
      </c>
      <c r="T41" s="189"/>
    </row>
    <row r="42" spans="2:20" ht="15">
      <c r="B42" s="11" t="s">
        <v>281</v>
      </c>
      <c r="C42" s="12">
        <v>1</v>
      </c>
      <c r="E42" s="11" t="s">
        <v>290</v>
      </c>
      <c r="F42" s="12" t="s">
        <v>233</v>
      </c>
      <c r="G42" s="12">
        <f t="shared" si="0"/>
        <v>1</v>
      </c>
      <c r="H42" s="12" t="str">
        <f t="shared" si="1"/>
        <v>UG</v>
      </c>
      <c r="P42" s="11" t="s">
        <v>290</v>
      </c>
      <c r="Q42" s="12" t="s">
        <v>233</v>
      </c>
      <c r="R42" s="12">
        <v>1</v>
      </c>
      <c r="S42" s="12" t="s">
        <v>138</v>
      </c>
      <c r="T42" s="189">
        <v>2162</v>
      </c>
    </row>
    <row r="43" spans="2:20" ht="15">
      <c r="B43" s="11" t="s">
        <v>282</v>
      </c>
      <c r="C43" s="12">
        <v>1</v>
      </c>
      <c r="E43" s="11" t="s">
        <v>294</v>
      </c>
      <c r="F43" s="12" t="s">
        <v>233</v>
      </c>
      <c r="G43" s="12">
        <f t="shared" si="0"/>
        <v>1</v>
      </c>
      <c r="H43" s="12" t="str">
        <f t="shared" si="1"/>
        <v>UG</v>
      </c>
      <c r="P43" s="11" t="s">
        <v>294</v>
      </c>
      <c r="Q43" s="12" t="s">
        <v>233</v>
      </c>
      <c r="R43" s="12">
        <v>1</v>
      </c>
      <c r="S43" s="12" t="s">
        <v>138</v>
      </c>
      <c r="T43" s="189"/>
    </row>
    <row r="44" spans="2:20" ht="15">
      <c r="B44" s="11" t="s">
        <v>255</v>
      </c>
      <c r="C44" s="12">
        <v>1</v>
      </c>
      <c r="E44" s="11" t="s">
        <v>295</v>
      </c>
      <c r="F44" s="12" t="s">
        <v>249</v>
      </c>
      <c r="G44" s="12">
        <f t="shared" si="0"/>
        <v>1</v>
      </c>
      <c r="H44" s="12" t="str">
        <f t="shared" si="1"/>
        <v>UG</v>
      </c>
      <c r="P44" s="11" t="s">
        <v>295</v>
      </c>
      <c r="Q44" s="12" t="s">
        <v>249</v>
      </c>
      <c r="R44" s="12">
        <v>1</v>
      </c>
      <c r="S44" s="12" t="s">
        <v>138</v>
      </c>
      <c r="T44" s="189"/>
    </row>
    <row r="45" spans="2:20" ht="15">
      <c r="B45" s="11" t="s">
        <v>295</v>
      </c>
      <c r="C45" s="12">
        <v>1</v>
      </c>
      <c r="E45" s="11" t="s">
        <v>296</v>
      </c>
      <c r="F45" s="12" t="s">
        <v>233</v>
      </c>
      <c r="G45" s="12">
        <f t="shared" si="0"/>
        <v>1</v>
      </c>
      <c r="H45" s="12" t="str">
        <f t="shared" si="1"/>
        <v>UG</v>
      </c>
      <c r="P45" s="11" t="s">
        <v>296</v>
      </c>
      <c r="Q45" s="12" t="s">
        <v>233</v>
      </c>
      <c r="R45" s="12">
        <v>1</v>
      </c>
      <c r="S45" s="12" t="s">
        <v>138</v>
      </c>
      <c r="T45" s="189"/>
    </row>
    <row r="46" spans="2:20" ht="15">
      <c r="B46" s="11" t="s">
        <v>287</v>
      </c>
      <c r="C46" s="12">
        <v>1</v>
      </c>
      <c r="E46" s="195" t="s">
        <v>297</v>
      </c>
      <c r="F46" s="196" t="s">
        <v>249</v>
      </c>
      <c r="G46" s="196">
        <f t="shared" si="3" ref="G46:G77">IF(ISERROR(VLOOKUP(E46,B$14:C$59,2,FALSE)),0,VLOOKUP(E46,B$14:C$59,2,FALSE))</f>
        <v>1</v>
      </c>
      <c r="H46" s="196" t="str">
        <f t="shared" si="4" ref="H46:H77">IF(LEN(F46)&gt;1,"Hard","UG")</f>
        <v>UG</v>
      </c>
      <c r="I46" s="45" t="s">
        <v>275</v>
      </c>
      <c r="P46" s="195" t="s">
        <v>297</v>
      </c>
      <c r="Q46" s="196" t="s">
        <v>249</v>
      </c>
      <c r="R46" s="196">
        <v>1</v>
      </c>
      <c r="S46" s="196" t="s">
        <v>138</v>
      </c>
      <c r="T46" s="197" t="s">
        <v>238</v>
      </c>
    </row>
    <row r="47" spans="2:20" ht="15">
      <c r="B47" s="11" t="s">
        <v>293</v>
      </c>
      <c r="C47" s="12">
        <v>1</v>
      </c>
      <c r="E47" s="11" t="s">
        <v>298</v>
      </c>
      <c r="F47" s="12" t="s">
        <v>236</v>
      </c>
      <c r="G47" s="12">
        <f t="shared" si="3"/>
        <v>1</v>
      </c>
      <c r="H47" s="12" t="str">
        <f t="shared" si="4"/>
        <v>UG</v>
      </c>
      <c r="P47" s="11" t="s">
        <v>298</v>
      </c>
      <c r="Q47" s="12" t="s">
        <v>236</v>
      </c>
      <c r="R47" s="12">
        <v>1</v>
      </c>
      <c r="S47" s="12" t="s">
        <v>138</v>
      </c>
      <c r="T47" s="189"/>
    </row>
    <row r="48" spans="2:20" ht="15">
      <c r="B48" s="11" t="s">
        <v>257</v>
      </c>
      <c r="C48" s="12">
        <v>1</v>
      </c>
      <c r="E48" s="11" t="s">
        <v>299</v>
      </c>
      <c r="F48" s="12" t="s">
        <v>233</v>
      </c>
      <c r="G48" s="12">
        <f t="shared" si="3"/>
        <v>0</v>
      </c>
      <c r="H48" s="12" t="str">
        <f t="shared" si="4"/>
        <v>UG</v>
      </c>
      <c r="P48" s="11" t="s">
        <v>299</v>
      </c>
      <c r="Q48" s="12" t="s">
        <v>233</v>
      </c>
      <c r="R48" s="12">
        <v>0</v>
      </c>
      <c r="S48" s="12" t="s">
        <v>138</v>
      </c>
      <c r="T48" s="189"/>
    </row>
    <row r="49" spans="2:20" ht="15">
      <c r="B49" s="11" t="s">
        <v>291</v>
      </c>
      <c r="C49" s="12">
        <v>1</v>
      </c>
      <c r="E49" s="11" t="s">
        <v>300</v>
      </c>
      <c r="F49" s="12" t="s">
        <v>249</v>
      </c>
      <c r="G49" s="12">
        <f t="shared" si="3"/>
        <v>0</v>
      </c>
      <c r="H49" s="12" t="str">
        <f t="shared" si="4"/>
        <v>UG</v>
      </c>
      <c r="P49" s="11" t="s">
        <v>300</v>
      </c>
      <c r="Q49" s="12" t="s">
        <v>249</v>
      </c>
      <c r="R49" s="12">
        <v>0</v>
      </c>
      <c r="S49" s="12" t="s">
        <v>138</v>
      </c>
      <c r="T49" s="189"/>
    </row>
    <row r="50" spans="2:20" ht="15">
      <c r="B50" s="11" t="s">
        <v>292</v>
      </c>
      <c r="C50" s="12">
        <v>1</v>
      </c>
      <c r="E50" s="11" t="s">
        <v>301</v>
      </c>
      <c r="F50" s="12" t="s">
        <v>236</v>
      </c>
      <c r="G50" s="12">
        <f t="shared" si="3"/>
        <v>0</v>
      </c>
      <c r="H50" s="12" t="str">
        <f t="shared" si="4"/>
        <v>UG</v>
      </c>
      <c r="P50" s="11" t="s">
        <v>301</v>
      </c>
      <c r="Q50" s="12" t="s">
        <v>236</v>
      </c>
      <c r="R50" s="12">
        <v>0</v>
      </c>
      <c r="S50" s="12" t="s">
        <v>138</v>
      </c>
      <c r="T50" s="189"/>
    </row>
    <row r="51" spans="2:20" ht="15">
      <c r="B51" s="11" t="s">
        <v>259</v>
      </c>
      <c r="C51" s="12">
        <v>1</v>
      </c>
      <c r="E51" s="11" t="s">
        <v>302</v>
      </c>
      <c r="F51" s="12" t="s">
        <v>249</v>
      </c>
      <c r="G51" s="12">
        <f t="shared" si="3"/>
        <v>0</v>
      </c>
      <c r="H51" s="12" t="str">
        <f t="shared" si="4"/>
        <v>UG</v>
      </c>
      <c r="P51" s="11" t="s">
        <v>302</v>
      </c>
      <c r="Q51" s="12" t="s">
        <v>249</v>
      </c>
      <c r="R51" s="12">
        <v>0</v>
      </c>
      <c r="S51" s="12" t="s">
        <v>138</v>
      </c>
      <c r="T51" s="189"/>
    </row>
    <row r="52" spans="2:20" ht="15">
      <c r="B52" s="11" t="s">
        <v>297</v>
      </c>
      <c r="C52" s="12">
        <v>1</v>
      </c>
      <c r="E52" s="73" t="s">
        <v>303</v>
      </c>
      <c r="F52" s="87" t="s">
        <v>236</v>
      </c>
      <c r="G52" s="87">
        <f t="shared" si="3"/>
        <v>0</v>
      </c>
      <c r="H52" s="87" t="str">
        <f t="shared" si="4"/>
        <v>UG</v>
      </c>
      <c r="I52" t="s">
        <v>304</v>
      </c>
      <c r="P52" s="73" t="s">
        <v>303</v>
      </c>
      <c r="Q52" s="87" t="s">
        <v>236</v>
      </c>
      <c r="R52" s="87">
        <v>0</v>
      </c>
      <c r="S52" s="87" t="s">
        <v>138</v>
      </c>
      <c r="T52" s="197" t="s">
        <v>238</v>
      </c>
    </row>
    <row r="53" spans="2:20" ht="15">
      <c r="B53" s="11" t="s">
        <v>279</v>
      </c>
      <c r="C53" s="12">
        <v>1</v>
      </c>
      <c r="E53" s="11" t="s">
        <v>305</v>
      </c>
      <c r="F53" s="12" t="s">
        <v>249</v>
      </c>
      <c r="G53" s="12">
        <f t="shared" si="3"/>
        <v>0</v>
      </c>
      <c r="H53" s="12" t="str">
        <f t="shared" si="4"/>
        <v>UG</v>
      </c>
      <c r="P53" s="11" t="s">
        <v>305</v>
      </c>
      <c r="Q53" s="12" t="s">
        <v>249</v>
      </c>
      <c r="R53" s="12">
        <v>0</v>
      </c>
      <c r="S53" s="12" t="s">
        <v>138</v>
      </c>
      <c r="T53" s="189"/>
    </row>
    <row r="54" spans="2:20" ht="15">
      <c r="B54" s="11" t="s">
        <v>294</v>
      </c>
      <c r="C54" s="12">
        <v>1</v>
      </c>
      <c r="E54" s="11" t="s">
        <v>306</v>
      </c>
      <c r="F54" s="12" t="s">
        <v>249</v>
      </c>
      <c r="G54" s="12">
        <f t="shared" si="3"/>
        <v>0</v>
      </c>
      <c r="H54" s="12" t="str">
        <f t="shared" si="4"/>
        <v>UG</v>
      </c>
      <c r="P54" s="11" t="s">
        <v>306</v>
      </c>
      <c r="Q54" s="12" t="s">
        <v>249</v>
      </c>
      <c r="R54" s="12">
        <v>0</v>
      </c>
      <c r="S54" s="12" t="s">
        <v>138</v>
      </c>
      <c r="T54" s="189"/>
    </row>
    <row r="55" spans="2:20" ht="15">
      <c r="B55" s="11" t="s">
        <v>296</v>
      </c>
      <c r="C55" s="12">
        <v>1</v>
      </c>
      <c r="E55" s="73" t="s">
        <v>307</v>
      </c>
      <c r="F55" s="87" t="s">
        <v>236</v>
      </c>
      <c r="G55" s="87">
        <f t="shared" si="3"/>
        <v>0</v>
      </c>
      <c r="H55" s="87" t="str">
        <f t="shared" si="4"/>
        <v>UG</v>
      </c>
      <c r="I55" t="s">
        <v>304</v>
      </c>
      <c r="P55" s="73" t="s">
        <v>307</v>
      </c>
      <c r="Q55" s="87" t="s">
        <v>236</v>
      </c>
      <c r="R55" s="87">
        <v>0</v>
      </c>
      <c r="S55" s="87" t="s">
        <v>138</v>
      </c>
      <c r="T55" s="197" t="s">
        <v>238</v>
      </c>
    </row>
    <row r="56" spans="2:20" ht="15">
      <c r="B56" s="11" t="s">
        <v>288</v>
      </c>
      <c r="C56" s="12">
        <v>1</v>
      </c>
      <c r="E56" s="11" t="s">
        <v>308</v>
      </c>
      <c r="F56" s="12" t="s">
        <v>233</v>
      </c>
      <c r="G56" s="12">
        <f t="shared" si="3"/>
        <v>0</v>
      </c>
      <c r="H56" s="12" t="str">
        <f t="shared" si="4"/>
        <v>UG</v>
      </c>
      <c r="P56" s="11" t="s">
        <v>308</v>
      </c>
      <c r="Q56" s="12" t="s">
        <v>233</v>
      </c>
      <c r="R56" s="12">
        <v>0</v>
      </c>
      <c r="S56" s="12" t="s">
        <v>138</v>
      </c>
      <c r="T56" s="189"/>
    </row>
    <row r="57" spans="2:20" ht="15">
      <c r="B57" s="11" t="s">
        <v>289</v>
      </c>
      <c r="C57" s="12">
        <v>1</v>
      </c>
      <c r="E57" s="11" t="s">
        <v>309</v>
      </c>
      <c r="F57" s="12" t="s">
        <v>236</v>
      </c>
      <c r="G57" s="12">
        <f t="shared" si="3"/>
        <v>0</v>
      </c>
      <c r="H57" s="12" t="str">
        <f t="shared" si="4"/>
        <v>UG</v>
      </c>
      <c r="P57" s="11" t="s">
        <v>309</v>
      </c>
      <c r="Q57" s="12" t="s">
        <v>236</v>
      </c>
      <c r="R57" s="12">
        <v>0</v>
      </c>
      <c r="S57" s="12" t="s">
        <v>138</v>
      </c>
      <c r="T57" s="189"/>
    </row>
    <row r="58" spans="2:20" ht="15">
      <c r="B58" s="11" t="s">
        <v>277</v>
      </c>
      <c r="C58" s="12">
        <v>1</v>
      </c>
      <c r="E58" s="11" t="s">
        <v>310</v>
      </c>
      <c r="F58" s="12" t="s">
        <v>233</v>
      </c>
      <c r="G58" s="12">
        <f t="shared" si="3"/>
        <v>0</v>
      </c>
      <c r="H58" s="12" t="str">
        <f t="shared" si="4"/>
        <v>UG</v>
      </c>
      <c r="P58" s="11" t="s">
        <v>310</v>
      </c>
      <c r="Q58" s="12" t="s">
        <v>233</v>
      </c>
      <c r="R58" s="12">
        <v>0</v>
      </c>
      <c r="S58" s="12" t="s">
        <v>138</v>
      </c>
      <c r="T58" s="189"/>
    </row>
    <row r="59" spans="2:20" ht="15">
      <c r="B59" s="11" t="s">
        <v>298</v>
      </c>
      <c r="C59" s="12">
        <v>1</v>
      </c>
      <c r="E59" s="11" t="s">
        <v>311</v>
      </c>
      <c r="F59" s="12" t="s">
        <v>233</v>
      </c>
      <c r="G59" s="12">
        <f t="shared" si="3"/>
        <v>0</v>
      </c>
      <c r="H59" s="12" t="str">
        <f t="shared" si="4"/>
        <v>UG</v>
      </c>
      <c r="P59" s="11" t="s">
        <v>311</v>
      </c>
      <c r="Q59" s="12" t="s">
        <v>233</v>
      </c>
      <c r="R59" s="12">
        <v>0</v>
      </c>
      <c r="S59" s="12" t="s">
        <v>138</v>
      </c>
      <c r="T59" s="189"/>
    </row>
    <row r="60" spans="5:20" ht="15">
      <c r="E60" s="73" t="s">
        <v>312</v>
      </c>
      <c r="F60" s="87" t="s">
        <v>233</v>
      </c>
      <c r="G60" s="87">
        <f t="shared" si="3"/>
        <v>0</v>
      </c>
      <c r="H60" s="87" t="str">
        <f t="shared" si="4"/>
        <v>UG</v>
      </c>
      <c r="I60" s="45" t="s">
        <v>275</v>
      </c>
      <c r="P60" s="73" t="s">
        <v>312</v>
      </c>
      <c r="Q60" s="87" t="s">
        <v>233</v>
      </c>
      <c r="R60" s="87">
        <v>0</v>
      </c>
      <c r="S60" s="87" t="s">
        <v>138</v>
      </c>
      <c r="T60" s="197" t="s">
        <v>238</v>
      </c>
    </row>
    <row r="61" spans="2:20" ht="15">
      <c r="B61" s="185"/>
      <c r="C61" s="186"/>
      <c r="E61" s="11" t="s">
        <v>313</v>
      </c>
      <c r="F61" s="12" t="s">
        <v>249</v>
      </c>
      <c r="G61" s="12">
        <f t="shared" si="3"/>
        <v>0</v>
      </c>
      <c r="H61" s="12" t="str">
        <f t="shared" si="4"/>
        <v>UG</v>
      </c>
      <c r="P61" s="11" t="s">
        <v>313</v>
      </c>
      <c r="Q61" s="12" t="s">
        <v>249</v>
      </c>
      <c r="R61" s="12">
        <v>0</v>
      </c>
      <c r="S61" s="12" t="s">
        <v>138</v>
      </c>
      <c r="T61" s="189"/>
    </row>
    <row r="62" spans="2:20" ht="15">
      <c r="B62" s="185"/>
      <c r="C62" s="186"/>
      <c r="E62" s="11" t="s">
        <v>314</v>
      </c>
      <c r="F62" s="12" t="s">
        <v>236</v>
      </c>
      <c r="G62" s="12">
        <f t="shared" si="3"/>
        <v>0</v>
      </c>
      <c r="H62" s="12" t="str">
        <f t="shared" si="4"/>
        <v>UG</v>
      </c>
      <c r="P62" s="11" t="s">
        <v>314</v>
      </c>
      <c r="Q62" s="12" t="s">
        <v>236</v>
      </c>
      <c r="R62" s="12">
        <v>0</v>
      </c>
      <c r="S62" s="12" t="s">
        <v>138</v>
      </c>
      <c r="T62" s="189"/>
    </row>
    <row r="63" spans="2:20" ht="15">
      <c r="B63" s="185"/>
      <c r="C63" s="187"/>
      <c r="E63" s="11" t="s">
        <v>315</v>
      </c>
      <c r="F63" s="12" t="s">
        <v>249</v>
      </c>
      <c r="G63" s="12">
        <f t="shared" si="3"/>
        <v>0</v>
      </c>
      <c r="H63" s="12" t="str">
        <f t="shared" si="4"/>
        <v>UG</v>
      </c>
      <c r="P63" s="11" t="s">
        <v>315</v>
      </c>
      <c r="Q63" s="12" t="s">
        <v>249</v>
      </c>
      <c r="R63" s="12">
        <v>0</v>
      </c>
      <c r="S63" s="12" t="s">
        <v>138</v>
      </c>
      <c r="T63" s="189"/>
    </row>
    <row r="64" spans="2:20" ht="15">
      <c r="B64" s="185"/>
      <c r="C64" s="187"/>
      <c r="E64" s="11" t="s">
        <v>316</v>
      </c>
      <c r="F64" s="12" t="s">
        <v>249</v>
      </c>
      <c r="G64" s="12">
        <f t="shared" si="3"/>
        <v>0</v>
      </c>
      <c r="H64" s="12" t="str">
        <f t="shared" si="4"/>
        <v>UG</v>
      </c>
      <c r="P64" s="11" t="s">
        <v>316</v>
      </c>
      <c r="Q64" s="12" t="s">
        <v>249</v>
      </c>
      <c r="R64" s="12">
        <v>0</v>
      </c>
      <c r="S64" s="12" t="s">
        <v>138</v>
      </c>
      <c r="T64" s="189"/>
    </row>
    <row r="65" spans="2:20" ht="15">
      <c r="B65" s="185"/>
      <c r="C65" s="188"/>
      <c r="E65" s="11" t="s">
        <v>317</v>
      </c>
      <c r="F65" s="12" t="s">
        <v>249</v>
      </c>
      <c r="G65" s="12">
        <f t="shared" si="3"/>
        <v>0</v>
      </c>
      <c r="H65" s="12" t="str">
        <f t="shared" si="4"/>
        <v>UG</v>
      </c>
      <c r="P65" s="11" t="s">
        <v>317</v>
      </c>
      <c r="Q65" s="12" t="s">
        <v>249</v>
      </c>
      <c r="R65" s="12">
        <v>0</v>
      </c>
      <c r="S65" s="12" t="s">
        <v>138</v>
      </c>
      <c r="T65" s="189"/>
    </row>
    <row r="66" spans="5:20" ht="15">
      <c r="E66" s="11" t="s">
        <v>318</v>
      </c>
      <c r="F66" s="12" t="s">
        <v>233</v>
      </c>
      <c r="G66" s="12">
        <f t="shared" si="3"/>
        <v>0</v>
      </c>
      <c r="H66" s="12" t="str">
        <f t="shared" si="4"/>
        <v>UG</v>
      </c>
      <c r="P66" s="11" t="s">
        <v>318</v>
      </c>
      <c r="Q66" s="12" t="s">
        <v>233</v>
      </c>
      <c r="R66" s="12">
        <v>0</v>
      </c>
      <c r="S66" s="12" t="s">
        <v>138</v>
      </c>
      <c r="T66" s="189"/>
    </row>
    <row r="67" spans="5:20" ht="15">
      <c r="E67" s="11" t="s">
        <v>319</v>
      </c>
      <c r="F67" s="12" t="s">
        <v>236</v>
      </c>
      <c r="G67" s="12">
        <f t="shared" si="3"/>
        <v>0</v>
      </c>
      <c r="H67" s="12" t="str">
        <f t="shared" si="4"/>
        <v>UG</v>
      </c>
      <c r="P67" s="11" t="s">
        <v>319</v>
      </c>
      <c r="Q67" s="12" t="s">
        <v>236</v>
      </c>
      <c r="R67" s="12">
        <v>0</v>
      </c>
      <c r="S67" s="12" t="s">
        <v>138</v>
      </c>
      <c r="T67" s="189"/>
    </row>
    <row r="68" spans="4:20" ht="15">
      <c r="D68" s="35"/>
      <c r="E68" s="73" t="s">
        <v>320</v>
      </c>
      <c r="F68" s="87" t="s">
        <v>233</v>
      </c>
      <c r="G68" s="87">
        <f t="shared" si="3"/>
        <v>0</v>
      </c>
      <c r="H68" s="87" t="str">
        <f t="shared" si="4"/>
        <v>UG</v>
      </c>
      <c r="I68" s="45" t="s">
        <v>275</v>
      </c>
      <c r="P68" s="73" t="s">
        <v>320</v>
      </c>
      <c r="Q68" s="87" t="s">
        <v>233</v>
      </c>
      <c r="R68" s="87">
        <v>0</v>
      </c>
      <c r="S68" s="87" t="s">
        <v>138</v>
      </c>
      <c r="T68" s="197" t="s">
        <v>238</v>
      </c>
    </row>
    <row r="69" spans="4:20" ht="15">
      <c r="D69" s="35"/>
      <c r="E69" s="11" t="s">
        <v>321</v>
      </c>
      <c r="F69" s="12" t="s">
        <v>249</v>
      </c>
      <c r="G69" s="12">
        <f t="shared" si="3"/>
        <v>0</v>
      </c>
      <c r="H69" s="12" t="str">
        <f t="shared" si="4"/>
        <v>UG</v>
      </c>
      <c r="P69" s="11" t="s">
        <v>321</v>
      </c>
      <c r="Q69" s="12" t="s">
        <v>249</v>
      </c>
      <c r="R69" s="12">
        <v>0</v>
      </c>
      <c r="S69" s="12" t="s">
        <v>138</v>
      </c>
      <c r="T69" s="189"/>
    </row>
    <row r="70" spans="4:20" ht="15">
      <c r="D70" s="35"/>
      <c r="E70" s="11" t="s">
        <v>322</v>
      </c>
      <c r="F70" s="12" t="s">
        <v>249</v>
      </c>
      <c r="G70" s="12">
        <f t="shared" si="3"/>
        <v>0</v>
      </c>
      <c r="H70" s="12" t="str">
        <f t="shared" si="4"/>
        <v>UG</v>
      </c>
      <c r="P70" s="11" t="s">
        <v>322</v>
      </c>
      <c r="Q70" s="12" t="s">
        <v>249</v>
      </c>
      <c r="R70" s="12">
        <v>0</v>
      </c>
      <c r="S70" s="12" t="s">
        <v>138</v>
      </c>
      <c r="T70" s="189"/>
    </row>
    <row r="71" spans="5:20" ht="15">
      <c r="E71" s="73" t="s">
        <v>323</v>
      </c>
      <c r="F71" s="87" t="s">
        <v>233</v>
      </c>
      <c r="G71" s="87">
        <f t="shared" si="3"/>
        <v>0</v>
      </c>
      <c r="H71" s="87" t="str">
        <f t="shared" si="4"/>
        <v>UG</v>
      </c>
      <c r="I71" t="s">
        <v>304</v>
      </c>
      <c r="P71" s="73" t="s">
        <v>323</v>
      </c>
      <c r="Q71" s="87" t="s">
        <v>233</v>
      </c>
      <c r="R71" s="87">
        <v>0</v>
      </c>
      <c r="S71" s="87" t="s">
        <v>138</v>
      </c>
      <c r="T71" s="197" t="s">
        <v>238</v>
      </c>
    </row>
    <row r="72" spans="5:20" ht="15">
      <c r="E72" s="73" t="s">
        <v>324</v>
      </c>
      <c r="F72" s="87" t="s">
        <v>233</v>
      </c>
      <c r="G72" s="87">
        <f t="shared" si="3"/>
        <v>0</v>
      </c>
      <c r="H72" s="87" t="str">
        <f t="shared" si="4"/>
        <v>UG</v>
      </c>
      <c r="I72" t="s">
        <v>304</v>
      </c>
      <c r="P72" s="73" t="s">
        <v>324</v>
      </c>
      <c r="Q72" s="87" t="s">
        <v>233</v>
      </c>
      <c r="R72" s="87">
        <v>0</v>
      </c>
      <c r="S72" s="87" t="s">
        <v>138</v>
      </c>
      <c r="T72" s="197" t="s">
        <v>238</v>
      </c>
    </row>
    <row r="73" spans="5:20" ht="15">
      <c r="E73" s="11" t="s">
        <v>325</v>
      </c>
      <c r="F73" s="12" t="s">
        <v>236</v>
      </c>
      <c r="G73" s="12">
        <f t="shared" si="3"/>
        <v>0</v>
      </c>
      <c r="H73" s="12" t="str">
        <f t="shared" si="4"/>
        <v>UG</v>
      </c>
      <c r="P73" s="11" t="s">
        <v>325</v>
      </c>
      <c r="Q73" s="12" t="s">
        <v>236</v>
      </c>
      <c r="R73" s="12">
        <v>0</v>
      </c>
      <c r="S73" s="12" t="s">
        <v>138</v>
      </c>
      <c r="T73" s="189"/>
    </row>
    <row r="74" spans="5:20" ht="15">
      <c r="E74" s="73" t="s">
        <v>326</v>
      </c>
      <c r="F74" s="87" t="s">
        <v>233</v>
      </c>
      <c r="G74" s="87">
        <f t="shared" si="3"/>
        <v>0</v>
      </c>
      <c r="H74" s="87" t="str">
        <f t="shared" si="4"/>
        <v>UG</v>
      </c>
      <c r="I74" t="s">
        <v>304</v>
      </c>
      <c r="P74" s="73" t="s">
        <v>326</v>
      </c>
      <c r="Q74" s="87" t="s">
        <v>233</v>
      </c>
      <c r="R74" s="87">
        <v>0</v>
      </c>
      <c r="S74" s="87" t="s">
        <v>138</v>
      </c>
      <c r="T74" s="197" t="s">
        <v>238</v>
      </c>
    </row>
    <row r="75" spans="5:20" ht="15">
      <c r="E75" s="11" t="s">
        <v>327</v>
      </c>
      <c r="F75" s="12" t="s">
        <v>236</v>
      </c>
      <c r="G75" s="12">
        <f t="shared" si="3"/>
        <v>0</v>
      </c>
      <c r="H75" s="12" t="str">
        <f t="shared" si="4"/>
        <v>UG</v>
      </c>
      <c r="P75" s="11" t="s">
        <v>327</v>
      </c>
      <c r="Q75" s="12" t="s">
        <v>236</v>
      </c>
      <c r="R75" s="12">
        <v>0</v>
      </c>
      <c r="S75" s="12" t="s">
        <v>138</v>
      </c>
      <c r="T75" s="189"/>
    </row>
    <row r="76" spans="5:20" ht="15">
      <c r="E76" s="11" t="s">
        <v>328</v>
      </c>
      <c r="F76" s="12" t="s">
        <v>236</v>
      </c>
      <c r="G76" s="12">
        <f t="shared" si="3"/>
        <v>0</v>
      </c>
      <c r="H76" s="12" t="str">
        <f t="shared" si="4"/>
        <v>UG</v>
      </c>
      <c r="P76" s="11" t="s">
        <v>328</v>
      </c>
      <c r="Q76" s="12" t="s">
        <v>236</v>
      </c>
      <c r="R76" s="12">
        <v>0</v>
      </c>
      <c r="S76" s="12" t="s">
        <v>138</v>
      </c>
      <c r="T76" s="189"/>
    </row>
    <row r="77" spans="5:20" ht="15">
      <c r="E77" s="11" t="s">
        <v>329</v>
      </c>
      <c r="F77" s="12" t="s">
        <v>236</v>
      </c>
      <c r="G77" s="12">
        <f t="shared" si="3"/>
        <v>0</v>
      </c>
      <c r="H77" s="12" t="str">
        <f t="shared" si="4"/>
        <v>UG</v>
      </c>
      <c r="P77" s="11" t="s">
        <v>329</v>
      </c>
      <c r="Q77" s="12" t="s">
        <v>236</v>
      </c>
      <c r="R77" s="12">
        <v>0</v>
      </c>
      <c r="S77" s="12" t="s">
        <v>138</v>
      </c>
      <c r="T77" s="189"/>
    </row>
    <row r="78" spans="5:20" ht="15">
      <c r="E78" s="11" t="s">
        <v>330</v>
      </c>
      <c r="F78" s="12" t="s">
        <v>236</v>
      </c>
      <c r="G78" s="12">
        <f t="shared" si="5" ref="G78:G109">IF(ISERROR(VLOOKUP(E78,B$14:C$59,2,FALSE)),0,VLOOKUP(E78,B$14:C$59,2,FALSE))</f>
        <v>0</v>
      </c>
      <c r="H78" s="12" t="str">
        <f t="shared" si="6" ref="H78:H109">IF(LEN(F78)&gt;1,"Hard","UG")</f>
        <v>UG</v>
      </c>
      <c r="P78" s="11" t="s">
        <v>330</v>
      </c>
      <c r="Q78" s="12" t="s">
        <v>236</v>
      </c>
      <c r="R78" s="12">
        <v>0</v>
      </c>
      <c r="S78" s="12" t="s">
        <v>138</v>
      </c>
      <c r="T78" s="189"/>
    </row>
    <row r="79" spans="5:20" ht="15">
      <c r="E79" s="11" t="s">
        <v>331</v>
      </c>
      <c r="F79" s="12" t="s">
        <v>249</v>
      </c>
      <c r="G79" s="12">
        <f t="shared" si="5"/>
        <v>0</v>
      </c>
      <c r="H79" s="12" t="str">
        <f t="shared" si="6"/>
        <v>UG</v>
      </c>
      <c r="P79" s="11" t="s">
        <v>331</v>
      </c>
      <c r="Q79" s="12" t="s">
        <v>249</v>
      </c>
      <c r="R79" s="12">
        <v>0</v>
      </c>
      <c r="S79" s="12" t="s">
        <v>138</v>
      </c>
      <c r="T79" s="189"/>
    </row>
    <row r="80" spans="5:20" ht="15">
      <c r="E80" s="11" t="s">
        <v>332</v>
      </c>
      <c r="F80" s="12" t="s">
        <v>249</v>
      </c>
      <c r="G80" s="12">
        <f t="shared" si="5"/>
        <v>0</v>
      </c>
      <c r="H80" s="12" t="str">
        <f t="shared" si="6"/>
        <v>UG</v>
      </c>
      <c r="P80" s="11" t="s">
        <v>332</v>
      </c>
      <c r="Q80" s="12" t="s">
        <v>249</v>
      </c>
      <c r="R80" s="12">
        <v>0</v>
      </c>
      <c r="S80" s="12" t="s">
        <v>138</v>
      </c>
      <c r="T80" s="189"/>
    </row>
    <row r="81" spans="5:20" ht="15">
      <c r="E81" s="11" t="s">
        <v>333</v>
      </c>
      <c r="F81" s="12" t="s">
        <v>233</v>
      </c>
      <c r="G81" s="12">
        <f t="shared" si="5"/>
        <v>0</v>
      </c>
      <c r="H81" s="12" t="str">
        <f t="shared" si="6"/>
        <v>UG</v>
      </c>
      <c r="P81" s="11" t="s">
        <v>333</v>
      </c>
      <c r="Q81" s="12" t="s">
        <v>233</v>
      </c>
      <c r="R81" s="12">
        <v>0</v>
      </c>
      <c r="S81" s="12" t="s">
        <v>138</v>
      </c>
      <c r="T81" s="189"/>
    </row>
    <row r="82" spans="5:20" ht="15">
      <c r="E82" s="11" t="s">
        <v>334</v>
      </c>
      <c r="F82" s="12" t="s">
        <v>236</v>
      </c>
      <c r="G82" s="12">
        <f t="shared" si="5"/>
        <v>0</v>
      </c>
      <c r="H82" s="12" t="str">
        <f t="shared" si="6"/>
        <v>UG</v>
      </c>
      <c r="P82" s="11" t="s">
        <v>334</v>
      </c>
      <c r="Q82" s="12" t="s">
        <v>236</v>
      </c>
      <c r="R82" s="12">
        <v>0</v>
      </c>
      <c r="S82" s="12" t="s">
        <v>138</v>
      </c>
      <c r="T82" s="189"/>
    </row>
    <row r="83" spans="5:20" ht="15">
      <c r="E83" s="11" t="s">
        <v>335</v>
      </c>
      <c r="F83" s="12" t="s">
        <v>233</v>
      </c>
      <c r="G83" s="12">
        <f t="shared" si="5"/>
        <v>0</v>
      </c>
      <c r="H83" s="12" t="str">
        <f t="shared" si="6"/>
        <v>UG</v>
      </c>
      <c r="P83" s="11" t="s">
        <v>335</v>
      </c>
      <c r="Q83" s="12" t="s">
        <v>233</v>
      </c>
      <c r="R83" s="12">
        <v>0</v>
      </c>
      <c r="S83" s="12" t="s">
        <v>138</v>
      </c>
      <c r="T83" s="189"/>
    </row>
    <row r="84" spans="5:20" ht="15">
      <c r="E84" s="11" t="s">
        <v>336</v>
      </c>
      <c r="F84" s="12" t="s">
        <v>249</v>
      </c>
      <c r="G84" s="12">
        <f t="shared" si="5"/>
        <v>0</v>
      </c>
      <c r="H84" s="12" t="str">
        <f t="shared" si="6"/>
        <v>UG</v>
      </c>
      <c r="P84" s="11" t="s">
        <v>336</v>
      </c>
      <c r="Q84" s="12" t="s">
        <v>249</v>
      </c>
      <c r="R84" s="12">
        <v>0</v>
      </c>
      <c r="S84" s="12" t="s">
        <v>138</v>
      </c>
      <c r="T84" s="189"/>
    </row>
    <row r="85" spans="5:20" ht="15">
      <c r="E85" s="11" t="s">
        <v>337</v>
      </c>
      <c r="F85" s="12" t="s">
        <v>236</v>
      </c>
      <c r="G85" s="12">
        <f t="shared" si="5"/>
        <v>0</v>
      </c>
      <c r="H85" s="12" t="str">
        <f t="shared" si="6"/>
        <v>UG</v>
      </c>
      <c r="P85" s="11" t="s">
        <v>337</v>
      </c>
      <c r="Q85" s="12" t="s">
        <v>236</v>
      </c>
      <c r="R85" s="12">
        <v>0</v>
      </c>
      <c r="S85" s="12" t="s">
        <v>138</v>
      </c>
      <c r="T85" s="189"/>
    </row>
    <row r="86" spans="5:20" ht="15">
      <c r="E86" s="11" t="s">
        <v>338</v>
      </c>
      <c r="F86" s="12" t="s">
        <v>233</v>
      </c>
      <c r="G86" s="12">
        <f t="shared" si="5"/>
        <v>0</v>
      </c>
      <c r="H86" s="12" t="str">
        <f t="shared" si="6"/>
        <v>UG</v>
      </c>
      <c r="P86" s="11" t="s">
        <v>338</v>
      </c>
      <c r="Q86" s="12" t="s">
        <v>233</v>
      </c>
      <c r="R86" s="12">
        <v>0</v>
      </c>
      <c r="S86" s="12" t="s">
        <v>138</v>
      </c>
      <c r="T86" s="189"/>
    </row>
    <row r="87" spans="5:20" ht="15">
      <c r="E87" s="11" t="s">
        <v>339</v>
      </c>
      <c r="F87" s="12" t="s">
        <v>249</v>
      </c>
      <c r="G87" s="12">
        <f t="shared" si="5"/>
        <v>0</v>
      </c>
      <c r="H87" s="12" t="str">
        <f t="shared" si="6"/>
        <v>UG</v>
      </c>
      <c r="P87" s="11" t="s">
        <v>339</v>
      </c>
      <c r="Q87" s="12" t="s">
        <v>249</v>
      </c>
      <c r="R87" s="12">
        <v>0</v>
      </c>
      <c r="S87" s="12" t="s">
        <v>138</v>
      </c>
      <c r="T87" s="189"/>
    </row>
    <row r="88" spans="5:20" ht="15">
      <c r="E88" s="11" t="s">
        <v>340</v>
      </c>
      <c r="F88" s="12" t="s">
        <v>249</v>
      </c>
      <c r="G88" s="12">
        <f t="shared" si="5"/>
        <v>0</v>
      </c>
      <c r="H88" s="12" t="str">
        <f t="shared" si="6"/>
        <v>UG</v>
      </c>
      <c r="P88" s="11" t="s">
        <v>340</v>
      </c>
      <c r="Q88" s="12" t="s">
        <v>249</v>
      </c>
      <c r="R88" s="12">
        <v>0</v>
      </c>
      <c r="S88" s="12" t="s">
        <v>138</v>
      </c>
      <c r="T88" s="189"/>
    </row>
    <row r="89" spans="5:20" ht="15">
      <c r="E89" s="11" t="s">
        <v>341</v>
      </c>
      <c r="F89" s="12" t="s">
        <v>236</v>
      </c>
      <c r="G89" s="12">
        <f t="shared" si="5"/>
        <v>0</v>
      </c>
      <c r="H89" s="12" t="str">
        <f t="shared" si="6"/>
        <v>UG</v>
      </c>
      <c r="P89" s="11" t="s">
        <v>341</v>
      </c>
      <c r="Q89" s="12" t="s">
        <v>236</v>
      </c>
      <c r="R89" s="12">
        <v>0</v>
      </c>
      <c r="S89" s="12" t="s">
        <v>138</v>
      </c>
      <c r="T89" s="189"/>
    </row>
    <row r="90" spans="5:20" ht="15">
      <c r="E90" s="11" t="s">
        <v>342</v>
      </c>
      <c r="F90" s="12" t="s">
        <v>249</v>
      </c>
      <c r="G90" s="12">
        <f t="shared" si="5"/>
        <v>0</v>
      </c>
      <c r="H90" s="12" t="str">
        <f t="shared" si="6"/>
        <v>UG</v>
      </c>
      <c r="P90" s="11" t="s">
        <v>342</v>
      </c>
      <c r="Q90" s="12" t="s">
        <v>249</v>
      </c>
      <c r="R90" s="12">
        <v>0</v>
      </c>
      <c r="S90" s="12" t="s">
        <v>138</v>
      </c>
      <c r="T90" s="189"/>
    </row>
    <row r="91" spans="5:20" ht="15">
      <c r="E91" s="11" t="s">
        <v>343</v>
      </c>
      <c r="F91" s="12" t="s">
        <v>233</v>
      </c>
      <c r="G91" s="12">
        <f t="shared" si="5"/>
        <v>0</v>
      </c>
      <c r="H91" s="12" t="str">
        <f t="shared" si="6"/>
        <v>UG</v>
      </c>
      <c r="P91" s="11" t="s">
        <v>343</v>
      </c>
      <c r="Q91" s="12" t="s">
        <v>233</v>
      </c>
      <c r="R91" s="12">
        <v>0</v>
      </c>
      <c r="S91" s="12" t="s">
        <v>138</v>
      </c>
      <c r="T91" s="189"/>
    </row>
    <row r="92" spans="5:20" ht="15">
      <c r="E92" s="11" t="s">
        <v>344</v>
      </c>
      <c r="F92" s="12" t="s">
        <v>236</v>
      </c>
      <c r="G92" s="12">
        <f t="shared" si="5"/>
        <v>0</v>
      </c>
      <c r="H92" s="12" t="str">
        <f t="shared" si="6"/>
        <v>UG</v>
      </c>
      <c r="P92" s="11" t="s">
        <v>344</v>
      </c>
      <c r="Q92" s="12" t="s">
        <v>236</v>
      </c>
      <c r="R92" s="12">
        <v>0</v>
      </c>
      <c r="S92" s="12" t="s">
        <v>138</v>
      </c>
      <c r="T92" s="189"/>
    </row>
    <row r="93" spans="5:20" ht="15">
      <c r="E93" s="11" t="s">
        <v>345</v>
      </c>
      <c r="F93" s="12" t="s">
        <v>249</v>
      </c>
      <c r="G93" s="12">
        <f t="shared" si="5"/>
        <v>0</v>
      </c>
      <c r="H93" s="12" t="str">
        <f t="shared" si="6"/>
        <v>UG</v>
      </c>
      <c r="P93" s="11" t="s">
        <v>345</v>
      </c>
      <c r="Q93" s="12" t="s">
        <v>249</v>
      </c>
      <c r="R93" s="12">
        <v>0</v>
      </c>
      <c r="S93" s="12" t="s">
        <v>138</v>
      </c>
      <c r="T93" s="189">
        <v>186</v>
      </c>
    </row>
    <row r="94" spans="5:20" ht="15">
      <c r="E94" s="11" t="s">
        <v>346</v>
      </c>
      <c r="F94" s="12" t="s">
        <v>233</v>
      </c>
      <c r="G94" s="12">
        <f t="shared" si="5"/>
        <v>0</v>
      </c>
      <c r="H94" s="12" t="str">
        <f t="shared" si="6"/>
        <v>UG</v>
      </c>
      <c r="P94" s="11" t="s">
        <v>346</v>
      </c>
      <c r="Q94" s="12" t="s">
        <v>233</v>
      </c>
      <c r="R94" s="12">
        <v>0</v>
      </c>
      <c r="S94" s="12" t="s">
        <v>138</v>
      </c>
      <c r="T94" s="189"/>
    </row>
    <row r="95" spans="5:20" ht="15">
      <c r="E95" s="11" t="s">
        <v>347</v>
      </c>
      <c r="F95" s="12" t="s">
        <v>236</v>
      </c>
      <c r="G95" s="12">
        <f t="shared" si="5"/>
        <v>0</v>
      </c>
      <c r="H95" s="12" t="str">
        <f t="shared" si="6"/>
        <v>UG</v>
      </c>
      <c r="P95" s="11" t="s">
        <v>347</v>
      </c>
      <c r="Q95" s="12" t="s">
        <v>236</v>
      </c>
      <c r="R95" s="12">
        <v>0</v>
      </c>
      <c r="S95" s="12" t="s">
        <v>138</v>
      </c>
      <c r="T95" s="189"/>
    </row>
    <row r="96" spans="5:20" ht="15">
      <c r="E96" s="11" t="s">
        <v>348</v>
      </c>
      <c r="F96" s="12" t="s">
        <v>233</v>
      </c>
      <c r="G96" s="12">
        <f t="shared" si="5"/>
        <v>0</v>
      </c>
      <c r="H96" s="12" t="str">
        <f t="shared" si="6"/>
        <v>UG</v>
      </c>
      <c r="P96" s="11" t="s">
        <v>348</v>
      </c>
      <c r="Q96" s="12" t="s">
        <v>233</v>
      </c>
      <c r="R96" s="12">
        <v>0</v>
      </c>
      <c r="S96" s="12" t="s">
        <v>138</v>
      </c>
      <c r="T96" s="189"/>
    </row>
    <row r="97" spans="5:20" ht="15">
      <c r="E97" s="11" t="s">
        <v>349</v>
      </c>
      <c r="F97" s="12" t="s">
        <v>249</v>
      </c>
      <c r="G97" s="12">
        <f t="shared" si="5"/>
        <v>0</v>
      </c>
      <c r="H97" s="12" t="str">
        <f t="shared" si="6"/>
        <v>UG</v>
      </c>
      <c r="P97" s="11" t="s">
        <v>349</v>
      </c>
      <c r="Q97" s="12" t="s">
        <v>249</v>
      </c>
      <c r="R97" s="12">
        <v>0</v>
      </c>
      <c r="S97" s="12" t="s">
        <v>138</v>
      </c>
      <c r="T97" s="189"/>
    </row>
    <row r="98" spans="5:20" ht="15">
      <c r="E98" s="11" t="s">
        <v>350</v>
      </c>
      <c r="F98" s="12" t="s">
        <v>233</v>
      </c>
      <c r="G98" s="12">
        <f t="shared" si="5"/>
        <v>0</v>
      </c>
      <c r="H98" s="12" t="str">
        <f t="shared" si="6"/>
        <v>UG</v>
      </c>
      <c r="P98" s="11" t="s">
        <v>350</v>
      </c>
      <c r="Q98" s="12" t="s">
        <v>233</v>
      </c>
      <c r="R98" s="12">
        <v>0</v>
      </c>
      <c r="S98" s="12" t="s">
        <v>138</v>
      </c>
      <c r="T98" s="189"/>
    </row>
    <row r="99" spans="5:20" ht="15">
      <c r="E99" s="11" t="s">
        <v>351</v>
      </c>
      <c r="F99" s="12" t="s">
        <v>249</v>
      </c>
      <c r="G99" s="12">
        <f t="shared" si="5"/>
        <v>0</v>
      </c>
      <c r="H99" s="12" t="str">
        <f t="shared" si="6"/>
        <v>UG</v>
      </c>
      <c r="P99" s="11" t="s">
        <v>351</v>
      </c>
      <c r="Q99" s="12" t="s">
        <v>249</v>
      </c>
      <c r="R99" s="12">
        <v>0</v>
      </c>
      <c r="S99" s="12" t="s">
        <v>138</v>
      </c>
      <c r="T99" s="189">
        <v>169</v>
      </c>
    </row>
    <row r="100" spans="5:20" ht="15">
      <c r="E100" s="11" t="s">
        <v>352</v>
      </c>
      <c r="F100" s="12" t="s">
        <v>249</v>
      </c>
      <c r="G100" s="12">
        <f t="shared" si="5"/>
        <v>0</v>
      </c>
      <c r="H100" s="12" t="str">
        <f t="shared" si="6"/>
        <v>UG</v>
      </c>
      <c r="P100" s="11" t="s">
        <v>352</v>
      </c>
      <c r="Q100" s="12" t="s">
        <v>249</v>
      </c>
      <c r="R100" s="12">
        <v>0</v>
      </c>
      <c r="S100" s="12" t="s">
        <v>138</v>
      </c>
      <c r="T100" s="189"/>
    </row>
    <row r="101" spans="5:20" ht="15">
      <c r="E101" s="11" t="s">
        <v>353</v>
      </c>
      <c r="F101" s="12" t="s">
        <v>249</v>
      </c>
      <c r="G101" s="12">
        <f t="shared" si="5"/>
        <v>0</v>
      </c>
      <c r="H101" s="12" t="str">
        <f t="shared" si="6"/>
        <v>UG</v>
      </c>
      <c r="P101" s="11" t="s">
        <v>353</v>
      </c>
      <c r="Q101" s="12" t="s">
        <v>249</v>
      </c>
      <c r="R101" s="12">
        <v>0</v>
      </c>
      <c r="S101" s="12" t="s">
        <v>138</v>
      </c>
      <c r="T101" s="189"/>
    </row>
    <row r="102" spans="5:20" ht="15">
      <c r="E102" s="11" t="s">
        <v>354</v>
      </c>
      <c r="F102" s="12" t="s">
        <v>249</v>
      </c>
      <c r="G102" s="12">
        <f t="shared" si="5"/>
        <v>0</v>
      </c>
      <c r="H102" s="12" t="str">
        <f t="shared" si="6"/>
        <v>UG</v>
      </c>
      <c r="P102" s="11" t="s">
        <v>354</v>
      </c>
      <c r="Q102" s="12" t="s">
        <v>249</v>
      </c>
      <c r="R102" s="12">
        <v>0</v>
      </c>
      <c r="S102" s="12" t="s">
        <v>138</v>
      </c>
      <c r="T102" s="189"/>
    </row>
    <row r="103" spans="5:20" ht="15">
      <c r="E103" s="11" t="s">
        <v>355</v>
      </c>
      <c r="F103" s="12" t="s">
        <v>249</v>
      </c>
      <c r="G103" s="12">
        <f t="shared" si="5"/>
        <v>0</v>
      </c>
      <c r="H103" s="12" t="str">
        <f t="shared" si="6"/>
        <v>UG</v>
      </c>
      <c r="P103" s="11" t="s">
        <v>355</v>
      </c>
      <c r="Q103" s="12" t="s">
        <v>249</v>
      </c>
      <c r="R103" s="12">
        <v>0</v>
      </c>
      <c r="S103" s="12" t="s">
        <v>138</v>
      </c>
      <c r="T103" s="189"/>
    </row>
    <row r="104" spans="5:20" ht="15">
      <c r="E104" s="11" t="s">
        <v>356</v>
      </c>
      <c r="F104" s="12" t="s">
        <v>236</v>
      </c>
      <c r="G104" s="12">
        <f t="shared" si="5"/>
        <v>0</v>
      </c>
      <c r="H104" s="12" t="str">
        <f t="shared" si="6"/>
        <v>UG</v>
      </c>
      <c r="P104" s="11" t="s">
        <v>356</v>
      </c>
      <c r="Q104" s="12" t="s">
        <v>236</v>
      </c>
      <c r="R104" s="12">
        <v>0</v>
      </c>
      <c r="S104" s="12" t="s">
        <v>138</v>
      </c>
      <c r="T104" s="189">
        <v>148</v>
      </c>
    </row>
    <row r="105" spans="5:20" ht="15">
      <c r="E105" s="11" t="s">
        <v>357</v>
      </c>
      <c r="F105" s="12" t="s">
        <v>249</v>
      </c>
      <c r="G105" s="12">
        <f t="shared" si="5"/>
        <v>0</v>
      </c>
      <c r="H105" s="12" t="str">
        <f t="shared" si="6"/>
        <v>UG</v>
      </c>
      <c r="P105" s="11" t="s">
        <v>357</v>
      </c>
      <c r="Q105" s="12" t="s">
        <v>249</v>
      </c>
      <c r="R105" s="12">
        <v>0</v>
      </c>
      <c r="S105" s="12" t="s">
        <v>138</v>
      </c>
      <c r="T105" s="189"/>
    </row>
    <row r="106" spans="5:20" ht="15">
      <c r="E106" s="11" t="s">
        <v>358</v>
      </c>
      <c r="F106" s="12" t="s">
        <v>233</v>
      </c>
      <c r="G106" s="12">
        <f t="shared" si="5"/>
        <v>0</v>
      </c>
      <c r="H106" s="12" t="str">
        <f t="shared" si="6"/>
        <v>UG</v>
      </c>
      <c r="P106" s="11" t="s">
        <v>358</v>
      </c>
      <c r="Q106" s="12" t="s">
        <v>233</v>
      </c>
      <c r="R106" s="12">
        <v>0</v>
      </c>
      <c r="S106" s="12" t="s">
        <v>138</v>
      </c>
      <c r="T106" s="189"/>
    </row>
    <row r="107" spans="5:20" ht="15">
      <c r="E107" s="11" t="s">
        <v>359</v>
      </c>
      <c r="F107" s="12" t="s">
        <v>249</v>
      </c>
      <c r="G107" s="12">
        <f t="shared" si="5"/>
        <v>0</v>
      </c>
      <c r="H107" s="12" t="str">
        <f t="shared" si="6"/>
        <v>UG</v>
      </c>
      <c r="P107" s="11" t="s">
        <v>359</v>
      </c>
      <c r="Q107" s="12" t="s">
        <v>249</v>
      </c>
      <c r="R107" s="12">
        <v>0</v>
      </c>
      <c r="S107" s="12" t="s">
        <v>138</v>
      </c>
      <c r="T107" s="189"/>
    </row>
    <row r="108" spans="5:20" ht="15">
      <c r="E108" s="11" t="s">
        <v>360</v>
      </c>
      <c r="F108" s="12" t="s">
        <v>236</v>
      </c>
      <c r="G108" s="12">
        <f t="shared" si="5"/>
        <v>0</v>
      </c>
      <c r="H108" s="12" t="str">
        <f t="shared" si="6"/>
        <v>UG</v>
      </c>
      <c r="P108" s="11" t="s">
        <v>360</v>
      </c>
      <c r="Q108" s="12" t="s">
        <v>236</v>
      </c>
      <c r="R108" s="12">
        <v>0</v>
      </c>
      <c r="S108" s="12" t="s">
        <v>138</v>
      </c>
      <c r="T108" s="189">
        <v>735</v>
      </c>
    </row>
    <row r="109" spans="5:20" ht="15">
      <c r="E109" s="11" t="s">
        <v>361</v>
      </c>
      <c r="F109" s="12" t="s">
        <v>249</v>
      </c>
      <c r="G109" s="12">
        <f t="shared" si="5"/>
        <v>0</v>
      </c>
      <c r="H109" s="12" t="str">
        <f t="shared" si="6"/>
        <v>UG</v>
      </c>
      <c r="P109" s="11" t="s">
        <v>361</v>
      </c>
      <c r="Q109" s="12" t="s">
        <v>249</v>
      </c>
      <c r="R109" s="12">
        <v>0</v>
      </c>
      <c r="S109" s="12" t="s">
        <v>138</v>
      </c>
      <c r="T109" s="189"/>
    </row>
    <row r="110" spans="5:20" ht="15">
      <c r="E110" s="11" t="s">
        <v>362</v>
      </c>
      <c r="F110" s="12" t="s">
        <v>233</v>
      </c>
      <c r="G110" s="12">
        <f t="shared" si="7" ref="G110:G141">IF(ISERROR(VLOOKUP(E110,B$14:C$59,2,FALSE)),0,VLOOKUP(E110,B$14:C$59,2,FALSE))</f>
        <v>0</v>
      </c>
      <c r="H110" s="12" t="str">
        <f t="shared" si="8" ref="H110:H141">IF(LEN(F110)&gt;1,"Hard","UG")</f>
        <v>UG</v>
      </c>
      <c r="P110" s="11" t="s">
        <v>362</v>
      </c>
      <c r="Q110" s="12" t="s">
        <v>233</v>
      </c>
      <c r="R110" s="12">
        <v>0</v>
      </c>
      <c r="S110" s="12" t="s">
        <v>138</v>
      </c>
      <c r="T110" s="189"/>
    </row>
    <row r="111" spans="5:20" ht="15">
      <c r="E111" s="11" t="s">
        <v>363</v>
      </c>
      <c r="F111" s="12" t="s">
        <v>233</v>
      </c>
      <c r="G111" s="12">
        <f t="shared" si="7"/>
        <v>0</v>
      </c>
      <c r="H111" s="12" t="str">
        <f t="shared" si="8"/>
        <v>UG</v>
      </c>
      <c r="P111" s="11" t="s">
        <v>363</v>
      </c>
      <c r="Q111" s="12" t="s">
        <v>233</v>
      </c>
      <c r="R111" s="12">
        <v>0</v>
      </c>
      <c r="S111" s="12" t="s">
        <v>138</v>
      </c>
      <c r="T111" s="189">
        <v>388</v>
      </c>
    </row>
    <row r="112" spans="5:20" ht="15">
      <c r="E112" s="11" t="s">
        <v>364</v>
      </c>
      <c r="F112" s="12" t="s">
        <v>233</v>
      </c>
      <c r="G112" s="12">
        <f t="shared" si="7"/>
        <v>0</v>
      </c>
      <c r="H112" s="12" t="str">
        <f t="shared" si="8"/>
        <v>UG</v>
      </c>
      <c r="P112" s="11" t="s">
        <v>364</v>
      </c>
      <c r="Q112" s="12" t="s">
        <v>233</v>
      </c>
      <c r="R112" s="12">
        <v>0</v>
      </c>
      <c r="S112" s="12" t="s">
        <v>138</v>
      </c>
      <c r="T112" s="189"/>
    </row>
    <row r="113" spans="5:20" ht="15">
      <c r="E113" s="11" t="s">
        <v>365</v>
      </c>
      <c r="F113" s="12" t="s">
        <v>249</v>
      </c>
      <c r="G113" s="12">
        <f t="shared" si="7"/>
        <v>0</v>
      </c>
      <c r="H113" s="12" t="str">
        <f t="shared" si="8"/>
        <v>UG</v>
      </c>
      <c r="P113" s="11" t="s">
        <v>365</v>
      </c>
      <c r="Q113" s="12" t="s">
        <v>249</v>
      </c>
      <c r="R113" s="12">
        <v>0</v>
      </c>
      <c r="S113" s="12" t="s">
        <v>138</v>
      </c>
      <c r="T113" s="189"/>
    </row>
    <row r="114" spans="5:20" ht="15">
      <c r="E114" s="11" t="s">
        <v>366</v>
      </c>
      <c r="F114" s="12" t="s">
        <v>236</v>
      </c>
      <c r="G114" s="12">
        <f t="shared" si="7"/>
        <v>0</v>
      </c>
      <c r="H114" s="12" t="str">
        <f t="shared" si="8"/>
        <v>UG</v>
      </c>
      <c r="P114" s="11" t="s">
        <v>366</v>
      </c>
      <c r="Q114" s="12" t="s">
        <v>236</v>
      </c>
      <c r="R114" s="12">
        <v>0</v>
      </c>
      <c r="S114" s="12" t="s">
        <v>138</v>
      </c>
      <c r="T114" s="189"/>
    </row>
    <row r="115" spans="5:20" ht="15">
      <c r="E115" s="11" t="s">
        <v>367</v>
      </c>
      <c r="F115" s="12" t="s">
        <v>249</v>
      </c>
      <c r="G115" s="12">
        <f t="shared" si="7"/>
        <v>0</v>
      </c>
      <c r="H115" s="12" t="str">
        <f t="shared" si="8"/>
        <v>UG</v>
      </c>
      <c r="P115" s="11" t="s">
        <v>367</v>
      </c>
      <c r="Q115" s="12" t="s">
        <v>249</v>
      </c>
      <c r="R115" s="12">
        <v>0</v>
      </c>
      <c r="S115" s="12" t="s">
        <v>138</v>
      </c>
      <c r="T115" s="189"/>
    </row>
    <row r="116" spans="5:20" ht="15">
      <c r="E116" s="11" t="s">
        <v>368</v>
      </c>
      <c r="F116" s="12" t="s">
        <v>249</v>
      </c>
      <c r="G116" s="12">
        <f t="shared" si="7"/>
        <v>0</v>
      </c>
      <c r="H116" s="12" t="str">
        <f t="shared" si="8"/>
        <v>UG</v>
      </c>
      <c r="P116" s="11" t="s">
        <v>368</v>
      </c>
      <c r="Q116" s="12" t="s">
        <v>249</v>
      </c>
      <c r="R116" s="12">
        <v>0</v>
      </c>
      <c r="S116" s="12" t="s">
        <v>138</v>
      </c>
      <c r="T116" s="189"/>
    </row>
    <row r="117" spans="5:20" ht="15">
      <c r="E117" s="11" t="s">
        <v>369</v>
      </c>
      <c r="F117" s="12" t="s">
        <v>236</v>
      </c>
      <c r="G117" s="12">
        <f t="shared" si="7"/>
        <v>0</v>
      </c>
      <c r="H117" s="12" t="str">
        <f t="shared" si="8"/>
        <v>UG</v>
      </c>
      <c r="P117" s="11" t="s">
        <v>369</v>
      </c>
      <c r="Q117" s="12" t="s">
        <v>236</v>
      </c>
      <c r="R117" s="12">
        <v>0</v>
      </c>
      <c r="S117" s="12" t="s">
        <v>138</v>
      </c>
      <c r="T117" s="189"/>
    </row>
    <row r="118" spans="5:20" ht="15">
      <c r="E118" s="11" t="s">
        <v>370</v>
      </c>
      <c r="F118" s="12" t="s">
        <v>249</v>
      </c>
      <c r="G118" s="12">
        <f t="shared" si="7"/>
        <v>0</v>
      </c>
      <c r="H118" s="12" t="str">
        <f t="shared" si="8"/>
        <v>UG</v>
      </c>
      <c r="P118" s="11" t="s">
        <v>370</v>
      </c>
      <c r="Q118" s="12" t="s">
        <v>249</v>
      </c>
      <c r="R118" s="12">
        <v>0</v>
      </c>
      <c r="S118" s="12" t="s">
        <v>138</v>
      </c>
      <c r="T118" s="189"/>
    </row>
    <row r="119" spans="5:20" ht="15">
      <c r="E119" s="11" t="s">
        <v>371</v>
      </c>
      <c r="F119" s="12" t="s">
        <v>236</v>
      </c>
      <c r="G119" s="12">
        <f t="shared" si="7"/>
        <v>0</v>
      </c>
      <c r="H119" s="12" t="str">
        <f t="shared" si="8"/>
        <v>UG</v>
      </c>
      <c r="P119" s="11" t="s">
        <v>371</v>
      </c>
      <c r="Q119" s="12" t="s">
        <v>236</v>
      </c>
      <c r="R119" s="12">
        <v>0</v>
      </c>
      <c r="S119" s="12" t="s">
        <v>138</v>
      </c>
      <c r="T119" s="189"/>
    </row>
    <row r="120" spans="5:20" ht="15">
      <c r="E120" s="11" t="s">
        <v>372</v>
      </c>
      <c r="F120" s="12" t="s">
        <v>249</v>
      </c>
      <c r="G120" s="12">
        <f t="shared" si="7"/>
        <v>0</v>
      </c>
      <c r="H120" s="12" t="str">
        <f t="shared" si="8"/>
        <v>UG</v>
      </c>
      <c r="P120" s="11" t="s">
        <v>372</v>
      </c>
      <c r="Q120" s="12" t="s">
        <v>249</v>
      </c>
      <c r="R120" s="12">
        <v>0</v>
      </c>
      <c r="S120" s="12" t="s">
        <v>138</v>
      </c>
      <c r="T120" s="189"/>
    </row>
    <row r="121" spans="5:20" ht="15">
      <c r="E121" s="11" t="s">
        <v>373</v>
      </c>
      <c r="F121" s="12" t="s">
        <v>233</v>
      </c>
      <c r="G121" s="12">
        <f t="shared" si="7"/>
        <v>0</v>
      </c>
      <c r="H121" s="12" t="str">
        <f t="shared" si="8"/>
        <v>UG</v>
      </c>
      <c r="P121" s="11" t="s">
        <v>373</v>
      </c>
      <c r="Q121" s="12" t="s">
        <v>233</v>
      </c>
      <c r="R121" s="12">
        <v>0</v>
      </c>
      <c r="S121" s="12" t="s">
        <v>138</v>
      </c>
      <c r="T121" s="189"/>
    </row>
    <row r="122" spans="5:20" ht="15">
      <c r="E122" s="11" t="s">
        <v>374</v>
      </c>
      <c r="F122" s="12" t="s">
        <v>233</v>
      </c>
      <c r="G122" s="12">
        <f t="shared" si="7"/>
        <v>0</v>
      </c>
      <c r="H122" s="12" t="str">
        <f t="shared" si="8"/>
        <v>UG</v>
      </c>
      <c r="P122" s="11" t="s">
        <v>374</v>
      </c>
      <c r="Q122" s="12" t="s">
        <v>233</v>
      </c>
      <c r="R122" s="12">
        <v>0</v>
      </c>
      <c r="S122" s="12" t="s">
        <v>138</v>
      </c>
      <c r="T122" s="189"/>
    </row>
    <row r="123" spans="5:20" ht="15">
      <c r="E123" s="11" t="s">
        <v>375</v>
      </c>
      <c r="F123" s="12" t="s">
        <v>236</v>
      </c>
      <c r="G123" s="12">
        <f t="shared" si="7"/>
        <v>0</v>
      </c>
      <c r="H123" s="12" t="str">
        <f t="shared" si="8"/>
        <v>UG</v>
      </c>
      <c r="P123" s="11" t="s">
        <v>375</v>
      </c>
      <c r="Q123" s="12" t="s">
        <v>236</v>
      </c>
      <c r="R123" s="12">
        <v>0</v>
      </c>
      <c r="S123" s="12" t="s">
        <v>138</v>
      </c>
      <c r="T123" s="189"/>
    </row>
    <row r="124" spans="5:20" ht="15">
      <c r="E124" s="11" t="s">
        <v>376</v>
      </c>
      <c r="F124" s="12" t="s">
        <v>249</v>
      </c>
      <c r="G124" s="12">
        <f t="shared" si="7"/>
        <v>0</v>
      </c>
      <c r="H124" s="12" t="str">
        <f t="shared" si="8"/>
        <v>UG</v>
      </c>
      <c r="P124" s="11" t="s">
        <v>376</v>
      </c>
      <c r="Q124" s="12" t="s">
        <v>249</v>
      </c>
      <c r="R124" s="12">
        <v>0</v>
      </c>
      <c r="S124" s="12" t="s">
        <v>138</v>
      </c>
      <c r="T124" s="189"/>
    </row>
    <row r="125" spans="5:20" ht="15">
      <c r="E125" s="11" t="s">
        <v>377</v>
      </c>
      <c r="F125" s="12" t="s">
        <v>236</v>
      </c>
      <c r="G125" s="12">
        <f t="shared" si="7"/>
        <v>0</v>
      </c>
      <c r="H125" s="12" t="str">
        <f t="shared" si="8"/>
        <v>UG</v>
      </c>
      <c r="P125" s="11" t="s">
        <v>377</v>
      </c>
      <c r="Q125" s="12" t="s">
        <v>236</v>
      </c>
      <c r="R125" s="12">
        <v>0</v>
      </c>
      <c r="S125" s="12" t="s">
        <v>138</v>
      </c>
      <c r="T125" s="189"/>
    </row>
    <row r="126" spans="5:20" ht="15">
      <c r="E126" s="195" t="s">
        <v>378</v>
      </c>
      <c r="F126" s="196" t="s">
        <v>233</v>
      </c>
      <c r="G126" s="196">
        <f t="shared" si="7"/>
        <v>0</v>
      </c>
      <c r="H126" s="196" t="str">
        <f t="shared" si="8"/>
        <v>UG</v>
      </c>
      <c r="I126" s="45" t="s">
        <v>275</v>
      </c>
      <c r="P126" s="195" t="s">
        <v>378</v>
      </c>
      <c r="Q126" s="196" t="s">
        <v>233</v>
      </c>
      <c r="R126" s="196">
        <v>0</v>
      </c>
      <c r="S126" s="196" t="s">
        <v>138</v>
      </c>
      <c r="T126" s="197" t="s">
        <v>238</v>
      </c>
    </row>
    <row r="127" spans="5:20" ht="15">
      <c r="E127" s="195" t="s">
        <v>379</v>
      </c>
      <c r="F127" s="196" t="s">
        <v>233</v>
      </c>
      <c r="G127" s="196">
        <f t="shared" si="7"/>
        <v>0</v>
      </c>
      <c r="H127" s="196" t="str">
        <f t="shared" si="8"/>
        <v>UG</v>
      </c>
      <c r="I127" s="45" t="s">
        <v>304</v>
      </c>
      <c r="P127" s="195" t="s">
        <v>379</v>
      </c>
      <c r="Q127" s="196" t="s">
        <v>233</v>
      </c>
      <c r="R127" s="196">
        <v>0</v>
      </c>
      <c r="S127" s="196" t="s">
        <v>138</v>
      </c>
      <c r="T127" s="197" t="s">
        <v>238</v>
      </c>
    </row>
    <row r="128" spans="5:20" ht="15">
      <c r="E128" s="195" t="s">
        <v>380</v>
      </c>
      <c r="F128" s="196" t="s">
        <v>249</v>
      </c>
      <c r="G128" s="196">
        <f t="shared" si="7"/>
        <v>0</v>
      </c>
      <c r="H128" s="196" t="str">
        <f t="shared" si="8"/>
        <v>UG</v>
      </c>
      <c r="I128" s="45" t="s">
        <v>275</v>
      </c>
      <c r="P128" s="195" t="s">
        <v>380</v>
      </c>
      <c r="Q128" s="196" t="s">
        <v>249</v>
      </c>
      <c r="R128" s="196">
        <v>0</v>
      </c>
      <c r="S128" s="196" t="s">
        <v>138</v>
      </c>
      <c r="T128" s="197" t="s">
        <v>238</v>
      </c>
    </row>
    <row r="129" spans="5:20" ht="15">
      <c r="E129" s="195" t="s">
        <v>381</v>
      </c>
      <c r="F129" s="196" t="s">
        <v>249</v>
      </c>
      <c r="G129" s="196">
        <f t="shared" si="7"/>
        <v>0</v>
      </c>
      <c r="H129" s="196" t="str">
        <f t="shared" si="8"/>
        <v>UG</v>
      </c>
      <c r="I129" s="45" t="s">
        <v>304</v>
      </c>
      <c r="P129" s="73" t="s">
        <v>381</v>
      </c>
      <c r="Q129" s="87" t="s">
        <v>249</v>
      </c>
      <c r="R129" s="87">
        <v>0</v>
      </c>
      <c r="S129" s="87" t="s">
        <v>138</v>
      </c>
      <c r="T129" s="197" t="s">
        <v>238</v>
      </c>
    </row>
    <row r="130" spans="5:19" ht="15">
      <c r="E130" s="11" t="s">
        <v>231</v>
      </c>
      <c r="F130" s="12" t="s">
        <v>234</v>
      </c>
      <c r="G130" s="12">
        <f t="shared" si="7"/>
        <v>16</v>
      </c>
      <c r="H130" s="12" t="str">
        <f t="shared" si="8"/>
        <v>Hard</v>
      </c>
      <c r="P130" s="224" t="s">
        <v>124</v>
      </c>
      <c r="Q130" s="225"/>
      <c r="R130" s="182">
        <f>AVERAGE(R14:R129)</f>
        <v>0.56896551724137934</v>
      </c>
      <c r="S130" s="182"/>
    </row>
    <row r="131" spans="5:19" ht="15">
      <c r="E131" s="11" t="s">
        <v>237</v>
      </c>
      <c r="F131" s="12" t="s">
        <v>234</v>
      </c>
      <c r="G131" s="12">
        <f t="shared" si="7"/>
        <v>4</v>
      </c>
      <c r="H131" s="12" t="str">
        <f t="shared" si="8"/>
        <v>Hard</v>
      </c>
      <c r="P131" s="224" t="s">
        <v>91</v>
      </c>
      <c r="Q131" s="225"/>
      <c r="R131" s="180">
        <f>_xlfn.STDEV.P(R14:R129)</f>
        <v>1.0685483056790461</v>
      </c>
      <c r="S131" s="180"/>
    </row>
    <row r="132" spans="5:19" ht="15">
      <c r="E132" s="11" t="s">
        <v>240</v>
      </c>
      <c r="F132" s="12" t="s">
        <v>234</v>
      </c>
      <c r="G132" s="12">
        <f t="shared" si="7"/>
        <v>3</v>
      </c>
      <c r="H132" s="12" t="str">
        <f t="shared" si="8"/>
        <v>Hard</v>
      </c>
      <c r="P132" s="224" t="s">
        <v>92</v>
      </c>
      <c r="Q132" s="225"/>
      <c r="R132" s="178">
        <f>ROUND(SUM(R130,R131),1)</f>
        <v>1.6000000000000001</v>
      </c>
      <c r="S132" s="180"/>
    </row>
    <row r="133" spans="5:8" ht="15">
      <c r="E133" s="11" t="s">
        <v>243</v>
      </c>
      <c r="F133" s="12" t="s">
        <v>244</v>
      </c>
      <c r="G133" s="12">
        <f t="shared" si="7"/>
        <v>2</v>
      </c>
      <c r="H133" s="12" t="str">
        <f t="shared" si="8"/>
        <v>Hard</v>
      </c>
    </row>
    <row r="134" spans="5:16" ht="15">
      <c r="E134" s="11" t="s">
        <v>247</v>
      </c>
      <c r="F134" s="12" t="s">
        <v>244</v>
      </c>
      <c r="G134" s="12">
        <f t="shared" si="7"/>
        <v>1</v>
      </c>
      <c r="H134" s="12" t="str">
        <f t="shared" si="8"/>
        <v>Hard</v>
      </c>
      <c r="P134" s="45" t="s">
        <v>382</v>
      </c>
    </row>
    <row r="135" spans="5:16" ht="15">
      <c r="E135" s="11" t="s">
        <v>250</v>
      </c>
      <c r="F135" s="12" t="s">
        <v>251</v>
      </c>
      <c r="G135" s="12">
        <f t="shared" si="7"/>
        <v>1</v>
      </c>
      <c r="H135" s="12" t="str">
        <f t="shared" si="8"/>
        <v>Hard</v>
      </c>
      <c r="P135" s="45" t="s">
        <v>383</v>
      </c>
    </row>
    <row r="136" spans="5:8" ht="15">
      <c r="E136" s="11" t="s">
        <v>253</v>
      </c>
      <c r="F136" s="12" t="s">
        <v>234</v>
      </c>
      <c r="G136" s="12">
        <f t="shared" si="7"/>
        <v>1</v>
      </c>
      <c r="H136" s="12" t="str">
        <f t="shared" si="8"/>
        <v>Hard</v>
      </c>
    </row>
    <row r="137" spans="5:8" ht="15">
      <c r="E137" s="11" t="s">
        <v>255</v>
      </c>
      <c r="F137" s="12" t="s">
        <v>251</v>
      </c>
      <c r="G137" s="12">
        <f t="shared" si="7"/>
        <v>1</v>
      </c>
      <c r="H137" s="12" t="str">
        <f t="shared" si="8"/>
        <v>Hard</v>
      </c>
    </row>
    <row r="138" spans="5:8" ht="15">
      <c r="E138" s="11" t="s">
        <v>257</v>
      </c>
      <c r="F138" s="12" t="s">
        <v>234</v>
      </c>
      <c r="G138" s="12">
        <f t="shared" si="7"/>
        <v>1</v>
      </c>
      <c r="H138" s="12" t="str">
        <f t="shared" si="8"/>
        <v>Hard</v>
      </c>
    </row>
    <row r="139" spans="5:8" ht="15">
      <c r="E139" s="11" t="s">
        <v>259</v>
      </c>
      <c r="F139" s="12" t="s">
        <v>234</v>
      </c>
      <c r="G139" s="12">
        <f t="shared" si="7"/>
        <v>1</v>
      </c>
      <c r="H139" s="12" t="str">
        <f t="shared" si="8"/>
        <v>Hard</v>
      </c>
    </row>
    <row r="140" spans="5:8" ht="15">
      <c r="E140" s="11" t="s">
        <v>261</v>
      </c>
      <c r="F140" s="12" t="s">
        <v>234</v>
      </c>
      <c r="G140" s="12">
        <f t="shared" si="7"/>
        <v>1</v>
      </c>
      <c r="H140" s="12" t="str">
        <f t="shared" si="8"/>
        <v>Hard</v>
      </c>
    </row>
    <row r="141" spans="5:8" ht="15">
      <c r="E141" s="11" t="s">
        <v>263</v>
      </c>
      <c r="F141" s="12" t="s">
        <v>234</v>
      </c>
      <c r="G141" s="12">
        <f t="shared" si="7"/>
        <v>0</v>
      </c>
      <c r="H141" s="12" t="str">
        <f t="shared" si="8"/>
        <v>Hard</v>
      </c>
    </row>
    <row r="142" spans="5:8" ht="15">
      <c r="E142" s="11" t="s">
        <v>265</v>
      </c>
      <c r="F142" s="12" t="s">
        <v>234</v>
      </c>
      <c r="G142" s="12">
        <f t="shared" si="9" ref="G142:G148">IF(ISERROR(VLOOKUP(E142,B$14:C$59,2,FALSE)),0,VLOOKUP(E142,B$14:C$59,2,FALSE))</f>
        <v>0</v>
      </c>
      <c r="H142" s="12" t="str">
        <f t="shared" si="10" ref="H142:H148">IF(LEN(F142)&gt;1,"Hard","UG")</f>
        <v>Hard</v>
      </c>
    </row>
    <row r="143" spans="5:8" ht="15">
      <c r="E143" s="11" t="s">
        <v>267</v>
      </c>
      <c r="F143" s="12" t="s">
        <v>251</v>
      </c>
      <c r="G143" s="12">
        <f t="shared" si="9"/>
        <v>0</v>
      </c>
      <c r="H143" s="12" t="str">
        <f t="shared" si="10"/>
        <v>Hard</v>
      </c>
    </row>
    <row r="144" spans="5:8" ht="15">
      <c r="E144" s="11" t="s">
        <v>270</v>
      </c>
      <c r="F144" s="12" t="s">
        <v>234</v>
      </c>
      <c r="G144" s="12">
        <f t="shared" si="9"/>
        <v>0</v>
      </c>
      <c r="H144" s="12" t="str">
        <f t="shared" si="10"/>
        <v>Hard</v>
      </c>
    </row>
    <row r="145" spans="5:8" ht="15">
      <c r="E145" s="11" t="s">
        <v>273</v>
      </c>
      <c r="F145" s="12" t="s">
        <v>234</v>
      </c>
      <c r="G145" s="12">
        <f t="shared" si="9"/>
        <v>0</v>
      </c>
      <c r="H145" s="12" t="str">
        <f t="shared" si="10"/>
        <v>Hard</v>
      </c>
    </row>
    <row r="146" spans="5:9" ht="15">
      <c r="E146" s="195" t="s">
        <v>276</v>
      </c>
      <c r="F146" s="196" t="s">
        <v>234</v>
      </c>
      <c r="G146" s="196">
        <f t="shared" si="9"/>
        <v>0</v>
      </c>
      <c r="H146" s="196" t="str">
        <f t="shared" si="10"/>
        <v>Hard</v>
      </c>
      <c r="I146" s="45" t="s">
        <v>275</v>
      </c>
    </row>
    <row r="147" spans="5:9" ht="15">
      <c r="E147" s="195" t="s">
        <v>278</v>
      </c>
      <c r="F147" s="196" t="s">
        <v>234</v>
      </c>
      <c r="G147" s="196">
        <f t="shared" si="9"/>
        <v>0</v>
      </c>
      <c r="H147" s="196" t="str">
        <f t="shared" si="10"/>
        <v>Hard</v>
      </c>
      <c r="I147" s="45" t="s">
        <v>304</v>
      </c>
    </row>
    <row r="148" spans="5:8" ht="15">
      <c r="E148" s="11" t="s">
        <v>280</v>
      </c>
      <c r="F148" s="12" t="s">
        <v>234</v>
      </c>
      <c r="G148" s="12">
        <f t="shared" si="9"/>
        <v>0</v>
      </c>
      <c r="H148" s="12" t="str">
        <f t="shared" si="10"/>
        <v>Hard</v>
      </c>
    </row>
  </sheetData>
  <sortState ref="E14:H148">
    <sortCondition descending="1" sortBy="value" ref="H14:H148"/>
  </sortState>
  <mergeCells count="9">
    <mergeCell ref="P12:T12"/>
    <mergeCell ref="P130:Q130"/>
    <mergeCell ref="P131:Q131"/>
    <mergeCell ref="P132:Q132"/>
    <mergeCell ref="C2:D2"/>
    <mergeCell ref="E2:F2"/>
    <mergeCell ref="E12:H12"/>
    <mergeCell ref="B12:C12"/>
    <mergeCell ref="J12:N12"/>
  </mergeCells>
  <conditionalFormatting sqref="R14:R129">
    <cfRule type="cellIs" priority="1" dxfId="0" operator="greaterThanOrEqual">
      <formula>$R$132</formula>
    </cfRule>
  </conditionalFormatting>
  <pageMargins left="0.7" right="0.7" top="0.75" bottom="0.75" header="0.3" footer="0.3"/>
  <pageSetup horizontalDpi="1200" verticalDpi="1200"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A2ED36C1B59478AAB1282F80FDD3F" ma:contentTypeVersion="2" ma:contentTypeDescription="Create a new document." ma:contentTypeScope="" ma:versionID="87bf13c603125a789edcb07b81b38565">
  <xsd:schema xmlns:xsd="http://www.w3.org/2001/XMLSchema" xmlns:xs="http://www.w3.org/2001/XMLSchema" xmlns:p="http://schemas.microsoft.com/office/2006/metadata/properties" xmlns:ns2="fa0576d1-80e8-4ef1-ac14-2bd075900e7d" targetNamespace="http://schemas.microsoft.com/office/2006/metadata/properties" ma:root="true" ma:fieldsID="b51de054c8337680f82e5ae69be0ac94" ns2:_="">
    <xsd:import namespace="fa0576d1-80e8-4ef1-ac14-2bd075900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576d1-80e8-4ef1-ac14-2bd075900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 A C T I V E ! 1 5 0 6 5 4 2 9 . 1 < / d o c u m e n t i d >  
     < s e n d e r i d > K E A B E T < / s e n d e r i d >  
     < s e n d e r e m a i l > B K E A T I N G @ G U N S T E R . C O M < / s e n d e r e m a i l >  
     < l a s t m o d i f i e d > 2 0 2 2 - 0 4 - 1 2 T 1 4 : 5 0 : 4 6 . 0 0 0 0 0 0 0 - 0 4 : 0 0 < / l a s t m o d i f i e d >  
     < d a t a b a s e > A C T I V E < / d a t a b a s e >  
 < / p r o p e r t i e s > 
</file>

<file path=customXml/itemProps1.xml><?xml version="1.0" encoding="utf-8"?>
<ds:datastoreItem xmlns:ds="http://schemas.openxmlformats.org/officeDocument/2006/customXml" ds:itemID="{955658F7-A626-4112-BB02-854AD1E26E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DCD032-8545-4919-B349-6AA9D7148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0576d1-80e8-4ef1-ac14-2bd075900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776A63-2CAD-4539-9865-840110D94D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ModelResults</vt:lpstr>
      <vt:lpstr>Strategy</vt:lpstr>
      <vt:lpstr>FeederData</vt:lpstr>
      <vt:lpstr>10YrPlan</vt:lpstr>
      <vt:lpstr>TotalPlan</vt:lpstr>
      <vt:lpstr>Targets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