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ul\Documents\2202\Interrogatories\POD 01-01\"/>
    </mc:Choice>
  </mc:AlternateContent>
  <xr:revisionPtr revIDLastSave="0" documentId="13_ncr:1_{F5660AE7-7087-4759-A2B1-760931D5DBA8}" xr6:coauthVersionLast="47" xr6:coauthVersionMax="47" xr10:uidLastSave="{00000000-0000-0000-0000-000000000000}"/>
  <bookViews>
    <workbookView xWindow="3645" yWindow="3645" windowWidth="21600" windowHeight="11423" tabRatio="798" xr2:uid="{00000000-000D-0000-FFFF-FFFF00000000}"/>
  </bookViews>
  <sheets>
    <sheet name="Page 1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'Page 1'!$A$1:$W$33</definedName>
  </definedNames>
  <calcPr calcId="191029" iterate="1" iterateCount="10000" iterateDelta="9.9999999999999995E-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1" i="3" l="1"/>
  <c r="U31" i="3"/>
  <c r="S31" i="3"/>
  <c r="C38" i="3"/>
  <c r="O6" i="3"/>
  <c r="U6" i="3" s="1"/>
  <c r="O7" i="3"/>
  <c r="U7" i="3" s="1"/>
  <c r="S6" i="3"/>
  <c r="M6" i="3"/>
  <c r="S7" i="3"/>
  <c r="M7" i="3"/>
  <c r="M24" i="3"/>
  <c r="O24" i="3"/>
  <c r="Q24" i="3"/>
  <c r="S24" i="3"/>
  <c r="U24" i="3"/>
  <c r="W24" i="3" s="1"/>
  <c r="O9" i="3"/>
  <c r="U9" i="3" s="1"/>
  <c r="O10" i="3"/>
  <c r="U10" i="3" s="1"/>
  <c r="O11" i="3"/>
  <c r="U11" i="3" s="1"/>
  <c r="S8" i="3"/>
  <c r="O8" i="3"/>
  <c r="U8" i="3" s="1"/>
  <c r="W8" i="3" s="1"/>
  <c r="M8" i="3"/>
  <c r="S9" i="3"/>
  <c r="M9" i="3"/>
  <c r="S10" i="3"/>
  <c r="M10" i="3"/>
  <c r="S11" i="3"/>
  <c r="M11" i="3"/>
  <c r="O12" i="3"/>
  <c r="U12" i="3" s="1"/>
  <c r="S12" i="3"/>
  <c r="M12" i="3"/>
  <c r="O13" i="3"/>
  <c r="U13" i="3" s="1"/>
  <c r="S13" i="3"/>
  <c r="M13" i="3"/>
  <c r="O14" i="3"/>
  <c r="U14" i="3" s="1"/>
  <c r="S14" i="3"/>
  <c r="M14" i="3"/>
  <c r="O15" i="3"/>
  <c r="U15" i="3" s="1"/>
  <c r="O16" i="3"/>
  <c r="U16" i="3" s="1"/>
  <c r="S15" i="3"/>
  <c r="M15" i="3"/>
  <c r="S16" i="3"/>
  <c r="M16" i="3"/>
  <c r="O17" i="3"/>
  <c r="U17" i="3" s="1"/>
  <c r="S17" i="3"/>
  <c r="M17" i="3"/>
  <c r="S29" i="3"/>
  <c r="O29" i="3"/>
  <c r="U29" i="3" s="1"/>
  <c r="M29" i="3"/>
  <c r="S28" i="3"/>
  <c r="O28" i="3"/>
  <c r="U28" i="3" s="1"/>
  <c r="W28" i="3" s="1"/>
  <c r="M28" i="3"/>
  <c r="S27" i="3"/>
  <c r="O27" i="3"/>
  <c r="U27" i="3" s="1"/>
  <c r="M27" i="3"/>
  <c r="S26" i="3"/>
  <c r="O26" i="3"/>
  <c r="U26" i="3" s="1"/>
  <c r="M26" i="3"/>
  <c r="S25" i="3"/>
  <c r="O25" i="3"/>
  <c r="U25" i="3" s="1"/>
  <c r="M25" i="3"/>
  <c r="S23" i="3"/>
  <c r="O23" i="3"/>
  <c r="U23" i="3" s="1"/>
  <c r="M23" i="3"/>
  <c r="S22" i="3"/>
  <c r="O22" i="3"/>
  <c r="U22" i="3" s="1"/>
  <c r="M22" i="3"/>
  <c r="S21" i="3"/>
  <c r="O21" i="3"/>
  <c r="U21" i="3" s="1"/>
  <c r="M21" i="3"/>
  <c r="S20" i="3"/>
  <c r="O20" i="3"/>
  <c r="U20" i="3" s="1"/>
  <c r="M20" i="3"/>
  <c r="S19" i="3"/>
  <c r="O19" i="3"/>
  <c r="U19" i="3" s="1"/>
  <c r="M19" i="3"/>
  <c r="S18" i="3"/>
  <c r="O18" i="3"/>
  <c r="U18" i="3" s="1"/>
  <c r="M18" i="3"/>
  <c r="Q6" i="3" l="1"/>
  <c r="Q7" i="3"/>
  <c r="W6" i="3"/>
  <c r="W7" i="3"/>
  <c r="Q22" i="3"/>
  <c r="Q8" i="3"/>
  <c r="Q9" i="3"/>
  <c r="Q10" i="3"/>
  <c r="Q11" i="3"/>
  <c r="W9" i="3"/>
  <c r="W10" i="3"/>
  <c r="W11" i="3"/>
  <c r="W27" i="3"/>
  <c r="Q19" i="3"/>
  <c r="Q12" i="3"/>
  <c r="W12" i="3"/>
  <c r="Q13" i="3"/>
  <c r="W13" i="3"/>
  <c r="Q14" i="3"/>
  <c r="W14" i="3"/>
  <c r="Q15" i="3"/>
  <c r="W15" i="3"/>
  <c r="Q16" i="3"/>
  <c r="W16" i="3"/>
  <c r="Q17" i="3"/>
  <c r="W17" i="3"/>
  <c r="W25" i="3"/>
  <c r="W26" i="3"/>
  <c r="W22" i="3"/>
  <c r="Q23" i="3"/>
  <c r="W19" i="3"/>
  <c r="Q18" i="3"/>
  <c r="Q26" i="3"/>
  <c r="Q20" i="3"/>
  <c r="Q27" i="3"/>
  <c r="Q28" i="3"/>
  <c r="Q25" i="3"/>
  <c r="W21" i="3"/>
  <c r="W18" i="3"/>
  <c r="W20" i="3"/>
  <c r="Q21" i="3"/>
  <c r="W23" i="3"/>
  <c r="W29" i="3"/>
  <c r="Q29" i="3"/>
</calcChain>
</file>

<file path=xl/sharedStrings.xml><?xml version="1.0" encoding="utf-8"?>
<sst xmlns="http://schemas.openxmlformats.org/spreadsheetml/2006/main" count="42" uniqueCount="27">
  <si>
    <t>Date of Offering</t>
  </si>
  <si>
    <t>Price to public</t>
  </si>
  <si>
    <t>Percent of offering price</t>
  </si>
  <si>
    <t>Company</t>
  </si>
  <si>
    <t>No. of shares offered</t>
  </si>
  <si>
    <t>Dollar amount of offering</t>
  </si>
  <si>
    <t xml:space="preserve">Underwriters' discount and commission      </t>
  </si>
  <si>
    <t>Gross Proceeds per share</t>
  </si>
  <si>
    <t xml:space="preserve">Estimated company issuance expenses   </t>
  </si>
  <si>
    <t>Net proceeds per share</t>
  </si>
  <si>
    <t>Total Issuance and selling expense</t>
  </si>
  <si>
    <t>Piedmont Natural Gas Company, Inc.</t>
  </si>
  <si>
    <t>Atmos Energy Corporation</t>
  </si>
  <si>
    <t>AGL Resources Inc.</t>
  </si>
  <si>
    <t>The Laclede Group, Inc.</t>
  </si>
  <si>
    <t>Northwest Natural Gas Company</t>
  </si>
  <si>
    <t>WGL Holdings, Inc</t>
  </si>
  <si>
    <t>Average</t>
  </si>
  <si>
    <t>Source of Information: SNL Financial and SEC filings</t>
  </si>
  <si>
    <t>Count</t>
  </si>
  <si>
    <t>Analysis of Public Offerings of Gas Distribution Company Common Stock</t>
  </si>
  <si>
    <t>South Jersey Industries, Inc.</t>
  </si>
  <si>
    <t>Spire, Inc.</t>
  </si>
  <si>
    <t>Chesapeake Utilities Corp.</t>
  </si>
  <si>
    <t>Southwest Gas Holkings</t>
  </si>
  <si>
    <t>New Jersey Resources Corp.</t>
  </si>
  <si>
    <t>12/3/018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</si>
</sst>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0_)"/>
    <numFmt numFmtId="167" formatCode="mm/dd/yy;@"/>
    <numFmt numFmtId="168" formatCode="&quot;$&quot;#,##0.00"/>
    <numFmt numFmtId="169" formatCode="&quot;$&quot;#,##0.000"/>
    <numFmt numFmtId="170" formatCode="&quot;$&quot;#,##0.0000"/>
  </numFmts>
  <fonts count="4" x14ac:knownFonts="1">
    <font>
      <sz val="12"/>
      <name val="Arial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2" quotePrefix="1" applyAlignment="1">
      <alignment horizontal="center"/>
    </xf>
    <xf numFmtId="0" fontId="2" fillId="0" borderId="0" xfId="4" applyFont="1"/>
    <xf numFmtId="0" fontId="2" fillId="0" borderId="1" xfId="4" quotePrefix="1" applyFont="1" applyBorder="1" applyAlignment="1">
      <alignment horizontal="center"/>
    </xf>
    <xf numFmtId="0" fontId="2" fillId="0" borderId="1" xfId="4" applyFont="1" applyBorder="1" applyAlignment="1">
      <alignment horizontal="center" wrapText="1"/>
    </xf>
    <xf numFmtId="0" fontId="2" fillId="0" borderId="0" xfId="4" applyFont="1" applyAlignment="1">
      <alignment horizontal="center"/>
    </xf>
    <xf numFmtId="0" fontId="2" fillId="0" borderId="1" xfId="4" quotePrefix="1" applyFont="1" applyBorder="1" applyAlignment="1">
      <alignment horizontal="center" wrapText="1"/>
    </xf>
    <xf numFmtId="167" fontId="2" fillId="0" borderId="0" xfId="4" applyNumberFormat="1" applyFont="1" applyAlignment="1">
      <alignment horizontal="center"/>
    </xf>
    <xf numFmtId="3" fontId="2" fillId="0" borderId="0" xfId="4" applyNumberFormat="1" applyFont="1"/>
    <xf numFmtId="165" fontId="2" fillId="0" borderId="0" xfId="1" applyNumberFormat="1"/>
    <xf numFmtId="164" fontId="2" fillId="0" borderId="0" xfId="4" applyNumberFormat="1" applyFont="1" applyAlignment="1">
      <alignment horizontal="center"/>
    </xf>
    <xf numFmtId="164" fontId="2" fillId="0" borderId="0" xfId="5" applyNumberFormat="1" applyAlignment="1">
      <alignment horizontal="center"/>
    </xf>
    <xf numFmtId="164" fontId="2" fillId="0" borderId="1" xfId="4" applyNumberFormat="1" applyFont="1" applyBorder="1" applyAlignment="1">
      <alignment horizontal="center"/>
    </xf>
    <xf numFmtId="164" fontId="2" fillId="0" borderId="1" xfId="5" applyNumberFormat="1" applyBorder="1" applyAlignment="1">
      <alignment horizontal="center"/>
    </xf>
    <xf numFmtId="0" fontId="2" fillId="0" borderId="0" xfId="2"/>
    <xf numFmtId="0" fontId="2" fillId="0" borderId="0" xfId="4" applyFont="1" applyAlignment="1">
      <alignment horizontal="left" indent="1"/>
    </xf>
    <xf numFmtId="164" fontId="2" fillId="0" borderId="2" xfId="4" applyNumberFormat="1" applyFont="1" applyBorder="1" applyAlignment="1">
      <alignment horizontal="center"/>
    </xf>
    <xf numFmtId="0" fontId="2" fillId="0" borderId="0" xfId="4" quotePrefix="1" applyFont="1" applyAlignment="1">
      <alignment horizontal="left"/>
    </xf>
    <xf numFmtId="164" fontId="2" fillId="0" borderId="0" xfId="4" applyNumberFormat="1" applyFont="1"/>
    <xf numFmtId="0" fontId="2" fillId="0" borderId="0" xfId="4" applyFont="1" applyAlignment="1">
      <alignment horizontal="left" indent="2"/>
    </xf>
    <xf numFmtId="166" fontId="3" fillId="0" borderId="0" xfId="2" applyNumberFormat="1" applyFont="1"/>
    <xf numFmtId="166" fontId="3" fillId="0" borderId="0" xfId="2" quotePrefix="1" applyNumberFormat="1" applyFont="1" applyAlignment="1">
      <alignment horizontal="left"/>
    </xf>
    <xf numFmtId="168" fontId="2" fillId="0" borderId="0" xfId="1" applyNumberFormat="1"/>
    <xf numFmtId="169" fontId="2" fillId="0" borderId="0" xfId="4" applyNumberFormat="1" applyFont="1"/>
    <xf numFmtId="169" fontId="2" fillId="0" borderId="0" xfId="3" applyNumberFormat="1" applyFont="1"/>
    <xf numFmtId="169" fontId="2" fillId="0" borderId="0" xfId="1" applyNumberFormat="1"/>
    <xf numFmtId="0" fontId="2" fillId="0" borderId="0" xfId="4" quotePrefix="1" applyFont="1" applyBorder="1" applyAlignment="1">
      <alignment horizontal="center"/>
    </xf>
    <xf numFmtId="0" fontId="2" fillId="0" borderId="0" xfId="4" applyFont="1" applyBorder="1" applyAlignment="1">
      <alignment horizontal="center" wrapText="1"/>
    </xf>
    <xf numFmtId="0" fontId="2" fillId="0" borderId="0" xfId="4" quotePrefix="1" applyFont="1" applyBorder="1" applyAlignment="1">
      <alignment horizontal="center" wrapText="1"/>
    </xf>
    <xf numFmtId="170" fontId="2" fillId="0" borderId="0" xfId="1" applyNumberFormat="1"/>
    <xf numFmtId="0" fontId="2" fillId="0" borderId="0" xfId="2" quotePrefix="1" applyAlignment="1">
      <alignment horizontal="center"/>
    </xf>
    <xf numFmtId="0" fontId="2" fillId="0" borderId="1" xfId="4" applyFont="1" applyBorder="1" applyAlignment="1">
      <alignment horizontal="center"/>
    </xf>
  </cellXfs>
  <cellStyles count="6">
    <cellStyle name="Currency 2" xfId="1" xr:uid="{00000000-0005-0000-0000-000000000000}"/>
    <cellStyle name="Normal" xfId="0" builtinId="0"/>
    <cellStyle name="Normal 2" xfId="2" xr:uid="{00000000-0005-0000-0000-000002000000}"/>
    <cellStyle name="Normal_sch9-p1" xfId="3" xr:uid="{00000000-0005-0000-0000-000003000000}"/>
    <cellStyle name="Normal_sch9-p2" xfId="4" xr:uid="{00000000-0005-0000-0000-000004000000}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8"/>
  <sheetViews>
    <sheetView tabSelected="1" zoomScale="75" zoomScaleNormal="75" zoomScalePageLayoutView="85" workbookViewId="0">
      <selection sqref="A1:W1"/>
    </sheetView>
  </sheetViews>
  <sheetFormatPr defaultColWidth="7.21875" defaultRowHeight="15" x14ac:dyDescent="0.4"/>
  <cols>
    <col min="1" max="1" width="28.5546875" style="2" customWidth="1"/>
    <col min="2" max="2" width="2.71875" style="2" customWidth="1"/>
    <col min="3" max="3" width="9.88671875" style="2" bestFit="1" customWidth="1"/>
    <col min="4" max="4" width="2.21875" style="2" customWidth="1"/>
    <col min="5" max="5" width="11.44140625" style="2" customWidth="1"/>
    <col min="6" max="6" width="2.44140625" style="2" customWidth="1"/>
    <col min="7" max="7" width="14.71875" style="2" bestFit="1" customWidth="1"/>
    <col min="8" max="8" width="2.5546875" style="2" customWidth="1"/>
    <col min="9" max="9" width="8.71875" style="2" customWidth="1"/>
    <col min="10" max="10" width="2.5546875" style="2" customWidth="1"/>
    <col min="11" max="11" width="11.71875" style="2" customWidth="1"/>
    <col min="12" max="12" width="2.71875" style="2" customWidth="1"/>
    <col min="13" max="13" width="8.71875" style="2" customWidth="1"/>
    <col min="14" max="14" width="2.71875" style="2" customWidth="1"/>
    <col min="15" max="15" width="9.71875" style="2" bestFit="1" customWidth="1"/>
    <col min="16" max="16" width="2.71875" style="2" customWidth="1"/>
    <col min="17" max="17" width="9.71875" style="2" customWidth="1"/>
    <col min="18" max="18" width="2.71875" style="2" customWidth="1"/>
    <col min="19" max="19" width="11.71875" style="2" customWidth="1"/>
    <col min="20" max="20" width="2.71875" style="2" customWidth="1"/>
    <col min="21" max="21" width="9.71875" style="2" customWidth="1"/>
    <col min="22" max="22" width="2.71875" style="2" customWidth="1"/>
    <col min="23" max="23" width="10.71875" style="2" customWidth="1"/>
    <col min="24" max="24" width="2.71875" style="2" customWidth="1"/>
    <col min="25" max="16384" width="7.21875" style="2"/>
  </cols>
  <sheetData>
    <row r="1" spans="1:23" x14ac:dyDescent="0.4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4">
      <c r="S3" s="31" t="s">
        <v>2</v>
      </c>
      <c r="T3" s="31"/>
      <c r="U3" s="31"/>
      <c r="V3" s="31"/>
      <c r="W3" s="31"/>
    </row>
    <row r="4" spans="1:23" ht="60" x14ac:dyDescent="0.4">
      <c r="A4" s="3" t="s">
        <v>3</v>
      </c>
      <c r="C4" s="4" t="s">
        <v>0</v>
      </c>
      <c r="D4" s="5"/>
      <c r="E4" s="6" t="s">
        <v>4</v>
      </c>
      <c r="F4" s="5"/>
      <c r="G4" s="6" t="s">
        <v>5</v>
      </c>
      <c r="H4" s="5"/>
      <c r="I4" s="4" t="s">
        <v>1</v>
      </c>
      <c r="J4" s="5"/>
      <c r="K4" s="6" t="s">
        <v>6</v>
      </c>
      <c r="M4" s="6" t="s">
        <v>7</v>
      </c>
      <c r="O4" s="6" t="s">
        <v>8</v>
      </c>
      <c r="Q4" s="6" t="s">
        <v>9</v>
      </c>
      <c r="S4" s="6" t="s">
        <v>6</v>
      </c>
      <c r="U4" s="6" t="s">
        <v>8</v>
      </c>
      <c r="W4" s="6" t="s">
        <v>10</v>
      </c>
    </row>
    <row r="5" spans="1:23" x14ac:dyDescent="0.4">
      <c r="A5" s="26"/>
      <c r="C5" s="27"/>
      <c r="D5" s="5"/>
      <c r="E5" s="28"/>
      <c r="F5" s="5"/>
      <c r="G5" s="28"/>
      <c r="H5" s="5"/>
      <c r="I5" s="27"/>
      <c r="J5" s="5"/>
      <c r="K5" s="28"/>
      <c r="M5" s="28"/>
      <c r="O5" s="28"/>
      <c r="Q5" s="28"/>
      <c r="S5" s="28"/>
      <c r="U5" s="28"/>
      <c r="W5" s="28"/>
    </row>
    <row r="6" spans="1:23" x14ac:dyDescent="0.4">
      <c r="A6" s="21" t="s">
        <v>25</v>
      </c>
      <c r="C6" s="7">
        <v>43803</v>
      </c>
      <c r="E6" s="8">
        <v>5700000</v>
      </c>
      <c r="G6" s="9">
        <v>235125000</v>
      </c>
      <c r="I6" s="22">
        <v>41</v>
      </c>
      <c r="K6" s="29">
        <v>1.2375</v>
      </c>
      <c r="M6" s="23">
        <f t="shared" ref="M6" si="0">I6-K6</f>
        <v>39.762500000000003</v>
      </c>
      <c r="O6" s="24">
        <f>ROUND(500000/E6,3)</f>
        <v>8.7999999999999995E-2</v>
      </c>
      <c r="Q6" s="25">
        <f t="shared" ref="Q6" si="1">M6-O6</f>
        <v>39.674500000000002</v>
      </c>
      <c r="S6" s="10">
        <f t="shared" ref="S6" si="2">ROUND(K6/I6,3)</f>
        <v>0.03</v>
      </c>
      <c r="U6" s="11">
        <f t="shared" ref="U6" si="3">ROUND(O6/I6,3)</f>
        <v>2E-3</v>
      </c>
      <c r="W6" s="10">
        <f t="shared" ref="W6" si="4">S6+U6</f>
        <v>3.2000000000000001E-2</v>
      </c>
    </row>
    <row r="7" spans="1:23" x14ac:dyDescent="0.4">
      <c r="A7" s="21" t="s">
        <v>15</v>
      </c>
      <c r="C7" s="7">
        <v>43620</v>
      </c>
      <c r="E7" s="8">
        <v>1250000</v>
      </c>
      <c r="G7" s="9">
        <v>83750000</v>
      </c>
      <c r="I7" s="22">
        <v>67</v>
      </c>
      <c r="K7" s="29">
        <v>2.1775000000000002</v>
      </c>
      <c r="M7" s="23">
        <f t="shared" ref="M7" si="5">I7-K7</f>
        <v>64.822500000000005</v>
      </c>
      <c r="O7" s="24">
        <f>ROUND(400000/E7,3)</f>
        <v>0.32</v>
      </c>
      <c r="Q7" s="25">
        <f t="shared" ref="Q7" si="6">M7-O7</f>
        <v>64.502500000000012</v>
      </c>
      <c r="S7" s="10">
        <f t="shared" ref="S7" si="7">ROUND(K7/I7,3)</f>
        <v>3.3000000000000002E-2</v>
      </c>
      <c r="U7" s="11">
        <f t="shared" ref="U7" si="8">ROUND(O7/I7,3)</f>
        <v>5.0000000000000001E-3</v>
      </c>
      <c r="W7" s="10">
        <f t="shared" ref="W7" si="9">S7+U7</f>
        <v>3.7999999999999999E-2</v>
      </c>
    </row>
    <row r="8" spans="1:23" x14ac:dyDescent="0.4">
      <c r="A8" s="21" t="s">
        <v>12</v>
      </c>
      <c r="C8" s="7" t="s">
        <v>26</v>
      </c>
      <c r="E8" s="8">
        <v>7008000</v>
      </c>
      <c r="G8" s="9">
        <v>650000000</v>
      </c>
      <c r="I8" s="22">
        <v>92.75</v>
      </c>
      <c r="K8" s="29">
        <v>0.97689999999999999</v>
      </c>
      <c r="M8" s="23">
        <f t="shared" ref="M8" si="10">I8-K8</f>
        <v>91.773099999999999</v>
      </c>
      <c r="O8" s="24">
        <f>ROUND(1000000/E8,3)</f>
        <v>0.14299999999999999</v>
      </c>
      <c r="Q8" s="25">
        <f t="shared" ref="Q8" si="11">M8-O8</f>
        <v>91.630099999999999</v>
      </c>
      <c r="S8" s="10">
        <f t="shared" ref="S8" si="12">ROUND(K8/I8,3)</f>
        <v>1.0999999999999999E-2</v>
      </c>
      <c r="U8" s="11">
        <f t="shared" ref="U8" si="13">ROUND(O8/I8,3)</f>
        <v>2E-3</v>
      </c>
      <c r="W8" s="10">
        <f t="shared" ref="W8" si="14">S8+U8</f>
        <v>1.2999999999999999E-2</v>
      </c>
    </row>
    <row r="9" spans="1:23" x14ac:dyDescent="0.4">
      <c r="A9" s="21" t="s">
        <v>24</v>
      </c>
      <c r="C9" s="7">
        <v>43434</v>
      </c>
      <c r="E9" s="8">
        <v>3100000</v>
      </c>
      <c r="G9" s="9">
        <v>234050000</v>
      </c>
      <c r="I9" s="22">
        <v>75.5</v>
      </c>
      <c r="K9" s="29">
        <v>2.5480999999999998</v>
      </c>
      <c r="M9" s="23">
        <f t="shared" ref="M9" si="15">I9-K9</f>
        <v>72.951899999999995</v>
      </c>
      <c r="O9" s="24">
        <f>ROUND(600000/E9,3)</f>
        <v>0.19400000000000001</v>
      </c>
      <c r="Q9" s="25">
        <f t="shared" ref="Q9" si="16">M9-O9</f>
        <v>72.757899999999992</v>
      </c>
      <c r="S9" s="10">
        <f t="shared" ref="S9" si="17">ROUND(K9/I9,3)</f>
        <v>3.4000000000000002E-2</v>
      </c>
      <c r="U9" s="11">
        <f t="shared" ref="U9" si="18">ROUND(O9/I9,3)</f>
        <v>3.0000000000000001E-3</v>
      </c>
      <c r="W9" s="10">
        <f t="shared" ref="W9" si="19">S9+U9</f>
        <v>3.7000000000000005E-2</v>
      </c>
    </row>
    <row r="10" spans="1:23" x14ac:dyDescent="0.4">
      <c r="A10" s="20" t="s">
        <v>21</v>
      </c>
      <c r="C10" s="7">
        <v>43208</v>
      </c>
      <c r="E10" s="8">
        <v>11018000</v>
      </c>
      <c r="G10" s="9">
        <v>325029000</v>
      </c>
      <c r="I10" s="22">
        <v>29.5</v>
      </c>
      <c r="K10" s="29">
        <v>1.0325</v>
      </c>
      <c r="M10" s="23">
        <f t="shared" ref="M10" si="20">I10-K10</f>
        <v>28.467500000000001</v>
      </c>
      <c r="O10" s="24">
        <f>ROUND(700000/E10,3)</f>
        <v>6.4000000000000001E-2</v>
      </c>
      <c r="Q10" s="25">
        <f t="shared" ref="Q10" si="21">M10-O10</f>
        <v>28.403500000000001</v>
      </c>
      <c r="S10" s="10">
        <f t="shared" ref="S10" si="22">ROUND(K10/I10,3)</f>
        <v>3.5000000000000003E-2</v>
      </c>
      <c r="U10" s="11">
        <f t="shared" ref="U10" si="23">ROUND(O10/I10,3)</f>
        <v>2E-3</v>
      </c>
      <c r="W10" s="10">
        <f t="shared" ref="W10" si="24">S10+U10</f>
        <v>3.7000000000000005E-2</v>
      </c>
    </row>
    <row r="11" spans="1:23" x14ac:dyDescent="0.4">
      <c r="A11" s="21" t="s">
        <v>22</v>
      </c>
      <c r="C11" s="7">
        <v>43197</v>
      </c>
      <c r="E11" s="8">
        <v>2000000</v>
      </c>
      <c r="G11" s="9">
        <v>137500000</v>
      </c>
      <c r="I11" s="22">
        <v>68.75</v>
      </c>
      <c r="K11" s="29">
        <v>2.1093999999999999</v>
      </c>
      <c r="M11" s="23">
        <f t="shared" ref="M11" si="25">I11-K11</f>
        <v>66.640600000000006</v>
      </c>
      <c r="O11" s="24">
        <f>ROUND(1000000/E11,3)</f>
        <v>0.5</v>
      </c>
      <c r="Q11" s="25">
        <f t="shared" ref="Q11" si="26">M11-O11</f>
        <v>66.140600000000006</v>
      </c>
      <c r="S11" s="10">
        <f t="shared" ref="S11" si="27">ROUND(K11/I11,3)</f>
        <v>3.1E-2</v>
      </c>
      <c r="U11" s="11">
        <f t="shared" ref="U11" si="28">ROUND(O11/I11,3)</f>
        <v>7.0000000000000001E-3</v>
      </c>
      <c r="W11" s="10">
        <f t="shared" ref="W11" si="29">S11+U11</f>
        <v>3.7999999999999999E-2</v>
      </c>
    </row>
    <row r="12" spans="1:23" x14ac:dyDescent="0.4">
      <c r="A12" s="21" t="s">
        <v>12</v>
      </c>
      <c r="C12" s="7">
        <v>43067</v>
      </c>
      <c r="E12" s="8">
        <v>7008087</v>
      </c>
      <c r="G12" s="9">
        <v>650000069</v>
      </c>
      <c r="I12" s="22">
        <v>92.75</v>
      </c>
      <c r="K12" s="29">
        <v>0.97689999999999999</v>
      </c>
      <c r="M12" s="23">
        <f t="shared" ref="M12" si="30">I12-K12</f>
        <v>91.773099999999999</v>
      </c>
      <c r="O12" s="24">
        <f>ROUND(1000000/E12,3)</f>
        <v>0.14299999999999999</v>
      </c>
      <c r="Q12" s="25">
        <f t="shared" ref="Q12" si="31">M12-O12</f>
        <v>91.630099999999999</v>
      </c>
      <c r="S12" s="10">
        <f t="shared" ref="S12" si="32">ROUND(K12/I12,3)</f>
        <v>1.0999999999999999E-2</v>
      </c>
      <c r="U12" s="11">
        <f t="shared" ref="U12" si="33">ROUND(O12/I12,3)</f>
        <v>2E-3</v>
      </c>
      <c r="W12" s="10">
        <f t="shared" ref="W12" si="34">S12+U12</f>
        <v>1.2999999999999999E-2</v>
      </c>
    </row>
    <row r="13" spans="1:23" x14ac:dyDescent="0.4">
      <c r="A13" s="21" t="s">
        <v>23</v>
      </c>
      <c r="C13" s="7">
        <v>42635</v>
      </c>
      <c r="E13" s="8">
        <v>835000</v>
      </c>
      <c r="G13" s="9">
        <v>51987000</v>
      </c>
      <c r="I13" s="22">
        <v>62.26</v>
      </c>
      <c r="K13" s="29">
        <v>2.33</v>
      </c>
      <c r="M13" s="23">
        <f t="shared" ref="M13" si="35">I13-K13</f>
        <v>59.93</v>
      </c>
      <c r="O13" s="24">
        <f>ROUND(157000/E13,3)</f>
        <v>0.188</v>
      </c>
      <c r="Q13" s="25">
        <f t="shared" ref="Q13" si="36">M13-O13</f>
        <v>59.741999999999997</v>
      </c>
      <c r="S13" s="10">
        <f t="shared" ref="S13" si="37">ROUND(K13/I13,3)</f>
        <v>3.6999999999999998E-2</v>
      </c>
      <c r="U13" s="11">
        <f t="shared" ref="U13" si="38">ROUND(O13/I13,3)</f>
        <v>3.0000000000000001E-3</v>
      </c>
      <c r="W13" s="10">
        <f t="shared" ref="W13" si="39">S13+U13</f>
        <v>0.04</v>
      </c>
    </row>
    <row r="14" spans="1:23" x14ac:dyDescent="0.4">
      <c r="A14" s="21" t="s">
        <v>22</v>
      </c>
      <c r="C14" s="7">
        <v>42502</v>
      </c>
      <c r="E14" s="8">
        <v>1900000</v>
      </c>
      <c r="G14" s="9">
        <v>1891500000</v>
      </c>
      <c r="I14" s="22">
        <v>63.05</v>
      </c>
      <c r="K14" s="29">
        <v>2.0491000000000001</v>
      </c>
      <c r="M14" s="23">
        <f t="shared" ref="M14" si="40">I14-K14</f>
        <v>61.000899999999994</v>
      </c>
      <c r="O14" s="24">
        <f>ROUND(300000/E14,3)</f>
        <v>0.158</v>
      </c>
      <c r="Q14" s="25">
        <f t="shared" ref="Q14" si="41">M14-O14</f>
        <v>60.842899999999993</v>
      </c>
      <c r="S14" s="10">
        <f t="shared" ref="S14" si="42">ROUND(K14/I14,3)</f>
        <v>3.2000000000000001E-2</v>
      </c>
      <c r="U14" s="11">
        <f t="shared" ref="U14" si="43">ROUND(O14/I14,3)</f>
        <v>3.0000000000000001E-3</v>
      </c>
      <c r="W14" s="10">
        <f t="shared" ref="W14" si="44">S14+U14</f>
        <v>3.5000000000000003E-2</v>
      </c>
    </row>
    <row r="15" spans="1:23" x14ac:dyDescent="0.4">
      <c r="A15" s="20" t="s">
        <v>21</v>
      </c>
      <c r="C15" s="7">
        <v>42502</v>
      </c>
      <c r="E15" s="8">
        <v>7000000</v>
      </c>
      <c r="G15" s="9">
        <v>49875000</v>
      </c>
      <c r="I15" s="22">
        <v>26.5</v>
      </c>
      <c r="K15" s="29">
        <v>0.91879999999999995</v>
      </c>
      <c r="M15" s="23">
        <f t="shared" ref="M15" si="45">I15-K15</f>
        <v>25.581199999999999</v>
      </c>
      <c r="O15" s="24">
        <f>ROUND(330000/E15,3)</f>
        <v>4.7E-2</v>
      </c>
      <c r="Q15" s="25">
        <f t="shared" ref="Q15" si="46">M15-O15</f>
        <v>25.534199999999998</v>
      </c>
      <c r="S15" s="10">
        <f t="shared" ref="S15" si="47">ROUND(K15/I15,3)</f>
        <v>3.5000000000000003E-2</v>
      </c>
      <c r="U15" s="11">
        <f t="shared" ref="U15" si="48">ROUND(O15/I15,3)</f>
        <v>2E-3</v>
      </c>
      <c r="W15" s="10">
        <f t="shared" ref="W15" si="49">S15+U15</f>
        <v>3.7000000000000005E-2</v>
      </c>
    </row>
    <row r="16" spans="1:23" x14ac:dyDescent="0.4">
      <c r="A16" s="20" t="s">
        <v>14</v>
      </c>
      <c r="C16" s="7">
        <v>41795</v>
      </c>
      <c r="E16" s="8">
        <v>9000000</v>
      </c>
      <c r="G16" s="9">
        <v>585000000</v>
      </c>
      <c r="I16" s="22">
        <v>47.19</v>
      </c>
      <c r="K16" s="29">
        <v>1.7110000000000001</v>
      </c>
      <c r="M16" s="23">
        <f t="shared" ref="M16" si="50">I16-K16</f>
        <v>45.478999999999999</v>
      </c>
      <c r="O16" s="24">
        <f>ROUND(1000000/E16,3)</f>
        <v>0.111</v>
      </c>
      <c r="Q16" s="25">
        <f t="shared" ref="Q16" si="51">M16-O16</f>
        <v>45.368000000000002</v>
      </c>
      <c r="S16" s="10">
        <f t="shared" ref="S16" si="52">ROUND(K16/I16,3)</f>
        <v>3.5999999999999997E-2</v>
      </c>
      <c r="U16" s="11">
        <f t="shared" ref="U16" si="53">ROUND(O16/I16,3)</f>
        <v>2E-3</v>
      </c>
      <c r="W16" s="10">
        <f t="shared" ref="W16" si="54">S16+U16</f>
        <v>3.7999999999999999E-2</v>
      </c>
    </row>
    <row r="17" spans="1:23" x14ac:dyDescent="0.4">
      <c r="A17" s="21" t="s">
        <v>12</v>
      </c>
      <c r="C17" s="7">
        <v>41681</v>
      </c>
      <c r="E17" s="8">
        <v>8000000</v>
      </c>
      <c r="G17" s="9">
        <v>542000000</v>
      </c>
      <c r="I17" s="22">
        <v>44</v>
      </c>
      <c r="K17" s="29">
        <v>1.54</v>
      </c>
      <c r="M17" s="23">
        <f t="shared" ref="M17" si="55">I17-K17</f>
        <v>42.46</v>
      </c>
      <c r="O17" s="24">
        <f>ROUND(350000/E17,3)</f>
        <v>4.3999999999999997E-2</v>
      </c>
      <c r="Q17" s="25">
        <f t="shared" ref="Q17" si="56">M17-O17</f>
        <v>42.416000000000004</v>
      </c>
      <c r="S17" s="10">
        <f t="shared" ref="S17" si="57">ROUND(K17/I17,3)</f>
        <v>3.5000000000000003E-2</v>
      </c>
      <c r="U17" s="11">
        <f t="shared" ref="U17" si="58">ROUND(O17/I17,3)</f>
        <v>1E-3</v>
      </c>
      <c r="W17" s="10">
        <f t="shared" ref="W17" si="59">S17+U17</f>
        <v>3.6000000000000004E-2</v>
      </c>
    </row>
    <row r="18" spans="1:23" x14ac:dyDescent="0.4">
      <c r="A18" s="20" t="s">
        <v>11</v>
      </c>
      <c r="C18" s="7">
        <v>41303</v>
      </c>
      <c r="E18" s="8">
        <v>4000000</v>
      </c>
      <c r="G18" s="9">
        <v>128000000</v>
      </c>
      <c r="I18" s="22">
        <v>32</v>
      </c>
      <c r="K18" s="29">
        <v>1.1200000000000001</v>
      </c>
      <c r="M18" s="23">
        <f t="shared" ref="M18:M29" si="60">I18-K18</f>
        <v>30.88</v>
      </c>
      <c r="O18" s="24">
        <f>ROUND(350000/E18,3)</f>
        <v>8.7999999999999995E-2</v>
      </c>
      <c r="Q18" s="25">
        <f t="shared" ref="Q18:Q29" si="61">M18-O18</f>
        <v>30.791999999999998</v>
      </c>
      <c r="S18" s="10">
        <f t="shared" ref="S18:S29" si="62">ROUND(K18/I18,3)</f>
        <v>3.5000000000000003E-2</v>
      </c>
      <c r="U18" s="11">
        <f t="shared" ref="U18:U29" si="63">ROUND(O18/I18,3)</f>
        <v>3.0000000000000001E-3</v>
      </c>
      <c r="W18" s="10">
        <f t="shared" ref="W18:W29" si="64">S18+U18</f>
        <v>3.8000000000000006E-2</v>
      </c>
    </row>
    <row r="19" spans="1:23" x14ac:dyDescent="0.4">
      <c r="A19" s="21" t="s">
        <v>12</v>
      </c>
      <c r="C19" s="7">
        <v>39058</v>
      </c>
      <c r="E19" s="8">
        <v>5500000</v>
      </c>
      <c r="G19" s="9">
        <v>173250000</v>
      </c>
      <c r="I19" s="22">
        <v>31.5</v>
      </c>
      <c r="K19" s="29">
        <v>1.1025</v>
      </c>
      <c r="M19" s="23">
        <f t="shared" si="60"/>
        <v>30.397500000000001</v>
      </c>
      <c r="O19" s="24">
        <f>ROUND(400000/E19,3)</f>
        <v>7.2999999999999995E-2</v>
      </c>
      <c r="Q19" s="25">
        <f t="shared" si="61"/>
        <v>30.3245</v>
      </c>
      <c r="S19" s="10">
        <f t="shared" si="62"/>
        <v>3.5000000000000003E-2</v>
      </c>
      <c r="U19" s="11">
        <f t="shared" si="63"/>
        <v>2E-3</v>
      </c>
      <c r="W19" s="10">
        <f t="shared" si="64"/>
        <v>3.7000000000000005E-2</v>
      </c>
    </row>
    <row r="20" spans="1:23" x14ac:dyDescent="0.4">
      <c r="A20" s="21" t="s">
        <v>13</v>
      </c>
      <c r="C20" s="7">
        <v>38310</v>
      </c>
      <c r="E20" s="8">
        <v>9600000</v>
      </c>
      <c r="G20" s="9">
        <v>297696000</v>
      </c>
      <c r="I20" s="22">
        <v>31.01</v>
      </c>
      <c r="K20" s="29">
        <v>0.93</v>
      </c>
      <c r="M20" s="23">
        <f t="shared" si="60"/>
        <v>30.080000000000002</v>
      </c>
      <c r="O20" s="24">
        <f>ROUND(400000/E20,3)</f>
        <v>4.2000000000000003E-2</v>
      </c>
      <c r="Q20" s="25">
        <f t="shared" si="61"/>
        <v>30.038</v>
      </c>
      <c r="S20" s="10">
        <f t="shared" si="62"/>
        <v>0.03</v>
      </c>
      <c r="U20" s="11">
        <f t="shared" si="63"/>
        <v>1E-3</v>
      </c>
      <c r="W20" s="10">
        <f t="shared" si="64"/>
        <v>3.1E-2</v>
      </c>
    </row>
    <row r="21" spans="1:23" x14ac:dyDescent="0.4">
      <c r="A21" s="21" t="s">
        <v>12</v>
      </c>
      <c r="C21" s="7">
        <v>38281</v>
      </c>
      <c r="E21" s="8">
        <v>14000000</v>
      </c>
      <c r="G21" s="9">
        <v>346500000</v>
      </c>
      <c r="I21" s="22">
        <v>24.75</v>
      </c>
      <c r="K21" s="29">
        <v>0.99</v>
      </c>
      <c r="M21" s="23">
        <f t="shared" si="60"/>
        <v>23.76</v>
      </c>
      <c r="O21" s="24">
        <f>ROUND(400000/E21,3)</f>
        <v>2.9000000000000001E-2</v>
      </c>
      <c r="Q21" s="25">
        <f t="shared" si="61"/>
        <v>23.731000000000002</v>
      </c>
      <c r="S21" s="10">
        <f t="shared" si="62"/>
        <v>0.04</v>
      </c>
      <c r="U21" s="11">
        <f t="shared" si="63"/>
        <v>1E-3</v>
      </c>
      <c r="W21" s="10">
        <f t="shared" si="64"/>
        <v>4.1000000000000002E-2</v>
      </c>
    </row>
    <row r="22" spans="1:23" x14ac:dyDescent="0.4">
      <c r="A22" s="21" t="s">
        <v>12</v>
      </c>
      <c r="C22" s="7">
        <v>38187</v>
      </c>
      <c r="E22" s="8">
        <v>8650000</v>
      </c>
      <c r="G22" s="9">
        <v>214087500</v>
      </c>
      <c r="I22" s="22">
        <v>24.75</v>
      </c>
      <c r="K22" s="29">
        <v>0.99</v>
      </c>
      <c r="M22" s="23">
        <f t="shared" si="60"/>
        <v>23.76</v>
      </c>
      <c r="O22" s="24">
        <f>ROUND(400000/E22,3)</f>
        <v>4.5999999999999999E-2</v>
      </c>
      <c r="Q22" s="25">
        <f t="shared" si="61"/>
        <v>23.714000000000002</v>
      </c>
      <c r="S22" s="10">
        <f t="shared" si="62"/>
        <v>0.04</v>
      </c>
      <c r="U22" s="11">
        <f t="shared" si="63"/>
        <v>2E-3</v>
      </c>
      <c r="W22" s="10">
        <f t="shared" si="64"/>
        <v>4.2000000000000003E-2</v>
      </c>
    </row>
    <row r="23" spans="1:23" x14ac:dyDescent="0.4">
      <c r="A23" s="20" t="s">
        <v>14</v>
      </c>
      <c r="C23" s="7">
        <v>38132</v>
      </c>
      <c r="E23" s="8">
        <v>1500000</v>
      </c>
      <c r="G23" s="9">
        <v>40200000</v>
      </c>
      <c r="I23" s="22">
        <v>26.8</v>
      </c>
      <c r="K23" s="29">
        <v>0.871</v>
      </c>
      <c r="M23" s="23">
        <f t="shared" si="60"/>
        <v>25.929000000000002</v>
      </c>
      <c r="O23" s="24">
        <f>ROUND(100000/E23,3)</f>
        <v>6.7000000000000004E-2</v>
      </c>
      <c r="Q23" s="25">
        <f t="shared" si="61"/>
        <v>25.862000000000002</v>
      </c>
      <c r="S23" s="10">
        <f t="shared" si="62"/>
        <v>3.3000000000000002E-2</v>
      </c>
      <c r="U23" s="11">
        <f t="shared" si="63"/>
        <v>3.0000000000000001E-3</v>
      </c>
      <c r="W23" s="10">
        <f t="shared" si="64"/>
        <v>3.6000000000000004E-2</v>
      </c>
    </row>
    <row r="24" spans="1:23" x14ac:dyDescent="0.4">
      <c r="A24" s="21" t="s">
        <v>15</v>
      </c>
      <c r="C24" s="7">
        <v>38076</v>
      </c>
      <c r="E24" s="8">
        <v>1200000</v>
      </c>
      <c r="G24" s="9">
        <v>37200000</v>
      </c>
      <c r="I24" s="22">
        <v>31</v>
      </c>
      <c r="K24" s="29">
        <v>1.01</v>
      </c>
      <c r="M24" s="23">
        <f t="shared" si="60"/>
        <v>29.99</v>
      </c>
      <c r="O24" s="24">
        <f>ROUND(175000/E24,3)</f>
        <v>0.14599999999999999</v>
      </c>
      <c r="Q24" s="25">
        <f t="shared" si="61"/>
        <v>29.843999999999998</v>
      </c>
      <c r="S24" s="10">
        <f t="shared" si="62"/>
        <v>3.3000000000000002E-2</v>
      </c>
      <c r="U24" s="11">
        <f t="shared" si="63"/>
        <v>5.0000000000000001E-3</v>
      </c>
      <c r="W24" s="10">
        <f t="shared" si="64"/>
        <v>3.7999999999999999E-2</v>
      </c>
    </row>
    <row r="25" spans="1:23" x14ac:dyDescent="0.4">
      <c r="A25" s="21" t="s">
        <v>11</v>
      </c>
      <c r="C25" s="7">
        <v>38009</v>
      </c>
      <c r="E25" s="8">
        <v>4250000</v>
      </c>
      <c r="G25" s="9">
        <v>180625000</v>
      </c>
      <c r="I25" s="22">
        <v>42.5</v>
      </c>
      <c r="K25" s="29">
        <v>1.49</v>
      </c>
      <c r="M25" s="23">
        <f t="shared" si="60"/>
        <v>41.01</v>
      </c>
      <c r="O25" s="24">
        <f>ROUND(350000/E25,3)</f>
        <v>8.2000000000000003E-2</v>
      </c>
      <c r="Q25" s="25">
        <f t="shared" si="61"/>
        <v>40.927999999999997</v>
      </c>
      <c r="S25" s="10">
        <f t="shared" si="62"/>
        <v>3.5000000000000003E-2</v>
      </c>
      <c r="U25" s="11">
        <f t="shared" si="63"/>
        <v>2E-3</v>
      </c>
      <c r="W25" s="10">
        <f t="shared" si="64"/>
        <v>3.7000000000000005E-2</v>
      </c>
    </row>
    <row r="26" spans="1:23" x14ac:dyDescent="0.4">
      <c r="A26" s="21" t="s">
        <v>12</v>
      </c>
      <c r="C26" s="7">
        <v>37790</v>
      </c>
      <c r="E26" s="8">
        <v>4000000</v>
      </c>
      <c r="G26" s="9">
        <v>101240000</v>
      </c>
      <c r="I26" s="22">
        <v>25.31</v>
      </c>
      <c r="K26" s="29">
        <v>1.0124</v>
      </c>
      <c r="M26" s="23">
        <f t="shared" si="60"/>
        <v>24.297599999999999</v>
      </c>
      <c r="O26" s="24">
        <f>ROUND(380000/E26,3)</f>
        <v>9.5000000000000001E-2</v>
      </c>
      <c r="Q26" s="25">
        <f t="shared" si="61"/>
        <v>24.2026</v>
      </c>
      <c r="S26" s="10">
        <f t="shared" si="62"/>
        <v>0.04</v>
      </c>
      <c r="U26" s="11">
        <f t="shared" si="63"/>
        <v>4.0000000000000001E-3</v>
      </c>
      <c r="W26" s="10">
        <f t="shared" si="64"/>
        <v>4.3999999999999997E-2</v>
      </c>
    </row>
    <row r="27" spans="1:23" x14ac:dyDescent="0.4">
      <c r="A27" s="21" t="s">
        <v>13</v>
      </c>
      <c r="C27" s="7">
        <v>37663</v>
      </c>
      <c r="E27" s="8">
        <v>5600000</v>
      </c>
      <c r="G27" s="9">
        <v>123200000</v>
      </c>
      <c r="I27" s="22">
        <v>22</v>
      </c>
      <c r="K27" s="29">
        <v>0.77</v>
      </c>
      <c r="M27" s="23">
        <f t="shared" si="60"/>
        <v>21.23</v>
      </c>
      <c r="O27" s="24">
        <f>ROUND(250000/E27,3)</f>
        <v>4.4999999999999998E-2</v>
      </c>
      <c r="Q27" s="25">
        <f t="shared" si="61"/>
        <v>21.184999999999999</v>
      </c>
      <c r="S27" s="10">
        <f t="shared" si="62"/>
        <v>3.5000000000000003E-2</v>
      </c>
      <c r="U27" s="11">
        <f t="shared" si="63"/>
        <v>2E-3</v>
      </c>
      <c r="W27" s="10">
        <f t="shared" si="64"/>
        <v>3.7000000000000005E-2</v>
      </c>
    </row>
    <row r="28" spans="1:23" x14ac:dyDescent="0.4">
      <c r="A28" s="20" t="s">
        <v>16</v>
      </c>
      <c r="C28" s="7">
        <v>37068</v>
      </c>
      <c r="E28" s="8">
        <v>1790000</v>
      </c>
      <c r="G28" s="9">
        <v>47846700</v>
      </c>
      <c r="I28" s="22">
        <v>26.73</v>
      </c>
      <c r="K28" s="29">
        <v>0.89500000000000002</v>
      </c>
      <c r="M28" s="23">
        <f t="shared" si="60"/>
        <v>25.835000000000001</v>
      </c>
      <c r="O28" s="24">
        <f>ROUND(56218/E28,3)</f>
        <v>3.1E-2</v>
      </c>
      <c r="Q28" s="25">
        <f t="shared" si="61"/>
        <v>25.804000000000002</v>
      </c>
      <c r="S28" s="10">
        <f t="shared" si="62"/>
        <v>3.3000000000000002E-2</v>
      </c>
      <c r="U28" s="11">
        <f t="shared" si="63"/>
        <v>1E-3</v>
      </c>
      <c r="W28" s="10">
        <f t="shared" si="64"/>
        <v>3.4000000000000002E-2</v>
      </c>
    </row>
    <row r="29" spans="1:23" x14ac:dyDescent="0.4">
      <c r="A29" s="21" t="s">
        <v>12</v>
      </c>
      <c r="C29" s="7">
        <v>36837</v>
      </c>
      <c r="E29" s="8">
        <v>6000000</v>
      </c>
      <c r="G29" s="9">
        <v>133500000</v>
      </c>
      <c r="I29" s="22">
        <v>22.25</v>
      </c>
      <c r="K29" s="29">
        <v>1.1100000000000001</v>
      </c>
      <c r="M29" s="23">
        <f t="shared" si="60"/>
        <v>21.14</v>
      </c>
      <c r="O29" s="24">
        <f>ROUND(350000/E29,3)</f>
        <v>5.8000000000000003E-2</v>
      </c>
      <c r="Q29" s="25">
        <f t="shared" si="61"/>
        <v>21.082000000000001</v>
      </c>
      <c r="S29" s="12">
        <f t="shared" si="62"/>
        <v>0.05</v>
      </c>
      <c r="U29" s="13">
        <f t="shared" si="63"/>
        <v>3.0000000000000001E-3</v>
      </c>
      <c r="W29" s="12">
        <f t="shared" si="64"/>
        <v>5.3000000000000005E-2</v>
      </c>
    </row>
    <row r="30" spans="1:23" x14ac:dyDescent="0.4">
      <c r="I30" s="14"/>
      <c r="J30" s="14"/>
      <c r="K30" s="14"/>
      <c r="M30" s="14"/>
    </row>
    <row r="31" spans="1:23" ht="15.4" thickBot="1" x14ac:dyDescent="0.45">
      <c r="A31" s="15" t="s">
        <v>17</v>
      </c>
      <c r="G31" s="14"/>
      <c r="I31" s="14"/>
      <c r="J31" s="14"/>
      <c r="K31" s="14"/>
      <c r="M31" s="14"/>
      <c r="S31" s="16">
        <f>AVERAGE(S6:S29)</f>
        <v>3.3291666666666685E-2</v>
      </c>
      <c r="U31" s="16">
        <f>AVERAGE(U6:U29)</f>
        <v>2.6250000000000006E-3</v>
      </c>
      <c r="W31" s="16">
        <f>AVERAGE(W6:W29)</f>
        <v>3.5916666666666687E-2</v>
      </c>
    </row>
    <row r="32" spans="1:23" ht="15.4" thickTop="1" x14ac:dyDescent="0.4">
      <c r="A32" s="15"/>
    </row>
    <row r="33" spans="1:23" x14ac:dyDescent="0.4">
      <c r="A33" s="17" t="s">
        <v>18</v>
      </c>
      <c r="W33" s="18"/>
    </row>
    <row r="38" spans="1:23" x14ac:dyDescent="0.4">
      <c r="A38" s="19" t="s">
        <v>19</v>
      </c>
      <c r="C38" s="2">
        <f>COUNTA(C6:C29)</f>
        <v>24</v>
      </c>
    </row>
  </sheetData>
  <mergeCells count="2">
    <mergeCell ref="A1:W1"/>
    <mergeCell ref="S3:W3"/>
  </mergeCells>
  <pageMargins left="0.75" right="0.25" top="1.5" bottom="1" header="0.5" footer="0.5"/>
  <pageSetup scale="44" orientation="portrait" r:id="rId1"/>
  <headerFooter alignWithMargins="0">
    <oddHeader>&amp;R&amp;22Exhibit No. PRM-1
Page 19 of 30
Schedule 11 [1 of 1]</oddHeader>
  </headerFooter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 A C T I V E ! 1 5 6 7 5 8 3 4 . 1 < / d o c u m e n t i d >  
     < s e n d e r i d > K E A B E T < / s e n d e r i d >  
     < s e n d e r e m a i l > B K E A T I N G @ G U N S T E R . C O M < / s e n d e r e m a i l >  
     < l a s t m o d i f i e d > 2 0 2 2 - 0 6 - 0 3 T 1 0 : 5 4 : 3 4 . 0 0 0 0 0 0 0 - 0 4 : 0 0 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Company>DellComputerCorporation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Paul</cp:lastModifiedBy>
  <cp:lastPrinted>2022-04-22T19:27:49Z</cp:lastPrinted>
  <dcterms:created xsi:type="dcterms:W3CDTF">2001-03-07T16:27:51Z</dcterms:created>
  <dcterms:modified xsi:type="dcterms:W3CDTF">2022-06-03T14:54:34Z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{FB231F7B-26DB-478C-AA63-B81C8CF3E66C}</vt:lpwstr>
  </property>
</Properties>
</file>