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 20220067-GU\ROG's and POD's\OPC\POD 1-59\Filing\"/>
    </mc:Choice>
  </mc:AlternateContent>
  <bookViews>
    <workbookView xWindow="0" yWindow="0" windowWidth="25200" windowHeight="11250"/>
  </bookViews>
  <sheets>
    <sheet name="FC Depreciation Expense" sheetId="1" r:id="rId1"/>
    <sheet name="Common Plant Allocation Factor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 localSheetId="1">{2}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 localSheetId="1">Word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 localSheetId="1">Word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 localSheetId="1">{"Client Name or Project Name"}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 localSheetId="1">{"Client Name or Project Name"}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 localSheetId="1">Word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 localSheetId="1">{2}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localSheetId="1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1" hidden="1">{"LBO Summary",#N/A,FALSE,"Summary"}</definedName>
    <definedName name="wrn.LBO._.Summary." hidden="1">{"LBO Summary",#N/A,FALSE,"Summary"}</definedName>
    <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2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H23" i="2" l="1"/>
  <c r="H24" i="2" s="1"/>
  <c r="F23" i="2"/>
  <c r="E23" i="2"/>
  <c r="D23" i="2"/>
  <c r="C23" i="2"/>
  <c r="B23" i="2"/>
  <c r="G22" i="2"/>
  <c r="G21" i="2"/>
  <c r="G23" i="2" s="1"/>
  <c r="G9" i="2"/>
  <c r="E9" i="2"/>
  <c r="D9" i="2"/>
  <c r="C9" i="2"/>
  <c r="B9" i="2"/>
  <c r="H7" i="2"/>
  <c r="H6" i="2"/>
  <c r="G5" i="2"/>
  <c r="F5" i="2"/>
  <c r="F8" i="2" s="1"/>
  <c r="F10" i="2" s="1"/>
  <c r="E5" i="2"/>
  <c r="E8" i="2" s="1"/>
  <c r="E10" i="2" s="1"/>
  <c r="D5" i="2"/>
  <c r="D8" i="2" s="1"/>
  <c r="D10" i="2" s="1"/>
  <c r="C5" i="2"/>
  <c r="C8" i="2" s="1"/>
  <c r="B5" i="2"/>
  <c r="G4" i="2"/>
  <c r="H4" i="2" s="1"/>
  <c r="I17" i="1"/>
  <c r="E17" i="1"/>
  <c r="D17" i="1"/>
  <c r="M15" i="1"/>
  <c r="M17" i="1" s="1"/>
  <c r="L15" i="1"/>
  <c r="L17" i="1" s="1"/>
  <c r="K15" i="1"/>
  <c r="K17" i="1" s="1"/>
  <c r="J15" i="1"/>
  <c r="J17" i="1" s="1"/>
  <c r="I15" i="1"/>
  <c r="H15" i="1"/>
  <c r="H17" i="1" s="1"/>
  <c r="G15" i="1"/>
  <c r="G17" i="1" s="1"/>
  <c r="F15" i="1"/>
  <c r="F17" i="1" s="1"/>
  <c r="E15" i="1"/>
  <c r="D15" i="1"/>
  <c r="C15" i="1"/>
  <c r="C17" i="1" s="1"/>
  <c r="B15" i="1"/>
  <c r="B17" i="1" s="1"/>
  <c r="N13" i="1"/>
  <c r="N12" i="1"/>
  <c r="N11" i="1"/>
  <c r="N10" i="1"/>
  <c r="N9" i="1"/>
  <c r="N8" i="1"/>
  <c r="N7" i="1"/>
  <c r="N6" i="1"/>
  <c r="N5" i="1"/>
  <c r="N4" i="1"/>
  <c r="N15" i="1" l="1"/>
  <c r="H5" i="2"/>
  <c r="G24" i="2"/>
  <c r="D24" i="2"/>
  <c r="C10" i="2"/>
  <c r="H8" i="2"/>
  <c r="H10" i="2" s="1"/>
  <c r="E11" i="2" s="1"/>
  <c r="E24" i="2"/>
  <c r="B8" i="2"/>
  <c r="B10" i="2" s="1"/>
  <c r="B24" i="2"/>
  <c r="F24" i="2"/>
  <c r="G8" i="2"/>
  <c r="G10" i="2" s="1"/>
  <c r="C24" i="2"/>
  <c r="D11" i="2" l="1"/>
  <c r="C11" i="2"/>
  <c r="B11" i="2"/>
  <c r="N17" i="1"/>
  <c r="G11" i="2"/>
  <c r="H13" i="2"/>
  <c r="H11" i="2"/>
  <c r="F11" i="2"/>
  <c r="H14" i="2" l="1"/>
  <c r="H15" i="2" s="1"/>
  <c r="R3" i="1" l="1"/>
  <c r="S3" i="1"/>
  <c r="T3" i="1"/>
  <c r="V3" i="1"/>
  <c r="Q3" i="1"/>
  <c r="U3" i="1"/>
  <c r="S16" i="1" l="1"/>
  <c r="S4" i="1"/>
  <c r="S8" i="1"/>
  <c r="S10" i="1"/>
  <c r="S7" i="1"/>
  <c r="S9" i="1"/>
  <c r="S5" i="1"/>
  <c r="S12" i="1"/>
  <c r="S11" i="1"/>
  <c r="S13" i="1"/>
  <c r="S14" i="1"/>
  <c r="S6" i="1"/>
  <c r="S15" i="1"/>
  <c r="S17" i="1"/>
  <c r="U16" i="1"/>
  <c r="U5" i="1"/>
  <c r="U12" i="1"/>
  <c r="U14" i="1"/>
  <c r="U6" i="1"/>
  <c r="U4" i="1"/>
  <c r="U13" i="1"/>
  <c r="U10" i="1"/>
  <c r="U9" i="1"/>
  <c r="U11" i="1"/>
  <c r="U7" i="1"/>
  <c r="U8" i="1"/>
  <c r="U15" i="1"/>
  <c r="U17" i="1"/>
  <c r="V14" i="1"/>
  <c r="V10" i="1"/>
  <c r="V9" i="1"/>
  <c r="V5" i="1"/>
  <c r="V8" i="1"/>
  <c r="V6" i="1"/>
  <c r="V16" i="1"/>
  <c r="V12" i="1"/>
  <c r="V7" i="1"/>
  <c r="V13" i="1"/>
  <c r="V11" i="1"/>
  <c r="V15" i="1"/>
  <c r="V4" i="1"/>
  <c r="V17" i="1"/>
  <c r="R14" i="1"/>
  <c r="R5" i="1"/>
  <c r="R9" i="1"/>
  <c r="R16" i="1"/>
  <c r="R12" i="1"/>
  <c r="R10" i="1"/>
  <c r="R4" i="1"/>
  <c r="R15" i="1"/>
  <c r="R6" i="1"/>
  <c r="R13" i="1"/>
  <c r="R8" i="1"/>
  <c r="R7" i="1"/>
  <c r="R11" i="1"/>
  <c r="R17" i="1"/>
  <c r="Q16" i="1"/>
  <c r="Q5" i="1"/>
  <c r="Q13" i="1"/>
  <c r="Q10" i="1"/>
  <c r="Q9" i="1"/>
  <c r="Q12" i="1"/>
  <c r="Q7" i="1"/>
  <c r="Q8" i="1"/>
  <c r="Q6" i="1"/>
  <c r="Q14" i="1"/>
  <c r="Q4" i="1"/>
  <c r="Q11" i="1"/>
  <c r="Q15" i="1"/>
  <c r="Q17" i="1"/>
  <c r="T16" i="1"/>
  <c r="T13" i="1"/>
  <c r="T6" i="1"/>
  <c r="T8" i="1"/>
  <c r="T11" i="1"/>
  <c r="T4" i="1"/>
  <c r="T15" i="1"/>
  <c r="T9" i="1"/>
  <c r="T10" i="1"/>
  <c r="T5" i="1"/>
  <c r="T12" i="1"/>
  <c r="T14" i="1"/>
  <c r="T7" i="1"/>
  <c r="T17" i="1"/>
</calcChain>
</file>

<file path=xl/sharedStrings.xml><?xml version="1.0" encoding="utf-8"?>
<sst xmlns="http://schemas.openxmlformats.org/spreadsheetml/2006/main" count="80" uniqueCount="70">
  <si>
    <t>Work_Cap</t>
  </si>
  <si>
    <t>YEAR END</t>
  </si>
  <si>
    <t>Row Labels</t>
  </si>
  <si>
    <t>Sum of 1/31/2021</t>
  </si>
  <si>
    <t>Sum of 2/28/2021</t>
  </si>
  <si>
    <t>Sum of 3/31/2021</t>
  </si>
  <si>
    <t>Sum of 4/30/2021</t>
  </si>
  <si>
    <t>Sum of 5/31/2021</t>
  </si>
  <si>
    <t>Sum of 6/30/2021</t>
  </si>
  <si>
    <t>Sum of 7/31/2021</t>
  </si>
  <si>
    <t>Sum of 8/31/2021</t>
  </si>
  <si>
    <t>Sum of 9/30/2021</t>
  </si>
  <si>
    <t>Sum of 10/31/2021</t>
  </si>
  <si>
    <t>Sum of 11/30/2021</t>
  </si>
  <si>
    <t>Sum of 12/31/2021</t>
  </si>
  <si>
    <t>Total</t>
  </si>
  <si>
    <t>Allocations</t>
  </si>
  <si>
    <t>ELECTRIC %</t>
  </si>
  <si>
    <t>NAT. GAS %</t>
  </si>
  <si>
    <t>CFG%</t>
  </si>
  <si>
    <t>IND %</t>
  </si>
  <si>
    <t>FT. MEADE</t>
  </si>
  <si>
    <t>OTHER %</t>
  </si>
  <si>
    <t>1-3890 - Land &amp; Land Rights</t>
  </si>
  <si>
    <t>1-3900 - Struc&amp;Impr</t>
  </si>
  <si>
    <t>1-3910 - Offc Furn &amp; Eq</t>
  </si>
  <si>
    <t>1-3912 - Comp Hdwr</t>
  </si>
  <si>
    <t>1-3913 - Furn &amp; Fix</t>
  </si>
  <si>
    <t>1-3914 - Sys Sftwr</t>
  </si>
  <si>
    <t>1-3921 - Cars</t>
  </si>
  <si>
    <t>1-3922 - Lt Truck/Van</t>
  </si>
  <si>
    <t>1-3970 - Comm Eq</t>
  </si>
  <si>
    <t>1-3980 - Misc Equip</t>
  </si>
  <si>
    <t>Grand Total</t>
  </si>
  <si>
    <t>with vehicles</t>
  </si>
  <si>
    <t>Less Vehicles</t>
  </si>
  <si>
    <t>921 Depreciation</t>
  </si>
  <si>
    <t>without vehicles</t>
  </si>
  <si>
    <t>Obtain Information from FNPA and reconcile to GL 7785-9210 and Power Plan Depreciation Expense:</t>
  </si>
  <si>
    <t>CF</t>
  </si>
  <si>
    <t>FE</t>
  </si>
  <si>
    <t>FI</t>
  </si>
  <si>
    <t>FN</t>
  </si>
  <si>
    <t xml:space="preserve">FT </t>
  </si>
  <si>
    <t>All Other Utilities</t>
  </si>
  <si>
    <t>Allocation Basis</t>
  </si>
  <si>
    <t>Related to FC Based on Depreciation Expense:</t>
  </si>
  <si>
    <t>Clear OB 453 Yulee in 7785-9210</t>
  </si>
  <si>
    <t>Based on Usage Departments</t>
  </si>
  <si>
    <t>A</t>
  </si>
  <si>
    <t>Clear OB 780 Ecoplex in 7785-9210</t>
  </si>
  <si>
    <t>AA700 Software Imbalance in 7785-9210</t>
  </si>
  <si>
    <t>Depreciation Study</t>
  </si>
  <si>
    <t>CU-91-IT806-7700 IT imbalance plus IT costs</t>
  </si>
  <si>
    <t>IT Corporate Allocation %'s</t>
  </si>
  <si>
    <t>Total FC depreciation</t>
  </si>
  <si>
    <t>IT depreciation charged as vehicles</t>
  </si>
  <si>
    <t>Not booked-have to reduce op expenses for this</t>
  </si>
  <si>
    <t>Allocation Factor FC</t>
  </si>
  <si>
    <t>Vehicles allocated based on departments</t>
  </si>
  <si>
    <t>FC with vehicles</t>
  </si>
  <si>
    <t>Per Lauren's Depreciation Expense</t>
  </si>
  <si>
    <t>OB 780 Corporate</t>
  </si>
  <si>
    <t>OB 780 Skipjack</t>
  </si>
  <si>
    <t>Sum of A's should total 7785-9210's</t>
  </si>
  <si>
    <t>Two Above are included below and tie to Val's schedule:</t>
  </si>
  <si>
    <t>CU90 Asset Dep allocated to BU's</t>
  </si>
  <si>
    <t>Tie to Lauren's Schedule</t>
  </si>
  <si>
    <t>Skipjack Asset Dep allocated to BU's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</si>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</sst>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ont="1"/>
    <xf numFmtId="164" fontId="0" fillId="0" borderId="0" xfId="1" applyNumberFormat="1" applyFont="1"/>
    <xf numFmtId="10" fontId="2" fillId="0" borderId="0" xfId="0" applyNumberFormat="1" applyFont="1" applyFill="1" applyAlignment="1">
      <alignment horizontal="center"/>
    </xf>
    <xf numFmtId="164" fontId="0" fillId="0" borderId="0" xfId="0" applyNumberFormat="1"/>
    <xf numFmtId="43" fontId="0" fillId="0" borderId="0" xfId="0" applyNumberFormat="1"/>
    <xf numFmtId="43" fontId="0" fillId="0" borderId="1" xfId="0" applyNumberFormat="1" applyBorder="1"/>
    <xf numFmtId="0" fontId="3" fillId="0" borderId="0" xfId="0" applyFont="1"/>
    <xf numFmtId="43" fontId="0" fillId="0" borderId="2" xfId="0" applyNumberFormat="1" applyBorder="1"/>
    <xf numFmtId="0" fontId="1" fillId="0" borderId="0" xfId="0" applyFont="1" applyAlignment="1">
      <alignment horizontal="center"/>
    </xf>
    <xf numFmtId="10" fontId="0" fillId="0" borderId="0" xfId="2" applyNumberFormat="1" applyFont="1"/>
    <xf numFmtId="43" fontId="0" fillId="0" borderId="0" xfId="1" applyFont="1" applyFill="1"/>
    <xf numFmtId="43" fontId="0" fillId="0" borderId="0" xfId="1" applyFont="1"/>
    <xf numFmtId="43" fontId="4" fillId="0" borderId="0" xfId="1" applyFont="1"/>
    <xf numFmtId="0" fontId="0" fillId="0" borderId="0" xfId="0" applyAlignment="1">
      <alignment wrapText="1"/>
    </xf>
    <xf numFmtId="0" fontId="0" fillId="2" borderId="0" xfId="0" applyFill="1"/>
    <xf numFmtId="43" fontId="0" fillId="2" borderId="0" xfId="0" applyNumberFormat="1" applyFill="1"/>
    <xf numFmtId="164" fontId="0" fillId="2" borderId="0" xfId="0" applyNumberFormat="1" applyFill="1"/>
  </cellXfs>
  <cellStyles count="3">
    <cellStyle name="Comma 10" xfId="1"/>
    <cellStyle name="Normal" xfId="0" builtinId="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1.xml" Id="rId13" /><Relationship Type="http://schemas.openxmlformats.org/officeDocument/2006/relationships/externalLink" Target="externalLinks/externalLink16.xml" Id="rId18" /><Relationship Type="http://schemas.openxmlformats.org/officeDocument/2006/relationships/externalLink" Target="externalLinks/externalLink24.xml" Id="rId26" /><Relationship Type="http://schemas.openxmlformats.org/officeDocument/2006/relationships/externalLink" Target="externalLinks/externalLink37.xml" Id="rId39" /><Relationship Type="http://schemas.openxmlformats.org/officeDocument/2006/relationships/externalLink" Target="externalLinks/externalLink19.xml" Id="rId21" /><Relationship Type="http://schemas.openxmlformats.org/officeDocument/2006/relationships/externalLink" Target="externalLinks/externalLink32.xml" Id="rId34" /><Relationship Type="http://schemas.openxmlformats.org/officeDocument/2006/relationships/externalLink" Target="externalLinks/externalLink40.xml" Id="rId42" /><Relationship Type="http://schemas.openxmlformats.org/officeDocument/2006/relationships/externalLink" Target="externalLinks/externalLink45.xml" Id="rId47" /><Relationship Type="http://schemas.openxmlformats.org/officeDocument/2006/relationships/externalLink" Target="externalLinks/externalLink48.xml" Id="rId50" /><Relationship Type="http://schemas.openxmlformats.org/officeDocument/2006/relationships/externalLink" Target="externalLinks/externalLink53.xml" Id="rId55" /><Relationship Type="http://schemas.openxmlformats.org/officeDocument/2006/relationships/externalLink" Target="externalLinks/externalLink61.xml" Id="rId63" /><Relationship Type="http://schemas.openxmlformats.org/officeDocument/2006/relationships/calcChain" Target="calcChain.xml" Id="rId68" /><Relationship Type="http://schemas.openxmlformats.org/officeDocument/2006/relationships/externalLink" Target="externalLinks/externalLink5.xml" Id="rId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4.xml" Id="rId16" /><Relationship Type="http://schemas.openxmlformats.org/officeDocument/2006/relationships/externalLink" Target="externalLinks/externalLink27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4.xml" Id="rId6" /><Relationship Type="http://schemas.openxmlformats.org/officeDocument/2006/relationships/externalLink" Target="externalLinks/externalLink9.xml" Id="rId11" /><Relationship Type="http://schemas.openxmlformats.org/officeDocument/2006/relationships/externalLink" Target="externalLinks/externalLink22.xml" Id="rId24" /><Relationship Type="http://schemas.openxmlformats.org/officeDocument/2006/relationships/externalLink" Target="externalLinks/externalLink30.xml" Id="rId32" /><Relationship Type="http://schemas.openxmlformats.org/officeDocument/2006/relationships/externalLink" Target="externalLinks/externalLink35.xml" Id="rId37" /><Relationship Type="http://schemas.openxmlformats.org/officeDocument/2006/relationships/externalLink" Target="externalLinks/externalLink38.xml" Id="rId40" /><Relationship Type="http://schemas.openxmlformats.org/officeDocument/2006/relationships/externalLink" Target="externalLinks/externalLink43.xml" Id="rId45" /><Relationship Type="http://schemas.openxmlformats.org/officeDocument/2006/relationships/externalLink" Target="externalLinks/externalLink51.xml" Id="rId53" /><Relationship Type="http://schemas.openxmlformats.org/officeDocument/2006/relationships/externalLink" Target="externalLinks/externalLink56.xml" Id="rId58" /><Relationship Type="http://schemas.openxmlformats.org/officeDocument/2006/relationships/styles" Target="styles.xml" Id="rId66" /><Relationship Type="http://schemas.openxmlformats.org/officeDocument/2006/relationships/externalLink" Target="externalLinks/externalLink3.xml" Id="rId5" /><Relationship Type="http://schemas.openxmlformats.org/officeDocument/2006/relationships/externalLink" Target="externalLinks/externalLink13.xml" Id="rId15" /><Relationship Type="http://schemas.openxmlformats.org/officeDocument/2006/relationships/externalLink" Target="externalLinks/externalLink21.xml" Id="rId23" /><Relationship Type="http://schemas.openxmlformats.org/officeDocument/2006/relationships/externalLink" Target="externalLinks/externalLink26.xml" Id="rId28" /><Relationship Type="http://schemas.openxmlformats.org/officeDocument/2006/relationships/externalLink" Target="externalLinks/externalLink34.xml" Id="rId36" /><Relationship Type="http://schemas.openxmlformats.org/officeDocument/2006/relationships/externalLink" Target="externalLinks/externalLink47.xml" Id="rId49" /><Relationship Type="http://schemas.openxmlformats.org/officeDocument/2006/relationships/externalLink" Target="externalLinks/externalLink55.xml" Id="rId57" /><Relationship Type="http://schemas.openxmlformats.org/officeDocument/2006/relationships/externalLink" Target="externalLinks/externalLink59.xml" Id="rId61" /><Relationship Type="http://schemas.openxmlformats.org/officeDocument/2006/relationships/externalLink" Target="externalLinks/externalLink8.xml" Id="rId10" /><Relationship Type="http://schemas.openxmlformats.org/officeDocument/2006/relationships/externalLink" Target="externalLinks/externalLink17.xml" Id="rId19" /><Relationship Type="http://schemas.openxmlformats.org/officeDocument/2006/relationships/externalLink" Target="externalLinks/externalLink29.xml" Id="rId31" /><Relationship Type="http://schemas.openxmlformats.org/officeDocument/2006/relationships/externalLink" Target="externalLinks/externalLink42.xml" Id="rId44" /><Relationship Type="http://schemas.openxmlformats.org/officeDocument/2006/relationships/externalLink" Target="externalLinks/externalLink50.xml" Id="rId52" /><Relationship Type="http://schemas.openxmlformats.org/officeDocument/2006/relationships/externalLink" Target="externalLinks/externalLink58.xml" Id="rId60" /><Relationship Type="http://schemas.openxmlformats.org/officeDocument/2006/relationships/theme" Target="theme/theme1.xml" Id="rId65" /><Relationship Type="http://schemas.openxmlformats.org/officeDocument/2006/relationships/externalLink" Target="externalLinks/externalLink2.xml" Id="rId4" /><Relationship Type="http://schemas.openxmlformats.org/officeDocument/2006/relationships/externalLink" Target="externalLinks/externalLink7.xml" Id="rId9" /><Relationship Type="http://schemas.openxmlformats.org/officeDocument/2006/relationships/externalLink" Target="externalLinks/externalLink12.xml" Id="rId14" /><Relationship Type="http://schemas.openxmlformats.org/officeDocument/2006/relationships/externalLink" Target="externalLinks/externalLink20.xml" Id="rId22" /><Relationship Type="http://schemas.openxmlformats.org/officeDocument/2006/relationships/externalLink" Target="externalLinks/externalLink25.xml" Id="rId27" /><Relationship Type="http://schemas.openxmlformats.org/officeDocument/2006/relationships/externalLink" Target="externalLinks/externalLink28.xml" Id="rId30" /><Relationship Type="http://schemas.openxmlformats.org/officeDocument/2006/relationships/externalLink" Target="externalLinks/externalLink33.xml" Id="rId35" /><Relationship Type="http://schemas.openxmlformats.org/officeDocument/2006/relationships/externalLink" Target="externalLinks/externalLink41.xml" Id="rId43" /><Relationship Type="http://schemas.openxmlformats.org/officeDocument/2006/relationships/externalLink" Target="externalLinks/externalLink46.xml" Id="rId48" /><Relationship Type="http://schemas.openxmlformats.org/officeDocument/2006/relationships/externalLink" Target="externalLinks/externalLink54.xml" Id="rId56" /><Relationship Type="http://schemas.openxmlformats.org/officeDocument/2006/relationships/externalLink" Target="externalLinks/externalLink62.xml" Id="rId64" /><Relationship Type="http://schemas.openxmlformats.org/officeDocument/2006/relationships/externalLink" Target="externalLinks/externalLink6.xml" Id="rId8" /><Relationship Type="http://schemas.openxmlformats.org/officeDocument/2006/relationships/externalLink" Target="externalLinks/externalLink49.xml" Id="rId51" /><Relationship Type="http://schemas.openxmlformats.org/officeDocument/2006/relationships/externalLink" Target="externalLinks/externalLink1.xml" Id="rId3" /><Relationship Type="http://schemas.openxmlformats.org/officeDocument/2006/relationships/externalLink" Target="externalLinks/externalLink10.xml" Id="rId12" /><Relationship Type="http://schemas.openxmlformats.org/officeDocument/2006/relationships/externalLink" Target="externalLinks/externalLink15.xml" Id="rId17" /><Relationship Type="http://schemas.openxmlformats.org/officeDocument/2006/relationships/externalLink" Target="externalLinks/externalLink23.xml" Id="rId25" /><Relationship Type="http://schemas.openxmlformats.org/officeDocument/2006/relationships/externalLink" Target="externalLinks/externalLink31.xml" Id="rId33" /><Relationship Type="http://schemas.openxmlformats.org/officeDocument/2006/relationships/externalLink" Target="externalLinks/externalLink36.xml" Id="rId38" /><Relationship Type="http://schemas.openxmlformats.org/officeDocument/2006/relationships/externalLink" Target="externalLinks/externalLink44.xml" Id="rId46" /><Relationship Type="http://schemas.openxmlformats.org/officeDocument/2006/relationships/externalLink" Target="externalLinks/externalLink57.xml" Id="rId59" /><Relationship Type="http://schemas.openxmlformats.org/officeDocument/2006/relationships/sharedStrings" Target="sharedStrings.xml" Id="rId67" /><Relationship Type="http://schemas.openxmlformats.org/officeDocument/2006/relationships/externalLink" Target="externalLinks/externalLink18.xml" Id="rId20" /><Relationship Type="http://schemas.openxmlformats.org/officeDocument/2006/relationships/externalLink" Target="externalLinks/externalLink39.xml" Id="rId41" /><Relationship Type="http://schemas.openxmlformats.org/officeDocument/2006/relationships/externalLink" Target="externalLinks/externalLink52.xml" Id="rId54" /><Relationship Type="http://schemas.openxmlformats.org/officeDocument/2006/relationships/externalLink" Target="externalLinks/externalLink60.xml" Id="rId62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erformance%20Management\Regulatory%20Rate%20Case%20Reports\alloc%20depr_2021%20actuals\2021%20Distribition%20108F%20108V%20for%20Regulato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>
        <row r="57">
          <cell r="N57">
            <v>4088170</v>
          </cell>
        </row>
      </sheetData>
      <sheetData sheetId="4"/>
      <sheetData sheetId="5"/>
      <sheetData sheetId="6"/>
      <sheetData sheetId="7">
        <row r="11">
          <cell r="B11">
            <v>0.17538138419273502</v>
          </cell>
          <cell r="C11">
            <v>0.19493367655493263</v>
          </cell>
          <cell r="D11">
            <v>-2.6963863219386323E-3</v>
          </cell>
          <cell r="E11">
            <v>0.40075371178398028</v>
          </cell>
          <cell r="F11">
            <v>2.4706719004354946E-3</v>
          </cell>
          <cell r="G11">
            <v>0.22915694188985516</v>
          </cell>
        </row>
      </sheetData>
      <sheetData sheetId="8">
        <row r="13">
          <cell r="N13">
            <v>576906.20768648759</v>
          </cell>
        </row>
      </sheetData>
      <sheetData sheetId="9">
        <row r="3">
          <cell r="S3">
            <v>0.19003155668817437</v>
          </cell>
        </row>
      </sheetData>
      <sheetData sheetId="10"/>
      <sheetData sheetId="11"/>
      <sheetData sheetId="12"/>
      <sheetData sheetId="13"/>
      <sheetData sheetId="14">
        <row r="4">
          <cell r="A4" t="str">
            <v>For the 12 Months Ending December 31, 2021</v>
          </cell>
        </row>
      </sheetData>
      <sheetData sheetId="15">
        <row r="14">
          <cell r="P14">
            <v>308375977.46173948</v>
          </cell>
        </row>
      </sheetData>
      <sheetData sheetId="16">
        <row r="13">
          <cell r="L13">
            <v>3833200</v>
          </cell>
        </row>
      </sheetData>
      <sheetData sheetId="17">
        <row r="29">
          <cell r="P29">
            <v>323594397.63246834</v>
          </cell>
        </row>
      </sheetData>
      <sheetData sheetId="18"/>
      <sheetData sheetId="19"/>
      <sheetData sheetId="20">
        <row r="13">
          <cell r="L13">
            <v>3833200</v>
          </cell>
        </row>
      </sheetData>
      <sheetData sheetId="21">
        <row r="15">
          <cell r="N15">
            <v>1.0800000000000001E-2</v>
          </cell>
        </row>
      </sheetData>
      <sheetData sheetId="22"/>
      <sheetData sheetId="23"/>
      <sheetData sheetId="24"/>
      <sheetData sheetId="25">
        <row r="1">
          <cell r="B1" t="str">
            <v>FLORIDA PUBLIC UTILITIES COMPANY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00 108V Distribution"/>
      <sheetName val="PT FC00 108V"/>
      <sheetName val="EPICOR FC00 108V"/>
      <sheetName val="FC00 108F Distribution"/>
      <sheetName val="PT FC00 108F"/>
      <sheetName val="EPICOR FC00 108F"/>
    </sheetNames>
    <sheetDataSet>
      <sheetData sheetId="0"/>
      <sheetData sheetId="1"/>
      <sheetData sheetId="2"/>
      <sheetData sheetId="3">
        <row r="49">
          <cell r="P49">
            <v>54981.28144510679</v>
          </cell>
        </row>
        <row r="50">
          <cell r="P50">
            <v>518.6913343878</v>
          </cell>
        </row>
        <row r="51">
          <cell r="P51">
            <v>136156.47527679752</v>
          </cell>
        </row>
        <row r="52">
          <cell r="P52">
            <v>65095.7624656689</v>
          </cell>
        </row>
        <row r="53">
          <cell r="P53">
            <v>518.6913343878</v>
          </cell>
        </row>
        <row r="54">
          <cell r="P54">
            <v>2074.7653375512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23"/>
  <sheetViews>
    <sheetView tabSelected="1" workbookViewId="0">
      <selection activeCell="B21" sqref="B21"/>
    </sheetView>
  </sheetViews>
  <sheetFormatPr defaultRowHeight="12.75" x14ac:dyDescent="0.2"/>
  <cols>
    <col min="1" max="1" width="25" bestFit="1" customWidth="1"/>
    <col min="2" max="10" width="15.7109375" bestFit="1" customWidth="1"/>
    <col min="11" max="13" width="16.7109375" bestFit="1" customWidth="1"/>
    <col min="14" max="14" width="11.140625" customWidth="1"/>
    <col min="17" max="19" width="11.28515625" bestFit="1" customWidth="1"/>
    <col min="20" max="20" width="9.85546875" bestFit="1" customWidth="1"/>
    <col min="21" max="21" width="9.28515625" bestFit="1" customWidth="1"/>
    <col min="22" max="22" width="11.28515625" bestFit="1" customWidth="1"/>
  </cols>
  <sheetData>
    <row r="1" spans="1:23" x14ac:dyDescent="0.2">
      <c r="P1" s="1" t="s">
        <v>0</v>
      </c>
      <c r="Q1" s="1" t="s">
        <v>1</v>
      </c>
      <c r="R1" s="1"/>
      <c r="S1" s="1"/>
      <c r="T1" s="1"/>
      <c r="U1" s="1"/>
      <c r="V1" s="1"/>
    </row>
    <row r="2" spans="1:23" x14ac:dyDescent="0.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s="2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23" x14ac:dyDescent="0.2">
      <c r="A3" t="s">
        <v>23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P3" s="1"/>
      <c r="Q3" s="4">
        <f>'[61]Common Plant Allocation Factors'!C11</f>
        <v>0.19493367655493263</v>
      </c>
      <c r="R3" s="4">
        <f>'[61]Common Plant Allocation Factors'!E11</f>
        <v>0.40075371178398028</v>
      </c>
      <c r="S3" s="4">
        <f>'[61]Common Plant Allocation Factors'!B11</f>
        <v>0.17538138419273502</v>
      </c>
      <c r="T3" s="4">
        <f>'[61]Common Plant Allocation Factors'!D11</f>
        <v>-2.6963863219386323E-3</v>
      </c>
      <c r="U3" s="4">
        <f>'[61]Common Plant Allocation Factors'!F11</f>
        <v>2.4706719004354946E-3</v>
      </c>
      <c r="V3" s="4">
        <f>'[61]Common Plant Allocation Factors'!G11</f>
        <v>0.22915694188985516</v>
      </c>
    </row>
    <row r="4" spans="1:23" x14ac:dyDescent="0.2">
      <c r="A4" t="s">
        <v>24</v>
      </c>
      <c r="B4" s="3">
        <v>14853.909015741698</v>
      </c>
      <c r="C4" s="3">
        <v>14857.434159242304</v>
      </c>
      <c r="D4" s="3">
        <v>14873.133298491517</v>
      </c>
      <c r="E4" s="3">
        <v>14882.942173315587</v>
      </c>
      <c r="F4" s="3">
        <v>14885.796742249993</v>
      </c>
      <c r="G4" s="3">
        <v>14888.836002183914</v>
      </c>
      <c r="H4" s="3">
        <v>14846.683240367905</v>
      </c>
      <c r="I4" s="3">
        <v>14846.681869731474</v>
      </c>
      <c r="J4" s="3">
        <v>14846.671209095204</v>
      </c>
      <c r="K4" s="3">
        <v>14846.693027427096</v>
      </c>
      <c r="L4" s="3">
        <v>14846.685922482886</v>
      </c>
      <c r="M4" s="3">
        <v>14846.678827256948</v>
      </c>
      <c r="N4" s="5">
        <f t="shared" ref="N4:N12" si="0">SUM(B4:M4)</f>
        <v>178322.14548758653</v>
      </c>
      <c r="Q4" s="6">
        <f>$N4*Q$3</f>
        <v>34760.991431058828</v>
      </c>
      <c r="R4" s="6">
        <f t="shared" ref="R4:V17" si="1">$N4*R$3</f>
        <v>71463.261697433249</v>
      </c>
      <c r="S4" s="6">
        <f t="shared" si="1"/>
        <v>31274.384707831203</v>
      </c>
      <c r="T4" s="6">
        <f t="shared" si="1"/>
        <v>-480.82539399147913</v>
      </c>
      <c r="U4" s="6">
        <f t="shared" si="1"/>
        <v>440.57551408155018</v>
      </c>
      <c r="V4" s="6">
        <f t="shared" si="1"/>
        <v>40863.757531173163</v>
      </c>
    </row>
    <row r="5" spans="1:23" x14ac:dyDescent="0.2">
      <c r="A5" t="s">
        <v>25</v>
      </c>
      <c r="B5" s="3">
        <v>19024.758303042501</v>
      </c>
      <c r="C5" s="3">
        <v>19024.758630290009</v>
      </c>
      <c r="D5" s="3">
        <v>19024.761461259801</v>
      </c>
      <c r="E5" s="3">
        <v>19024.758849127797</v>
      </c>
      <c r="F5" s="3">
        <v>19024.760859443308</v>
      </c>
      <c r="G5" s="3">
        <v>19024.760534821817</v>
      </c>
      <c r="H5" s="3">
        <v>19045.099379537674</v>
      </c>
      <c r="I5" s="3">
        <v>19045.098298120793</v>
      </c>
      <c r="J5" s="3">
        <v>19045.100169903191</v>
      </c>
      <c r="K5" s="3">
        <v>19045.101006578996</v>
      </c>
      <c r="L5" s="3">
        <v>19045.102364918417</v>
      </c>
      <c r="M5" s="3">
        <v>4930.2800000000016</v>
      </c>
      <c r="N5" s="5">
        <f t="shared" si="0"/>
        <v>214304.33985704434</v>
      </c>
      <c r="Q5" s="6">
        <f t="shared" ref="Q5:Q17" si="2">$N5*Q$3</f>
        <v>41775.132870011439</v>
      </c>
      <c r="R5" s="6">
        <f t="shared" si="1"/>
        <v>85883.259649126107</v>
      </c>
      <c r="S5" s="6">
        <f t="shared" si="1"/>
        <v>37584.991762638747</v>
      </c>
      <c r="T5" s="6">
        <f t="shared" si="1"/>
        <v>-577.84729072262246</v>
      </c>
      <c r="U5" s="6">
        <f t="shared" si="1"/>
        <v>529.47571062617783</v>
      </c>
      <c r="V5" s="6">
        <f t="shared" si="1"/>
        <v>49109.327155364481</v>
      </c>
    </row>
    <row r="6" spans="1:23" x14ac:dyDescent="0.2">
      <c r="A6" t="s">
        <v>26</v>
      </c>
      <c r="B6" s="3">
        <v>-1056.2809134480042</v>
      </c>
      <c r="C6" s="3">
        <v>-1056.2798595461977</v>
      </c>
      <c r="D6" s="3">
        <v>-1056.2777025962987</v>
      </c>
      <c r="E6" s="3">
        <v>-1086.97</v>
      </c>
      <c r="F6" s="3">
        <v>-1552.2598675000136</v>
      </c>
      <c r="G6" s="3">
        <v>-1552.2603098461882</v>
      </c>
      <c r="H6" s="3">
        <v>-1552.2596890944897</v>
      </c>
      <c r="I6" s="3">
        <v>-1552.2599444564203</v>
      </c>
      <c r="J6" s="3">
        <v>-1552.26</v>
      </c>
      <c r="K6" s="3">
        <v>-1820.3801783530025</v>
      </c>
      <c r="L6" s="3">
        <v>-1820.3799226395895</v>
      </c>
      <c r="M6" s="3">
        <v>14628.43</v>
      </c>
      <c r="N6" s="5">
        <f t="shared" si="0"/>
        <v>-1029.4383874802043</v>
      </c>
      <c r="Q6" s="6">
        <f t="shared" si="2"/>
        <v>-200.67220965829753</v>
      </c>
      <c r="R6" s="6">
        <f t="shared" si="1"/>
        <v>-412.55125483560721</v>
      </c>
      <c r="S6" s="6">
        <f t="shared" si="1"/>
        <v>-180.54432933741532</v>
      </c>
      <c r="T6" s="6">
        <f t="shared" si="1"/>
        <v>2.7757635872801845</v>
      </c>
      <c r="U6" s="6">
        <f t="shared" si="1"/>
        <v>-2.5434044971769674</v>
      </c>
      <c r="V6" s="6">
        <f t="shared" si="1"/>
        <v>-235.90295273898738</v>
      </c>
    </row>
    <row r="7" spans="1:23" x14ac:dyDescent="0.2">
      <c r="A7" t="s">
        <v>27</v>
      </c>
      <c r="B7" s="3">
        <v>2315.4093649745096</v>
      </c>
      <c r="C7" s="3">
        <v>2315.4094105915988</v>
      </c>
      <c r="D7" s="3">
        <v>2315.4105493018897</v>
      </c>
      <c r="E7" s="3">
        <v>2315.409862262904</v>
      </c>
      <c r="F7" s="3">
        <v>2315.4098213877041</v>
      </c>
      <c r="G7" s="3">
        <v>2315.4097005175049</v>
      </c>
      <c r="H7" s="3">
        <v>2315.4112595866964</v>
      </c>
      <c r="I7" s="3">
        <v>2315.4087431732</v>
      </c>
      <c r="J7" s="3">
        <v>2315.4096918466962</v>
      </c>
      <c r="K7" s="3">
        <v>2315.4108611893971</v>
      </c>
      <c r="L7" s="3">
        <v>2315.4118900111089</v>
      </c>
      <c r="M7" s="3">
        <v>-553.16</v>
      </c>
      <c r="N7" s="5">
        <f t="shared" si="0"/>
        <v>24916.351154843211</v>
      </c>
      <c r="Q7" s="6">
        <f t="shared" si="2"/>
        <v>4857.0359369473281</v>
      </c>
      <c r="R7" s="6">
        <f t="shared" si="1"/>
        <v>9985.3202094164808</v>
      </c>
      <c r="S7" s="6">
        <f t="shared" si="1"/>
        <v>4369.8641545686542</v>
      </c>
      <c r="T7" s="6">
        <f t="shared" si="1"/>
        <v>-67.184108446539071</v>
      </c>
      <c r="U7" s="6">
        <f t="shared" si="1"/>
        <v>61.560128659654609</v>
      </c>
      <c r="V7" s="6">
        <f t="shared" si="1"/>
        <v>5709.7548336976315</v>
      </c>
    </row>
    <row r="8" spans="1:23" x14ac:dyDescent="0.2">
      <c r="A8" t="s">
        <v>28</v>
      </c>
      <c r="B8" s="3">
        <v>-2838.4642669274999</v>
      </c>
      <c r="C8" s="3">
        <v>-2771.0778334811989</v>
      </c>
      <c r="D8" s="3">
        <v>-2771.0805860851019</v>
      </c>
      <c r="E8" s="3">
        <v>-2771.0772643316004</v>
      </c>
      <c r="F8" s="3">
        <v>-2771.0822673449984</v>
      </c>
      <c r="G8" s="3">
        <v>-2771.0813186814012</v>
      </c>
      <c r="H8" s="3">
        <v>-2536.077771917599</v>
      </c>
      <c r="I8" s="3">
        <v>-2404.6699999999996</v>
      </c>
      <c r="J8" s="3">
        <v>-2326.1359904007004</v>
      </c>
      <c r="K8" s="3">
        <v>-2326.1464629609</v>
      </c>
      <c r="L8" s="3">
        <v>-2242.3296627418999</v>
      </c>
      <c r="M8" s="3">
        <v>-2204.8463067148004</v>
      </c>
      <c r="N8" s="5">
        <f t="shared" si="0"/>
        <v>-30734.069731587701</v>
      </c>
      <c r="Q8" s="6">
        <f t="shared" si="2"/>
        <v>-5991.1052082740616</v>
      </c>
      <c r="R8" s="6">
        <f t="shared" si="1"/>
        <v>-12316.79252316145</v>
      </c>
      <c r="S8" s="6">
        <f t="shared" si="1"/>
        <v>-5390.1836914018913</v>
      </c>
      <c r="T8" s="6">
        <f t="shared" si="1"/>
        <v>82.870925241761213</v>
      </c>
      <c r="U8" s="6">
        <f t="shared" si="1"/>
        <v>-75.933802471858797</v>
      </c>
      <c r="V8" s="6">
        <f t="shared" si="1"/>
        <v>-7042.9254315201988</v>
      </c>
    </row>
    <row r="9" spans="1:23" x14ac:dyDescent="0.2">
      <c r="A9" t="s">
        <v>29</v>
      </c>
      <c r="B9" s="3">
        <v>3742.6909858890986</v>
      </c>
      <c r="C9" s="3">
        <v>3742.688795209699</v>
      </c>
      <c r="D9" s="3">
        <v>3742.6898061436996</v>
      </c>
      <c r="E9" s="3">
        <v>3742.6908286273979</v>
      </c>
      <c r="F9" s="3">
        <v>3742.6900142965042</v>
      </c>
      <c r="G9" s="3">
        <v>3742.6896902463004</v>
      </c>
      <c r="H9" s="3">
        <v>3742.6896630022084</v>
      </c>
      <c r="I9" s="3">
        <v>3742.6894003760976</v>
      </c>
      <c r="J9" s="3">
        <v>3742.6903317460924</v>
      </c>
      <c r="K9" s="3">
        <v>3742.6898457245934</v>
      </c>
      <c r="L9" s="3">
        <v>3742.6907079048019</v>
      </c>
      <c r="M9" s="3">
        <v>3742.6899029307069</v>
      </c>
      <c r="N9" s="5">
        <f t="shared" si="0"/>
        <v>44912.279972097203</v>
      </c>
      <c r="Q9" s="6">
        <f t="shared" si="2"/>
        <v>8754.9158574253743</v>
      </c>
      <c r="R9" s="6">
        <f t="shared" si="1"/>
        <v>17998.762903499271</v>
      </c>
      <c r="S9" s="6">
        <f t="shared" si="1"/>
        <v>7876.7778287580586</v>
      </c>
      <c r="T9" s="6">
        <f t="shared" si="1"/>
        <v>-121.10085740384127</v>
      </c>
      <c r="U9" s="6">
        <f t="shared" si="1"/>
        <v>110.9635081115524</v>
      </c>
      <c r="V9" s="6">
        <f t="shared" si="1"/>
        <v>10291.960731706784</v>
      </c>
    </row>
    <row r="10" spans="1:23" x14ac:dyDescent="0.2">
      <c r="A10" t="s">
        <v>30</v>
      </c>
      <c r="B10" s="3">
        <v>5346.3588581648019</v>
      </c>
      <c r="C10" s="3">
        <v>5346.3601008507967</v>
      </c>
      <c r="D10" s="3">
        <v>5346.3588470421128</v>
      </c>
      <c r="E10" s="3">
        <v>5346.3613465749004</v>
      </c>
      <c r="F10" s="3">
        <v>5346.3594933343911</v>
      </c>
      <c r="G10" s="3">
        <v>5346.3625800436976</v>
      </c>
      <c r="H10" s="3">
        <v>5346.3578262717965</v>
      </c>
      <c r="I10" s="3">
        <v>5346.3591840157942</v>
      </c>
      <c r="J10" s="3">
        <v>5346.3615068891095</v>
      </c>
      <c r="K10" s="3">
        <v>5346.3594094121991</v>
      </c>
      <c r="L10" s="3">
        <v>5346.3612632256009</v>
      </c>
      <c r="M10" s="3">
        <v>5346.3599338366139</v>
      </c>
      <c r="N10" s="5">
        <f t="shared" si="0"/>
        <v>64156.320349661815</v>
      </c>
      <c r="Q10" s="6">
        <f t="shared" si="2"/>
        <v>12506.227399995618</v>
      </c>
      <c r="R10" s="6">
        <f t="shared" si="1"/>
        <v>25710.88351452908</v>
      </c>
      <c r="S10" s="6">
        <f t="shared" si="1"/>
        <v>11251.824267636222</v>
      </c>
      <c r="T10" s="6">
        <f t="shared" si="1"/>
        <v>-172.99022465674125</v>
      </c>
      <c r="U10" s="6">
        <f t="shared" si="1"/>
        <v>158.50921792324735</v>
      </c>
      <c r="V10" s="6">
        <f t="shared" si="1"/>
        <v>14701.866174234385</v>
      </c>
    </row>
    <row r="11" spans="1:23" x14ac:dyDescent="0.2">
      <c r="A11" t="s">
        <v>31</v>
      </c>
      <c r="B11" s="3">
        <v>6107.9779723874126</v>
      </c>
      <c r="C11" s="3">
        <v>6107.9784209926966</v>
      </c>
      <c r="D11" s="3">
        <v>6107.9797836177004</v>
      </c>
      <c r="E11" s="3">
        <v>6107.9834378479973</v>
      </c>
      <c r="F11" s="3">
        <v>6107.9790196794938</v>
      </c>
      <c r="G11" s="3">
        <v>6107.977642689415</v>
      </c>
      <c r="H11" s="3">
        <v>6107.9838557750936</v>
      </c>
      <c r="I11" s="3">
        <v>6107.9768729396992</v>
      </c>
      <c r="J11" s="3">
        <v>6107.9818622040939</v>
      </c>
      <c r="K11" s="3">
        <v>6107.977754429211</v>
      </c>
      <c r="L11" s="3">
        <v>6107.9811266408014</v>
      </c>
      <c r="M11" s="3">
        <v>6107.9812395321887</v>
      </c>
      <c r="N11" s="5">
        <f t="shared" si="0"/>
        <v>73295.758988735804</v>
      </c>
      <c r="Q11" s="6">
        <f t="shared" si="2"/>
        <v>14287.811775558521</v>
      </c>
      <c r="R11" s="6">
        <f t="shared" si="1"/>
        <v>29373.54747275991</v>
      </c>
      <c r="S11" s="6">
        <f t="shared" si="1"/>
        <v>12854.711666901585</v>
      </c>
      <c r="T11" s="6">
        <f t="shared" si="1"/>
        <v>-197.63368199333777</v>
      </c>
      <c r="U11" s="6">
        <f t="shared" si="1"/>
        <v>181.08977215456187</v>
      </c>
      <c r="V11" s="6">
        <f t="shared" si="1"/>
        <v>16796.231983354559</v>
      </c>
    </row>
    <row r="12" spans="1:23" x14ac:dyDescent="0.2">
      <c r="A12" t="s">
        <v>32</v>
      </c>
      <c r="B12" s="3">
        <v>730.2099628679</v>
      </c>
      <c r="C12" s="3">
        <v>730.20984562659999</v>
      </c>
      <c r="D12" s="3">
        <v>730.20999698320009</v>
      </c>
      <c r="E12" s="3">
        <v>730.21021849520025</v>
      </c>
      <c r="F12" s="3">
        <v>730.20996280539987</v>
      </c>
      <c r="G12" s="3">
        <v>730.20997142360034</v>
      </c>
      <c r="H12" s="3">
        <v>730.21008266739989</v>
      </c>
      <c r="I12" s="3">
        <v>730.2099445938004</v>
      </c>
      <c r="J12" s="3">
        <v>730.21002480309983</v>
      </c>
      <c r="K12" s="3">
        <v>730.21000625499971</v>
      </c>
      <c r="L12" s="3">
        <v>730.20999174270014</v>
      </c>
      <c r="M12" s="3">
        <v>730.20998732269959</v>
      </c>
      <c r="N12" s="5">
        <f t="shared" si="0"/>
        <v>8762.519995586601</v>
      </c>
      <c r="Q12" s="6">
        <f t="shared" si="2"/>
        <v>1708.1102386258081</v>
      </c>
      <c r="R12" s="6">
        <f t="shared" si="1"/>
        <v>3511.6124128126767</v>
      </c>
      <c r="S12" s="6">
        <f t="shared" si="1"/>
        <v>1536.7828858424964</v>
      </c>
      <c r="T12" s="6">
        <f t="shared" si="1"/>
        <v>-23.627139061813477</v>
      </c>
      <c r="U12" s="6">
        <f t="shared" si="1"/>
        <v>21.649311930099969</v>
      </c>
      <c r="V12" s="6">
        <f t="shared" si="1"/>
        <v>2007.9922854373326</v>
      </c>
    </row>
    <row r="13" spans="1:23" x14ac:dyDescent="0.2">
      <c r="A13" t="s">
        <v>33</v>
      </c>
      <c r="B13" s="3">
        <v>48226.569282692421</v>
      </c>
      <c r="C13" s="3">
        <v>48297.481669776316</v>
      </c>
      <c r="D13" s="3">
        <v>48313.185454158513</v>
      </c>
      <c r="E13" s="3">
        <v>48292.309451920177</v>
      </c>
      <c r="F13" s="3">
        <v>47829.863778351792</v>
      </c>
      <c r="G13" s="3">
        <v>47832.904493398666</v>
      </c>
      <c r="H13" s="3">
        <v>48046.097846196673</v>
      </c>
      <c r="I13" s="3">
        <v>48177.494368494437</v>
      </c>
      <c r="J13" s="3">
        <v>48256.028806086782</v>
      </c>
      <c r="K13" s="3">
        <v>47987.915269702593</v>
      </c>
      <c r="L13" s="3">
        <v>48071.733681544814</v>
      </c>
      <c r="M13" s="3">
        <v>47574.623584164343</v>
      </c>
      <c r="N13" s="5">
        <f>SUM(B13:M13)</f>
        <v>576906.20768648759</v>
      </c>
      <c r="Q13" s="7">
        <f t="shared" si="2"/>
        <v>112458.44809169056</v>
      </c>
      <c r="R13" s="7">
        <f t="shared" si="1"/>
        <v>231197.30408157973</v>
      </c>
      <c r="S13" s="7">
        <f t="shared" si="1"/>
        <v>101178.60925343767</v>
      </c>
      <c r="T13" s="7">
        <f t="shared" si="1"/>
        <v>-1555.5620074473329</v>
      </c>
      <c r="U13" s="7">
        <f t="shared" si="1"/>
        <v>1425.3459565178084</v>
      </c>
      <c r="V13" s="7">
        <f t="shared" si="1"/>
        <v>132202.06231070915</v>
      </c>
      <c r="W13" s="8" t="s">
        <v>34</v>
      </c>
    </row>
    <row r="14" spans="1:23" x14ac:dyDescent="0.2">
      <c r="Q14" s="6">
        <f t="shared" si="2"/>
        <v>0</v>
      </c>
      <c r="R14" s="6">
        <f t="shared" si="1"/>
        <v>0</v>
      </c>
      <c r="S14" s="6">
        <f t="shared" si="1"/>
        <v>0</v>
      </c>
      <c r="T14" s="6">
        <f t="shared" si="1"/>
        <v>0</v>
      </c>
      <c r="U14" s="6">
        <f t="shared" si="1"/>
        <v>0</v>
      </c>
      <c r="V14" s="6">
        <f t="shared" si="1"/>
        <v>0</v>
      </c>
    </row>
    <row r="15" spans="1:23" x14ac:dyDescent="0.2">
      <c r="A15" s="8" t="s">
        <v>35</v>
      </c>
      <c r="B15" s="5">
        <f>-B9-B10</f>
        <v>-9089.0498440539013</v>
      </c>
      <c r="C15" s="5">
        <f t="shared" ref="C15:N15" si="3">-C9-C10</f>
        <v>-9089.0488960604962</v>
      </c>
      <c r="D15" s="5">
        <f t="shared" si="3"/>
        <v>-9089.0486531858114</v>
      </c>
      <c r="E15" s="5">
        <f t="shared" si="3"/>
        <v>-9089.0521752022978</v>
      </c>
      <c r="F15" s="5">
        <f t="shared" si="3"/>
        <v>-9089.0495076308944</v>
      </c>
      <c r="G15" s="5">
        <f t="shared" si="3"/>
        <v>-9089.052270289998</v>
      </c>
      <c r="H15" s="5">
        <f t="shared" si="3"/>
        <v>-9089.0474892740058</v>
      </c>
      <c r="I15" s="5">
        <f t="shared" si="3"/>
        <v>-9089.0485843918923</v>
      </c>
      <c r="J15" s="5">
        <f t="shared" si="3"/>
        <v>-9089.0518386352014</v>
      </c>
      <c r="K15" s="5">
        <f t="shared" si="3"/>
        <v>-9089.0492551367934</v>
      </c>
      <c r="L15" s="5">
        <f t="shared" si="3"/>
        <v>-9089.0519711304023</v>
      </c>
      <c r="M15" s="5">
        <f t="shared" si="3"/>
        <v>-9089.0498367673208</v>
      </c>
      <c r="N15" s="5">
        <f t="shared" si="3"/>
        <v>-109068.60032175902</v>
      </c>
      <c r="Q15" s="6">
        <f t="shared" si="2"/>
        <v>-21261.143257420994</v>
      </c>
      <c r="R15" s="6">
        <f t="shared" si="1"/>
        <v>-43709.646418028351</v>
      </c>
      <c r="S15" s="6">
        <f t="shared" si="1"/>
        <v>-19128.602096394283</v>
      </c>
      <c r="T15" s="6">
        <f t="shared" si="1"/>
        <v>294.09108206058255</v>
      </c>
      <c r="U15" s="6">
        <f t="shared" si="1"/>
        <v>-269.47272603479973</v>
      </c>
      <c r="V15" s="6">
        <f t="shared" si="1"/>
        <v>-24993.826905941169</v>
      </c>
    </row>
    <row r="16" spans="1:23" x14ac:dyDescent="0.2">
      <c r="Q16" s="6">
        <f t="shared" si="2"/>
        <v>0</v>
      </c>
      <c r="R16" s="6">
        <f t="shared" si="1"/>
        <v>0</v>
      </c>
      <c r="S16" s="6">
        <f t="shared" si="1"/>
        <v>0</v>
      </c>
      <c r="T16" s="6">
        <f t="shared" si="1"/>
        <v>0</v>
      </c>
      <c r="U16" s="6">
        <f t="shared" si="1"/>
        <v>0</v>
      </c>
      <c r="V16" s="6">
        <f t="shared" si="1"/>
        <v>0</v>
      </c>
    </row>
    <row r="17" spans="1:23" ht="13.5" thickBot="1" x14ac:dyDescent="0.25">
      <c r="A17" s="8" t="s">
        <v>36</v>
      </c>
      <c r="B17" s="5">
        <f>B13+B15</f>
        <v>39137.519438638519</v>
      </c>
      <c r="C17" s="5">
        <f t="shared" ref="C17:N17" si="4">C13+C15</f>
        <v>39208.432773715816</v>
      </c>
      <c r="D17" s="5">
        <f t="shared" si="4"/>
        <v>39224.136800972701</v>
      </c>
      <c r="E17" s="5">
        <f t="shared" si="4"/>
        <v>39203.257276717879</v>
      </c>
      <c r="F17" s="5">
        <f t="shared" si="4"/>
        <v>38740.814270720897</v>
      </c>
      <c r="G17" s="5">
        <f t="shared" si="4"/>
        <v>38743.852223108668</v>
      </c>
      <c r="H17" s="5">
        <f t="shared" si="4"/>
        <v>38957.050356922671</v>
      </c>
      <c r="I17" s="5">
        <f t="shared" si="4"/>
        <v>39088.445784102543</v>
      </c>
      <c r="J17" s="5">
        <f t="shared" si="4"/>
        <v>39166.976967451585</v>
      </c>
      <c r="K17" s="5">
        <f t="shared" si="4"/>
        <v>38898.8660145658</v>
      </c>
      <c r="L17" s="5">
        <f t="shared" si="4"/>
        <v>38982.681710414414</v>
      </c>
      <c r="M17" s="5">
        <f t="shared" si="4"/>
        <v>38485.573747397022</v>
      </c>
      <c r="N17" s="5">
        <f t="shared" si="4"/>
        <v>467837.60736472858</v>
      </c>
      <c r="Q17" s="9">
        <f t="shared" si="2"/>
        <v>91197.304834269569</v>
      </c>
      <c r="R17" s="9">
        <f t="shared" si="1"/>
        <v>187487.65766355136</v>
      </c>
      <c r="S17" s="9">
        <f t="shared" si="1"/>
        <v>82050.007157043379</v>
      </c>
      <c r="T17" s="9">
        <f t="shared" si="1"/>
        <v>-1261.4709253867504</v>
      </c>
      <c r="U17" s="9">
        <f t="shared" si="1"/>
        <v>1155.8732304830087</v>
      </c>
      <c r="V17" s="9">
        <f t="shared" si="1"/>
        <v>107208.23540476798</v>
      </c>
      <c r="W17" s="8" t="s">
        <v>37</v>
      </c>
    </row>
    <row r="18" spans="1:23" ht="13.5" thickTop="1" x14ac:dyDescent="0.2"/>
    <row r="20" spans="1:23" x14ac:dyDescent="0.2">
      <c r="A20" s="16" t="s">
        <v>42</v>
      </c>
      <c r="B20" s="17">
        <f>B17*'Common Plant Allocation Factors'!$E$11</f>
        <v>15684.506185052067</v>
      </c>
      <c r="C20" s="17">
        <f>C17*'Common Plant Allocation Factors'!$E$11</f>
        <v>15712.924967299276</v>
      </c>
      <c r="D20" s="17">
        <f>D17*'Common Plant Allocation Factors'!$E$11</f>
        <v>15719.218414512428</v>
      </c>
      <c r="E20" s="17">
        <f>E17*'Common Plant Allocation Factors'!$E$11</f>
        <v>15710.850867667024</v>
      </c>
      <c r="F20" s="17">
        <f>F17*'Common Plant Allocation Factors'!$E$11</f>
        <v>15525.525116525192</v>
      </c>
      <c r="G20" s="17">
        <f>G17*'Common Plant Allocation Factors'!$E$11</f>
        <v>15526.742587220815</v>
      </c>
      <c r="H20" s="17">
        <f>H17*'Common Plant Allocation Factors'!$E$11</f>
        <v>15612.182530692195</v>
      </c>
      <c r="I20" s="17">
        <f>I17*'Common Plant Allocation Factors'!$E$11</f>
        <v>15664.83973584597</v>
      </c>
      <c r="J20" s="17">
        <f>J17*'Common Plant Allocation Factors'!$E$11</f>
        <v>15696.311399063887</v>
      </c>
      <c r="K20" s="17">
        <f>K17*'Common Plant Allocation Factors'!$E$11</f>
        <v>15588.864939524969</v>
      </c>
      <c r="L20" s="17">
        <f>L17*'Common Plant Allocation Factors'!$E$11</f>
        <v>15622.454390742058</v>
      </c>
      <c r="M20" s="17">
        <f>M17*'Common Plant Allocation Factors'!$E$11</f>
        <v>15423.236529405463</v>
      </c>
      <c r="N20" s="18">
        <f>SUM(B20:M20)</f>
        <v>187487.65766355133</v>
      </c>
    </row>
    <row r="21" spans="1:23" x14ac:dyDescent="0.2">
      <c r="A21" s="16" t="s">
        <v>39</v>
      </c>
      <c r="B21" s="17">
        <f>B17*'Common Plant Allocation Factors'!$B$11</f>
        <v>6863.9923330184974</v>
      </c>
      <c r="C21" s="17">
        <f>C17*'Common Plant Allocation Factors'!$B$11</f>
        <v>6876.4292118820767</v>
      </c>
      <c r="D21" s="17">
        <f>D17*'Common Plant Allocation Factors'!$B$11</f>
        <v>6879.1834059197899</v>
      </c>
      <c r="E21" s="17">
        <f>E17*'Common Plant Allocation Factors'!$B$11</f>
        <v>6875.5215260546929</v>
      </c>
      <c r="F21" s="17">
        <f>F17*'Common Plant Allocation Factors'!$B$11</f>
        <v>6794.4176315526938</v>
      </c>
      <c r="G21" s="17">
        <f>G17*'Common Plant Allocation Factors'!$B$11</f>
        <v>6794.950431847572</v>
      </c>
      <c r="H21" s="17">
        <f>H17*'Common Plant Allocation Factors'!$B$11</f>
        <v>6832.3414156631798</v>
      </c>
      <c r="I21" s="17">
        <f>I17*'Common Plant Allocation Factors'!$B$11</f>
        <v>6855.3857275585815</v>
      </c>
      <c r="J21" s="17">
        <f>J17*'Common Plant Allocation Factors'!$B$11</f>
        <v>6869.1586351966298</v>
      </c>
      <c r="K21" s="17">
        <f>K17*'Common Plant Allocation Factors'!$B$11</f>
        <v>6822.1369651622881</v>
      </c>
      <c r="L21" s="17">
        <f>L17*'Common Plant Allocation Factors'!$B$11</f>
        <v>6836.8366779172948</v>
      </c>
      <c r="M21" s="17">
        <f>M17*'Common Plant Allocation Factors'!$B$11</f>
        <v>6749.6531952700743</v>
      </c>
      <c r="N21" s="18">
        <f>SUM(B21:M21)</f>
        <v>82050.007157043379</v>
      </c>
    </row>
    <row r="22" spans="1:23" x14ac:dyDescent="0.2">
      <c r="A22" s="16" t="s">
        <v>41</v>
      </c>
      <c r="B22" s="17">
        <f>B17*'Common Plant Allocation Factors'!$D$11</f>
        <v>-105.52987208895225</v>
      </c>
      <c r="C22" s="17">
        <f>C17*'Common Plant Allocation Factors'!$D$11</f>
        <v>-105.72108183569772</v>
      </c>
      <c r="D22" s="17">
        <f>D17*'Common Plant Allocation Factors'!$D$11</f>
        <v>-105.76342595999253</v>
      </c>
      <c r="E22" s="17">
        <f>E17*'Common Plant Allocation Factors'!$D$11</f>
        <v>-105.70712669638324</v>
      </c>
      <c r="F22" s="17">
        <f>F17*'Common Plant Allocation Factors'!$D$11</f>
        <v>-104.4602017003368</v>
      </c>
      <c r="G22" s="17">
        <f>G17*'Common Plant Allocation Factors'!$D$11</f>
        <v>-104.46839319360188</v>
      </c>
      <c r="H22" s="17">
        <f>H17*'Common Plant Allocation Factors'!$D$11</f>
        <v>-105.0432577254808</v>
      </c>
      <c r="I22" s="17">
        <f>I17*'Common Plant Allocation Factors'!$D$11</f>
        <v>-105.3975505580939</v>
      </c>
      <c r="J22" s="17">
        <f>J17*'Common Plant Allocation Factors'!$D$11</f>
        <v>-105.6093009667219</v>
      </c>
      <c r="K22" s="17">
        <f>K17*'Common Plant Allocation Factors'!$D$11</f>
        <v>-104.88637026059874</v>
      </c>
      <c r="L22" s="17">
        <f>L17*'Common Plant Allocation Factors'!$D$11</f>
        <v>-105.11236975644871</v>
      </c>
      <c r="M22" s="17">
        <f>M17*'Common Plant Allocation Factors'!$D$11</f>
        <v>-103.77197464444184</v>
      </c>
      <c r="N22" s="18">
        <f t="shared" ref="N22:N23" si="5">SUM(B22:M22)</f>
        <v>-1261.4709253867502</v>
      </c>
    </row>
    <row r="23" spans="1:23" x14ac:dyDescent="0.2">
      <c r="A23" s="16" t="s">
        <v>69</v>
      </c>
      <c r="B23" s="17">
        <f>B17*'Common Plant Allocation Factors'!$F$11</f>
        <v>96.695969529792137</v>
      </c>
      <c r="C23" s="17">
        <f>C17*'Common Plant Allocation Factors'!$F$11</f>
        <v>96.871173114133782</v>
      </c>
      <c r="D23" s="17">
        <f>D17*'Common Plant Allocation Factors'!$F$11</f>
        <v>96.909972613001045</v>
      </c>
      <c r="E23" s="17">
        <f>E17*'Common Plant Allocation Factors'!$F$11</f>
        <v>96.858386159130191</v>
      </c>
      <c r="F23" s="17">
        <f>F17*'Common Plant Allocation Factors'!$F$11</f>
        <v>95.715841218660529</v>
      </c>
      <c r="G23" s="17">
        <f>G17*'Common Plant Allocation Factors'!$F$11</f>
        <v>95.723347002259857</v>
      </c>
      <c r="H23" s="17">
        <f>H17*'Common Plant Allocation Factors'!$F$11</f>
        <v>96.2500896406994</v>
      </c>
      <c r="I23" s="17">
        <f>I17*'Common Plant Allocation Factors'!$F$11</f>
        <v>96.574724630478428</v>
      </c>
      <c r="J23" s="17">
        <f>J17*'Common Plant Allocation Factors'!$F$11</f>
        <v>96.768749418486848</v>
      </c>
      <c r="K23" s="17">
        <f>K17*'Common Plant Allocation Factors'!$F$11</f>
        <v>96.10633522099296</v>
      </c>
      <c r="L23" s="17">
        <f>L17*'Common Plant Allocation Factors'!$F$11</f>
        <v>96.31341630554158</v>
      </c>
      <c r="M23" s="17">
        <f>M17*'Common Plant Allocation Factors'!$F$11</f>
        <v>95.085225629831783</v>
      </c>
      <c r="N23" s="18">
        <f t="shared" si="5"/>
        <v>1155.8732304830085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workbookViewId="0">
      <selection activeCell="B17" sqref="B17:H18"/>
    </sheetView>
  </sheetViews>
  <sheetFormatPr defaultRowHeight="12.75" x14ac:dyDescent="0.2"/>
  <cols>
    <col min="1" max="1" width="38.85546875" customWidth="1"/>
    <col min="2" max="3" width="11.28515625" bestFit="1" customWidth="1"/>
    <col min="4" max="4" width="10" bestFit="1" customWidth="1"/>
    <col min="5" max="5" width="13.28515625" customWidth="1"/>
    <col min="6" max="6" width="9.42578125" bestFit="1" customWidth="1"/>
    <col min="7" max="7" width="16.85546875" bestFit="1" customWidth="1"/>
    <col min="8" max="8" width="13.85546875" customWidth="1"/>
    <col min="9" max="9" width="36.5703125" customWidth="1"/>
  </cols>
  <sheetData>
    <row r="1" spans="1:11" x14ac:dyDescent="0.2">
      <c r="A1" s="8" t="s">
        <v>38</v>
      </c>
    </row>
    <row r="2" spans="1:11" ht="15" x14ac:dyDescent="0.25">
      <c r="B2" s="10" t="s">
        <v>39</v>
      </c>
      <c r="C2" s="10" t="s">
        <v>40</v>
      </c>
      <c r="D2" s="10" t="s">
        <v>41</v>
      </c>
      <c r="E2" s="10" t="s">
        <v>42</v>
      </c>
      <c r="F2" s="10" t="s">
        <v>43</v>
      </c>
      <c r="G2" s="10" t="s">
        <v>44</v>
      </c>
      <c r="H2" s="10" t="s">
        <v>15</v>
      </c>
      <c r="I2" s="10" t="s">
        <v>45</v>
      </c>
    </row>
    <row r="3" spans="1:11" x14ac:dyDescent="0.2">
      <c r="A3" s="8" t="s">
        <v>46</v>
      </c>
      <c r="E3" s="11"/>
    </row>
    <row r="4" spans="1:11" x14ac:dyDescent="0.2">
      <c r="A4" s="8" t="s">
        <v>47</v>
      </c>
      <c r="B4" s="12">
        <v>28081.03</v>
      </c>
      <c r="C4" s="12">
        <v>31721.18</v>
      </c>
      <c r="D4" s="12">
        <v>866.68</v>
      </c>
      <c r="E4" s="12">
        <v>58762.25</v>
      </c>
      <c r="F4" s="12">
        <v>866.68</v>
      </c>
      <c r="G4" s="12">
        <f>3640+16641+867+14561+17334</f>
        <v>53043</v>
      </c>
      <c r="H4" s="6">
        <f>SUM(B4:G4)</f>
        <v>173340.82</v>
      </c>
      <c r="I4" s="8" t="s">
        <v>48</v>
      </c>
      <c r="J4" s="8" t="s">
        <v>49</v>
      </c>
    </row>
    <row r="5" spans="1:11" x14ac:dyDescent="0.2">
      <c r="A5" s="8" t="s">
        <v>50</v>
      </c>
      <c r="B5" s="12">
        <f>'[62]FC00 108F Distribution'!$P$49</f>
        <v>54981.28144510679</v>
      </c>
      <c r="C5" s="12">
        <f>'[62]FC00 108F Distribution'!$P$52</f>
        <v>65095.7624656689</v>
      </c>
      <c r="D5" s="12">
        <f>+'[62]FC00 108F Distribution'!$P$50</f>
        <v>518.6913343878</v>
      </c>
      <c r="E5" s="12">
        <f>+'[62]FC00 108F Distribution'!$P$51</f>
        <v>136156.47527679752</v>
      </c>
      <c r="F5" s="12">
        <f>+'[62]FC00 108F Distribution'!$P$53</f>
        <v>518.6913343878</v>
      </c>
      <c r="G5" s="12">
        <f>+'[62]FC00 108F Distribution'!$P$54</f>
        <v>2074.7653375512</v>
      </c>
      <c r="H5" s="6">
        <f t="shared" ref="H5:H7" si="0">SUM(B5:G5)</f>
        <v>259345.66719389998</v>
      </c>
      <c r="I5" s="8" t="s">
        <v>48</v>
      </c>
      <c r="J5" s="8" t="s">
        <v>49</v>
      </c>
    </row>
    <row r="6" spans="1:11" ht="15" x14ac:dyDescent="0.25">
      <c r="A6" s="8" t="s">
        <v>51</v>
      </c>
      <c r="B6" s="13">
        <v>-5999.52</v>
      </c>
      <c r="C6" s="13">
        <v>-11306.88</v>
      </c>
      <c r="D6" s="13">
        <v>-230.76</v>
      </c>
      <c r="E6" s="13">
        <v>-20690.759999999998</v>
      </c>
      <c r="F6" s="13">
        <v>-230.76</v>
      </c>
      <c r="G6" s="14"/>
      <c r="H6" s="6">
        <f t="shared" si="0"/>
        <v>-38458.68</v>
      </c>
      <c r="I6" s="8" t="s">
        <v>52</v>
      </c>
    </row>
    <row r="7" spans="1:11" x14ac:dyDescent="0.2">
      <c r="A7" s="15" t="s">
        <v>53</v>
      </c>
      <c r="B7" s="13">
        <v>-1061.67</v>
      </c>
      <c r="C7" s="13">
        <v>-15.85</v>
      </c>
      <c r="D7" s="13">
        <v>-2503.65</v>
      </c>
      <c r="E7" s="13">
        <v>-998.29</v>
      </c>
      <c r="F7" s="13"/>
      <c r="G7" s="13">
        <v>-11266.41</v>
      </c>
      <c r="H7" s="6">
        <f t="shared" si="0"/>
        <v>-15845.869999999999</v>
      </c>
      <c r="I7" s="8" t="s">
        <v>54</v>
      </c>
    </row>
    <row r="8" spans="1:11" x14ac:dyDescent="0.2">
      <c r="A8" t="s">
        <v>55</v>
      </c>
      <c r="B8" s="7">
        <f t="shared" ref="B8:G8" si="1">SUM(B4:B7)</f>
        <v>76001.121445106779</v>
      </c>
      <c r="C8" s="7">
        <f t="shared" si="1"/>
        <v>85494.212465668883</v>
      </c>
      <c r="D8" s="7">
        <f t="shared" si="1"/>
        <v>-1349.0386656122002</v>
      </c>
      <c r="E8" s="7">
        <f t="shared" si="1"/>
        <v>173229.6752767975</v>
      </c>
      <c r="F8" s="7">
        <f t="shared" si="1"/>
        <v>1154.6113343877998</v>
      </c>
      <c r="G8" s="7">
        <f t="shared" si="1"/>
        <v>43851.355337551198</v>
      </c>
      <c r="H8" s="7">
        <f>SUM(H4:H7)</f>
        <v>378381.9371939</v>
      </c>
    </row>
    <row r="9" spans="1:11" x14ac:dyDescent="0.2">
      <c r="A9" t="s">
        <v>56</v>
      </c>
      <c r="B9" s="13">
        <f>H9*0.067</f>
        <v>5959.3096400000004</v>
      </c>
      <c r="C9" s="13">
        <f>0.063*88944.92</f>
        <v>5603.5299599999998</v>
      </c>
      <c r="D9" s="13">
        <f>0.001*88944.92</f>
        <v>88.944919999999996</v>
      </c>
      <c r="E9" s="13">
        <f>0.158*88944.92</f>
        <v>14053.29736</v>
      </c>
      <c r="F9" s="13"/>
      <c r="G9" s="13">
        <f>0.711*88944.92</f>
        <v>63239.838119999993</v>
      </c>
      <c r="H9" s="13">
        <v>88944.92</v>
      </c>
      <c r="I9" s="8" t="s">
        <v>54</v>
      </c>
      <c r="K9" s="8" t="s">
        <v>57</v>
      </c>
    </row>
    <row r="10" spans="1:11" x14ac:dyDescent="0.2">
      <c r="B10" s="7">
        <f t="shared" ref="B10:G10" si="2">B8+B9</f>
        <v>81960.431085106786</v>
      </c>
      <c r="C10" s="7">
        <f t="shared" si="2"/>
        <v>91097.742425668883</v>
      </c>
      <c r="D10" s="7">
        <f t="shared" si="2"/>
        <v>-1260.0937456122003</v>
      </c>
      <c r="E10" s="7">
        <f t="shared" si="2"/>
        <v>187282.97263679749</v>
      </c>
      <c r="F10" s="7">
        <f t="shared" si="2"/>
        <v>1154.6113343877998</v>
      </c>
      <c r="G10" s="7">
        <f t="shared" si="2"/>
        <v>107091.19345755118</v>
      </c>
      <c r="H10" s="7">
        <f>H8+H9</f>
        <v>467326.85719389998</v>
      </c>
    </row>
    <row r="11" spans="1:11" x14ac:dyDescent="0.2">
      <c r="A11" t="s">
        <v>58</v>
      </c>
      <c r="B11" s="11">
        <f>B10/$H10</f>
        <v>0.17538138419273502</v>
      </c>
      <c r="C11" s="11">
        <f t="shared" ref="C11:H11" si="3">C10/$H10</f>
        <v>0.19493367655493263</v>
      </c>
      <c r="D11" s="11">
        <f t="shared" si="3"/>
        <v>-2.6963863219386323E-3</v>
      </c>
      <c r="E11" s="11">
        <f t="shared" si="3"/>
        <v>0.40075371178398028</v>
      </c>
      <c r="F11" s="11">
        <f t="shared" si="3"/>
        <v>2.4706719004354946E-3</v>
      </c>
      <c r="G11" s="11">
        <f t="shared" si="3"/>
        <v>0.22915694188985516</v>
      </c>
      <c r="H11" s="11">
        <f t="shared" si="3"/>
        <v>1</v>
      </c>
    </row>
    <row r="12" spans="1:11" x14ac:dyDescent="0.2">
      <c r="A12" s="2" t="s">
        <v>59</v>
      </c>
      <c r="B12" s="11"/>
      <c r="C12" s="11"/>
      <c r="D12" s="11"/>
      <c r="E12" s="11"/>
      <c r="F12" s="11"/>
      <c r="G12" s="11"/>
      <c r="H12" s="3">
        <v>109068</v>
      </c>
    </row>
    <row r="13" spans="1:11" x14ac:dyDescent="0.2">
      <c r="A13" s="2" t="s">
        <v>60</v>
      </c>
      <c r="B13" s="11"/>
      <c r="C13" s="11"/>
      <c r="D13" s="11"/>
      <c r="E13" s="11"/>
      <c r="F13" s="11"/>
      <c r="G13" s="11"/>
      <c r="H13" s="3">
        <f>H10+H12</f>
        <v>576394.85719390004</v>
      </c>
    </row>
    <row r="14" spans="1:11" x14ac:dyDescent="0.2">
      <c r="A14" s="2" t="s">
        <v>61</v>
      </c>
      <c r="B14" s="11"/>
      <c r="C14" s="11"/>
      <c r="D14" s="11"/>
      <c r="E14" s="11"/>
      <c r="F14" s="11"/>
      <c r="G14" s="11"/>
      <c r="H14" s="3">
        <f>'[61]FC Depreciation Expense'!N13</f>
        <v>576906.20768648759</v>
      </c>
    </row>
    <row r="15" spans="1:11" x14ac:dyDescent="0.2">
      <c r="H15" s="5">
        <f>H13-H14</f>
        <v>-511.35049258754589</v>
      </c>
    </row>
    <row r="16" spans="1:11" x14ac:dyDescent="0.2">
      <c r="A16" s="8"/>
    </row>
    <row r="17" spans="1:10" x14ac:dyDescent="0.2">
      <c r="A17" s="8" t="s">
        <v>62</v>
      </c>
      <c r="B17" s="12"/>
      <c r="C17" s="12"/>
      <c r="D17" s="12"/>
      <c r="E17" s="12"/>
      <c r="F17" s="12"/>
      <c r="G17" s="12"/>
      <c r="H17" s="6"/>
      <c r="J17" s="8" t="s">
        <v>49</v>
      </c>
    </row>
    <row r="18" spans="1:10" x14ac:dyDescent="0.2">
      <c r="A18" s="8" t="s">
        <v>63</v>
      </c>
      <c r="B18" s="12"/>
      <c r="C18" s="12"/>
      <c r="D18" s="12"/>
      <c r="E18" s="12"/>
      <c r="F18" s="12"/>
      <c r="G18" s="12"/>
      <c r="H18" s="6"/>
      <c r="J18" s="8" t="s">
        <v>49</v>
      </c>
    </row>
    <row r="19" spans="1:10" x14ac:dyDescent="0.2">
      <c r="A19" s="8"/>
      <c r="B19" s="12"/>
      <c r="C19" s="12"/>
      <c r="D19" s="12"/>
      <c r="E19" s="12"/>
      <c r="F19" s="12"/>
      <c r="G19" s="12"/>
      <c r="H19" s="6"/>
      <c r="J19" s="8" t="s">
        <v>64</v>
      </c>
    </row>
    <row r="20" spans="1:10" x14ac:dyDescent="0.2">
      <c r="A20" s="8" t="s">
        <v>65</v>
      </c>
      <c r="B20" s="12"/>
      <c r="C20" s="12"/>
      <c r="D20" s="12"/>
      <c r="E20" s="12"/>
      <c r="F20" s="12"/>
      <c r="G20" s="12"/>
      <c r="H20" s="6"/>
      <c r="J20" s="8"/>
    </row>
    <row r="21" spans="1:10" x14ac:dyDescent="0.2">
      <c r="A21" s="8" t="s">
        <v>66</v>
      </c>
      <c r="B21" s="13">
        <v>178264</v>
      </c>
      <c r="C21" s="13">
        <v>178261</v>
      </c>
      <c r="D21" s="13">
        <v>2241</v>
      </c>
      <c r="E21" s="13">
        <v>425546</v>
      </c>
      <c r="F21" s="13">
        <v>412</v>
      </c>
      <c r="G21" s="13">
        <f>H21-F21-E21-D21-C21-B21</f>
        <v>1451858</v>
      </c>
      <c r="H21" s="3">
        <v>2236582</v>
      </c>
      <c r="I21" s="8" t="s">
        <v>67</v>
      </c>
    </row>
    <row r="22" spans="1:10" x14ac:dyDescent="0.2">
      <c r="A22" s="8" t="s">
        <v>68</v>
      </c>
      <c r="B22" s="13">
        <v>5222</v>
      </c>
      <c r="C22" s="13">
        <v>5390</v>
      </c>
      <c r="D22" s="13">
        <v>67</v>
      </c>
      <c r="E22" s="13">
        <v>12548</v>
      </c>
      <c r="F22" s="13">
        <v>19</v>
      </c>
      <c r="G22" s="13">
        <f>H22-B22-C22-D22-E22-F22</f>
        <v>45547</v>
      </c>
      <c r="H22" s="13">
        <v>68793</v>
      </c>
      <c r="I22" s="8" t="s">
        <v>67</v>
      </c>
    </row>
    <row r="23" spans="1:10" ht="13.5" thickBot="1" x14ac:dyDescent="0.25">
      <c r="B23" s="9">
        <f>SUM(B21:B22)</f>
        <v>183486</v>
      </c>
      <c r="C23" s="9">
        <f t="shared" ref="C23:H23" si="4">SUM(C21:C22)</f>
        <v>183651</v>
      </c>
      <c r="D23" s="9">
        <f t="shared" si="4"/>
        <v>2308</v>
      </c>
      <c r="E23" s="9">
        <f t="shared" si="4"/>
        <v>438094</v>
      </c>
      <c r="F23" s="9">
        <f t="shared" si="4"/>
        <v>431</v>
      </c>
      <c r="G23" s="9">
        <f t="shared" si="4"/>
        <v>1497405</v>
      </c>
      <c r="H23" s="9">
        <f t="shared" si="4"/>
        <v>2305375</v>
      </c>
    </row>
    <row r="24" spans="1:10" ht="13.5" thickTop="1" x14ac:dyDescent="0.2">
      <c r="B24" s="11">
        <f>B23/$H23</f>
        <v>7.9590522149324952E-2</v>
      </c>
      <c r="C24" s="11">
        <f t="shared" ref="C24:H24" si="5">C23/$H23</f>
        <v>7.9662094019411156E-2</v>
      </c>
      <c r="D24" s="11">
        <f t="shared" si="5"/>
        <v>1.0011386433877352E-3</v>
      </c>
      <c r="E24" s="11">
        <f t="shared" si="5"/>
        <v>0.19003155668817437</v>
      </c>
      <c r="F24" s="11">
        <f t="shared" si="5"/>
        <v>1.869544000433769E-4</v>
      </c>
      <c r="G24" s="11">
        <f t="shared" si="5"/>
        <v>0.64952773409965836</v>
      </c>
      <c r="H24" s="11">
        <f t="shared" si="5"/>
        <v>1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 A C T I V E ! 1 5 6 7 6 6 7 2 . 1 < / d o c u m e n t i d >  
     < s e n d e r i d > K E A B E T < / s e n d e r i d >  
     < s e n d e r e m a i l > B K E A T I N G @ G U N S T E R . C O M < / s e n d e r e m a i l >  
     < l a s t m o d i f i e d > 2 0 2 2 - 0 6 - 2 7 T 0 9 : 3 5 : 1 1 . 0 0 0 0 0 0 0 - 0 4 : 0 0 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 Depreciation Expense</vt:lpstr>
      <vt:lpstr>Common Plant Allocation Factors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cp:lastPrinted>2022-02-10T21:07:13Z</cp:lastPrinted>
  <dcterms:created xsi:type="dcterms:W3CDTF">2022-02-10T21:07:06Z</dcterms:created>
  <dcterms:modified xsi:type="dcterms:W3CDTF">2022-06-27T13:35:11Z</dcterms:modified>
</cp:coreProperties>
</file>