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Rate Proceedings\2022 Natural Gas 20220067-GU\ROG's and POD's\OPC\POD 1-59\Filing\"/>
    </mc:Choice>
  </mc:AlternateContent>
  <bookViews>
    <workbookView xWindow="0" yWindow="0" windowWidth="25200" windowHeight="11175" activeTab="1"/>
  </bookViews>
  <sheets>
    <sheet name="Report Summary" sheetId="1" r:id="rId1"/>
    <sheet name="Avg ROR" sheetId="2" r:id="rId2"/>
    <sheet name="NOI SCH 2 P 2" sheetId="3" r:id="rId3"/>
    <sheet name="Year End ROR" sheetId="4" r:id="rId4"/>
    <sheet name="NOI SCH 3 P 2" sheetId="5" r:id="rId5"/>
    <sheet name="Capital Structure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\D">#REF!</definedName>
    <definedName name="\I">#REF!</definedName>
    <definedName name="\INPUT">#REF!</definedName>
    <definedName name="\PRINTADJ">#REF!</definedName>
    <definedName name="\S">#REF!</definedName>
    <definedName name="\STORAGEINPUT">#REF!</definedName>
    <definedName name="__123Graph_X" hidden="1">'[1]BUDGET CASH 2002'!#REF!</definedName>
    <definedName name="__FDS_HYPERLINK_TOGGLE_STATE__" hidden="1">"ON"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[2]Template!$A$1:$R$48</definedName>
    <definedName name="_1INCREMCOS">#REF!</definedName>
    <definedName name="_1TXPT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AS106">#REF!</definedName>
    <definedName name="_Fill" hidden="1">[3]FxdChg!#REF!</definedName>
    <definedName name="_Key1" hidden="1">#REF!</definedName>
    <definedName name="_Order1" hidden="1">255</definedName>
    <definedName name="_Order2" hidden="1">255</definedName>
    <definedName name="_SCH5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BACK_UP">#REF!</definedName>
    <definedName name="basis">#REF!</definedName>
    <definedName name="BATTLEBORO">#REF!</definedName>
    <definedName name="bb">[4]Main!$H$8:$S$56,[4]Main!$H$16:$S$132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alculations">#REF!</definedName>
    <definedName name="Cap">'[5]2002'!$A$1:$O$101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'[6]Cost Savings Detail'!$F$144</definedName>
    <definedName name="COMMON">#REF!</definedName>
    <definedName name="comp">#REF!</definedName>
    <definedName name="Comps">#REF!</definedName>
    <definedName name="CONSERV">#REF!</definedName>
    <definedName name="convention">#REF!</definedName>
    <definedName name="convertcoupon">#REF!</definedName>
    <definedName name="Corp_Inis">'[7]Corporate Model'!$A$190</definedName>
    <definedName name="COSBYCLASS2">#REF!</definedName>
    <definedName name="costdebtfirm">#REF!</definedName>
    <definedName name="costequity">'[8]DCF Model'!#REF!</definedName>
    <definedName name="COSTS">#REF!</definedName>
    <definedName name="COSTWKSHT">#REF!</definedName>
    <definedName name="COUNTER">#REF!</definedName>
    <definedName name="Coupon">#REF!</definedName>
    <definedName name="cpi">#REF!</definedName>
    <definedName name="CREDITGRAPH">#REF!</definedName>
    <definedName name="CSepDec">#REF!</definedName>
    <definedName name="currency">[9]DCEInputs!$A$25</definedName>
    <definedName name="Current_Price">[10]Inputs!$B$4</definedName>
    <definedName name="Current_Price2">[11]Inputs!$B$31</definedName>
    <definedName name="cutoff">'[12]Summary History'!$C$2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[13]Inputs!$B$2</definedName>
    <definedName name="Data">[14]Data!$A$1:$DY$75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[15]Fin_Assumptions!#REF!</definedName>
    <definedName name="Debt">'[16]B&amp;W WACC'!#REF!</definedName>
    <definedName name="Debt_Beta">'[16]B&amp;W WACC'!#REF!</definedName>
    <definedName name="debt_weight">#REF!</definedName>
    <definedName name="debtrate">#REF!</definedName>
    <definedName name="deferred">[15]Fin_Assumptions!#REF!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RBYDIST">[17]DeprCoDetail:DeprSum!$A$1:$G$36</definedName>
    <definedName name="DETAILHESTER">#REF!</definedName>
    <definedName name="dfdfdf" hidden="1">[3]FxdChg!#REF!</definedName>
    <definedName name="DIR">[18]Inputs!#REF!</definedName>
    <definedName name="Discounted">#REF!</definedName>
    <definedName name="DisplaySelectedSheetsMacroButton">#REF!</definedName>
    <definedName name="div">#REF!</definedName>
    <definedName name="dividend">#REF!</definedName>
    <definedName name="DIVIDENDS">#REF!</definedName>
    <definedName name="DocType">Word</definedName>
    <definedName name="dollar2">'[19]Dollar for Dollar'!#REF!</definedName>
    <definedName name="downside">[20]Transaction!#REF!</definedName>
    <definedName name="DP">[21]Schedules!#REF!</definedName>
    <definedName name="DRAFT">#REF!</definedName>
    <definedName name="DUMMY">#REF!</definedName>
    <definedName name="e_cust">[22]Lookups!#REF!</definedName>
    <definedName name="e_gen">[22]Lookups!#REF!</definedName>
    <definedName name="e_labor">[22]Lookups!#REF!</definedName>
    <definedName name="e_mat">[22]Lookups!#REF!</definedName>
    <definedName name="e_ohead">[22]Lookups!#REF!</definedName>
    <definedName name="e_sell">[22]Lookups!#REF!</definedName>
    <definedName name="e_sell2">[22]Lookups!#REF!</definedName>
    <definedName name="earn">#REF!</definedName>
    <definedName name="ebsens">'[23]Trans Assump'!$G$56</definedName>
    <definedName name="em_sales">[22]Lookups!#REF!</definedName>
    <definedName name="EMINTOPGAS">#REF!</definedName>
    <definedName name="ENVIRO">#REF!</definedName>
    <definedName name="equity">'[24]LBO Analysis'!$AB$23</definedName>
    <definedName name="euro">[25]BRKT!$C$11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[15]Fin_Assumptions!#REF!</definedName>
    <definedName name="EXCHANGE">[15]Fin_Assumptions!#REF!</definedName>
    <definedName name="exchangerate">[9]DCEInputs!$I$8</definedName>
    <definedName name="excl_data">#REF!</definedName>
    <definedName name="EXDATE">#REF!</definedName>
    <definedName name="exit">#REF!</definedName>
    <definedName name="exit_own">'[26]Deal Summary'!#REF!</definedName>
    <definedName name="exitentvalue">[27]Transaction!#REF!</definedName>
    <definedName name="exitmult">#REF!</definedName>
    <definedName name="exitstart">#REF!</definedName>
    <definedName name="exitstep">#REF!</definedName>
    <definedName name="f">Word</definedName>
    <definedName name="FACTORS2">#REF!</definedName>
    <definedName name="FASB106">#REF!</definedName>
    <definedName name="FD">'[28]DCF Matrix'!#REF!</definedName>
    <definedName name="fds">'[29]FRCT INPUT-CFG'!$D$41:$H$41</definedName>
    <definedName name="FERNCUST">#REF!</definedName>
    <definedName name="FERNINC">#REF!</definedName>
    <definedName name="FERNUNIT">#REF!</definedName>
    <definedName name="FileName">[30]Sheet1!$D$2</definedName>
    <definedName name="FINAL">#REF!</definedName>
    <definedName name="financialcase">[6]Model!$D$8</definedName>
    <definedName name="Fincase">#REF!</definedName>
    <definedName name="finfees?">#REF!</definedName>
    <definedName name="fix">#REF!</definedName>
    <definedName name="fixed">[15]Controls!#REF!</definedName>
    <definedName name="fixedmargin">[6]Model!$AA$178</definedName>
    <definedName name="FLO">#REF!</definedName>
    <definedName name="FNAME">[18]Inputs!#REF!</definedName>
    <definedName name="FPUC_10_year">#REF!</definedName>
    <definedName name="FPUINC">[31]FPUINC!#REF!</definedName>
    <definedName name="FPUP1R">#REF!</definedName>
    <definedName name="FPUP2AL">#REF!</definedName>
    <definedName name="FPUP2L">#REF!</definedName>
    <definedName name="FROM_MERGER">[18]Inputs!#REF!</definedName>
    <definedName name="ftdexit">#REF!</definedName>
    <definedName name="ftdlev">[20]Transaction!#REF!</definedName>
    <definedName name="ftdpm">[20]Transaction!#REF!</definedName>
    <definedName name="ftdprice">[20]Transaction!#REF!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'[32]FRCT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[6]Model!$D$11</definedName>
    <definedName name="GRAPH">#REF!</definedName>
    <definedName name="growth">[9]DCEInputs!$I$24</definedName>
    <definedName name="h10IRR">[33]Model!#REF!</definedName>
    <definedName name="hdebtserv">[26]Rolex!#REF!</definedName>
    <definedName name="HedgeType">'[34]Financing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[18]Inputs!#REF!</definedName>
    <definedName name="incl_data">#REF!</definedName>
    <definedName name="INCREMCOS">#REF!</definedName>
    <definedName name="INCREMDELIV">#REF!</definedName>
    <definedName name="INCREMDTMILES">#REF!</definedName>
    <definedName name="INCREMINPUT">#REF!</definedName>
    <definedName name="industrial">[35]TRANSACTION!#REF!</definedName>
    <definedName name="inflation">'[6]Cost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[21]Schedules!#REF!</definedName>
    <definedName name="interco">[35]TRANSACTION!#REF!</definedName>
    <definedName name="Intref">'[24]LBO FINS'!$E$216</definedName>
    <definedName name="Intsub">'[24]LBO Analysis'!$J$10</definedName>
    <definedName name="ipocase">[6]Model!$D$41</definedName>
    <definedName name="ipoyear">[6]Model!$D$49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'[7]JRM Model'!$A$191</definedName>
    <definedName name="jv">#REF!</definedName>
    <definedName name="k">#REF!</definedName>
    <definedName name="KDATE">#REF!</definedName>
    <definedName name="KKR_Deal_Fee">[36]Triggers!$E$23</definedName>
    <definedName name="l">[37]DE!#REF!</definedName>
    <definedName name="lbo">[38]LBOSourceUse!$D$7</definedName>
    <definedName name="LBO_MODEL">[39]TRANS!$D$10</definedName>
    <definedName name="LBO_PR1">#REF!</definedName>
    <definedName name="LBO_PR2">#REF!</definedName>
    <definedName name="LBO_PR4">#REF!</definedName>
    <definedName name="LBO_PR5">#REF!</definedName>
    <definedName name="LBO_PRICE">'[26]Trans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[40]Inputs!$P$27</definedName>
    <definedName name="legend">#REF!</definedName>
    <definedName name="lev">#REF!</definedName>
    <definedName name="levstep">#REF!</definedName>
    <definedName name="Lfdshares">[40]Inputs!$P$24</definedName>
    <definedName name="ListSheetsMacroButton">#REF!</definedName>
    <definedName name="Lmin">[40]Inputs!$P$29</definedName>
    <definedName name="Long_Term_Debt">[10]Inputs!$B$8</definedName>
    <definedName name="LOOP">#REF!</definedName>
    <definedName name="Lpref">[40]Inputs!$P$30</definedName>
    <definedName name="LTDEBT">#REF!</definedName>
    <definedName name="LTM">#REF!</definedName>
    <definedName name="LTM_EBITDA">[10]Inputs!$B$21</definedName>
    <definedName name="LTM_EBITDAR">[10]Inputs!$B$20</definedName>
    <definedName name="LTM_REVENUES">[10]Inputs!$B$19</definedName>
    <definedName name="Ltotdebt">[40]Inputs!$P$28</definedName>
    <definedName name="m_gen">[22]Lookups!#REF!</definedName>
    <definedName name="m_labor">[22]Lookups!#REF!</definedName>
    <definedName name="m_maniuf">[22]Lookups!#REF!</definedName>
    <definedName name="m_manuf">[22]Lookups!#REF!</definedName>
    <definedName name="m_mat">[22]Lookups!#REF!</definedName>
    <definedName name="m_ohead">[22]Lookups!#REF!</definedName>
    <definedName name="m_sell">[22]Lookups!#REF!</definedName>
    <definedName name="m_var">[22]Lookups!#REF!</definedName>
    <definedName name="Macro4">[41]!Macro4</definedName>
    <definedName name="MACROS">#REF!</definedName>
    <definedName name="mapping">[42]mapping!$A$2:$H$1143</definedName>
    <definedName name="MARCUST">#REF!</definedName>
    <definedName name="margin">[6]Model!$AA$180</definedName>
    <definedName name="MARINC">#REF!</definedName>
    <definedName name="Market_Equity">#REF!</definedName>
    <definedName name="MARUNIT">#REF!</definedName>
    <definedName name="master">[43]conrol!$B$11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[15]Fin_Assumptions!#REF!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[44]MODEL!$L$22</definedName>
    <definedName name="Minumum_Cash">#REF!</definedName>
    <definedName name="MKT_TEMP_DIR">[18]Inputs!#REF!</definedName>
    <definedName name="MKT_TEMP_FNAME">[18]Inputs!#REF!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[39]TRANS!$D$14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[26]Timex!#REF!</definedName>
    <definedName name="MULT_CHOICE">'[26]Trans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[10]Inputs!$B$14</definedName>
    <definedName name="NAME">[45]INPUT!$A$13:$B$30</definedName>
    <definedName name="NAMES">[18]Inputs!#REF!</definedName>
    <definedName name="NDC_TRAN_LOG">#REF!</definedName>
    <definedName name="NDCFORM">#REF!</definedName>
    <definedName name="Net_Debt">#REF!</definedName>
    <definedName name="NEW_GW_LIFE">'[26]Trans Assump'!#REF!</definedName>
    <definedName name="NEW_GW_TAX">'[26]Trans Assump'!#REF!</definedName>
    <definedName name="newcutoff">'[12]Summary History'!$C$3</definedName>
    <definedName name="newline">#REF!</definedName>
    <definedName name="newline2">#REF!</definedName>
    <definedName name="nextvsthis">#REF!</definedName>
    <definedName name="nol">[15]Fin_Assumptions!#REF!</definedName>
    <definedName name="nol?">[20]Transaction!#REF!</definedName>
    <definedName name="note">[35]TRANSACTION!#REF!</definedName>
    <definedName name="NOTES">#REF!</definedName>
    <definedName name="novjv">#REF!</definedName>
    <definedName name="NumQtrs">#REF!</definedName>
    <definedName name="offer">'[38]Sources &amp; Uses'!$D$7</definedName>
    <definedName name="OFFER_PRICE">[18]Transinputs!$U$7</definedName>
    <definedName name="OLDGW">[18]Target!#REF!</definedName>
    <definedName name="opcase">#REF!</definedName>
    <definedName name="OPT_PROC">#REF!</definedName>
    <definedName name="Options">#REF!</definedName>
    <definedName name="OTA">#REF!</definedName>
    <definedName name="other_expense">[35]TRANSACTION!#REF!</definedName>
    <definedName name="OTHERTHANZONE6">#REF!</definedName>
    <definedName name="OUT_INT">#REF!</definedName>
    <definedName name="OUTPUTS">#REF!</definedName>
    <definedName name="ownership">[6]Model!$C$22</definedName>
    <definedName name="PAGE11">[46]Prepayments!#REF!</definedName>
    <definedName name="PAGE12">[46]Prepayments!#REF!</definedName>
    <definedName name="PAGE13">[46]Prepayments!#REF!</definedName>
    <definedName name="PAGE14">#REF!</definedName>
    <definedName name="PAGE15">[46]RateBase!#REF!</definedName>
    <definedName name="PAGE4">[18]Calcs:tainted!$B$57:$L$73</definedName>
    <definedName name="PATHNAME">#REF!</definedName>
    <definedName name="payment">[15]Controls!#REF!</definedName>
    <definedName name="PD">[21]Schedules!#REF!</definedName>
    <definedName name="pdate">[9]DCEInputs!$I$6</definedName>
    <definedName name="PERF">#REF!</definedName>
    <definedName name="PERFORMANCE">#REF!</definedName>
    <definedName name="pfbal">[26]Rolex!#REF!</definedName>
    <definedName name="PFFINGRAPH">#REF!</definedName>
    <definedName name="PIKK">'[47]Trans Assump'!$U$18</definedName>
    <definedName name="PIPELINE_INPUT">'[48]FPL Interconnect Actual'!$E$7:$P$53</definedName>
    <definedName name="pjname">{"Client Name or Project Name"}</definedName>
    <definedName name="PLANT">#REF!</definedName>
    <definedName name="PLANT_BAL2">#REF!</definedName>
    <definedName name="PMT">#REF!</definedName>
    <definedName name="PNAME">[18]Summary!#REF!</definedName>
    <definedName name="PP">#REF!</definedName>
    <definedName name="pprice">[36]Triggers!$E$13</definedName>
    <definedName name="pprice2">'[26]Deal Summary'!#REF!</definedName>
    <definedName name="PR_2006VS2005">#REF!</definedName>
    <definedName name="PR_CUR_QTR">#REF!</definedName>
    <definedName name="PR_YTD">#REF!</definedName>
    <definedName name="Preferred_Stock">[10]Inputs!$B$7</definedName>
    <definedName name="premium">[18]Transinputs!$U$13</definedName>
    <definedName name="PRICE_SENSE">#REF!</definedName>
    <definedName name="PRICE_SENSE2">#REF!</definedName>
    <definedName name="pricecase">[40]Buildup!$Z$374</definedName>
    <definedName name="PRINT">#REF!</definedName>
    <definedName name="_xlnm.Print_Area" localSheetId="1">'Avg ROR'!$A$1:$P$49</definedName>
    <definedName name="_xlnm.Print_Area" localSheetId="5">'Capital Structure'!$A$1:$P$57</definedName>
    <definedName name="_xlnm.Print_Area" localSheetId="0">'Report Summary'!$A$1:$L$59</definedName>
    <definedName name="_xlnm.Print_Area" localSheetId="3">'Year End ROR'!$A$1:$P$43</definedName>
    <definedName name="_xlnm.Print_Area">#REF!</definedName>
    <definedName name="PRINT_EXPLANATI">#REF!</definedName>
    <definedName name="Print_HardRock">[19]!Print_HardRock</definedName>
    <definedName name="PRINT_MENU">#REF!</definedName>
    <definedName name="_xlnm.Print_Titles">#REF!</definedName>
    <definedName name="Print_Valmax">[49]!Print_Valmax</definedName>
    <definedName name="PRINTADJ">#REF!</definedName>
    <definedName name="PRINTALL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UCTION">#REF!</definedName>
    <definedName name="PROJ1">#REF!</definedName>
    <definedName name="PROJ2">#REF!</definedName>
    <definedName name="PROJCURV">#REF!</definedName>
    <definedName name="project">[38]Inputs!$D$5</definedName>
    <definedName name="Project_Name">[10]Inputs!$E$1</definedName>
    <definedName name="ProjectName">{"Client Name or Project Name"}</definedName>
    <definedName name="PROJGRAPH">#REF!</definedName>
    <definedName name="PROJNAME">'[50]Transaction Inputs'!$E$15</definedName>
    <definedName name="PRYTD">#REF!</definedName>
    <definedName name="Public">#REF!</definedName>
    <definedName name="pur">[13]Snow_recap!$R$9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[18]Acquiror!#REF!</definedName>
    <definedName name="qtrvsprqtr">#REF!</definedName>
    <definedName name="R_TableTotals">'[51]MA Comps'!#REF!</definedName>
    <definedName name="range">#REF!</definedName>
    <definedName name="RAS" hidden="1">[52]FxdChg!#REF!</definedName>
    <definedName name="rate">#REF!</definedName>
    <definedName name="raw">[35]TRANSACTION!#REF!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[15]Controls!$E$8</definedName>
    <definedName name="relevered_beta">'[8]DCF Model'!#REF!</definedName>
    <definedName name="RELIEF">#REF!</definedName>
    <definedName name="residmult">[33]Model!#REF!</definedName>
    <definedName name="RET">#REF!</definedName>
    <definedName name="RET_BY_DIST">#REF!</definedName>
    <definedName name="rhtcase">#REF!</definedName>
    <definedName name="rhtoffer">#REF!</definedName>
    <definedName name="rhtprice">[53]Overview!$D$8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SCHED">#REF!</definedName>
    <definedName name="ROUNDED">#REF!</definedName>
    <definedName name="royalty">[15]Controls!#REF!</definedName>
    <definedName name="RUN">'[28]DCF Inputs'!#REF!</definedName>
    <definedName name="RUNTIME">#REF!</definedName>
    <definedName name="s">Word</definedName>
    <definedName name="SALE">[15]Fin_Assumptions!#REF!</definedName>
    <definedName name="SANCUST">#REF!</definedName>
    <definedName name="SANINC">#REF!</definedName>
    <definedName name="SANUNIT">#REF!</definedName>
    <definedName name="scenario">'[26]Deal Summary'!#REF!</definedName>
    <definedName name="SCH5GAS">#REF!</definedName>
    <definedName name="sdfsdf">#REF!</definedName>
    <definedName name="sdfsdfsd">#REF!</definedName>
    <definedName name="secondary1">[6]Model!$D$56</definedName>
    <definedName name="secondary2">[6]Model!$D$59</definedName>
    <definedName name="secondary3">[6]Model!$D$62</definedName>
    <definedName name="secondarydiscount">[6]Model!$D$50</definedName>
    <definedName name="secondarymultiple">[6]Model!$D$51</definedName>
    <definedName name="secondarytiming">[6]Model!$D$45</definedName>
    <definedName name="seller_note_sweep">[35]TRANSACTION!#REF!</definedName>
    <definedName name="sellerfinancerate">[6]Model!$I$8</definedName>
    <definedName name="seniorcoupon">#REF!</definedName>
    <definedName name="SENSEPOOL">[18]Calcs:Summary!$M$34:$AI$122</definedName>
    <definedName name="SENSITIVE">#REF!</definedName>
    <definedName name="Sensitivity">#REF!</definedName>
    <definedName name="servdebt">[26]Earnings!#REF!</definedName>
    <definedName name="servicesconvention">#REF!</definedName>
    <definedName name="SET_ISS_PRICE">#REF!</definedName>
    <definedName name="SET_OFF_PRICE">#REF!</definedName>
    <definedName name="set_price">'[26]Deal Summary'!#REF!</definedName>
    <definedName name="shares">[54]DCEInputs!$M$13</definedName>
    <definedName name="Shares_Outstanding">[10]Inputs!$B$5</definedName>
    <definedName name="SHDATE">#REF!</definedName>
    <definedName name="Short_Term_Debt">[10]Inputs!$B$9</definedName>
    <definedName name="signcont">#REF!</definedName>
    <definedName name="signcontOther">#REF!</definedName>
    <definedName name="srecap">[36]Triggers!$E$21</definedName>
    <definedName name="STDEBT">#REF!</definedName>
    <definedName name="STORBASE2">#REF!</definedName>
    <definedName name="StrikePrice">#REF!</definedName>
    <definedName name="Stub_year_fraction">#REF!</definedName>
    <definedName name="sum">#REF!</definedName>
    <definedName name="Summ">'[55]DEL-updated'!$A$11:$T$372</definedName>
    <definedName name="support_A">#REF!</definedName>
    <definedName name="support_B">#REF!</definedName>
    <definedName name="support_C">#REF!</definedName>
    <definedName name="switch">[13]conrol!$B$16</definedName>
    <definedName name="syn">'[51]DCF - Ed'!#REF!</definedName>
    <definedName name="SYN_ON">'[26]Trans Assump'!#REF!</definedName>
    <definedName name="SYNOFF">'[28]DCF Inputs'!#REF!</definedName>
    <definedName name="SYNON">'[28]DCF Inputs'!#REF!</definedName>
    <definedName name="t1book">'[50]Target 1'!$W$26</definedName>
    <definedName name="t1cash">'[50]Target 1'!$W$8</definedName>
    <definedName name="t1debt">'[50]Target 1'!$W$22</definedName>
    <definedName name="t1ebitda">'[50]Target 1'!$G$25</definedName>
    <definedName name="T1RENTS">'[50]Target 1'!$G$23</definedName>
    <definedName name="t1revs">'[50]Target 1'!$G$20</definedName>
    <definedName name="t1shares">'[50]Share Calculations'!$K$29</definedName>
    <definedName name="Tar00Est">#REF!</definedName>
    <definedName name="Tar01Est">#REF!</definedName>
    <definedName name="Tar99Est">#REF!</definedName>
    <definedName name="targ1fy97">'[50]Target 1'!$E$11</definedName>
    <definedName name="targ1fy98">'[50]Target 1'!$E$11</definedName>
    <definedName name="targ1price">'[50]Transaction Calculations'!$I$22</definedName>
    <definedName name="targ1shares">'[50]Transaction Calculations'!$I$29</definedName>
    <definedName name="Targ52High">[56]Input!$K$63</definedName>
    <definedName name="Targ52Low">[56]Input!$K$64</definedName>
    <definedName name="TargCalEPS1">[56]Input!$K$68</definedName>
    <definedName name="TargCalEPS2">[56]Input!$K$69</definedName>
    <definedName name="TargCalEPS3">[56]Input!$K$70</definedName>
    <definedName name="TargEBITDA">[56]Input!$K$47</definedName>
    <definedName name="TARGET_NAME">[18]Target!#REF!</definedName>
    <definedName name="Target1">'[50]Transaction Inputs'!$E$19</definedName>
    <definedName name="TargetDebt">[56]Input!$K$54</definedName>
    <definedName name="tax">#REF!</definedName>
    <definedName name="Tax_Rate">#REF!</definedName>
    <definedName name="taxasset?">[20]Transaction!#REF!</definedName>
    <definedName name="taxassetswitch">[20]Transaction!#REF!</definedName>
    <definedName name="taxrate">#REF!</definedName>
    <definedName name="tbl">{2}</definedName>
    <definedName name="TEMPLATE_FILE">[18]Inputs!#REF!</definedName>
    <definedName name="tender">'[57]Trans Assump'!#REF!</definedName>
    <definedName name="ticker">'[9]SumComp-Nortel'!$D$1</definedName>
    <definedName name="ticker2">'[38]Side by Side'!#REF!</definedName>
    <definedName name="timepeiece">[56]Input!$E$9</definedName>
    <definedName name="Title">[21]Cases!$A$4</definedName>
    <definedName name="TOTAL_ACQ">'[58]Units Sold Data'!$B$123:$J$123</definedName>
    <definedName name="TOTAL_AUS">'[58]Units Sold Data'!$B$69:$J$69</definedName>
    <definedName name="TOTAL_CAN">'[58]Units Sold Data'!$B$87:$J$87</definedName>
    <definedName name="TOTAL_FM">'[59]Total Products - FM'!$B$17:$J$17</definedName>
    <definedName name="TOTAL_NAT_L">'[58]Units Sold Data'!$B$105:$J$105</definedName>
    <definedName name="TOTAL_UK">'[58]Units Sold Data'!$B$51:$J$51</definedName>
    <definedName name="TOTAL_US">'[58]Units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[18]Target!#REF!</definedName>
    <definedName name="UNAMORT">#REF!</definedName>
    <definedName name="UNDER">#REF!</definedName>
    <definedName name="units">[43]conrol!$C$8</definedName>
    <definedName name="UPDATE">#REF!</definedName>
    <definedName name="UPDATE_MKT">#REF!</definedName>
    <definedName name="us_cpi">#REF!</definedName>
    <definedName name="USE_TEMP">[18]Inputs!#REF!</definedName>
    <definedName name="Useful_Life_of_Depreciable_PP_E">"PPElife"</definedName>
    <definedName name="usprice">[9]DCEInputs!$I$5</definedName>
    <definedName name="varyr1">'[60]var 10 11'!#REF!</definedName>
    <definedName name="VAT">#REF!</definedName>
    <definedName name="VCA">#REF!</definedName>
    <definedName name="w_sales">[22]Lookups!#REF!</definedName>
    <definedName name="wacc">#REF!</definedName>
    <definedName name="WATINC">#REF!</definedName>
    <definedName name="Weight_of_Equity">'[16]B&amp;W WACC'!#REF!</definedName>
    <definedName name="WPBCUST">#REF!</definedName>
    <definedName name="WPBINC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[15]Fin_Assumptions!#REF!</definedName>
    <definedName name="yr1b">#REF!</definedName>
    <definedName name="z_Clear">#REF!,#REF!,#REF!,#REF!,#REF!,#REF!,#REF!,#REF!,#REF!,#REF!,#REF!,#REF!</definedName>
    <definedName name="z_Col10">[4]Main!$P$5:$P$56,[4]Main!$P$16:$P$132,[4]Main!$P$145:$P$199,[4]Main!$P$213:$P$234</definedName>
    <definedName name="z_Col11">[4]Main!$P$5:$P$56,[4]Main!$P$16:$P$132,[4]Main!$P$145:$P$199,[4]Main!$P$213:$P$234</definedName>
    <definedName name="z_Col12">[4]Main!$P$5:$P$56,[4]Main!$P$16:$P$132,[4]Main!$P$145:$P$199,[4]Main!$P$213:$P$234</definedName>
    <definedName name="z_Col13">[4]Main!$P$5:$P$56,[4]Main!$P$16:$P$132,[4]Main!$P$145:$P$199,[4]Main!$P$213:$P$234</definedName>
    <definedName name="z_Col14">[4]Main!$P$5:$P$56,[4]Main!$P$16:$P$132,[4]Main!$P$145:$P$199,[4]Main!$P$213:$P$234</definedName>
    <definedName name="z_Col5">[4]Main!$J$5:$O$56,[4]Main!$J$16:$O$132,[4]Main!$J$145:$O$199,[4]Main!$J$213:$O$234</definedName>
    <definedName name="z_Col6">[4]Main!$N$4:$O$56,[4]Main!$N$16:$O$132,[4]Main!$N$145:$O$199,[4]Main!$N$213:$O$234</definedName>
    <definedName name="z_Col7">[4]Main!#REF!,[4]Main!#REF!,[4]Main!#REF!,[4]Main!#REF!</definedName>
    <definedName name="z_Col9">[4]Main!$P$5:$P$56,[4]Main!$P$16:$P$132,[4]Main!$P$145:$P$199,[4]Main!$P$213:$P$234</definedName>
    <definedName name="z_DelOne">#REF!</definedName>
    <definedName name="z_DelTwo">#REF!</definedName>
    <definedName name="z_End">#REF!</definedName>
    <definedName name="z_End1">[4]Main!#REF!</definedName>
    <definedName name="z_EndA">[4]Main!#REF!</definedName>
    <definedName name="z_Endp1">[4]Main!#REF!</definedName>
    <definedName name="z_EndP2">[4]Main!#REF!</definedName>
    <definedName name="z_Industry">[4]Main!#REF!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[4]Main!$H$8:$S$56,[4]Main!$H$16:$S$132</definedName>
    <definedName name="z_Project_Name">[4]Main!#REF!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2" l="1"/>
  <c r="E57" i="6" l="1"/>
  <c r="F50" i="6"/>
  <c r="I50" i="6" s="1"/>
  <c r="M48" i="6"/>
  <c r="O48" i="6" s="1"/>
  <c r="F48" i="6"/>
  <c r="I48" i="6" s="1"/>
  <c r="M46" i="6"/>
  <c r="O46" i="6" s="1"/>
  <c r="F46" i="6"/>
  <c r="I46" i="6" s="1"/>
  <c r="M44" i="6"/>
  <c r="O44" i="6" s="1"/>
  <c r="I44" i="6"/>
  <c r="F44" i="6"/>
  <c r="O42" i="6"/>
  <c r="M42" i="6"/>
  <c r="F42" i="6"/>
  <c r="I42" i="6" s="1"/>
  <c r="O40" i="6"/>
  <c r="K40" i="6"/>
  <c r="G57" i="6"/>
  <c r="E30" i="6"/>
  <c r="F23" i="6"/>
  <c r="I23" i="6" s="1"/>
  <c r="M21" i="6"/>
  <c r="O21" i="6" s="1"/>
  <c r="I21" i="6"/>
  <c r="F21" i="6"/>
  <c r="O19" i="6"/>
  <c r="M19" i="6"/>
  <c r="F19" i="6"/>
  <c r="I19" i="6" s="1"/>
  <c r="M17" i="6"/>
  <c r="O17" i="6" s="1"/>
  <c r="F17" i="6"/>
  <c r="I17" i="6" s="1"/>
  <c r="O15" i="6"/>
  <c r="G30" i="6"/>
  <c r="F15" i="6"/>
  <c r="I15" i="6" s="1"/>
  <c r="O13" i="6"/>
  <c r="K13" i="6"/>
  <c r="F13" i="6"/>
  <c r="D30" i="6"/>
  <c r="A2" i="6"/>
  <c r="A1" i="6"/>
  <c r="R44" i="5"/>
  <c r="P44" i="5"/>
  <c r="N44" i="5"/>
  <c r="J44" i="5"/>
  <c r="H44" i="5"/>
  <c r="F44" i="5"/>
  <c r="D44" i="5"/>
  <c r="B44" i="5"/>
  <c r="T43" i="5"/>
  <c r="V43" i="5" s="1"/>
  <c r="L43" i="5"/>
  <c r="L42" i="5"/>
  <c r="T42" i="5" s="1"/>
  <c r="V42" i="5" s="1"/>
  <c r="V41" i="5"/>
  <c r="T41" i="5"/>
  <c r="T40" i="5"/>
  <c r="J36" i="5"/>
  <c r="H36" i="5"/>
  <c r="F36" i="5"/>
  <c r="B36" i="5"/>
  <c r="P34" i="5"/>
  <c r="P38" i="5" s="1"/>
  <c r="P47" i="5" s="1"/>
  <c r="R32" i="5"/>
  <c r="R34" i="5" s="1"/>
  <c r="R38" i="5" s="1"/>
  <c r="R47" i="5" s="1"/>
  <c r="P32" i="5"/>
  <c r="N32" i="5"/>
  <c r="N34" i="5" s="1"/>
  <c r="N38" i="5" s="1"/>
  <c r="T30" i="5"/>
  <c r="V30" i="5" s="1"/>
  <c r="L30" i="5"/>
  <c r="L29" i="5"/>
  <c r="T29" i="5" s="1"/>
  <c r="V29" i="5" s="1"/>
  <c r="L28" i="5"/>
  <c r="T28" i="5" s="1"/>
  <c r="V28" i="5" s="1"/>
  <c r="V27" i="5"/>
  <c r="T27" i="5"/>
  <c r="L27" i="5"/>
  <c r="T26" i="5"/>
  <c r="V26" i="5" s="1"/>
  <c r="L26" i="5"/>
  <c r="B24" i="5"/>
  <c r="F23" i="5"/>
  <c r="B23" i="5"/>
  <c r="L22" i="5"/>
  <c r="T22" i="5"/>
  <c r="V22" i="5" s="1"/>
  <c r="L21" i="5"/>
  <c r="J21" i="5"/>
  <c r="D32" i="5"/>
  <c r="D34" i="5"/>
  <c r="D38" i="5" s="1"/>
  <c r="D47" i="5" s="1"/>
  <c r="A3" i="5"/>
  <c r="N39" i="4"/>
  <c r="J39" i="4"/>
  <c r="H39" i="4"/>
  <c r="A39" i="4"/>
  <c r="P38" i="4"/>
  <c r="A38" i="4"/>
  <c r="L37" i="4"/>
  <c r="P37" i="4" s="1"/>
  <c r="F37" i="4"/>
  <c r="D39" i="4"/>
  <c r="B39" i="4"/>
  <c r="F39" i="4" s="1"/>
  <c r="L39" i="4" s="1"/>
  <c r="P39" i="4" s="1"/>
  <c r="A37" i="4"/>
  <c r="A34" i="4"/>
  <c r="D33" i="4"/>
  <c r="D42" i="4" s="1"/>
  <c r="F31" i="4"/>
  <c r="L31" i="4" s="1"/>
  <c r="P31" i="4" s="1"/>
  <c r="J26" i="4"/>
  <c r="J29" i="4" s="1"/>
  <c r="J33" i="4" s="1"/>
  <c r="J42" i="4" s="1"/>
  <c r="H26" i="4"/>
  <c r="H29" i="4" s="1"/>
  <c r="H33" i="4" s="1"/>
  <c r="H42" i="4" s="1"/>
  <c r="P25" i="4"/>
  <c r="L25" i="4"/>
  <c r="P24" i="4"/>
  <c r="L24" i="4"/>
  <c r="F24" i="4"/>
  <c r="P23" i="4"/>
  <c r="L23" i="4"/>
  <c r="F23" i="4"/>
  <c r="P22" i="4"/>
  <c r="F22" i="4"/>
  <c r="L21" i="4"/>
  <c r="P21" i="4" s="1"/>
  <c r="F21" i="4"/>
  <c r="D26" i="4"/>
  <c r="F20" i="4"/>
  <c r="L20" i="4" s="1"/>
  <c r="P20" i="4" s="1"/>
  <c r="P19" i="4"/>
  <c r="H40" i="6" s="1"/>
  <c r="H57" i="6" s="1"/>
  <c r="F19" i="4"/>
  <c r="L19" i="4" s="1"/>
  <c r="A19" i="4"/>
  <c r="N26" i="4"/>
  <c r="L18" i="4"/>
  <c r="F18" i="4"/>
  <c r="A18" i="4"/>
  <c r="N29" i="4"/>
  <c r="N33" i="4" s="1"/>
  <c r="N42" i="4" s="1"/>
  <c r="L14" i="4"/>
  <c r="D29" i="4"/>
  <c r="F14" i="4"/>
  <c r="A2" i="4"/>
  <c r="A2" i="5" s="1"/>
  <c r="A1" i="4"/>
  <c r="A1" i="5" s="1"/>
  <c r="N46" i="3"/>
  <c r="T43" i="3"/>
  <c r="R43" i="3"/>
  <c r="P43" i="3"/>
  <c r="N43" i="3"/>
  <c r="L43" i="3"/>
  <c r="J43" i="3"/>
  <c r="F43" i="3"/>
  <c r="D43" i="3"/>
  <c r="B43" i="3"/>
  <c r="T42" i="3"/>
  <c r="V42" i="3" s="1"/>
  <c r="L42" i="3"/>
  <c r="L41" i="3"/>
  <c r="T41" i="3" s="1"/>
  <c r="V41" i="3" s="1"/>
  <c r="V40" i="3"/>
  <c r="T40" i="3"/>
  <c r="T39" i="3"/>
  <c r="V39" i="3" s="1"/>
  <c r="H43" i="3"/>
  <c r="L35" i="3"/>
  <c r="T35" i="3" s="1"/>
  <c r="V35" i="3" s="1"/>
  <c r="R31" i="3"/>
  <c r="R33" i="3" s="1"/>
  <c r="R37" i="3" s="1"/>
  <c r="R46" i="3" s="1"/>
  <c r="P31" i="3"/>
  <c r="P33" i="3" s="1"/>
  <c r="P37" i="3" s="1"/>
  <c r="P46" i="3" s="1"/>
  <c r="N31" i="3"/>
  <c r="N33" i="3" s="1"/>
  <c r="N37" i="3" s="1"/>
  <c r="V29" i="3"/>
  <c r="T29" i="3"/>
  <c r="L29" i="3"/>
  <c r="T28" i="3"/>
  <c r="V28" i="3" s="1"/>
  <c r="L28" i="3"/>
  <c r="L27" i="3"/>
  <c r="T27" i="3" s="1"/>
  <c r="V27" i="3" s="1"/>
  <c r="L26" i="3"/>
  <c r="T26" i="3" s="1"/>
  <c r="V26" i="3" s="1"/>
  <c r="B25" i="5"/>
  <c r="J24" i="5"/>
  <c r="H24" i="5"/>
  <c r="F24" i="5"/>
  <c r="L24" i="3"/>
  <c r="T23" i="3"/>
  <c r="V23" i="3" s="1"/>
  <c r="L23" i="3"/>
  <c r="T22" i="3"/>
  <c r="V22" i="3" s="1"/>
  <c r="L22" i="3"/>
  <c r="J20" i="3"/>
  <c r="L20" i="3"/>
  <c r="L19" i="3"/>
  <c r="T19" i="3" s="1"/>
  <c r="V19" i="3" s="1"/>
  <c r="L18" i="3"/>
  <c r="T18" i="3" s="1"/>
  <c r="B31" i="3"/>
  <c r="L17" i="3"/>
  <c r="T13" i="3"/>
  <c r="A3" i="3"/>
  <c r="A2" i="3"/>
  <c r="A1" i="3"/>
  <c r="N39" i="2"/>
  <c r="J39" i="2"/>
  <c r="H39" i="2"/>
  <c r="D39" i="2"/>
  <c r="B39" i="2"/>
  <c r="P38" i="2"/>
  <c r="F37" i="2"/>
  <c r="L37" i="2" s="1"/>
  <c r="P37" i="2" s="1"/>
  <c r="L36" i="2"/>
  <c r="P36" i="2" s="1"/>
  <c r="F36" i="2"/>
  <c r="F35" i="2"/>
  <c r="J33" i="2"/>
  <c r="J42" i="2" s="1"/>
  <c r="F31" i="2"/>
  <c r="L31" i="2" s="1"/>
  <c r="P31" i="2" s="1"/>
  <c r="H29" i="2"/>
  <c r="H33" i="2" s="1"/>
  <c r="H42" i="2" s="1"/>
  <c r="J26" i="2"/>
  <c r="H26" i="2"/>
  <c r="P25" i="2"/>
  <c r="F25" i="2"/>
  <c r="L25" i="2" s="1"/>
  <c r="F24" i="2"/>
  <c r="L24" i="2" s="1"/>
  <c r="P24" i="2" s="1"/>
  <c r="L23" i="2"/>
  <c r="F23" i="2"/>
  <c r="P22" i="2"/>
  <c r="L22" i="2"/>
  <c r="F22" i="2"/>
  <c r="F21" i="2"/>
  <c r="L21" i="2" s="1"/>
  <c r="P21" i="2" s="1"/>
  <c r="P20" i="2"/>
  <c r="D26" i="2"/>
  <c r="F20" i="2"/>
  <c r="L20" i="2" s="1"/>
  <c r="B26" i="2"/>
  <c r="F18" i="2"/>
  <c r="J29" i="2"/>
  <c r="D29" i="2"/>
  <c r="D33" i="2" s="1"/>
  <c r="D42" i="2" s="1"/>
  <c r="A2" i="2"/>
  <c r="A1" i="2"/>
  <c r="J27" i="1"/>
  <c r="A4" i="6"/>
  <c r="T20" i="3" l="1"/>
  <c r="V20" i="3" s="1"/>
  <c r="F14" i="2"/>
  <c r="B29" i="2"/>
  <c r="B33" i="2" s="1"/>
  <c r="B42" i="2" s="1"/>
  <c r="F19" i="2"/>
  <c r="L19" i="2" s="1"/>
  <c r="H13" i="6" s="1"/>
  <c r="H30" i="6" s="1"/>
  <c r="T16" i="3"/>
  <c r="F32" i="5"/>
  <c r="L18" i="2"/>
  <c r="F39" i="2"/>
  <c r="L35" i="2"/>
  <c r="H31" i="3"/>
  <c r="H33" i="3" s="1"/>
  <c r="H37" i="3" s="1"/>
  <c r="H46" i="3" s="1"/>
  <c r="T18" i="5"/>
  <c r="V18" i="5" s="1"/>
  <c r="A4" i="4"/>
  <c r="A4" i="5" s="1"/>
  <c r="A4" i="3"/>
  <c r="N26" i="2"/>
  <c r="N29" i="2" s="1"/>
  <c r="N33" i="2" s="1"/>
  <c r="N42" i="2" s="1"/>
  <c r="P23" i="2"/>
  <c r="B33" i="3"/>
  <c r="B37" i="3" s="1"/>
  <c r="B46" i="3" s="1"/>
  <c r="V13" i="3"/>
  <c r="T17" i="3"/>
  <c r="V17" i="3" s="1"/>
  <c r="D31" i="3"/>
  <c r="V43" i="3"/>
  <c r="J11" i="1" s="1"/>
  <c r="P14" i="4"/>
  <c r="P18" i="4"/>
  <c r="P26" i="4" s="1"/>
  <c r="F27" i="1" s="1"/>
  <c r="L26" i="4"/>
  <c r="L29" i="4" s="1"/>
  <c r="L33" i="4" s="1"/>
  <c r="L42" i="4" s="1"/>
  <c r="L36" i="5"/>
  <c r="T36" i="5"/>
  <c r="V36" i="5" s="1"/>
  <c r="L44" i="5"/>
  <c r="D57" i="6"/>
  <c r="F40" i="6"/>
  <c r="V18" i="3"/>
  <c r="J21" i="3"/>
  <c r="L25" i="3"/>
  <c r="T25" i="3" s="1"/>
  <c r="V25" i="3" s="1"/>
  <c r="B26" i="4"/>
  <c r="B29" i="4" s="1"/>
  <c r="B33" i="4" s="1"/>
  <c r="B42" i="4" s="1"/>
  <c r="H32" i="5"/>
  <c r="H34" i="5" s="1"/>
  <c r="H38" i="5" s="1"/>
  <c r="H47" i="5" s="1"/>
  <c r="L19" i="5"/>
  <c r="T19" i="5" s="1"/>
  <c r="V19" i="5" s="1"/>
  <c r="V21" i="5"/>
  <c r="L24" i="5"/>
  <c r="N47" i="5"/>
  <c r="T44" i="5"/>
  <c r="V40" i="5"/>
  <c r="V44" i="5" s="1"/>
  <c r="J24" i="1" s="1"/>
  <c r="F30" i="6"/>
  <c r="D33" i="3"/>
  <c r="D37" i="3" s="1"/>
  <c r="D46" i="3" s="1"/>
  <c r="F34" i="5"/>
  <c r="F38" i="5" s="1"/>
  <c r="F47" i="5" s="1"/>
  <c r="T24" i="5"/>
  <c r="V24" i="5" s="1"/>
  <c r="T24" i="3"/>
  <c r="V24" i="3" s="1"/>
  <c r="F31" i="3"/>
  <c r="F33" i="3" s="1"/>
  <c r="F37" i="3" s="1"/>
  <c r="F46" i="3" s="1"/>
  <c r="F26" i="4"/>
  <c r="F29" i="4" s="1"/>
  <c r="F33" i="4" s="1"/>
  <c r="F42" i="4" s="1"/>
  <c r="B34" i="5"/>
  <c r="B38" i="5" s="1"/>
  <c r="B47" i="5" s="1"/>
  <c r="L17" i="5"/>
  <c r="T17" i="5" s="1"/>
  <c r="V17" i="5" s="1"/>
  <c r="B32" i="5"/>
  <c r="L18" i="5"/>
  <c r="L20" i="5"/>
  <c r="J20" i="5"/>
  <c r="T21" i="5"/>
  <c r="L25" i="5"/>
  <c r="T25" i="5" s="1"/>
  <c r="V25" i="5" s="1"/>
  <c r="L23" i="5"/>
  <c r="T23" i="5" s="1"/>
  <c r="V23" i="5" s="1"/>
  <c r="M15" i="6"/>
  <c r="T16" i="5"/>
  <c r="T13" i="5"/>
  <c r="I13" i="6" l="1"/>
  <c r="I30" i="6" s="1"/>
  <c r="V13" i="5"/>
  <c r="P29" i="4"/>
  <c r="P33" i="4" s="1"/>
  <c r="P42" i="4" s="1"/>
  <c r="D27" i="1"/>
  <c r="H27" i="1" s="1"/>
  <c r="L27" i="1" s="1"/>
  <c r="V16" i="5"/>
  <c r="F57" i="6"/>
  <c r="I40" i="6"/>
  <c r="P18" i="2"/>
  <c r="L26" i="2"/>
  <c r="V16" i="3"/>
  <c r="L14" i="2"/>
  <c r="J31" i="3"/>
  <c r="J33" i="3" s="1"/>
  <c r="J37" i="3" s="1"/>
  <c r="J46" i="3" s="1"/>
  <c r="D11" i="1"/>
  <c r="T20" i="5"/>
  <c r="V20" i="5" s="1"/>
  <c r="J32" i="5"/>
  <c r="J34" i="5" s="1"/>
  <c r="J38" i="5" s="1"/>
  <c r="J47" i="5" s="1"/>
  <c r="L32" i="5"/>
  <c r="L34" i="5" s="1"/>
  <c r="L38" i="5" s="1"/>
  <c r="L47" i="5" s="1"/>
  <c r="L39" i="2"/>
  <c r="P35" i="2"/>
  <c r="P39" i="2" s="1"/>
  <c r="J14" i="1" s="1"/>
  <c r="F26" i="2"/>
  <c r="F29" i="2" s="1"/>
  <c r="F33" i="2" s="1"/>
  <c r="F42" i="2" s="1"/>
  <c r="L21" i="3"/>
  <c r="L31" i="3" s="1"/>
  <c r="L33" i="3" s="1"/>
  <c r="L37" i="3" s="1"/>
  <c r="L46" i="3" s="1"/>
  <c r="J13" i="6" l="1"/>
  <c r="N13" i="6" s="1"/>
  <c r="P26" i="2"/>
  <c r="F14" i="1" s="1"/>
  <c r="J21" i="6"/>
  <c r="J17" i="6"/>
  <c r="J15" i="6"/>
  <c r="J23" i="6"/>
  <c r="J19" i="6"/>
  <c r="P14" i="2"/>
  <c r="L29" i="2"/>
  <c r="L33" i="2" s="1"/>
  <c r="L42" i="2" s="1"/>
  <c r="I57" i="6"/>
  <c r="J40" i="6"/>
  <c r="V32" i="5"/>
  <c r="F24" i="1" s="1"/>
  <c r="V34" i="5"/>
  <c r="V38" i="5" s="1"/>
  <c r="V47" i="5" s="1"/>
  <c r="D24" i="1"/>
  <c r="P13" i="6"/>
  <c r="T21" i="3"/>
  <c r="T32" i="5"/>
  <c r="T34" i="5" s="1"/>
  <c r="T38" i="5" s="1"/>
  <c r="T47" i="5" s="1"/>
  <c r="L13" i="6" l="1"/>
  <c r="N15" i="6"/>
  <c r="L15" i="6"/>
  <c r="P15" i="6"/>
  <c r="V21" i="3"/>
  <c r="V31" i="3" s="1"/>
  <c r="T31" i="3"/>
  <c r="T33" i="3" s="1"/>
  <c r="T37" i="3" s="1"/>
  <c r="T46" i="3" s="1"/>
  <c r="J30" i="6"/>
  <c r="L40" i="6"/>
  <c r="P40" i="6"/>
  <c r="N40" i="6"/>
  <c r="D14" i="1"/>
  <c r="P29" i="2"/>
  <c r="P33" i="2" s="1"/>
  <c r="P42" i="2" s="1"/>
  <c r="P17" i="6"/>
  <c r="O23" i="6" s="1"/>
  <c r="P23" i="6" s="1"/>
  <c r="P30" i="6" s="1"/>
  <c r="D43" i="1" s="1"/>
  <c r="L17" i="6"/>
  <c r="N17" i="6"/>
  <c r="D30" i="1"/>
  <c r="H24" i="1"/>
  <c r="J46" i="6"/>
  <c r="J44" i="6"/>
  <c r="J57" i="6" s="1"/>
  <c r="J48" i="6"/>
  <c r="J42" i="6"/>
  <c r="J50" i="6"/>
  <c r="N19" i="6"/>
  <c r="P19" i="6"/>
  <c r="L19" i="6"/>
  <c r="P21" i="6"/>
  <c r="L21" i="6"/>
  <c r="N21" i="6"/>
  <c r="K23" i="6" l="1"/>
  <c r="L23" i="6" s="1"/>
  <c r="K50" i="6"/>
  <c r="L50" i="6" s="1"/>
  <c r="N42" i="6"/>
  <c r="P42" i="6"/>
  <c r="L42" i="6"/>
  <c r="H30" i="1"/>
  <c r="L24" i="1"/>
  <c r="L30" i="1" s="1"/>
  <c r="M23" i="6"/>
  <c r="N23" i="6" s="1"/>
  <c r="N30" i="6" s="1"/>
  <c r="D41" i="1" s="1"/>
  <c r="L30" i="6"/>
  <c r="D39" i="1" s="1"/>
  <c r="N44" i="6"/>
  <c r="P44" i="6"/>
  <c r="L44" i="6"/>
  <c r="L57" i="6" s="1"/>
  <c r="H14" i="1"/>
  <c r="L14" i="1" s="1"/>
  <c r="D17" i="1"/>
  <c r="P46" i="6"/>
  <c r="L46" i="6"/>
  <c r="N46" i="6"/>
  <c r="P48" i="6"/>
  <c r="L48" i="6"/>
  <c r="N48" i="6"/>
  <c r="O50" i="6"/>
  <c r="P50" i="6" s="1"/>
  <c r="F11" i="1"/>
  <c r="H11" i="1" s="1"/>
  <c r="V33" i="3"/>
  <c r="V37" i="3" s="1"/>
  <c r="V46" i="3" s="1"/>
  <c r="P57" i="6" l="1"/>
  <c r="M50" i="6"/>
  <c r="N50" i="6" s="1"/>
  <c r="N57" i="6" s="1"/>
  <c r="L11" i="1"/>
  <c r="L17" i="1" s="1"/>
  <c r="H17" i="1"/>
</calcChain>
</file>

<file path=xl/sharedStrings.xml><?xml version="1.0" encoding="utf-8"?>
<sst xmlns="http://schemas.openxmlformats.org/spreadsheetml/2006/main" count="343" uniqueCount="157">
  <si>
    <t>FLORIDA PUBLIC UTILITIES COMPANY</t>
  </si>
  <si>
    <t>SCHEDULE 1</t>
  </si>
  <si>
    <t>NATURAL GAS</t>
  </si>
  <si>
    <t>RATE OF RETURN REPORT SUMMARY</t>
  </si>
  <si>
    <t>(1)</t>
  </si>
  <si>
    <t>(2)</t>
  </si>
  <si>
    <t>(3)</t>
  </si>
  <si>
    <t>(4)</t>
  </si>
  <si>
    <t>(5)</t>
  </si>
  <si>
    <t xml:space="preserve">   ACTUAL</t>
  </si>
  <si>
    <t>FPSC</t>
  </si>
  <si>
    <t xml:space="preserve"> PRO FORMA</t>
  </si>
  <si>
    <t>I. AVERAGE RATE OF RETURN</t>
  </si>
  <si>
    <t xml:space="preserve">  PER BOOKS</t>
  </si>
  <si>
    <t>ADJUSTMENTS</t>
  </si>
  <si>
    <t xml:space="preserve">  ADJUSTED</t>
  </si>
  <si>
    <t xml:space="preserve">      (JURISDICTIONAL)</t>
  </si>
  <si>
    <t>NET OPERATING INCOME</t>
  </si>
  <si>
    <t>AVERAGE RATE BASE</t>
  </si>
  <si>
    <t>AVERAGE RATE OF RETURN</t>
  </si>
  <si>
    <t>II. YEAR-END RATE OF RETURN</t>
  </si>
  <si>
    <t xml:space="preserve">        (JURISDICTIONAL)</t>
  </si>
  <si>
    <t>YEAR-END RATE BASE</t>
  </si>
  <si>
    <t>YEAR-END RATE OF RETURN</t>
  </si>
  <si>
    <t>III. REQUIRED RATES OF RETURN</t>
  </si>
  <si>
    <t>IV.  EARNED RETURN ON EQUITY</t>
  </si>
  <si>
    <t xml:space="preserve">     AVERAGE CAPITAL STRUCTURE</t>
  </si>
  <si>
    <t xml:space="preserve">      (FPSC ADJUSTED BASIS)</t>
  </si>
  <si>
    <t xml:space="preserve">       (FPSC ADJUSTED BASIS)</t>
  </si>
  <si>
    <t>A.</t>
  </si>
  <si>
    <t>INCL ACQUISITION ADJUSTMENT</t>
  </si>
  <si>
    <t xml:space="preserve">     LOW</t>
  </si>
  <si>
    <t xml:space="preserve">     MIDPOINT</t>
  </si>
  <si>
    <t>B.</t>
  </si>
  <si>
    <t>EXCL ACQUISITION ADJUSTMENT</t>
  </si>
  <si>
    <t xml:space="preserve">     HIGH</t>
  </si>
  <si>
    <t xml:space="preserve">  I am aware that Section 837.06, Florida Statutes, provides:</t>
  </si>
  <si>
    <t>Whoever knowingly makes a false statement in writing with the</t>
  </si>
  <si>
    <t>intent to mislead a public servant in the performance of his official</t>
  </si>
  <si>
    <t>duty shall be guilty of a misdemeanor of the second degree punishable</t>
  </si>
  <si>
    <t>as provided in s. 775.082, s. 775.083. or s. 775.084.</t>
  </si>
  <si>
    <t>Michelle D. Napier</t>
  </si>
  <si>
    <t>Signature</t>
  </si>
  <si>
    <t>Date</t>
  </si>
  <si>
    <t>SCHEDULE 2</t>
  </si>
  <si>
    <t>PAGE 1 OF 2</t>
  </si>
  <si>
    <t>RATE BASE</t>
  </si>
  <si>
    <t>(6)</t>
  </si>
  <si>
    <t>(7)</t>
  </si>
  <si>
    <t>(8)</t>
  </si>
  <si>
    <t>ACCUMULATED</t>
  </si>
  <si>
    <t>NET PROPERTY</t>
  </si>
  <si>
    <t>CONSTRUCTION</t>
  </si>
  <si>
    <t>NET</t>
  </si>
  <si>
    <t>PLANT IN</t>
  </si>
  <si>
    <t>DEPRECIATION &amp;</t>
  </si>
  <si>
    <t>HELD FOR</t>
  </si>
  <si>
    <t>WORK IN</t>
  </si>
  <si>
    <t>UTILITY</t>
  </si>
  <si>
    <t>WORKING</t>
  </si>
  <si>
    <t>TOTAL</t>
  </si>
  <si>
    <t>SERVICE</t>
  </si>
  <si>
    <t>AMORTIZATION</t>
  </si>
  <si>
    <t>FUTURE USE</t>
  </si>
  <si>
    <t>PROGRESS</t>
  </si>
  <si>
    <t>PLANT</t>
  </si>
  <si>
    <t>CAPITAL</t>
  </si>
  <si>
    <t>PER BOOKS</t>
  </si>
  <si>
    <t>FPSC ADJUSTMENTS:</t>
  </si>
  <si>
    <t>1) ELIMINATIONS TO NON-UTILITY MATERIALS</t>
  </si>
  <si>
    <t>2)   ELIMINATE GOODWILL</t>
  </si>
  <si>
    <t>3)   FLEX RATE PLANT</t>
  </si>
  <si>
    <t>4)   ELIM. NON-UTILITY PLANT</t>
  </si>
  <si>
    <t>5)   ELIMINATE UNDER-RECOVERIES</t>
  </si>
  <si>
    <t>6)  OFFSET TO ACCOUNTS RECEIVABLE</t>
  </si>
  <si>
    <t>7) REMOVE UNRECOVERED AEP</t>
  </si>
  <si>
    <t>8)  ELIMINATE DEF. ENVIRONMENTAL COSTS</t>
  </si>
  <si>
    <t>TOTAL FPSC ADJUSTMENTS</t>
  </si>
  <si>
    <t>FPSC ADJUSTED</t>
  </si>
  <si>
    <t xml:space="preserve">ADJUSTED </t>
  </si>
  <si>
    <t>PROFORMA ADJUSTMENTS</t>
  </si>
  <si>
    <t xml:space="preserve">  ELIM. ACQUISITION ADJUSTMENT</t>
  </si>
  <si>
    <t xml:space="preserve">   ELIM. REG ASSET-TRNSCTN &amp; TRNSITN CSTS</t>
  </si>
  <si>
    <t>TOTAL PRO FORMA ADJUSTMENTS</t>
  </si>
  <si>
    <t>PRO FORMA ADJUSTED</t>
  </si>
  <si>
    <t xml:space="preserve"> SCHEDULE 2</t>
  </si>
  <si>
    <t>PAGE 2 OF 2</t>
  </si>
  <si>
    <t>INCOME STATEMENT</t>
  </si>
  <si>
    <t>(9)</t>
  </si>
  <si>
    <t>(10)</t>
  </si>
  <si>
    <t>(11)</t>
  </si>
  <si>
    <t>GAIN/LOSS</t>
  </si>
  <si>
    <t>OPERATING</t>
  </si>
  <si>
    <t>O &amp; M GAS</t>
  </si>
  <si>
    <t>O &amp; M</t>
  </si>
  <si>
    <t>DEPREC. &amp;</t>
  </si>
  <si>
    <t>TAXES OTHER</t>
  </si>
  <si>
    <t>INCOME TAXES</t>
  </si>
  <si>
    <t>D.I.T.</t>
  </si>
  <si>
    <t>I.T.C.</t>
  </si>
  <si>
    <t>ON</t>
  </si>
  <si>
    <t>REVENUES</t>
  </si>
  <si>
    <t>EXPENSE</t>
  </si>
  <si>
    <t>OTHER</t>
  </si>
  <si>
    <t>THAN INCOME</t>
  </si>
  <si>
    <t>CURRENT</t>
  </si>
  <si>
    <t>(NET)</t>
  </si>
  <si>
    <t>DISPOSITION</t>
  </si>
  <si>
    <t>EXPENSES</t>
  </si>
  <si>
    <t>INCOME</t>
  </si>
  <si>
    <t>1) INCOME TAX SYNC AND INTEREST ADJ.</t>
  </si>
  <si>
    <t>2) ELIMINATE FUEL REVENUES AND EXPENSES</t>
  </si>
  <si>
    <t>3) ELIMINATE CONSERVATION</t>
  </si>
  <si>
    <t>4)NON-UTILITY DEPRECIATION EXPENSE</t>
  </si>
  <si>
    <t>5) ELIMINATE AEP REVENUES AND EXPENSES</t>
  </si>
  <si>
    <t>6) ELIMINATE REVENUE RELATED TAXES</t>
  </si>
  <si>
    <t>7)5% OF ECONOMIC DEVELOPMENT</t>
  </si>
  <si>
    <t>8) OUT OF PERIOD ADJ</t>
  </si>
  <si>
    <t>9) FLEX RATE REVENUES</t>
  </si>
  <si>
    <t>10)REVERSE STATE INCOME TAX POTENTIAL REFUND</t>
  </si>
  <si>
    <t>ELIMINATE ACQUISITION AMORTIZATION</t>
  </si>
  <si>
    <t>ELIMINATE TRANSACT./TRANSIT. AMORTIZATION</t>
  </si>
  <si>
    <t>SCHEDULE 3</t>
  </si>
  <si>
    <t>YEAR END RATE OF RETURN</t>
  </si>
  <si>
    <t xml:space="preserve"> SCHEDULE 3</t>
  </si>
  <si>
    <t>SCHEDULE 4</t>
  </si>
  <si>
    <t>CAPITAL STRUCTURE</t>
  </si>
  <si>
    <t>FPSC ADJUSTED BASIS</t>
  </si>
  <si>
    <t xml:space="preserve">           LOW POINT</t>
  </si>
  <si>
    <t xml:space="preserve">              MIDPOINT</t>
  </si>
  <si>
    <t xml:space="preserve">             HIGH POINT</t>
  </si>
  <si>
    <t xml:space="preserve">   COST</t>
  </si>
  <si>
    <t>WEIGHTED</t>
  </si>
  <si>
    <t>ADJUSTED</t>
  </si>
  <si>
    <t xml:space="preserve"> RATIO</t>
  </si>
  <si>
    <t xml:space="preserve">   RATE</t>
  </si>
  <si>
    <t xml:space="preserve">  COST</t>
  </si>
  <si>
    <t>AVERAGE</t>
  </si>
  <si>
    <t>NON-UTILITY</t>
  </si>
  <si>
    <t>BOOKS</t>
  </si>
  <si>
    <t>PRO-RATA</t>
  </si>
  <si>
    <t>SPECIFIC</t>
  </si>
  <si>
    <t>BALANCE</t>
  </si>
  <si>
    <t>(%)</t>
  </si>
  <si>
    <t xml:space="preserve">    (%)</t>
  </si>
  <si>
    <t xml:space="preserve">   (%)</t>
  </si>
  <si>
    <t>COMMON EQUITY</t>
  </si>
  <si>
    <t>LONG TERM DEBT - CU</t>
  </si>
  <si>
    <t>SHORT TERM DEBT</t>
  </si>
  <si>
    <t>CUSTOMER DEPOSITS</t>
  </si>
  <si>
    <t>DEFFERED INCOME TAXES</t>
  </si>
  <si>
    <t>TAX CREDITS - WEIGHTED COST</t>
  </si>
  <si>
    <t>TOTAL AVERAGE</t>
  </si>
  <si>
    <t>YEAR-END</t>
  </si>
  <si>
    <t>TOTAL YEAR-END</t>
  </si>
  <si>
    <t>For the 12 Months Ending December 31, 2021</t>
  </si>
  <si>
    <t xml:space="preserve">           Director, Regulatory Affairs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</si>
</sst>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[$-409]mmmm\ d\,\ yyyy;@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164" fontId="2" fillId="0" borderId="1" xfId="2" applyNumberFormat="1" applyFont="1" applyBorder="1"/>
    <xf numFmtId="164" fontId="2" fillId="0" borderId="0" xfId="2" applyNumberFormat="1" applyFont="1"/>
    <xf numFmtId="5" fontId="2" fillId="0" borderId="0" xfId="0" applyNumberFormat="1" applyFont="1" applyFill="1"/>
    <xf numFmtId="10" fontId="2" fillId="0" borderId="1" xfId="3" applyNumberFormat="1" applyFont="1" applyBorder="1"/>
    <xf numFmtId="10" fontId="2" fillId="0" borderId="0" xfId="3" applyNumberFormat="1" applyFont="1"/>
    <xf numFmtId="44" fontId="2" fillId="0" borderId="0" xfId="0" applyNumberFormat="1" applyFont="1"/>
    <xf numFmtId="10" fontId="2" fillId="0" borderId="0" xfId="0" applyNumberFormat="1" applyFont="1" applyFill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2" fillId="0" borderId="8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0" xfId="2" applyNumberFormat="1" applyFont="1" applyBorder="1"/>
    <xf numFmtId="164" fontId="2" fillId="0" borderId="9" xfId="2" applyNumberFormat="1" applyFont="1" applyBorder="1"/>
    <xf numFmtId="164" fontId="2" fillId="0" borderId="10" xfId="2" applyNumberFormat="1" applyFont="1" applyBorder="1"/>
    <xf numFmtId="164" fontId="2" fillId="0" borderId="11" xfId="2" applyNumberFormat="1" applyFont="1" applyBorder="1"/>
    <xf numFmtId="0" fontId="2" fillId="0" borderId="0" xfId="0" applyFont="1" applyFill="1" applyBorder="1"/>
    <xf numFmtId="164" fontId="2" fillId="0" borderId="0" xfId="0" applyNumberFormat="1" applyFont="1"/>
    <xf numFmtId="164" fontId="2" fillId="0" borderId="0" xfId="2" applyNumberFormat="1" applyFont="1" applyFill="1"/>
    <xf numFmtId="164" fontId="2" fillId="0" borderId="0" xfId="2" applyNumberFormat="1" applyFont="1" applyFill="1" applyBorder="1"/>
    <xf numFmtId="5" fontId="2" fillId="0" borderId="0" xfId="0" applyNumberFormat="1" applyFont="1"/>
    <xf numFmtId="165" fontId="2" fillId="0" borderId="0" xfId="1" applyNumberFormat="1" applyFont="1"/>
    <xf numFmtId="165" fontId="2" fillId="0" borderId="0" xfId="1" applyNumberFormat="1" applyFont="1" applyBorder="1"/>
    <xf numFmtId="166" fontId="2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164" fontId="2" fillId="0" borderId="5" xfId="2" applyNumberFormat="1" applyFont="1" applyBorder="1"/>
    <xf numFmtId="10" fontId="2" fillId="0" borderId="13" xfId="3" applyNumberFormat="1" applyFont="1" applyBorder="1"/>
    <xf numFmtId="10" fontId="2" fillId="0" borderId="5" xfId="3" applyNumberFormat="1" applyFont="1" applyBorder="1"/>
    <xf numFmtId="10" fontId="2" fillId="0" borderId="6" xfId="3" applyNumberFormat="1" applyFont="1" applyBorder="1"/>
    <xf numFmtId="10" fontId="2" fillId="0" borderId="0" xfId="3" applyNumberFormat="1" applyFont="1" applyBorder="1"/>
    <xf numFmtId="5" fontId="2" fillId="0" borderId="0" xfId="0" applyNumberFormat="1" applyFont="1" applyFill="1" applyBorder="1"/>
    <xf numFmtId="164" fontId="2" fillId="0" borderId="7" xfId="2" applyNumberFormat="1" applyFont="1" applyBorder="1"/>
    <xf numFmtId="10" fontId="2" fillId="0" borderId="14" xfId="3" applyNumberFormat="1" applyFont="1" applyBorder="1"/>
    <xf numFmtId="10" fontId="2" fillId="0" borderId="7" xfId="3" applyNumberFormat="1" applyFont="1" applyBorder="1"/>
    <xf numFmtId="10" fontId="2" fillId="0" borderId="8" xfId="3" applyNumberFormat="1" applyFont="1" applyBorder="1"/>
    <xf numFmtId="0" fontId="4" fillId="0" borderId="0" xfId="0" applyFont="1" applyFill="1"/>
    <xf numFmtId="0" fontId="2" fillId="0" borderId="3" xfId="0" applyFont="1" applyBorder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7.xml" Id="rId13" /><Relationship Type="http://schemas.openxmlformats.org/officeDocument/2006/relationships/externalLink" Target="externalLinks/externalLink12.xml" Id="rId18" /><Relationship Type="http://schemas.openxmlformats.org/officeDocument/2006/relationships/externalLink" Target="externalLinks/externalLink20.xml" Id="rId26" /><Relationship Type="http://schemas.openxmlformats.org/officeDocument/2006/relationships/externalLink" Target="externalLinks/externalLink33.xml" Id="rId39" /><Relationship Type="http://schemas.openxmlformats.org/officeDocument/2006/relationships/externalLink" Target="externalLinks/externalLink15.xml" Id="rId21" /><Relationship Type="http://schemas.openxmlformats.org/officeDocument/2006/relationships/externalLink" Target="externalLinks/externalLink28.xml" Id="rId34" /><Relationship Type="http://schemas.openxmlformats.org/officeDocument/2006/relationships/externalLink" Target="externalLinks/externalLink36.xml" Id="rId42" /><Relationship Type="http://schemas.openxmlformats.org/officeDocument/2006/relationships/externalLink" Target="externalLinks/externalLink41.xml" Id="rId47" /><Relationship Type="http://schemas.openxmlformats.org/officeDocument/2006/relationships/externalLink" Target="externalLinks/externalLink44.xml" Id="rId50" /><Relationship Type="http://schemas.openxmlformats.org/officeDocument/2006/relationships/externalLink" Target="externalLinks/externalLink49.xml" Id="rId55" /><Relationship Type="http://schemas.openxmlformats.org/officeDocument/2006/relationships/externalLink" Target="externalLinks/externalLink57.xml" Id="rId63" /><Relationship Type="http://schemas.openxmlformats.org/officeDocument/2006/relationships/styles" Target="styles.xml" Id="rId68" /><Relationship Type="http://schemas.openxmlformats.org/officeDocument/2006/relationships/externalLink" Target="externalLinks/externalLink1.xml" Id="rId7" /><Relationship Type="http://schemas.openxmlformats.org/officeDocument/2006/relationships/worksheet" Target="worksheets/sheet2.xml" Id="rId2" /><Relationship Type="http://schemas.openxmlformats.org/officeDocument/2006/relationships/externalLink" Target="externalLinks/externalLink10.xml" Id="rId16" /><Relationship Type="http://schemas.openxmlformats.org/officeDocument/2006/relationships/externalLink" Target="externalLinks/externalLink23.xml" Id="rId29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externalLink" Target="externalLinks/externalLink5.xml" Id="rId11" /><Relationship Type="http://schemas.openxmlformats.org/officeDocument/2006/relationships/externalLink" Target="externalLinks/externalLink18.xml" Id="rId24" /><Relationship Type="http://schemas.openxmlformats.org/officeDocument/2006/relationships/externalLink" Target="externalLinks/externalLink26.xml" Id="rId32" /><Relationship Type="http://schemas.openxmlformats.org/officeDocument/2006/relationships/externalLink" Target="externalLinks/externalLink31.xml" Id="rId37" /><Relationship Type="http://schemas.openxmlformats.org/officeDocument/2006/relationships/externalLink" Target="externalLinks/externalLink34.xml" Id="rId40" /><Relationship Type="http://schemas.openxmlformats.org/officeDocument/2006/relationships/externalLink" Target="externalLinks/externalLink39.xml" Id="rId45" /><Relationship Type="http://schemas.openxmlformats.org/officeDocument/2006/relationships/externalLink" Target="externalLinks/externalLink47.xml" Id="rId53" /><Relationship Type="http://schemas.openxmlformats.org/officeDocument/2006/relationships/externalLink" Target="externalLinks/externalLink52.xml" Id="rId58" /><Relationship Type="http://schemas.openxmlformats.org/officeDocument/2006/relationships/externalLink" Target="externalLinks/externalLink60.xml" Id="rId6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9.xml" Id="rId15" /><Relationship Type="http://schemas.openxmlformats.org/officeDocument/2006/relationships/externalLink" Target="externalLinks/externalLink17.xml" Id="rId23" /><Relationship Type="http://schemas.openxmlformats.org/officeDocument/2006/relationships/externalLink" Target="externalLinks/externalLink22.xml" Id="rId28" /><Relationship Type="http://schemas.openxmlformats.org/officeDocument/2006/relationships/externalLink" Target="externalLinks/externalLink30.xml" Id="rId36" /><Relationship Type="http://schemas.openxmlformats.org/officeDocument/2006/relationships/externalLink" Target="externalLinks/externalLink43.xml" Id="rId49" /><Relationship Type="http://schemas.openxmlformats.org/officeDocument/2006/relationships/externalLink" Target="externalLinks/externalLink51.xml" Id="rId57" /><Relationship Type="http://schemas.openxmlformats.org/officeDocument/2006/relationships/externalLink" Target="externalLinks/externalLink55.xml" Id="rId61" /><Relationship Type="http://schemas.openxmlformats.org/officeDocument/2006/relationships/externalLink" Target="externalLinks/externalLink4.xml" Id="rId10" /><Relationship Type="http://schemas.openxmlformats.org/officeDocument/2006/relationships/externalLink" Target="externalLinks/externalLink13.xml" Id="rId19" /><Relationship Type="http://schemas.openxmlformats.org/officeDocument/2006/relationships/externalLink" Target="externalLinks/externalLink25.xml" Id="rId31" /><Relationship Type="http://schemas.openxmlformats.org/officeDocument/2006/relationships/externalLink" Target="externalLinks/externalLink38.xml" Id="rId44" /><Relationship Type="http://schemas.openxmlformats.org/officeDocument/2006/relationships/externalLink" Target="externalLinks/externalLink46.xml" Id="rId52" /><Relationship Type="http://schemas.openxmlformats.org/officeDocument/2006/relationships/externalLink" Target="externalLinks/externalLink54.xml" Id="rId60" /><Relationship Type="http://schemas.openxmlformats.org/officeDocument/2006/relationships/externalLink" Target="externalLinks/externalLink59.xml" Id="rId6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3.xml" Id="rId9" /><Relationship Type="http://schemas.openxmlformats.org/officeDocument/2006/relationships/externalLink" Target="externalLinks/externalLink8.xml" Id="rId14" /><Relationship Type="http://schemas.openxmlformats.org/officeDocument/2006/relationships/externalLink" Target="externalLinks/externalLink16.xml" Id="rId22" /><Relationship Type="http://schemas.openxmlformats.org/officeDocument/2006/relationships/externalLink" Target="externalLinks/externalLink21.xml" Id="rId27" /><Relationship Type="http://schemas.openxmlformats.org/officeDocument/2006/relationships/externalLink" Target="externalLinks/externalLink24.xml" Id="rId30" /><Relationship Type="http://schemas.openxmlformats.org/officeDocument/2006/relationships/externalLink" Target="externalLinks/externalLink29.xml" Id="rId35" /><Relationship Type="http://schemas.openxmlformats.org/officeDocument/2006/relationships/externalLink" Target="externalLinks/externalLink37.xml" Id="rId43" /><Relationship Type="http://schemas.openxmlformats.org/officeDocument/2006/relationships/externalLink" Target="externalLinks/externalLink42.xml" Id="rId48" /><Relationship Type="http://schemas.openxmlformats.org/officeDocument/2006/relationships/externalLink" Target="externalLinks/externalLink50.xml" Id="rId56" /><Relationship Type="http://schemas.openxmlformats.org/officeDocument/2006/relationships/externalLink" Target="externalLinks/externalLink58.xml" Id="rId64" /><Relationship Type="http://schemas.openxmlformats.org/officeDocument/2006/relationships/sharedStrings" Target="sharedStrings.xml" Id="rId69" /><Relationship Type="http://schemas.openxmlformats.org/officeDocument/2006/relationships/externalLink" Target="externalLinks/externalLink2.xml" Id="rId8" /><Relationship Type="http://schemas.openxmlformats.org/officeDocument/2006/relationships/externalLink" Target="externalLinks/externalLink45.xml" Id="rId51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6.xml" Id="rId12" /><Relationship Type="http://schemas.openxmlformats.org/officeDocument/2006/relationships/externalLink" Target="externalLinks/externalLink11.xml" Id="rId17" /><Relationship Type="http://schemas.openxmlformats.org/officeDocument/2006/relationships/externalLink" Target="externalLinks/externalLink19.xml" Id="rId25" /><Relationship Type="http://schemas.openxmlformats.org/officeDocument/2006/relationships/externalLink" Target="externalLinks/externalLink27.xml" Id="rId33" /><Relationship Type="http://schemas.openxmlformats.org/officeDocument/2006/relationships/externalLink" Target="externalLinks/externalLink32.xml" Id="rId38" /><Relationship Type="http://schemas.openxmlformats.org/officeDocument/2006/relationships/externalLink" Target="externalLinks/externalLink40.xml" Id="rId46" /><Relationship Type="http://schemas.openxmlformats.org/officeDocument/2006/relationships/externalLink" Target="externalLinks/externalLink53.xml" Id="rId59" /><Relationship Type="http://schemas.openxmlformats.org/officeDocument/2006/relationships/theme" Target="theme/theme1.xml" Id="rId67" /><Relationship Type="http://schemas.openxmlformats.org/officeDocument/2006/relationships/externalLink" Target="externalLinks/externalLink14.xml" Id="rId20" /><Relationship Type="http://schemas.openxmlformats.org/officeDocument/2006/relationships/externalLink" Target="externalLinks/externalLink35.xml" Id="rId41" /><Relationship Type="http://schemas.openxmlformats.org/officeDocument/2006/relationships/externalLink" Target="externalLinks/externalLink48.xml" Id="rId54" /><Relationship Type="http://schemas.openxmlformats.org/officeDocument/2006/relationships/externalLink" Target="externalLinks/externalLink56.xml" Id="rId62" /><Relationship Type="http://schemas.openxmlformats.org/officeDocument/2006/relationships/calcChain" Target="calcChain.xml" Id="rId70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Forecast/2015/Gas/Gas%20Gross%20Margin%20Forecast%20-%2006-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Budget/2016/FINAL%202016%20Electric%20Margin%20Budget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>Page___of___</v>
          </cell>
        </row>
        <row r="4">
          <cell r="A4" t="str">
            <v>FLORIDA PUBLIC SERVICE COMMISSION</v>
          </cell>
          <cell r="E4" t="str">
            <v>EXPLANATION: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>1.</v>
          </cell>
          <cell r="B15" t="str">
            <v>Pre-tax Interest Coverage Ratio (x)</v>
          </cell>
        </row>
        <row r="17">
          <cell r="A17" t="str">
            <v>2.</v>
          </cell>
          <cell r="B17" t="str">
            <v>Earned Returns on Average Book Equity (%)</v>
          </cell>
        </row>
        <row r="19">
          <cell r="A19" t="str">
            <v>3.</v>
          </cell>
          <cell r="B19" t="str">
            <v>Book Value/Share ($)</v>
          </cell>
        </row>
        <row r="21">
          <cell r="A21" t="str">
            <v>4.</v>
          </cell>
          <cell r="B21" t="str">
            <v>Dividends/Share ($)</v>
          </cell>
        </row>
        <row r="23">
          <cell r="A23" t="str">
            <v>5.</v>
          </cell>
          <cell r="B23" t="str">
            <v>Earnings/Share ($)</v>
          </cell>
        </row>
        <row r="25">
          <cell r="A25" t="str">
            <v>6.</v>
          </cell>
          <cell r="B25" t="str">
            <v>Market Value/Share ($)</v>
          </cell>
        </row>
        <row r="27">
          <cell r="A27" t="str">
            <v>7.</v>
          </cell>
          <cell r="B27" t="str">
            <v>Market/Book Ratio (%)</v>
          </cell>
        </row>
        <row r="29">
          <cell r="A29" t="str">
            <v>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>
        <row r="4">
          <cell r="A4" t="str">
            <v>OM Case</v>
          </cell>
        </row>
      </sheetData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2">
          <cell r="P32">
            <v>226588.34122000006</v>
          </cell>
        </row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61"/>
  <sheetViews>
    <sheetView topLeftCell="A28" zoomScaleNormal="100" zoomScaleSheetLayoutView="100" workbookViewId="0">
      <selection activeCell="D56" sqref="D56"/>
    </sheetView>
  </sheetViews>
  <sheetFormatPr defaultColWidth="9.140625" defaultRowHeight="15" x14ac:dyDescent="0.25"/>
  <cols>
    <col min="1" max="1" width="18.5703125" style="2" bestFit="1" customWidth="1"/>
    <col min="2" max="2" width="9.140625" style="2"/>
    <col min="3" max="3" width="13.140625" style="2" customWidth="1"/>
    <col min="4" max="4" width="16.28515625" style="2" bestFit="1" customWidth="1"/>
    <col min="5" max="5" width="9.140625" style="2"/>
    <col min="6" max="6" width="14.85546875" style="2" bestFit="1" customWidth="1"/>
    <col min="7" max="7" width="9.140625" style="2"/>
    <col min="8" max="8" width="16.42578125" style="2" customWidth="1"/>
    <col min="9" max="9" width="9.140625" style="2"/>
    <col min="10" max="10" width="14.42578125" style="2" customWidth="1"/>
    <col min="11" max="11" width="9.140625" style="2"/>
    <col min="12" max="12" width="14.5703125" style="2" customWidth="1"/>
    <col min="13" max="16384" width="9.140625" style="2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 t="s">
        <v>1</v>
      </c>
    </row>
    <row r="2" spans="1:13" x14ac:dyDescent="0.25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x14ac:dyDescent="0.2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x14ac:dyDescent="0.25">
      <c r="A4" s="1" t="s">
        <v>155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x14ac:dyDescent="0.25">
      <c r="A6" s="1"/>
      <c r="B6" s="1"/>
      <c r="C6" s="1"/>
      <c r="D6" s="3" t="s">
        <v>4</v>
      </c>
      <c r="E6" s="3"/>
      <c r="F6" s="3" t="s">
        <v>5</v>
      </c>
      <c r="G6" s="3"/>
      <c r="H6" s="3" t="s">
        <v>6</v>
      </c>
      <c r="I6" s="3"/>
      <c r="J6" s="3" t="s">
        <v>7</v>
      </c>
      <c r="K6" s="3"/>
      <c r="L6" s="3" t="s">
        <v>8</v>
      </c>
    </row>
    <row r="7" spans="1:13" x14ac:dyDescent="0.25">
      <c r="A7" s="1"/>
      <c r="B7" s="1"/>
      <c r="C7" s="1"/>
      <c r="D7" s="3" t="s">
        <v>9</v>
      </c>
      <c r="E7" s="3"/>
      <c r="F7" s="3" t="s">
        <v>10</v>
      </c>
      <c r="G7" s="3"/>
      <c r="H7" s="3" t="s">
        <v>10</v>
      </c>
      <c r="I7" s="3"/>
      <c r="J7" s="3" t="s">
        <v>11</v>
      </c>
      <c r="K7" s="3"/>
      <c r="L7" s="3" t="s">
        <v>11</v>
      </c>
    </row>
    <row r="8" spans="1:13" x14ac:dyDescent="0.25">
      <c r="A8" s="1" t="s">
        <v>12</v>
      </c>
      <c r="B8" s="1"/>
      <c r="C8" s="1"/>
      <c r="D8" s="3" t="s">
        <v>13</v>
      </c>
      <c r="E8" s="3"/>
      <c r="F8" s="3" t="s">
        <v>14</v>
      </c>
      <c r="G8" s="3"/>
      <c r="H8" s="3" t="s">
        <v>15</v>
      </c>
      <c r="I8" s="3"/>
      <c r="J8" s="3" t="s">
        <v>14</v>
      </c>
      <c r="K8" s="3"/>
      <c r="L8" s="3" t="s">
        <v>15</v>
      </c>
    </row>
    <row r="9" spans="1:13" x14ac:dyDescent="0.25">
      <c r="A9" s="1" t="s">
        <v>16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3" x14ac:dyDescent="0.25">
      <c r="A11" s="1" t="s">
        <v>17</v>
      </c>
      <c r="B11" s="1"/>
      <c r="C11" s="1"/>
      <c r="D11" s="4">
        <f>'NOI SCH 2 P 2'!V13</f>
        <v>15847699.879999995</v>
      </c>
      <c r="E11" s="5"/>
      <c r="F11" s="4">
        <f>'NOI SCH 2 P 2'!V31</f>
        <v>-459772.02195394569</v>
      </c>
      <c r="G11" s="5"/>
      <c r="H11" s="4">
        <f>+D11+F11</f>
        <v>15387927.858046049</v>
      </c>
      <c r="I11" s="5"/>
      <c r="J11" s="4">
        <f>'NOI SCH 2 P 2'!V43</f>
        <v>1139749.8</v>
      </c>
      <c r="K11" s="5"/>
      <c r="L11" s="4">
        <f>+H11+J11</f>
        <v>16527677.65804605</v>
      </c>
      <c r="M11" s="6"/>
    </row>
    <row r="12" spans="1:13" x14ac:dyDescent="0.25">
      <c r="A12" s="1"/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1"/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1" t="s">
        <v>18</v>
      </c>
      <c r="B14" s="1"/>
      <c r="C14" s="1"/>
      <c r="D14" s="4">
        <f>+'Avg ROR'!P14</f>
        <v>306886687.03937316</v>
      </c>
      <c r="E14" s="5"/>
      <c r="F14" s="4">
        <f>+'Avg ROR'!P26</f>
        <v>-3293684.0738151614</v>
      </c>
      <c r="G14" s="5"/>
      <c r="H14" s="4">
        <f>+D14+F14</f>
        <v>303593002.96555799</v>
      </c>
      <c r="I14" s="5"/>
      <c r="J14" s="4">
        <f>'Avg ROR'!P39</f>
        <v>-20895414.099999994</v>
      </c>
      <c r="K14" s="5"/>
      <c r="L14" s="4">
        <f>+H14+J14</f>
        <v>282697588.86555803</v>
      </c>
      <c r="M14" s="6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 t="s">
        <v>19</v>
      </c>
      <c r="B17" s="1"/>
      <c r="C17" s="1"/>
      <c r="D17" s="7">
        <f>+D11/D14</f>
        <v>5.1640232533015536E-2</v>
      </c>
      <c r="E17" s="8"/>
      <c r="F17" s="8"/>
      <c r="G17" s="8"/>
      <c r="H17" s="7">
        <f>+H11/H14</f>
        <v>5.0686042523159794E-2</v>
      </c>
      <c r="I17" s="8"/>
      <c r="J17" s="8"/>
      <c r="K17" s="8"/>
      <c r="L17" s="7">
        <f>+L11/L14</f>
        <v>5.8464162090558498E-2</v>
      </c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9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9"/>
      <c r="I20" s="1"/>
      <c r="J20" s="1"/>
      <c r="K20" s="1"/>
      <c r="L20" s="1"/>
    </row>
    <row r="21" spans="1:12" x14ac:dyDescent="0.25">
      <c r="A21" s="1" t="s"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 t="s"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 t="s">
        <v>17</v>
      </c>
      <c r="B24" s="1"/>
      <c r="C24" s="1"/>
      <c r="D24" s="4">
        <f>'NOI SCH 3 P 2'!V13</f>
        <v>15847699.879999995</v>
      </c>
      <c r="E24" s="5"/>
      <c r="F24" s="4">
        <f>'NOI SCH 3 P 2'!V32</f>
        <v>-464256.63128314575</v>
      </c>
      <c r="G24" s="5"/>
      <c r="H24" s="4">
        <f>+D24+F24</f>
        <v>15383443.24871685</v>
      </c>
      <c r="I24" s="5"/>
      <c r="J24" s="4">
        <f>'NOI SCH 3 P 2'!V44</f>
        <v>1139749.8</v>
      </c>
      <c r="K24" s="5"/>
      <c r="L24" s="4">
        <f>+H24+J24</f>
        <v>16523193.048716851</v>
      </c>
    </row>
    <row r="25" spans="1:12" x14ac:dyDescent="0.25">
      <c r="A25" s="1"/>
      <c r="B25" s="1"/>
      <c r="C25" s="1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25">
      <c r="A26" s="1"/>
      <c r="B26" s="1"/>
      <c r="C26" s="1"/>
      <c r="D26" s="5"/>
      <c r="E26" s="5"/>
      <c r="F26" s="5"/>
      <c r="G26" s="5"/>
      <c r="H26" s="5"/>
      <c r="I26" s="5"/>
      <c r="J26" s="5"/>
      <c r="K26" s="5"/>
      <c r="L26" s="5"/>
    </row>
    <row r="27" spans="1:12" x14ac:dyDescent="0.25">
      <c r="A27" s="1" t="s">
        <v>22</v>
      </c>
      <c r="B27" s="1"/>
      <c r="C27" s="1"/>
      <c r="D27" s="4">
        <f>+'Year End ROR'!P14</f>
        <v>326331663.35192323</v>
      </c>
      <c r="E27" s="5"/>
      <c r="F27" s="4">
        <f>+'Year End ROR'!P26</f>
        <v>-4375876.7251811214</v>
      </c>
      <c r="G27" s="5"/>
      <c r="H27" s="4">
        <f>+D27+F27</f>
        <v>321955786.62674212</v>
      </c>
      <c r="I27" s="5"/>
      <c r="J27" s="4">
        <f>'Year End ROR'!P39</f>
        <v>-20325539.199999996</v>
      </c>
      <c r="K27" s="5"/>
      <c r="L27" s="4">
        <f>+H27+J27</f>
        <v>301630247.42674214</v>
      </c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 t="s">
        <v>23</v>
      </c>
      <c r="B30" s="1"/>
      <c r="C30" s="1"/>
      <c r="D30" s="7">
        <f>+D24/D27</f>
        <v>4.8563169498233728E-2</v>
      </c>
      <c r="E30" s="8"/>
      <c r="F30" s="8"/>
      <c r="G30" s="8"/>
      <c r="H30" s="7">
        <f>+H24/H27</f>
        <v>4.7781229248572477E-2</v>
      </c>
      <c r="I30" s="8"/>
      <c r="J30" s="8"/>
      <c r="K30" s="8"/>
      <c r="L30" s="7">
        <f>+L24/L27</f>
        <v>5.4779628998348019E-2</v>
      </c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 x14ac:dyDescent="0.25">
      <c r="A35" s="1" t="s">
        <v>24</v>
      </c>
      <c r="B35" s="1"/>
      <c r="C35" s="1"/>
      <c r="D35" s="1"/>
      <c r="E35" s="1"/>
      <c r="F35" s="1"/>
      <c r="G35" s="1"/>
      <c r="H35" s="1" t="s">
        <v>25</v>
      </c>
      <c r="I35" s="1"/>
      <c r="J35" s="1"/>
      <c r="K35" s="1"/>
      <c r="L35" s="1"/>
    </row>
    <row r="36" spans="1:13" x14ac:dyDescent="0.25">
      <c r="A36" s="1" t="s">
        <v>26</v>
      </c>
      <c r="B36" s="1"/>
      <c r="C36" s="1"/>
      <c r="D36" s="1"/>
      <c r="E36" s="1"/>
      <c r="F36" s="1"/>
      <c r="G36" s="1"/>
      <c r="H36" s="1" t="s">
        <v>27</v>
      </c>
      <c r="I36" s="1"/>
      <c r="J36" s="1"/>
      <c r="K36" s="1"/>
      <c r="L36" s="1"/>
    </row>
    <row r="37" spans="1:13" x14ac:dyDescent="0.25">
      <c r="A37" s="1" t="s">
        <v>28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 x14ac:dyDescent="0.25">
      <c r="A38" s="1"/>
      <c r="B38" s="1"/>
      <c r="C38" s="1"/>
      <c r="D38" s="1"/>
      <c r="E38" s="1"/>
      <c r="F38" s="1"/>
      <c r="G38" s="1"/>
      <c r="H38" s="1" t="s">
        <v>29</v>
      </c>
      <c r="I38" s="1" t="s">
        <v>30</v>
      </c>
      <c r="J38" s="1"/>
      <c r="K38" s="1"/>
      <c r="L38" s="8">
        <v>9.0078262120036792E-2</v>
      </c>
      <c r="M38" s="10"/>
    </row>
    <row r="39" spans="1:13" x14ac:dyDescent="0.25">
      <c r="A39" s="1" t="s">
        <v>31</v>
      </c>
      <c r="B39" s="1"/>
      <c r="C39" s="1"/>
      <c r="D39" s="8">
        <f>+'Capital Structure'!L30</f>
        <v>5.4200000000000005E-2</v>
      </c>
      <c r="E39" s="1"/>
      <c r="F39" s="1"/>
      <c r="G39" s="1"/>
      <c r="H39" s="1"/>
      <c r="I39" s="1"/>
      <c r="J39" s="1"/>
      <c r="K39" s="1"/>
      <c r="L39" s="8"/>
    </row>
    <row r="40" spans="1:13" x14ac:dyDescent="0.25">
      <c r="A40" s="1"/>
      <c r="B40" s="1"/>
      <c r="C40" s="1"/>
      <c r="D40" s="8"/>
      <c r="E40" s="1"/>
      <c r="F40" s="1"/>
      <c r="G40" s="1"/>
      <c r="H40" s="1"/>
      <c r="I40" s="1"/>
      <c r="J40" s="1"/>
      <c r="K40" s="1"/>
      <c r="L40" s="8"/>
    </row>
    <row r="41" spans="1:13" x14ac:dyDescent="0.25">
      <c r="A41" s="1" t="s">
        <v>32</v>
      </c>
      <c r="B41" s="1"/>
      <c r="C41" s="1"/>
      <c r="D41" s="8">
        <f>+'Capital Structure'!N30</f>
        <v>5.8400000000000001E-2</v>
      </c>
      <c r="E41" s="1"/>
      <c r="F41" s="1"/>
      <c r="G41" s="1"/>
      <c r="H41" s="1" t="s">
        <v>33</v>
      </c>
      <c r="I41" s="1" t="s">
        <v>34</v>
      </c>
      <c r="J41" s="1"/>
      <c r="K41" s="1"/>
      <c r="L41" s="8">
        <v>0.11099699098337019</v>
      </c>
      <c r="M41" s="10"/>
    </row>
    <row r="42" spans="1:13" x14ac:dyDescent="0.25">
      <c r="A42" s="1"/>
      <c r="B42" s="1"/>
      <c r="C42" s="1"/>
      <c r="D42" s="8"/>
      <c r="E42" s="1"/>
      <c r="F42" s="1"/>
      <c r="G42" s="1"/>
      <c r="H42" s="1"/>
      <c r="I42" s="1"/>
      <c r="J42" s="1"/>
      <c r="K42" s="1"/>
      <c r="L42" s="1"/>
    </row>
    <row r="43" spans="1:13" x14ac:dyDescent="0.25">
      <c r="A43" s="1" t="s">
        <v>35</v>
      </c>
      <c r="B43" s="1"/>
      <c r="C43" s="1"/>
      <c r="D43" s="8">
        <f>+'Capital Structure'!P30</f>
        <v>6.2600000000000003E-2</v>
      </c>
      <c r="E43" s="1"/>
      <c r="F43" s="1"/>
      <c r="G43" s="1"/>
      <c r="H43" s="1"/>
      <c r="I43" s="1"/>
      <c r="J43" s="1"/>
      <c r="K43" s="1"/>
      <c r="L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 x14ac:dyDescent="0.25">
      <c r="A48" s="11" t="s">
        <v>36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3"/>
    </row>
    <row r="49" spans="1:12" x14ac:dyDescent="0.25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6"/>
    </row>
    <row r="50" spans="1:12" x14ac:dyDescent="0.25">
      <c r="A50" s="14"/>
      <c r="B50" s="15" t="s">
        <v>37</v>
      </c>
      <c r="C50" s="15"/>
      <c r="D50" s="15"/>
      <c r="E50" s="15"/>
      <c r="F50" s="15"/>
      <c r="G50" s="15"/>
      <c r="H50" s="15"/>
      <c r="I50" s="15"/>
      <c r="J50" s="15"/>
      <c r="K50" s="15"/>
      <c r="L50" s="16"/>
    </row>
    <row r="51" spans="1:12" x14ac:dyDescent="0.25">
      <c r="A51" s="14"/>
      <c r="B51" s="15" t="s">
        <v>38</v>
      </c>
      <c r="C51" s="15"/>
      <c r="D51" s="15"/>
      <c r="E51" s="15"/>
      <c r="F51" s="15"/>
      <c r="G51" s="15"/>
      <c r="H51" s="15"/>
      <c r="I51" s="15"/>
      <c r="J51" s="15"/>
      <c r="K51" s="15"/>
      <c r="L51" s="16"/>
    </row>
    <row r="52" spans="1:12" x14ac:dyDescent="0.25">
      <c r="A52" s="14"/>
      <c r="B52" s="15" t="s">
        <v>39</v>
      </c>
      <c r="C52" s="15"/>
      <c r="D52" s="15"/>
      <c r="E52" s="15"/>
      <c r="F52" s="15"/>
      <c r="G52" s="15"/>
      <c r="H52" s="15"/>
      <c r="I52" s="15"/>
      <c r="J52" s="15"/>
      <c r="K52" s="15"/>
      <c r="L52" s="16"/>
    </row>
    <row r="53" spans="1:12" x14ac:dyDescent="0.25">
      <c r="A53" s="14"/>
      <c r="B53" s="15" t="s">
        <v>40</v>
      </c>
      <c r="C53" s="15"/>
      <c r="D53" s="15"/>
      <c r="E53" s="15"/>
      <c r="F53" s="15"/>
      <c r="G53" s="15"/>
      <c r="H53" s="15"/>
      <c r="I53" s="15"/>
      <c r="J53" s="15"/>
      <c r="K53" s="15"/>
      <c r="L53" s="16"/>
    </row>
    <row r="54" spans="1:12" x14ac:dyDescent="0.25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6"/>
    </row>
    <row r="55" spans="1:12" x14ac:dyDescent="0.25">
      <c r="A55" s="14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6"/>
    </row>
    <row r="56" spans="1:12" x14ac:dyDescent="0.25">
      <c r="A56" s="14" t="s">
        <v>41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6"/>
    </row>
    <row r="57" spans="1:12" x14ac:dyDescent="0.25">
      <c r="A57" s="14" t="s">
        <v>156</v>
      </c>
      <c r="B57" s="15"/>
      <c r="C57" s="15"/>
      <c r="D57" s="15"/>
      <c r="E57" s="15"/>
      <c r="F57" s="59" t="s">
        <v>42</v>
      </c>
      <c r="G57" s="59"/>
      <c r="H57" s="12"/>
      <c r="I57" s="12"/>
      <c r="J57" s="15"/>
      <c r="K57" s="12" t="s">
        <v>43</v>
      </c>
      <c r="L57" s="13"/>
    </row>
    <row r="58" spans="1:12" x14ac:dyDescent="0.25">
      <c r="A58" s="17"/>
      <c r="B58" s="18"/>
      <c r="C58" s="18"/>
      <c r="D58" s="18"/>
      <c r="E58" s="18"/>
      <c r="F58" s="60"/>
      <c r="G58" s="60"/>
      <c r="H58" s="18"/>
      <c r="I58" s="18"/>
      <c r="J58" s="18"/>
      <c r="K58" s="18"/>
      <c r="L58" s="19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</sheetData>
  <mergeCells count="2">
    <mergeCell ref="F57:G57"/>
    <mergeCell ref="F58:G58"/>
  </mergeCells>
  <printOptions horizontalCentered="1"/>
  <pageMargins left="0.25" right="0.25" top="0.75" bottom="0.75" header="0.3" footer="0.3"/>
  <pageSetup scale="58" orientation="landscape" r:id="rId1"/>
  <headerFooter alignWithMargins="0"/>
  <rowBreaks count="1" manualBreakCount="1">
    <brk id="5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3"/>
  <sheetViews>
    <sheetView tabSelected="1" topLeftCell="A4" zoomScale="86" zoomScaleNormal="86" zoomScaleSheetLayoutView="70" workbookViewId="0">
      <selection activeCell="V11" sqref="V11"/>
    </sheetView>
  </sheetViews>
  <sheetFormatPr defaultColWidth="9.140625" defaultRowHeight="15" x14ac:dyDescent="0.25"/>
  <cols>
    <col min="1" max="1" width="42.5703125" style="2" customWidth="1"/>
    <col min="2" max="2" width="16.28515625" style="2" bestFit="1" customWidth="1"/>
    <col min="3" max="3" width="2.140625" style="27" customWidth="1"/>
    <col min="4" max="4" width="16.42578125" style="2" bestFit="1" customWidth="1"/>
    <col min="5" max="5" width="2.5703125" style="27" customWidth="1"/>
    <col min="6" max="6" width="16.28515625" style="2" bestFit="1" customWidth="1"/>
    <col min="7" max="7" width="2" style="27" customWidth="1"/>
    <col min="8" max="8" width="12.140625" style="2" bestFit="1" customWidth="1"/>
    <col min="9" max="9" width="2.28515625" style="27" customWidth="1"/>
    <col min="10" max="10" width="14.28515625" style="2" bestFit="1" customWidth="1"/>
    <col min="11" max="11" width="2.28515625" style="27" customWidth="1"/>
    <col min="12" max="12" width="16.85546875" style="2" bestFit="1" customWidth="1"/>
    <col min="13" max="13" width="2.140625" style="27" customWidth="1"/>
    <col min="14" max="14" width="15" style="2" bestFit="1" customWidth="1"/>
    <col min="15" max="15" width="2.42578125" style="27" customWidth="1"/>
    <col min="16" max="16" width="16.28515625" style="2" bestFit="1" customWidth="1"/>
    <col min="17" max="17" width="2.28515625" style="2" customWidth="1"/>
    <col min="18" max="18" width="9.85546875" style="2" bestFit="1" customWidth="1"/>
    <col min="19" max="19" width="2" style="2" customWidth="1"/>
    <col min="20" max="20" width="12.5703125" style="2" bestFit="1" customWidth="1"/>
    <col min="21" max="21" width="2.140625" style="2" customWidth="1"/>
    <col min="22" max="22" width="11.5703125" style="2" bestFit="1" customWidth="1"/>
    <col min="23" max="23" width="11" style="2" customWidth="1"/>
    <col min="24" max="16384" width="9.140625" style="2"/>
  </cols>
  <sheetData>
    <row r="1" spans="1:23" x14ac:dyDescent="0.25">
      <c r="A1" s="1" t="str">
        <f>'Report Summary'!A1</f>
        <v>FLORIDA PUBLIC UTILITIES COMPANY</v>
      </c>
      <c r="B1" s="1"/>
      <c r="C1" s="15"/>
      <c r="D1" s="1"/>
      <c r="E1" s="15"/>
      <c r="F1" s="1"/>
      <c r="G1" s="15"/>
      <c r="H1" s="1"/>
      <c r="I1" s="15"/>
      <c r="J1" s="1"/>
      <c r="K1" s="15"/>
      <c r="L1" s="1"/>
      <c r="M1" s="15"/>
      <c r="N1" s="20"/>
      <c r="O1" s="15"/>
      <c r="P1" s="1" t="s">
        <v>44</v>
      </c>
      <c r="Q1" s="1"/>
      <c r="R1" s="1"/>
      <c r="S1" s="1"/>
      <c r="T1" s="1"/>
      <c r="U1" s="1"/>
      <c r="W1" s="1"/>
    </row>
    <row r="2" spans="1:23" x14ac:dyDescent="0.25">
      <c r="A2" s="1" t="str">
        <f>'Report Summary'!A2</f>
        <v>NATURAL GAS</v>
      </c>
      <c r="B2" s="1"/>
      <c r="C2" s="15"/>
      <c r="D2" s="1"/>
      <c r="E2" s="15"/>
      <c r="F2" s="1"/>
      <c r="G2" s="15"/>
      <c r="H2" s="1"/>
      <c r="I2" s="15"/>
      <c r="J2" s="1"/>
      <c r="K2" s="15"/>
      <c r="L2" s="1"/>
      <c r="M2" s="15"/>
      <c r="N2" s="1"/>
      <c r="O2" s="15"/>
      <c r="P2" s="1" t="s">
        <v>45</v>
      </c>
      <c r="Q2" s="1"/>
      <c r="R2" s="1"/>
      <c r="S2" s="1"/>
      <c r="T2" s="1"/>
      <c r="U2" s="1"/>
      <c r="W2" s="1"/>
    </row>
    <row r="3" spans="1:23" x14ac:dyDescent="0.25">
      <c r="A3" s="1" t="s">
        <v>19</v>
      </c>
      <c r="B3" s="1"/>
      <c r="C3" s="15"/>
      <c r="D3" s="1"/>
      <c r="E3" s="15"/>
      <c r="F3" s="1"/>
      <c r="G3" s="15"/>
      <c r="H3" s="1"/>
      <c r="I3" s="15"/>
      <c r="J3" s="1"/>
      <c r="K3" s="15"/>
      <c r="L3" s="1"/>
      <c r="M3" s="15"/>
      <c r="N3" s="1"/>
      <c r="O3" s="15"/>
      <c r="P3" s="1"/>
      <c r="Q3" s="1"/>
      <c r="R3" s="1"/>
      <c r="S3" s="1"/>
      <c r="T3" s="1"/>
      <c r="U3" s="1"/>
      <c r="V3" s="1"/>
      <c r="W3" s="1"/>
    </row>
    <row r="4" spans="1:23" x14ac:dyDescent="0.25">
      <c r="A4" s="1" t="s">
        <v>155</v>
      </c>
      <c r="B4" s="1"/>
      <c r="C4" s="15"/>
      <c r="D4" s="1"/>
      <c r="E4" s="15"/>
      <c r="F4" s="1"/>
      <c r="G4" s="15"/>
      <c r="H4" s="1"/>
      <c r="I4" s="15"/>
      <c r="J4" s="1"/>
      <c r="K4" s="15"/>
      <c r="L4" s="1"/>
      <c r="M4" s="15"/>
      <c r="N4" s="1"/>
      <c r="O4" s="15"/>
      <c r="P4" s="1"/>
      <c r="Q4" s="1"/>
      <c r="R4" s="1"/>
      <c r="S4" s="1"/>
      <c r="T4" s="1"/>
      <c r="U4" s="1"/>
      <c r="V4" s="1"/>
      <c r="W4" s="1"/>
    </row>
    <row r="5" spans="1:23" x14ac:dyDescent="0.25">
      <c r="A5" s="1" t="s">
        <v>46</v>
      </c>
      <c r="B5" s="1"/>
      <c r="C5" s="15"/>
      <c r="D5" s="1"/>
      <c r="E5" s="15"/>
      <c r="F5" s="1"/>
      <c r="G5" s="15"/>
      <c r="H5" s="1"/>
      <c r="I5" s="15"/>
      <c r="J5" s="1"/>
      <c r="K5" s="15"/>
      <c r="L5" s="1"/>
      <c r="M5" s="15"/>
      <c r="N5" s="1"/>
      <c r="O5" s="15"/>
      <c r="P5" s="1"/>
      <c r="Q5" s="1"/>
      <c r="R5" s="1"/>
      <c r="S5" s="1"/>
      <c r="T5" s="1"/>
      <c r="U5" s="1"/>
      <c r="V5" s="1"/>
      <c r="W5" s="1"/>
    </row>
    <row r="6" spans="1:23" x14ac:dyDescent="0.25">
      <c r="A6" s="1"/>
      <c r="B6" s="1"/>
      <c r="C6" s="15"/>
      <c r="D6" s="1"/>
      <c r="E6" s="15"/>
      <c r="F6" s="1"/>
      <c r="G6" s="15"/>
      <c r="H6" s="1"/>
      <c r="I6" s="15"/>
      <c r="J6" s="1"/>
      <c r="K6" s="15"/>
      <c r="L6" s="1"/>
      <c r="M6" s="15"/>
      <c r="N6" s="1"/>
      <c r="O6" s="15"/>
      <c r="P6" s="1"/>
      <c r="Q6" s="1"/>
      <c r="R6" s="1"/>
      <c r="S6" s="1"/>
      <c r="T6" s="1"/>
      <c r="U6" s="1"/>
      <c r="V6" s="1"/>
      <c r="W6" s="1"/>
    </row>
    <row r="7" spans="1:23" x14ac:dyDescent="0.25">
      <c r="A7" s="1"/>
      <c r="B7" s="1"/>
      <c r="C7" s="15"/>
      <c r="D7" s="1"/>
      <c r="E7" s="15"/>
      <c r="F7" s="1"/>
      <c r="G7" s="15"/>
      <c r="H7" s="1"/>
      <c r="I7" s="15"/>
      <c r="J7" s="1"/>
      <c r="K7" s="15"/>
      <c r="L7" s="1"/>
      <c r="M7" s="15"/>
      <c r="N7" s="1"/>
      <c r="O7" s="15"/>
      <c r="P7" s="1"/>
      <c r="Q7" s="1"/>
      <c r="R7" s="1"/>
      <c r="S7" s="1"/>
      <c r="T7" s="1"/>
      <c r="U7" s="1"/>
      <c r="V7" s="1"/>
      <c r="W7" s="1"/>
    </row>
    <row r="8" spans="1:23" x14ac:dyDescent="0.25">
      <c r="A8" s="1"/>
      <c r="B8" s="3" t="s">
        <v>4</v>
      </c>
      <c r="C8" s="21"/>
      <c r="D8" s="3" t="s">
        <v>5</v>
      </c>
      <c r="E8" s="21"/>
      <c r="F8" s="3" t="s">
        <v>6</v>
      </c>
      <c r="G8" s="21"/>
      <c r="H8" s="3" t="s">
        <v>7</v>
      </c>
      <c r="I8" s="21"/>
      <c r="J8" s="3" t="s">
        <v>8</v>
      </c>
      <c r="K8" s="21"/>
      <c r="L8" s="3" t="s">
        <v>47</v>
      </c>
      <c r="M8" s="21"/>
      <c r="N8" s="3" t="s">
        <v>48</v>
      </c>
      <c r="O8" s="21"/>
      <c r="P8" s="3" t="s">
        <v>49</v>
      </c>
      <c r="Q8" s="1"/>
      <c r="R8" s="1"/>
      <c r="S8" s="1"/>
      <c r="T8" s="1"/>
      <c r="U8" s="1"/>
      <c r="V8" s="1"/>
      <c r="W8" s="1"/>
    </row>
    <row r="9" spans="1:23" x14ac:dyDescent="0.25">
      <c r="A9" s="1"/>
      <c r="B9" s="3"/>
      <c r="C9" s="21"/>
      <c r="D9" s="3" t="s">
        <v>50</v>
      </c>
      <c r="E9" s="21"/>
      <c r="F9" s="3"/>
      <c r="G9" s="21"/>
      <c r="H9" s="3" t="s">
        <v>51</v>
      </c>
      <c r="I9" s="21"/>
      <c r="J9" s="3" t="s">
        <v>52</v>
      </c>
      <c r="K9" s="21"/>
      <c r="L9" s="3" t="s">
        <v>53</v>
      </c>
      <c r="M9" s="21"/>
      <c r="N9" s="3"/>
      <c r="O9" s="21"/>
      <c r="P9" s="3"/>
      <c r="Q9" s="1"/>
      <c r="R9" s="1"/>
      <c r="S9" s="1"/>
      <c r="T9" s="1"/>
      <c r="U9" s="1"/>
      <c r="V9" s="1"/>
      <c r="W9" s="1"/>
    </row>
    <row r="10" spans="1:23" x14ac:dyDescent="0.25">
      <c r="A10" s="1"/>
      <c r="B10" s="3" t="s">
        <v>54</v>
      </c>
      <c r="C10" s="21"/>
      <c r="D10" s="3" t="s">
        <v>55</v>
      </c>
      <c r="E10" s="21"/>
      <c r="F10" s="3" t="s">
        <v>54</v>
      </c>
      <c r="G10" s="21"/>
      <c r="H10" s="3" t="s">
        <v>56</v>
      </c>
      <c r="I10" s="21"/>
      <c r="J10" s="3" t="s">
        <v>57</v>
      </c>
      <c r="K10" s="21"/>
      <c r="L10" s="3" t="s">
        <v>58</v>
      </c>
      <c r="M10" s="21"/>
      <c r="N10" s="3" t="s">
        <v>59</v>
      </c>
      <c r="O10" s="21"/>
      <c r="P10" s="3" t="s">
        <v>60</v>
      </c>
      <c r="Q10" s="1"/>
      <c r="R10" s="1"/>
      <c r="S10" s="1"/>
      <c r="T10" s="1"/>
      <c r="U10" s="1"/>
      <c r="V10" s="1"/>
      <c r="W10" s="1"/>
    </row>
    <row r="11" spans="1:23" x14ac:dyDescent="0.25">
      <c r="A11" s="1"/>
      <c r="B11" s="22" t="s">
        <v>61</v>
      </c>
      <c r="C11" s="21"/>
      <c r="D11" s="22" t="s">
        <v>62</v>
      </c>
      <c r="E11" s="21"/>
      <c r="F11" s="22" t="s">
        <v>61</v>
      </c>
      <c r="G11" s="21"/>
      <c r="H11" s="22" t="s">
        <v>63</v>
      </c>
      <c r="I11" s="21"/>
      <c r="J11" s="22" t="s">
        <v>64</v>
      </c>
      <c r="K11" s="21"/>
      <c r="L11" s="22" t="s">
        <v>65</v>
      </c>
      <c r="M11" s="21"/>
      <c r="N11" s="22" t="s">
        <v>66</v>
      </c>
      <c r="O11" s="21"/>
      <c r="P11" s="22" t="s">
        <v>46</v>
      </c>
      <c r="Q11" s="1"/>
      <c r="R11" s="1"/>
      <c r="S11" s="1"/>
      <c r="T11" s="1"/>
      <c r="U11" s="1"/>
      <c r="V11" s="1"/>
      <c r="W11" s="1"/>
    </row>
    <row r="12" spans="1:23" x14ac:dyDescent="0.25">
      <c r="A12" s="1"/>
      <c r="B12" s="1"/>
      <c r="C12" s="15"/>
      <c r="D12" s="1"/>
      <c r="E12" s="15"/>
      <c r="F12" s="1"/>
      <c r="G12" s="15"/>
      <c r="H12" s="1"/>
      <c r="I12" s="15"/>
      <c r="J12" s="1"/>
      <c r="K12" s="15"/>
      <c r="L12" s="1"/>
      <c r="M12" s="15"/>
      <c r="N12" s="1"/>
      <c r="O12" s="15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1"/>
      <c r="B13" s="1"/>
      <c r="C13" s="15"/>
      <c r="D13" s="1"/>
      <c r="E13" s="15"/>
      <c r="F13" s="1"/>
      <c r="G13" s="15"/>
      <c r="H13" s="1"/>
      <c r="I13" s="15"/>
      <c r="J13" s="1"/>
      <c r="K13" s="15"/>
      <c r="L13" s="1"/>
      <c r="M13" s="15"/>
      <c r="N13" s="1"/>
      <c r="O13" s="15"/>
      <c r="P13" s="1"/>
      <c r="Q13" s="1"/>
      <c r="R13" s="1"/>
      <c r="S13" s="1"/>
      <c r="T13" s="1"/>
      <c r="U13" s="1"/>
      <c r="V13" s="1"/>
      <c r="W13" s="1"/>
    </row>
    <row r="14" spans="1:23" x14ac:dyDescent="0.25">
      <c r="A14" s="1" t="s">
        <v>67</v>
      </c>
      <c r="B14" s="4">
        <v>400642335.41298884</v>
      </c>
      <c r="C14" s="23"/>
      <c r="D14" s="4">
        <v>-101210471.18806849</v>
      </c>
      <c r="E14" s="23"/>
      <c r="F14" s="4">
        <f>+B14+D14</f>
        <v>299431864.22492033</v>
      </c>
      <c r="G14" s="23"/>
      <c r="H14" s="4">
        <v>0</v>
      </c>
      <c r="I14" s="23"/>
      <c r="J14" s="4">
        <v>6731492.7831105096</v>
      </c>
      <c r="K14" s="23"/>
      <c r="L14" s="4">
        <f>+F14+J14</f>
        <v>306163357.00803083</v>
      </c>
      <c r="M14" s="23"/>
      <c r="N14" s="4">
        <v>723330.03134230711</v>
      </c>
      <c r="O14" s="23"/>
      <c r="P14" s="4">
        <f>+L14+N14</f>
        <v>306886687.03937316</v>
      </c>
      <c r="Q14" s="1"/>
      <c r="R14" s="1"/>
      <c r="S14" s="1"/>
      <c r="T14" s="1"/>
      <c r="U14" s="1"/>
      <c r="V14" s="1"/>
      <c r="W14" s="1"/>
    </row>
    <row r="15" spans="1:23" x14ac:dyDescent="0.25">
      <c r="A15" s="1"/>
      <c r="B15" s="5"/>
      <c r="C15" s="23"/>
      <c r="D15" s="5"/>
      <c r="E15" s="23"/>
      <c r="F15" s="5"/>
      <c r="G15" s="23"/>
      <c r="H15" s="5"/>
      <c r="I15" s="23"/>
      <c r="J15" s="5"/>
      <c r="K15" s="23"/>
      <c r="L15" s="5"/>
      <c r="M15" s="23"/>
      <c r="N15" s="5"/>
      <c r="O15" s="23"/>
      <c r="P15" s="5"/>
      <c r="Q15" s="1"/>
      <c r="R15" s="1"/>
      <c r="S15" s="1"/>
      <c r="T15" s="1"/>
      <c r="U15" s="1"/>
      <c r="V15" s="1"/>
      <c r="W15" s="1"/>
    </row>
    <row r="16" spans="1:23" x14ac:dyDescent="0.25">
      <c r="A16" s="1" t="s">
        <v>68</v>
      </c>
      <c r="B16" s="5"/>
      <c r="C16" s="23"/>
      <c r="D16" s="5"/>
      <c r="E16" s="23"/>
      <c r="F16" s="5"/>
      <c r="G16" s="23"/>
      <c r="H16" s="5"/>
      <c r="I16" s="23"/>
      <c r="J16" s="5"/>
      <c r="K16" s="23"/>
      <c r="L16" s="5"/>
      <c r="M16" s="23"/>
      <c r="N16" s="5"/>
      <c r="O16" s="23"/>
      <c r="P16" s="5"/>
      <c r="Q16" s="1"/>
      <c r="R16" s="1"/>
      <c r="S16" s="1"/>
      <c r="T16" s="1"/>
      <c r="U16" s="1"/>
      <c r="V16" s="1"/>
      <c r="W16" s="1"/>
    </row>
    <row r="17" spans="1:23" x14ac:dyDescent="0.25">
      <c r="A17" s="1"/>
      <c r="B17" s="5"/>
      <c r="C17" s="23"/>
      <c r="D17" s="5"/>
      <c r="E17" s="23"/>
      <c r="F17" s="5"/>
      <c r="G17" s="23"/>
      <c r="H17" s="5"/>
      <c r="I17" s="23"/>
      <c r="J17" s="5"/>
      <c r="K17" s="23"/>
      <c r="L17" s="5"/>
      <c r="M17" s="23"/>
      <c r="N17" s="5"/>
      <c r="O17" s="23"/>
      <c r="P17" s="5"/>
      <c r="Q17" s="1"/>
      <c r="R17" s="1"/>
      <c r="S17" s="1"/>
      <c r="T17" s="1"/>
      <c r="U17" s="1"/>
      <c r="V17" s="1"/>
      <c r="W17" s="1"/>
    </row>
    <row r="18" spans="1:23" x14ac:dyDescent="0.25">
      <c r="A18" s="1" t="s">
        <v>69</v>
      </c>
      <c r="B18" s="5">
        <v>0</v>
      </c>
      <c r="C18" s="23"/>
      <c r="D18" s="5">
        <v>0</v>
      </c>
      <c r="E18" s="23"/>
      <c r="F18" s="5">
        <f>+B18+D18</f>
        <v>0</v>
      </c>
      <c r="G18" s="23"/>
      <c r="H18" s="5"/>
      <c r="I18" s="23"/>
      <c r="J18" s="5"/>
      <c r="K18" s="23"/>
      <c r="L18" s="5">
        <f t="shared" ref="L18:L25" si="0">+F18+J18</f>
        <v>0</v>
      </c>
      <c r="M18" s="23"/>
      <c r="N18" s="5">
        <v>0</v>
      </c>
      <c r="O18" s="23"/>
      <c r="P18" s="5">
        <f t="shared" ref="P18:P25" si="1">+L18+N18</f>
        <v>0</v>
      </c>
      <c r="Q18" s="1"/>
      <c r="R18" s="1"/>
      <c r="S18" s="1"/>
      <c r="T18" s="1"/>
      <c r="U18" s="1"/>
      <c r="V18" s="1"/>
      <c r="W18" s="1"/>
    </row>
    <row r="19" spans="1:23" x14ac:dyDescent="0.25">
      <c r="A19" s="1" t="s">
        <v>70</v>
      </c>
      <c r="B19" s="5">
        <v>-2469682</v>
      </c>
      <c r="C19" s="23"/>
      <c r="D19" s="5">
        <v>0</v>
      </c>
      <c r="E19" s="23"/>
      <c r="F19" s="5">
        <f>+B19+D19</f>
        <v>-2469682</v>
      </c>
      <c r="G19" s="23"/>
      <c r="H19" s="5"/>
      <c r="I19" s="23"/>
      <c r="J19" s="5"/>
      <c r="K19" s="23"/>
      <c r="L19" s="5">
        <f t="shared" si="0"/>
        <v>-2469682</v>
      </c>
      <c r="M19" s="23"/>
      <c r="N19" s="5"/>
      <c r="O19" s="23"/>
      <c r="P19" s="5">
        <f t="shared" si="1"/>
        <v>-2469682</v>
      </c>
      <c r="Q19" s="1"/>
      <c r="R19" s="1"/>
      <c r="S19" s="1"/>
      <c r="T19" s="1"/>
      <c r="U19" s="1"/>
      <c r="V19" s="1"/>
      <c r="W19" s="1"/>
    </row>
    <row r="20" spans="1:23" x14ac:dyDescent="0.25">
      <c r="A20" s="1" t="s">
        <v>71</v>
      </c>
      <c r="B20" s="5">
        <v>-1020000</v>
      </c>
      <c r="C20" s="23"/>
      <c r="D20" s="5">
        <v>158750</v>
      </c>
      <c r="E20" s="23"/>
      <c r="F20" s="5">
        <f>+B20+D20</f>
        <v>-861250</v>
      </c>
      <c r="G20" s="23"/>
      <c r="H20" s="5"/>
      <c r="I20" s="23"/>
      <c r="J20" s="5"/>
      <c r="K20" s="23"/>
      <c r="L20" s="5">
        <f t="shared" si="0"/>
        <v>-861250</v>
      </c>
      <c r="M20" s="23"/>
      <c r="N20" s="5"/>
      <c r="O20" s="23"/>
      <c r="P20" s="5">
        <f t="shared" si="1"/>
        <v>-861250</v>
      </c>
      <c r="Q20" s="1"/>
      <c r="R20" s="1"/>
      <c r="S20" s="1"/>
      <c r="T20" s="1"/>
      <c r="U20" s="1"/>
      <c r="V20" s="1"/>
      <c r="W20" s="1"/>
    </row>
    <row r="21" spans="1:23" x14ac:dyDescent="0.25">
      <c r="A21" s="1" t="s">
        <v>72</v>
      </c>
      <c r="B21" s="5">
        <v>-2223684.2980903252</v>
      </c>
      <c r="C21" s="23"/>
      <c r="D21" s="5">
        <v>856555.44827516295</v>
      </c>
      <c r="E21" s="23"/>
      <c r="F21" s="5">
        <f>+B21+D21</f>
        <v>-1367128.8498151624</v>
      </c>
      <c r="G21" s="23"/>
      <c r="H21" s="5"/>
      <c r="I21" s="23"/>
      <c r="J21" s="5"/>
      <c r="K21" s="23"/>
      <c r="L21" s="5">
        <f t="shared" si="0"/>
        <v>-1367128.8498151624</v>
      </c>
      <c r="M21" s="23"/>
      <c r="N21" s="5"/>
      <c r="O21" s="23"/>
      <c r="P21" s="5">
        <f t="shared" si="1"/>
        <v>-1367128.8498151624</v>
      </c>
      <c r="Q21" s="1"/>
      <c r="R21" s="1"/>
      <c r="S21" s="1"/>
      <c r="T21" s="1"/>
      <c r="U21" s="1"/>
      <c r="V21" s="1"/>
      <c r="W21" s="1"/>
    </row>
    <row r="22" spans="1:23" x14ac:dyDescent="0.25">
      <c r="A22" s="1" t="s">
        <v>73</v>
      </c>
      <c r="B22" s="5">
        <v>0</v>
      </c>
      <c r="C22" s="23"/>
      <c r="D22" s="5">
        <v>0</v>
      </c>
      <c r="E22" s="23"/>
      <c r="F22" s="5">
        <f>B22+D22</f>
        <v>0</v>
      </c>
      <c r="G22" s="23"/>
      <c r="H22" s="5"/>
      <c r="I22" s="23"/>
      <c r="J22" s="5"/>
      <c r="K22" s="23"/>
      <c r="L22" s="5">
        <f t="shared" si="0"/>
        <v>0</v>
      </c>
      <c r="M22" s="23"/>
      <c r="N22" s="5">
        <v>0</v>
      </c>
      <c r="O22" s="23"/>
      <c r="P22" s="5">
        <f t="shared" si="1"/>
        <v>0</v>
      </c>
      <c r="Q22" s="1"/>
      <c r="R22" s="1"/>
      <c r="S22" s="1"/>
      <c r="T22" s="1"/>
      <c r="U22" s="1"/>
      <c r="V22" s="1"/>
      <c r="W22" s="1"/>
    </row>
    <row r="23" spans="1:23" x14ac:dyDescent="0.25">
      <c r="A23" s="1" t="s">
        <v>74</v>
      </c>
      <c r="B23" s="5">
        <v>0</v>
      </c>
      <c r="C23" s="23"/>
      <c r="D23" s="5"/>
      <c r="E23" s="23"/>
      <c r="F23" s="5">
        <f>B23+D23</f>
        <v>0</v>
      </c>
      <c r="G23" s="23"/>
      <c r="H23" s="5"/>
      <c r="I23" s="23"/>
      <c r="J23" s="5"/>
      <c r="K23" s="23"/>
      <c r="L23" s="5">
        <f t="shared" si="0"/>
        <v>0</v>
      </c>
      <c r="M23" s="23"/>
      <c r="N23" s="5">
        <v>-1027831.2239999999</v>
      </c>
      <c r="O23" s="23"/>
      <c r="P23" s="5">
        <f t="shared" si="1"/>
        <v>-1027831.2239999999</v>
      </c>
      <c r="Q23" s="1"/>
      <c r="R23" s="1"/>
      <c r="S23" s="1"/>
      <c r="T23" s="1"/>
      <c r="U23" s="1"/>
      <c r="V23" s="1"/>
      <c r="W23" s="1"/>
    </row>
    <row r="24" spans="1:23" x14ac:dyDescent="0.25">
      <c r="A24" s="1" t="s">
        <v>75</v>
      </c>
      <c r="B24" s="5"/>
      <c r="C24" s="23"/>
      <c r="D24" s="5"/>
      <c r="E24" s="23"/>
      <c r="F24" s="5">
        <f t="shared" ref="F24:F25" si="2">B24+D24</f>
        <v>0</v>
      </c>
      <c r="G24" s="23"/>
      <c r="H24" s="5"/>
      <c r="I24" s="23"/>
      <c r="J24" s="5"/>
      <c r="K24" s="23"/>
      <c r="L24" s="5">
        <f t="shared" si="0"/>
        <v>0</v>
      </c>
      <c r="M24" s="23"/>
      <c r="N24" s="5">
        <v>-3178861</v>
      </c>
      <c r="O24" s="23"/>
      <c r="P24" s="5">
        <f t="shared" si="1"/>
        <v>-3178861</v>
      </c>
      <c r="Q24" s="1"/>
      <c r="R24" s="1"/>
      <c r="S24" s="1"/>
      <c r="T24" s="1"/>
      <c r="U24" s="1"/>
      <c r="V24" s="1"/>
      <c r="W24" s="1"/>
    </row>
    <row r="25" spans="1:23" x14ac:dyDescent="0.25">
      <c r="A25" s="1" t="s">
        <v>76</v>
      </c>
      <c r="B25" s="5"/>
      <c r="C25" s="23"/>
      <c r="D25" s="5"/>
      <c r="E25" s="23"/>
      <c r="F25" s="5">
        <f t="shared" si="2"/>
        <v>0</v>
      </c>
      <c r="G25" s="23"/>
      <c r="H25" s="5"/>
      <c r="I25" s="23"/>
      <c r="J25" s="5"/>
      <c r="K25" s="23"/>
      <c r="L25" s="5">
        <f t="shared" si="0"/>
        <v>0</v>
      </c>
      <c r="M25" s="23"/>
      <c r="N25" s="5">
        <v>5611069</v>
      </c>
      <c r="O25" s="23"/>
      <c r="P25" s="5">
        <f t="shared" si="1"/>
        <v>5611069</v>
      </c>
      <c r="Q25" s="1"/>
      <c r="R25" s="1"/>
      <c r="S25" s="1"/>
      <c r="T25" s="1"/>
      <c r="U25" s="1"/>
      <c r="V25" s="1"/>
      <c r="W25" s="1"/>
    </row>
    <row r="26" spans="1:23" x14ac:dyDescent="0.25">
      <c r="A26" s="1" t="s">
        <v>77</v>
      </c>
      <c r="B26" s="24">
        <f>SUM(B18:B25)</f>
        <v>-5713366.2980903257</v>
      </c>
      <c r="C26" s="23"/>
      <c r="D26" s="24">
        <f>SUM(D18:D25)</f>
        <v>1015305.448275163</v>
      </c>
      <c r="E26" s="23"/>
      <c r="F26" s="24">
        <f>SUM(F18:F25)</f>
        <v>-4698060.8498151619</v>
      </c>
      <c r="G26" s="23"/>
      <c r="H26" s="24">
        <f>SUM(H18:H25)</f>
        <v>0</v>
      </c>
      <c r="I26" s="23"/>
      <c r="J26" s="24">
        <f>SUM(J18:J25)</f>
        <v>0</v>
      </c>
      <c r="K26" s="23"/>
      <c r="L26" s="24">
        <f>SUM(L18:L25)</f>
        <v>-4698060.8498151619</v>
      </c>
      <c r="M26" s="23"/>
      <c r="N26" s="24">
        <f>SUM(N18:N25)</f>
        <v>1404376.7760000005</v>
      </c>
      <c r="O26" s="23"/>
      <c r="P26" s="24">
        <f>SUM(P18:P25)</f>
        <v>-3293684.0738151614</v>
      </c>
      <c r="Q26" s="1"/>
      <c r="R26" s="1"/>
      <c r="S26" s="1"/>
      <c r="T26" s="1"/>
      <c r="U26" s="1"/>
      <c r="V26" s="1"/>
      <c r="W26" s="1"/>
    </row>
    <row r="27" spans="1:23" x14ac:dyDescent="0.25">
      <c r="A27" s="1"/>
      <c r="B27" s="5"/>
      <c r="C27" s="23"/>
      <c r="D27" s="5"/>
      <c r="E27" s="23"/>
      <c r="F27" s="5"/>
      <c r="G27" s="23"/>
      <c r="H27" s="5"/>
      <c r="I27" s="23"/>
      <c r="J27" s="5"/>
      <c r="K27" s="23"/>
      <c r="L27" s="5"/>
      <c r="M27" s="23"/>
      <c r="N27" s="5"/>
      <c r="O27" s="23"/>
      <c r="P27" s="5"/>
      <c r="Q27" s="1"/>
      <c r="R27" s="1"/>
      <c r="S27" s="1"/>
      <c r="T27" s="1"/>
      <c r="U27" s="1"/>
      <c r="V27" s="1"/>
      <c r="W27" s="1"/>
    </row>
    <row r="28" spans="1:23" x14ac:dyDescent="0.25">
      <c r="A28" s="1"/>
      <c r="B28" s="5"/>
      <c r="C28" s="23"/>
      <c r="D28" s="5"/>
      <c r="E28" s="23"/>
      <c r="F28" s="5"/>
      <c r="G28" s="23"/>
      <c r="H28" s="5"/>
      <c r="I28" s="23"/>
      <c r="J28" s="5"/>
      <c r="K28" s="23"/>
      <c r="L28" s="5"/>
      <c r="M28" s="23"/>
      <c r="N28" s="5"/>
      <c r="O28" s="23"/>
      <c r="P28" s="5"/>
      <c r="Q28" s="1"/>
      <c r="R28" s="1"/>
      <c r="S28" s="1"/>
      <c r="T28" s="1"/>
      <c r="U28" s="1"/>
      <c r="V28" s="1"/>
      <c r="W28" s="1"/>
    </row>
    <row r="29" spans="1:23" x14ac:dyDescent="0.25">
      <c r="A29" s="1" t="s">
        <v>78</v>
      </c>
      <c r="B29" s="4">
        <f>+B14+B26</f>
        <v>394928969.1148985</v>
      </c>
      <c r="C29" s="23"/>
      <c r="D29" s="4">
        <f>+D14+D26</f>
        <v>-100195165.73979333</v>
      </c>
      <c r="E29" s="23"/>
      <c r="F29" s="4">
        <f>+F14+F26</f>
        <v>294733803.37510514</v>
      </c>
      <c r="G29" s="23"/>
      <c r="H29" s="4">
        <f>+H14+H26</f>
        <v>0</v>
      </c>
      <c r="I29" s="23"/>
      <c r="J29" s="4">
        <f>+J14+J26</f>
        <v>6731492.7831105096</v>
      </c>
      <c r="K29" s="23"/>
      <c r="L29" s="4">
        <f>+L14+L26</f>
        <v>301465296.15821564</v>
      </c>
      <c r="M29" s="23"/>
      <c r="N29" s="4">
        <f>+N14+N26</f>
        <v>2127706.8073423076</v>
      </c>
      <c r="O29" s="23"/>
      <c r="P29" s="4">
        <f>+P14+P26</f>
        <v>303593002.96555799</v>
      </c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5"/>
      <c r="C30" s="23"/>
      <c r="D30" s="5"/>
      <c r="E30" s="23"/>
      <c r="F30" s="5"/>
      <c r="G30" s="23"/>
      <c r="H30" s="5"/>
      <c r="I30" s="23"/>
      <c r="J30" s="5"/>
      <c r="K30" s="23"/>
      <c r="L30" s="5"/>
      <c r="M30" s="23"/>
      <c r="N30" s="5"/>
      <c r="O30" s="23"/>
      <c r="P30" s="5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5"/>
      <c r="C31" s="23"/>
      <c r="D31" s="5"/>
      <c r="E31" s="23"/>
      <c r="F31" s="5">
        <f>+B31+D31</f>
        <v>0</v>
      </c>
      <c r="G31" s="23"/>
      <c r="H31" s="5"/>
      <c r="I31" s="23"/>
      <c r="J31" s="5"/>
      <c r="K31" s="23"/>
      <c r="L31" s="5">
        <f t="shared" ref="L31" si="3">+F31+J31</f>
        <v>0</v>
      </c>
      <c r="M31" s="23"/>
      <c r="N31" s="5"/>
      <c r="O31" s="23"/>
      <c r="P31" s="5">
        <f t="shared" ref="P31" si="4">+L31+N31</f>
        <v>0</v>
      </c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4"/>
      <c r="C32" s="23"/>
      <c r="D32" s="4"/>
      <c r="E32" s="23"/>
      <c r="F32" s="4"/>
      <c r="G32" s="23"/>
      <c r="H32" s="4"/>
      <c r="I32" s="23"/>
      <c r="J32" s="4"/>
      <c r="K32" s="23"/>
      <c r="L32" s="4"/>
      <c r="M32" s="23"/>
      <c r="N32" s="4"/>
      <c r="O32" s="23"/>
      <c r="P32" s="4"/>
      <c r="Q32" s="1"/>
      <c r="R32" s="1"/>
      <c r="S32" s="1"/>
      <c r="T32" s="1"/>
      <c r="U32" s="1"/>
      <c r="V32" s="1"/>
      <c r="W32" s="1"/>
    </row>
    <row r="33" spans="1:23" ht="15.75" thickBot="1" x14ac:dyDescent="0.3">
      <c r="A33" s="1" t="s">
        <v>79</v>
      </c>
      <c r="B33" s="25">
        <f>SUM(B29:B31)</f>
        <v>394928969.1148985</v>
      </c>
      <c r="C33" s="23"/>
      <c r="D33" s="25">
        <f>SUM(D29:D31)</f>
        <v>-100195165.73979333</v>
      </c>
      <c r="E33" s="23"/>
      <c r="F33" s="25">
        <f>SUM(F29:F31)</f>
        <v>294733803.37510514</v>
      </c>
      <c r="G33" s="23"/>
      <c r="H33" s="25">
        <f>SUM(H29:H31)</f>
        <v>0</v>
      </c>
      <c r="I33" s="23"/>
      <c r="J33" s="25">
        <f>SUM(J29:J31)</f>
        <v>6731492.7831105096</v>
      </c>
      <c r="K33" s="23"/>
      <c r="L33" s="25">
        <f>SUM(L29:L31)</f>
        <v>301465296.15821564</v>
      </c>
      <c r="M33" s="23"/>
      <c r="N33" s="25">
        <f>SUM(N29:N31)</f>
        <v>2127706.8073423076</v>
      </c>
      <c r="O33" s="23"/>
      <c r="P33" s="25">
        <f>SUM(P29:P31)</f>
        <v>303593002.96555799</v>
      </c>
      <c r="Q33" s="1"/>
      <c r="R33" s="1"/>
      <c r="S33" s="1"/>
      <c r="T33" s="1"/>
      <c r="U33" s="1"/>
      <c r="V33" s="1"/>
      <c r="W33" s="1"/>
    </row>
    <row r="34" spans="1:23" ht="15.75" thickTop="1" x14ac:dyDescent="0.25">
      <c r="A34" s="1" t="s">
        <v>80</v>
      </c>
      <c r="B34" s="5"/>
      <c r="C34" s="23"/>
      <c r="D34" s="5"/>
      <c r="E34" s="23"/>
      <c r="F34" s="5"/>
      <c r="G34" s="23"/>
      <c r="H34" s="5"/>
      <c r="I34" s="23"/>
      <c r="J34" s="5"/>
      <c r="K34" s="23"/>
      <c r="L34" s="5"/>
      <c r="M34" s="23"/>
      <c r="N34" s="5"/>
      <c r="O34" s="23"/>
      <c r="P34" s="5"/>
      <c r="Q34" s="1"/>
      <c r="R34" s="1"/>
      <c r="S34" s="1"/>
      <c r="T34" s="1"/>
      <c r="U34" s="1"/>
      <c r="V34" s="1"/>
      <c r="W34" s="1"/>
    </row>
    <row r="35" spans="1:23" x14ac:dyDescent="0.25">
      <c r="A35" s="1"/>
      <c r="B35" s="5"/>
      <c r="C35" s="23"/>
      <c r="D35" s="5"/>
      <c r="E35" s="23"/>
      <c r="F35" s="5">
        <f>+B35+D35</f>
        <v>0</v>
      </c>
      <c r="G35" s="23"/>
      <c r="H35" s="5"/>
      <c r="I35" s="23"/>
      <c r="J35" s="5"/>
      <c r="K35" s="23"/>
      <c r="L35" s="5">
        <f>+F35+J35</f>
        <v>0</v>
      </c>
      <c r="M35" s="23"/>
      <c r="N35" s="5"/>
      <c r="O35" s="23"/>
      <c r="P35" s="5">
        <f>+L35+N35</f>
        <v>0</v>
      </c>
      <c r="Q35" s="1"/>
      <c r="R35" s="1"/>
      <c r="S35" s="1"/>
      <c r="T35" s="1"/>
      <c r="U35" s="1"/>
      <c r="V35" s="1"/>
      <c r="W35" s="1"/>
    </row>
    <row r="36" spans="1:23" x14ac:dyDescent="0.25">
      <c r="A36" s="1"/>
      <c r="B36" s="5"/>
      <c r="C36" s="23"/>
      <c r="D36" s="5"/>
      <c r="E36" s="23"/>
      <c r="F36" s="5">
        <f>+B36+D36</f>
        <v>0</v>
      </c>
      <c r="G36" s="23"/>
      <c r="H36" s="5"/>
      <c r="I36" s="23"/>
      <c r="J36" s="5"/>
      <c r="K36" s="23"/>
      <c r="L36" s="5">
        <f>+F36+J36</f>
        <v>0</v>
      </c>
      <c r="M36" s="23"/>
      <c r="N36" s="5"/>
      <c r="O36" s="23"/>
      <c r="P36" s="5">
        <f>+L36+N36</f>
        <v>0</v>
      </c>
      <c r="Q36" s="1"/>
      <c r="R36" s="1"/>
      <c r="S36" s="1"/>
      <c r="T36" s="1"/>
      <c r="U36" s="1"/>
      <c r="V36" s="1"/>
      <c r="W36" s="1"/>
    </row>
    <row r="37" spans="1:23" x14ac:dyDescent="0.25">
      <c r="A37" s="1" t="s">
        <v>81</v>
      </c>
      <c r="B37" s="5">
        <v>-34192493</v>
      </c>
      <c r="C37" s="23"/>
      <c r="D37" s="5">
        <v>13297078.900000004</v>
      </c>
      <c r="E37" s="23"/>
      <c r="F37" s="5">
        <f>B37+D37</f>
        <v>-20895414.099999994</v>
      </c>
      <c r="G37" s="23"/>
      <c r="H37" s="5"/>
      <c r="I37" s="23"/>
      <c r="J37" s="5"/>
      <c r="K37" s="23"/>
      <c r="L37" s="5">
        <f>+F37+J37</f>
        <v>-20895414.099999994</v>
      </c>
      <c r="M37" s="23"/>
      <c r="N37" s="5"/>
      <c r="O37" s="23"/>
      <c r="P37" s="5">
        <f>+L37+N37</f>
        <v>-20895414.099999994</v>
      </c>
      <c r="Q37" s="1"/>
      <c r="R37" s="1"/>
      <c r="S37" s="1"/>
      <c r="T37" s="1"/>
      <c r="U37" s="1"/>
      <c r="V37" s="1"/>
      <c r="W37" s="1"/>
    </row>
    <row r="38" spans="1:23" x14ac:dyDescent="0.25">
      <c r="A38" s="1" t="s">
        <v>82</v>
      </c>
      <c r="B38" s="5"/>
      <c r="C38" s="23"/>
      <c r="D38" s="5"/>
      <c r="E38" s="23"/>
      <c r="F38" s="5"/>
      <c r="G38" s="23"/>
      <c r="H38" s="5"/>
      <c r="I38" s="23"/>
      <c r="J38" s="5"/>
      <c r="K38" s="23"/>
      <c r="L38" s="5"/>
      <c r="M38" s="23"/>
      <c r="N38" s="5"/>
      <c r="O38" s="23"/>
      <c r="P38" s="5">
        <f>+L38+N38</f>
        <v>0</v>
      </c>
      <c r="Q38" s="1"/>
      <c r="R38" s="1"/>
      <c r="S38" s="1"/>
      <c r="T38" s="1"/>
      <c r="U38" s="1"/>
      <c r="V38" s="1"/>
      <c r="W38" s="1"/>
    </row>
    <row r="39" spans="1:23" x14ac:dyDescent="0.25">
      <c r="A39" s="1" t="s">
        <v>83</v>
      </c>
      <c r="B39" s="24">
        <f>SUM(B35:B38)</f>
        <v>-34192493</v>
      </c>
      <c r="C39" s="23"/>
      <c r="D39" s="24">
        <f>SUM(D35:D38)</f>
        <v>13297078.900000004</v>
      </c>
      <c r="E39" s="23"/>
      <c r="F39" s="24">
        <f>SUM(F35:F38)</f>
        <v>-20895414.099999994</v>
      </c>
      <c r="G39" s="23"/>
      <c r="H39" s="24">
        <f>SUM(H35:H38)</f>
        <v>0</v>
      </c>
      <c r="I39" s="23"/>
      <c r="J39" s="24">
        <f>SUM(J35:J38)</f>
        <v>0</v>
      </c>
      <c r="K39" s="23"/>
      <c r="L39" s="24">
        <f>SUM(L35:L38)</f>
        <v>-20895414.099999994</v>
      </c>
      <c r="M39" s="23"/>
      <c r="N39" s="24">
        <f>SUM(N35:N38)</f>
        <v>0</v>
      </c>
      <c r="O39" s="23"/>
      <c r="P39" s="24">
        <f>SUM(P35:P38)</f>
        <v>-20895414.099999994</v>
      </c>
      <c r="Q39" s="1"/>
      <c r="R39" s="1"/>
      <c r="S39" s="1"/>
      <c r="T39" s="1"/>
      <c r="U39" s="1"/>
      <c r="V39" s="1"/>
      <c r="W39" s="1"/>
    </row>
    <row r="40" spans="1:23" x14ac:dyDescent="0.25">
      <c r="A40" s="1"/>
      <c r="B40" s="5"/>
      <c r="C40" s="23"/>
      <c r="D40" s="5"/>
      <c r="E40" s="23"/>
      <c r="F40" s="5"/>
      <c r="G40" s="23"/>
      <c r="H40" s="5"/>
      <c r="I40" s="23"/>
      <c r="J40" s="5"/>
      <c r="K40" s="23"/>
      <c r="L40" s="5"/>
      <c r="M40" s="23"/>
      <c r="N40" s="5"/>
      <c r="O40" s="23"/>
      <c r="P40" s="5"/>
      <c r="Q40" s="1"/>
      <c r="R40" s="1"/>
      <c r="S40" s="1"/>
      <c r="T40" s="1"/>
      <c r="U40" s="1"/>
      <c r="V40" s="1"/>
      <c r="W40" s="1"/>
    </row>
    <row r="41" spans="1:23" x14ac:dyDescent="0.25">
      <c r="A41" s="1"/>
      <c r="B41" s="5"/>
      <c r="C41" s="23"/>
      <c r="D41" s="5"/>
      <c r="E41" s="23"/>
      <c r="F41" s="5"/>
      <c r="G41" s="23"/>
      <c r="H41" s="5"/>
      <c r="I41" s="23"/>
      <c r="J41" s="5"/>
      <c r="K41" s="23"/>
      <c r="L41" s="5"/>
      <c r="M41" s="23"/>
      <c r="N41" s="5"/>
      <c r="O41" s="23"/>
      <c r="P41" s="5"/>
      <c r="Q41" s="1"/>
      <c r="R41" s="1"/>
      <c r="S41" s="1"/>
      <c r="T41" s="1"/>
      <c r="U41" s="1"/>
      <c r="V41" s="1"/>
      <c r="W41" s="1"/>
    </row>
    <row r="42" spans="1:23" ht="15.75" thickBot="1" x14ac:dyDescent="0.3">
      <c r="A42" s="1" t="s">
        <v>84</v>
      </c>
      <c r="B42" s="26">
        <f>+B33+B39</f>
        <v>360736476.1148985</v>
      </c>
      <c r="C42" s="23"/>
      <c r="D42" s="26">
        <f>+D33+D39</f>
        <v>-86898086.839793324</v>
      </c>
      <c r="E42" s="23"/>
      <c r="F42" s="26">
        <f>+F33+F39</f>
        <v>273838389.27510512</v>
      </c>
      <c r="G42" s="23"/>
      <c r="H42" s="26">
        <f>+H33+H39</f>
        <v>0</v>
      </c>
      <c r="I42" s="23"/>
      <c r="J42" s="26">
        <f>+J33+J39</f>
        <v>6731492.7831105096</v>
      </c>
      <c r="K42" s="23"/>
      <c r="L42" s="26">
        <f>+L33+L39</f>
        <v>280569882.05821562</v>
      </c>
      <c r="M42" s="23"/>
      <c r="N42" s="26">
        <f>+N33+N39</f>
        <v>2127706.8073423076</v>
      </c>
      <c r="O42" s="23"/>
      <c r="P42" s="26">
        <f>+P33+P39</f>
        <v>282697588.86555803</v>
      </c>
      <c r="Q42" s="1"/>
      <c r="R42" s="1"/>
      <c r="S42" s="1"/>
      <c r="T42" s="1"/>
      <c r="U42" s="1"/>
      <c r="V42" s="1"/>
      <c r="W42" s="1"/>
    </row>
    <row r="43" spans="1:23" ht="15.75" thickTop="1" x14ac:dyDescent="0.25">
      <c r="A43" s="1"/>
      <c r="B43" s="1"/>
      <c r="C43" s="15"/>
      <c r="D43" s="1"/>
      <c r="E43" s="15"/>
      <c r="F43" s="1"/>
      <c r="G43" s="15"/>
      <c r="H43" s="1"/>
      <c r="I43" s="15"/>
      <c r="J43" s="1"/>
      <c r="K43" s="15"/>
      <c r="L43" s="1"/>
      <c r="M43" s="15"/>
      <c r="N43" s="1"/>
      <c r="O43" s="15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1"/>
      <c r="B44" s="1"/>
      <c r="C44" s="15"/>
      <c r="D44" s="1"/>
      <c r="E44" s="15"/>
      <c r="F44" s="1"/>
      <c r="G44" s="15"/>
      <c r="H44" s="1"/>
      <c r="I44" s="15"/>
      <c r="J44" s="1"/>
      <c r="K44" s="15"/>
      <c r="L44" s="1"/>
      <c r="M44" s="15"/>
      <c r="N44" s="1"/>
      <c r="O44" s="15"/>
      <c r="P44" s="1"/>
      <c r="Q44" s="1"/>
      <c r="R44" s="1"/>
      <c r="S44" s="1"/>
      <c r="T44" s="1"/>
      <c r="U44" s="1"/>
      <c r="V44" s="1"/>
      <c r="W44" s="1"/>
    </row>
    <row r="45" spans="1:23" x14ac:dyDescent="0.25">
      <c r="A45" s="1"/>
      <c r="B45" s="1"/>
      <c r="C45" s="15"/>
      <c r="D45" s="1"/>
      <c r="E45" s="15"/>
      <c r="F45" s="1"/>
      <c r="G45" s="15"/>
      <c r="H45" s="1"/>
      <c r="I45" s="15"/>
      <c r="J45" s="1"/>
      <c r="K45" s="15"/>
      <c r="L45" s="1"/>
      <c r="M45" s="15"/>
      <c r="N45" s="1"/>
      <c r="O45" s="15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1"/>
      <c r="B46" s="1"/>
      <c r="C46" s="15"/>
      <c r="D46" s="1"/>
      <c r="E46" s="15"/>
      <c r="F46" s="1"/>
      <c r="G46" s="15"/>
      <c r="H46" s="1"/>
      <c r="I46" s="15"/>
      <c r="J46" s="1"/>
      <c r="K46" s="15"/>
      <c r="L46" s="1"/>
      <c r="M46" s="15"/>
      <c r="N46" s="1"/>
      <c r="O46" s="15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/>
      <c r="B47" s="1"/>
      <c r="C47" s="15"/>
      <c r="D47" s="1"/>
      <c r="E47" s="15"/>
      <c r="F47" s="1"/>
      <c r="G47" s="15"/>
      <c r="H47" s="1"/>
      <c r="I47" s="15"/>
      <c r="J47" s="1"/>
      <c r="K47" s="15"/>
      <c r="L47" s="1"/>
      <c r="M47" s="15"/>
      <c r="N47" s="1"/>
      <c r="O47" s="15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/>
      <c r="B48" s="1"/>
      <c r="C48" s="15"/>
      <c r="D48" s="1"/>
      <c r="E48" s="15"/>
      <c r="F48" s="1"/>
      <c r="G48" s="15"/>
      <c r="H48" s="1"/>
      <c r="I48" s="15"/>
      <c r="J48" s="1"/>
      <c r="K48" s="15"/>
      <c r="L48" s="1"/>
      <c r="M48" s="15"/>
      <c r="N48" s="1"/>
      <c r="O48" s="15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1"/>
      <c r="B49" s="1"/>
      <c r="C49" s="15"/>
      <c r="D49" s="1"/>
      <c r="E49" s="15"/>
      <c r="F49" s="1"/>
      <c r="G49" s="15"/>
      <c r="H49" s="1"/>
      <c r="I49" s="15"/>
      <c r="J49" s="1"/>
      <c r="K49" s="15"/>
      <c r="L49" s="1"/>
      <c r="M49" s="15"/>
      <c r="N49" s="1"/>
      <c r="O49" s="15"/>
      <c r="P49" s="1"/>
      <c r="Q49" s="1"/>
      <c r="R49" s="1"/>
      <c r="S49" s="1"/>
      <c r="T49" s="1"/>
      <c r="U49" s="1"/>
      <c r="V49" s="1"/>
      <c r="W49" s="1"/>
    </row>
    <row r="51" spans="1:23" x14ac:dyDescent="0.25">
      <c r="L51" s="1"/>
      <c r="V51" s="1"/>
    </row>
    <row r="52" spans="1:23" x14ac:dyDescent="0.25">
      <c r="V52" s="1"/>
    </row>
    <row r="53" spans="1:23" x14ac:dyDescent="0.25">
      <c r="V53" s="1"/>
    </row>
  </sheetData>
  <pageMargins left="0.25" right="0.25" top="0.75" bottom="0.75" header="0.3" footer="0.3"/>
  <pageSetup scale="70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48"/>
  <sheetViews>
    <sheetView zoomScale="80" zoomScaleNormal="80" workbookViewId="0">
      <selection activeCell="A35" sqref="A35"/>
    </sheetView>
  </sheetViews>
  <sheetFormatPr defaultColWidth="9.140625" defaultRowHeight="15" x14ac:dyDescent="0.25"/>
  <cols>
    <col min="1" max="1" width="45.140625" style="1" customWidth="1"/>
    <col min="2" max="2" width="14.7109375" style="1" customWidth="1"/>
    <col min="3" max="3" width="2.42578125" style="15" customWidth="1"/>
    <col min="4" max="4" width="16" style="1" bestFit="1" customWidth="1"/>
    <col min="5" max="5" width="2.7109375" style="15" customWidth="1"/>
    <col min="6" max="6" width="15.28515625" style="1" bestFit="1" customWidth="1"/>
    <col min="7" max="7" width="2.7109375" style="15" customWidth="1"/>
    <col min="8" max="8" width="14.28515625" style="1" customWidth="1"/>
    <col min="9" max="9" width="2.28515625" style="15" customWidth="1"/>
    <col min="10" max="10" width="13.5703125" style="1" customWidth="1"/>
    <col min="11" max="11" width="2.28515625" style="15" customWidth="1"/>
    <col min="12" max="12" width="14.28515625" style="1" bestFit="1" customWidth="1"/>
    <col min="13" max="13" width="1.85546875" style="15" customWidth="1"/>
    <col min="14" max="14" width="9.28515625" style="1" bestFit="1" customWidth="1"/>
    <col min="15" max="15" width="2.5703125" style="15" customWidth="1"/>
    <col min="16" max="16" width="9.28515625" style="1" bestFit="1" customWidth="1"/>
    <col min="17" max="17" width="2.42578125" style="15" customWidth="1"/>
    <col min="18" max="18" width="12.28515625" style="1" customWidth="1"/>
    <col min="19" max="19" width="3.140625" style="15" customWidth="1"/>
    <col min="20" max="20" width="15.42578125" style="1" customWidth="1"/>
    <col min="21" max="21" width="3.140625" style="15" customWidth="1"/>
    <col min="22" max="22" width="14.7109375" style="1" customWidth="1"/>
    <col min="23" max="24" width="9.140625" style="1"/>
    <col min="25" max="25" width="12.5703125" style="1" bestFit="1" customWidth="1"/>
    <col min="26" max="16384" width="9.140625" style="1"/>
  </cols>
  <sheetData>
    <row r="1" spans="1:22" x14ac:dyDescent="0.25">
      <c r="A1" s="1" t="str">
        <f>'Avg ROR'!A1</f>
        <v>FLORIDA PUBLIC UTILITIES COMPANY</v>
      </c>
      <c r="T1" s="20"/>
      <c r="V1" s="1" t="s">
        <v>85</v>
      </c>
    </row>
    <row r="2" spans="1:22" x14ac:dyDescent="0.25">
      <c r="A2" s="1" t="str">
        <f>'Avg ROR'!A2</f>
        <v>NATURAL GAS</v>
      </c>
      <c r="V2" s="1" t="s">
        <v>86</v>
      </c>
    </row>
    <row r="3" spans="1:22" x14ac:dyDescent="0.25">
      <c r="A3" s="1" t="str">
        <f>'Avg ROR'!A3</f>
        <v>AVERAGE RATE OF RETURN</v>
      </c>
    </row>
    <row r="4" spans="1:22" x14ac:dyDescent="0.25">
      <c r="A4" s="1" t="str">
        <f>'Avg ROR'!A4</f>
        <v>For the 12 Months Ending December 31, 2021</v>
      </c>
    </row>
    <row r="5" spans="1:22" x14ac:dyDescent="0.25">
      <c r="A5" s="1" t="s">
        <v>87</v>
      </c>
    </row>
    <row r="8" spans="1:22" x14ac:dyDescent="0.25">
      <c r="B8" s="3" t="s">
        <v>4</v>
      </c>
      <c r="C8" s="21"/>
      <c r="D8" s="3" t="s">
        <v>5</v>
      </c>
      <c r="E8" s="21"/>
      <c r="F8" s="3" t="s">
        <v>6</v>
      </c>
      <c r="G8" s="21"/>
      <c r="H8" s="3" t="s">
        <v>7</v>
      </c>
      <c r="I8" s="21"/>
      <c r="J8" s="3" t="s">
        <v>8</v>
      </c>
      <c r="K8" s="21"/>
      <c r="L8" s="3" t="s">
        <v>47</v>
      </c>
      <c r="M8" s="21"/>
      <c r="N8" s="3" t="s">
        <v>48</v>
      </c>
      <c r="O8" s="21"/>
      <c r="P8" s="3" t="s">
        <v>49</v>
      </c>
      <c r="Q8" s="21"/>
      <c r="R8" s="3" t="s">
        <v>88</v>
      </c>
      <c r="S8" s="21"/>
      <c r="T8" s="3" t="s">
        <v>89</v>
      </c>
      <c r="U8" s="21"/>
      <c r="V8" s="3" t="s">
        <v>90</v>
      </c>
    </row>
    <row r="9" spans="1:22" x14ac:dyDescent="0.25">
      <c r="B9" s="3"/>
      <c r="C9" s="21"/>
      <c r="D9" s="3"/>
      <c r="E9" s="21"/>
      <c r="F9" s="3"/>
      <c r="G9" s="21"/>
      <c r="H9" s="3"/>
      <c r="I9" s="21"/>
      <c r="J9" s="3"/>
      <c r="K9" s="21"/>
      <c r="L9" s="3"/>
      <c r="M9" s="21"/>
      <c r="N9" s="3"/>
      <c r="O9" s="21"/>
      <c r="P9" s="3"/>
      <c r="Q9" s="21"/>
      <c r="R9" s="3" t="s">
        <v>91</v>
      </c>
      <c r="S9" s="21"/>
      <c r="T9" s="3" t="s">
        <v>60</v>
      </c>
      <c r="U9" s="21"/>
      <c r="V9" s="3" t="s">
        <v>53</v>
      </c>
    </row>
    <row r="10" spans="1:22" x14ac:dyDescent="0.25">
      <c r="B10" s="3" t="s">
        <v>92</v>
      </c>
      <c r="C10" s="21"/>
      <c r="D10" s="3" t="s">
        <v>93</v>
      </c>
      <c r="E10" s="21"/>
      <c r="F10" s="3" t="s">
        <v>94</v>
      </c>
      <c r="G10" s="21"/>
      <c r="H10" s="3" t="s">
        <v>95</v>
      </c>
      <c r="I10" s="21"/>
      <c r="J10" s="3" t="s">
        <v>96</v>
      </c>
      <c r="K10" s="21"/>
      <c r="L10" s="3" t="s">
        <v>97</v>
      </c>
      <c r="M10" s="21"/>
      <c r="N10" s="3" t="s">
        <v>98</v>
      </c>
      <c r="O10" s="21"/>
      <c r="P10" s="3" t="s">
        <v>99</v>
      </c>
      <c r="Q10" s="21"/>
      <c r="R10" s="3" t="s">
        <v>100</v>
      </c>
      <c r="S10" s="21"/>
      <c r="T10" s="3" t="s">
        <v>92</v>
      </c>
      <c r="U10" s="21"/>
      <c r="V10" s="3" t="s">
        <v>92</v>
      </c>
    </row>
    <row r="11" spans="1:22" x14ac:dyDescent="0.25">
      <c r="B11" s="22" t="s">
        <v>101</v>
      </c>
      <c r="C11" s="21"/>
      <c r="D11" s="22" t="s">
        <v>102</v>
      </c>
      <c r="E11" s="21"/>
      <c r="F11" s="22" t="s">
        <v>103</v>
      </c>
      <c r="G11" s="21"/>
      <c r="H11" s="22" t="s">
        <v>62</v>
      </c>
      <c r="I11" s="21"/>
      <c r="J11" s="22" t="s">
        <v>104</v>
      </c>
      <c r="K11" s="21"/>
      <c r="L11" s="22" t="s">
        <v>105</v>
      </c>
      <c r="M11" s="21"/>
      <c r="N11" s="22" t="s">
        <v>106</v>
      </c>
      <c r="O11" s="21"/>
      <c r="P11" s="22" t="s">
        <v>106</v>
      </c>
      <c r="Q11" s="21"/>
      <c r="R11" s="22" t="s">
        <v>107</v>
      </c>
      <c r="S11" s="21"/>
      <c r="T11" s="22" t="s">
        <v>108</v>
      </c>
      <c r="U11" s="21"/>
      <c r="V11" s="22" t="s">
        <v>109</v>
      </c>
    </row>
    <row r="13" spans="1:22" x14ac:dyDescent="0.25">
      <c r="A13" s="1" t="s">
        <v>67</v>
      </c>
      <c r="B13" s="5">
        <v>104209972</v>
      </c>
      <c r="C13" s="23"/>
      <c r="D13" s="5">
        <v>39000357</v>
      </c>
      <c r="E13" s="23"/>
      <c r="F13" s="5">
        <v>24150357.371121299</v>
      </c>
      <c r="G13" s="23"/>
      <c r="H13" s="5">
        <v>12071189.748878699</v>
      </c>
      <c r="I13" s="23"/>
      <c r="J13" s="5">
        <v>9169242</v>
      </c>
      <c r="K13" s="23"/>
      <c r="L13" s="5">
        <v>3971126</v>
      </c>
      <c r="M13" s="23"/>
      <c r="N13" s="5"/>
      <c r="O13" s="23"/>
      <c r="P13" s="5"/>
      <c r="Q13" s="23"/>
      <c r="R13" s="5"/>
      <c r="S13" s="23"/>
      <c r="T13" s="5">
        <f>SUM(D13:R13)</f>
        <v>88362272.120000005</v>
      </c>
      <c r="U13" s="23"/>
      <c r="V13" s="5">
        <f>+B13-T13</f>
        <v>15847699.879999995</v>
      </c>
    </row>
    <row r="14" spans="1:22" x14ac:dyDescent="0.25">
      <c r="B14" s="5"/>
      <c r="C14" s="23"/>
      <c r="D14" s="5"/>
      <c r="E14" s="23"/>
      <c r="F14" s="5"/>
      <c r="G14" s="23"/>
      <c r="H14" s="5"/>
      <c r="I14" s="23"/>
      <c r="J14" s="5"/>
      <c r="K14" s="23"/>
      <c r="L14" s="5"/>
      <c r="M14" s="23"/>
      <c r="N14" s="5"/>
      <c r="O14" s="23"/>
      <c r="P14" s="5"/>
      <c r="Q14" s="23"/>
      <c r="R14" s="5"/>
      <c r="S14" s="23"/>
      <c r="T14" s="5"/>
      <c r="U14" s="23"/>
      <c r="V14" s="5"/>
    </row>
    <row r="15" spans="1:22" x14ac:dyDescent="0.25">
      <c r="A15" s="1" t="s">
        <v>68</v>
      </c>
      <c r="B15" s="5"/>
      <c r="C15" s="23"/>
      <c r="D15" s="5"/>
      <c r="E15" s="23"/>
      <c r="F15" s="5"/>
      <c r="G15" s="23"/>
      <c r="H15" s="5"/>
      <c r="I15" s="23"/>
      <c r="J15" s="5"/>
      <c r="K15" s="23"/>
      <c r="L15" s="5"/>
      <c r="M15" s="23"/>
      <c r="N15" s="5"/>
      <c r="O15" s="23"/>
      <c r="P15" s="5"/>
      <c r="Q15" s="23"/>
      <c r="R15" s="5"/>
      <c r="S15" s="23"/>
      <c r="T15" s="5"/>
      <c r="U15" s="23"/>
      <c r="V15" s="5"/>
    </row>
    <row r="16" spans="1:22" x14ac:dyDescent="0.25">
      <c r="A16" s="1" t="s">
        <v>110</v>
      </c>
      <c r="B16" s="5"/>
      <c r="C16" s="23"/>
      <c r="D16" s="5"/>
      <c r="E16" s="23"/>
      <c r="F16" s="5"/>
      <c r="G16" s="23"/>
      <c r="H16" s="5"/>
      <c r="I16" s="23"/>
      <c r="J16" s="5"/>
      <c r="K16" s="23"/>
      <c r="L16" s="5">
        <v>-206097.33683790005</v>
      </c>
      <c r="M16" s="23"/>
      <c r="N16" s="5"/>
      <c r="O16" s="23"/>
      <c r="P16" s="5"/>
      <c r="Q16" s="23"/>
      <c r="R16" s="5"/>
      <c r="S16" s="23"/>
      <c r="T16" s="5">
        <f>SUM(D16:R16)</f>
        <v>-206097.33683790005</v>
      </c>
      <c r="U16" s="23"/>
      <c r="V16" s="5">
        <f>+B16-T16</f>
        <v>206097.33683790005</v>
      </c>
    </row>
    <row r="17" spans="1:22" x14ac:dyDescent="0.25">
      <c r="A17" s="1" t="s">
        <v>111</v>
      </c>
      <c r="B17" s="5">
        <v>-36219959</v>
      </c>
      <c r="C17" s="23"/>
      <c r="D17" s="5">
        <v>-36044900</v>
      </c>
      <c r="E17" s="23"/>
      <c r="F17" s="5"/>
      <c r="G17" s="23"/>
      <c r="H17" s="5"/>
      <c r="I17" s="23"/>
      <c r="J17" s="5">
        <v>-175384.18801429123</v>
      </c>
      <c r="K17" s="23"/>
      <c r="L17" s="5">
        <f>-(-B17+D17+F17+H17+J17)*0.23793</f>
        <v>77.371984240311605</v>
      </c>
      <c r="M17" s="23"/>
      <c r="N17" s="5"/>
      <c r="O17" s="23"/>
      <c r="P17" s="5"/>
      <c r="Q17" s="23"/>
      <c r="R17" s="5"/>
      <c r="S17" s="23"/>
      <c r="T17" s="5">
        <f t="shared" ref="T17:T28" si="0">SUM(D17:R17)</f>
        <v>-36220206.816030048</v>
      </c>
      <c r="U17" s="23"/>
      <c r="V17" s="5">
        <f>+B17-T17</f>
        <v>247.81603004783392</v>
      </c>
    </row>
    <row r="18" spans="1:22" x14ac:dyDescent="0.25">
      <c r="A18" s="1" t="s">
        <v>112</v>
      </c>
      <c r="B18" s="5">
        <v>-2969976</v>
      </c>
      <c r="C18" s="23"/>
      <c r="D18" s="5">
        <v>-2955457</v>
      </c>
      <c r="E18" s="23"/>
      <c r="F18" s="5"/>
      <c r="G18" s="23"/>
      <c r="H18" s="5"/>
      <c r="I18" s="23"/>
      <c r="J18" s="5">
        <v>-14864.212292170618</v>
      </c>
      <c r="K18" s="23"/>
      <c r="L18" s="5">
        <f t="shared" ref="L18:L29" si="1">-(-B18+D18+F18+H18+J18)*0.23793</f>
        <v>82.136360676155078</v>
      </c>
      <c r="M18" s="23"/>
      <c r="N18" s="5"/>
      <c r="O18" s="23"/>
      <c r="P18" s="5"/>
      <c r="Q18" s="23"/>
      <c r="R18" s="5"/>
      <c r="S18" s="23"/>
      <c r="T18" s="5">
        <f>SUM(D18:R18)</f>
        <v>-2970239.0759314946</v>
      </c>
      <c r="U18" s="23"/>
      <c r="V18" s="5">
        <f>+B18-T18</f>
        <v>263.0759314945899</v>
      </c>
    </row>
    <row r="19" spans="1:22" x14ac:dyDescent="0.25">
      <c r="A19" s="1" t="s">
        <v>113</v>
      </c>
      <c r="B19" s="5"/>
      <c r="C19" s="23"/>
      <c r="D19" s="5"/>
      <c r="E19" s="23"/>
      <c r="F19" s="5"/>
      <c r="G19" s="23"/>
      <c r="H19" s="5">
        <v>-163323.13429131996</v>
      </c>
      <c r="I19" s="23"/>
      <c r="J19" s="5"/>
      <c r="K19" s="23"/>
      <c r="L19" s="5">
        <f t="shared" si="1"/>
        <v>38859.473341933757</v>
      </c>
      <c r="M19" s="23"/>
      <c r="N19" s="5"/>
      <c r="O19" s="23"/>
      <c r="P19" s="5"/>
      <c r="Q19" s="23"/>
      <c r="R19" s="5"/>
      <c r="S19" s="23"/>
      <c r="T19" s="5">
        <f t="shared" si="0"/>
        <v>-124463.66094938621</v>
      </c>
      <c r="U19" s="23"/>
      <c r="V19" s="5">
        <f>+B19-T19</f>
        <v>124463.66094938621</v>
      </c>
    </row>
    <row r="20" spans="1:22" x14ac:dyDescent="0.25">
      <c r="A20" s="1" t="s">
        <v>114</v>
      </c>
      <c r="B20" s="5">
        <v>-333538</v>
      </c>
      <c r="C20" s="23"/>
      <c r="D20" s="5"/>
      <c r="E20" s="23"/>
      <c r="F20" s="5"/>
      <c r="G20" s="23"/>
      <c r="H20" s="5">
        <v>-331868</v>
      </c>
      <c r="I20" s="23"/>
      <c r="J20" s="5">
        <f>-((B20/1.00503)-B20)</f>
        <v>-1669.299563197128</v>
      </c>
      <c r="K20" s="23"/>
      <c r="L20" s="5">
        <f t="shared" si="1"/>
        <v>-0.16665492850733279</v>
      </c>
      <c r="M20" s="23"/>
      <c r="N20" s="5"/>
      <c r="O20" s="23"/>
      <c r="P20" s="5"/>
      <c r="Q20" s="23"/>
      <c r="R20" s="5"/>
      <c r="S20" s="23"/>
      <c r="T20" s="5">
        <f t="shared" si="0"/>
        <v>-333537.46621812566</v>
      </c>
      <c r="U20" s="23"/>
      <c r="V20" s="5">
        <f t="shared" ref="V20:V28" si="2">+B20-T20</f>
        <v>-0.53378187434282154</v>
      </c>
    </row>
    <row r="21" spans="1:22" x14ac:dyDescent="0.25">
      <c r="A21" s="1" t="s">
        <v>115</v>
      </c>
      <c r="B21" s="5">
        <v>-3779209</v>
      </c>
      <c r="C21" s="23"/>
      <c r="D21" s="5"/>
      <c r="E21" s="23"/>
      <c r="F21" s="5"/>
      <c r="G21" s="23"/>
      <c r="H21" s="5"/>
      <c r="I21" s="23"/>
      <c r="J21" s="5">
        <f>B21</f>
        <v>-3779209</v>
      </c>
      <c r="K21" s="23"/>
      <c r="L21" s="5">
        <f t="shared" si="1"/>
        <v>0</v>
      </c>
      <c r="M21" s="23"/>
      <c r="N21" s="5"/>
      <c r="O21" s="23"/>
      <c r="P21" s="5"/>
      <c r="Q21" s="23"/>
      <c r="R21" s="5"/>
      <c r="S21" s="23"/>
      <c r="T21" s="5">
        <f t="shared" si="0"/>
        <v>-3779209</v>
      </c>
      <c r="U21" s="23"/>
      <c r="V21" s="5">
        <f t="shared" si="2"/>
        <v>0</v>
      </c>
    </row>
    <row r="22" spans="1:22" x14ac:dyDescent="0.25">
      <c r="A22" s="1" t="s">
        <v>116</v>
      </c>
      <c r="B22" s="5"/>
      <c r="C22" s="23"/>
      <c r="D22" s="5"/>
      <c r="E22" s="23"/>
      <c r="F22" s="5">
        <v>-869.37000000000012</v>
      </c>
      <c r="G22" s="23"/>
      <c r="H22" s="5"/>
      <c r="I22" s="23"/>
      <c r="J22" s="5"/>
      <c r="K22" s="23"/>
      <c r="L22" s="5">
        <f t="shared" si="1"/>
        <v>206.84920410000004</v>
      </c>
      <c r="M22" s="23"/>
      <c r="N22" s="5"/>
      <c r="O22" s="23"/>
      <c r="P22" s="5"/>
      <c r="Q22" s="23"/>
      <c r="R22" s="5"/>
      <c r="S22" s="23"/>
      <c r="T22" s="5">
        <f t="shared" si="0"/>
        <v>-662.52079590000005</v>
      </c>
      <c r="U22" s="23"/>
      <c r="V22" s="5">
        <f t="shared" si="2"/>
        <v>662.52079590000005</v>
      </c>
    </row>
    <row r="23" spans="1:22" x14ac:dyDescent="0.25">
      <c r="A23" s="1" t="s">
        <v>117</v>
      </c>
      <c r="B23" s="5"/>
      <c r="C23" s="23"/>
      <c r="D23" s="5"/>
      <c r="E23" s="23"/>
      <c r="F23" s="5">
        <v>174066</v>
      </c>
      <c r="G23" s="23"/>
      <c r="H23" s="5"/>
      <c r="I23" s="23"/>
      <c r="J23" s="5"/>
      <c r="K23" s="23"/>
      <c r="L23" s="5">
        <f t="shared" si="1"/>
        <v>-41415.523379999999</v>
      </c>
      <c r="M23" s="23"/>
      <c r="N23" s="5"/>
      <c r="O23" s="23"/>
      <c r="P23" s="5"/>
      <c r="Q23" s="23"/>
      <c r="R23" s="5"/>
      <c r="S23" s="23"/>
      <c r="T23" s="5">
        <f t="shared" si="0"/>
        <v>132650.47662</v>
      </c>
      <c r="U23" s="23"/>
      <c r="V23" s="5">
        <f t="shared" si="2"/>
        <v>-132650.47662</v>
      </c>
    </row>
    <row r="24" spans="1:22" x14ac:dyDescent="0.25">
      <c r="A24" s="1" t="s">
        <v>118</v>
      </c>
      <c r="B24" s="5">
        <v>-635394.41</v>
      </c>
      <c r="C24" s="23"/>
      <c r="D24" s="5"/>
      <c r="E24" s="23"/>
      <c r="F24" s="5">
        <v>-11818.17</v>
      </c>
      <c r="G24" s="23"/>
      <c r="H24" s="5">
        <v>-51000</v>
      </c>
      <c r="I24" s="23"/>
      <c r="J24" s="5">
        <v>-17735</v>
      </c>
      <c r="K24" s="23"/>
      <c r="L24" s="5">
        <f t="shared" si="1"/>
        <v>-132013.37623319999</v>
      </c>
      <c r="M24" s="23"/>
      <c r="N24" s="5"/>
      <c r="O24" s="23"/>
      <c r="P24" s="5"/>
      <c r="Q24" s="23"/>
      <c r="R24" s="5"/>
      <c r="S24" s="23"/>
      <c r="T24" s="5">
        <f t="shared" si="0"/>
        <v>-212566.5462332</v>
      </c>
      <c r="U24" s="23"/>
      <c r="V24" s="5">
        <f t="shared" si="2"/>
        <v>-422827.86376680003</v>
      </c>
    </row>
    <row r="25" spans="1:22" x14ac:dyDescent="0.25">
      <c r="A25" s="1" t="s">
        <v>119</v>
      </c>
      <c r="B25" s="5">
        <v>-309719</v>
      </c>
      <c r="C25" s="23"/>
      <c r="D25" s="5"/>
      <c r="E25" s="23"/>
      <c r="F25" s="5"/>
      <c r="G25" s="23"/>
      <c r="H25" s="5"/>
      <c r="I25" s="23"/>
      <c r="J25" s="5"/>
      <c r="K25" s="23"/>
      <c r="L25" s="5">
        <f t="shared" si="1"/>
        <v>-73691.44167</v>
      </c>
      <c r="M25" s="23"/>
      <c r="N25" s="5"/>
      <c r="O25" s="23"/>
      <c r="P25" s="5"/>
      <c r="Q25" s="23"/>
      <c r="R25" s="5"/>
      <c r="S25" s="23"/>
      <c r="T25" s="5">
        <f t="shared" si="0"/>
        <v>-73691.44167</v>
      </c>
      <c r="U25" s="23"/>
      <c r="V25" s="5">
        <f t="shared" si="2"/>
        <v>-236027.55833</v>
      </c>
    </row>
    <row r="26" spans="1:22" x14ac:dyDescent="0.25">
      <c r="B26" s="5"/>
      <c r="C26" s="23"/>
      <c r="D26" s="5"/>
      <c r="E26" s="23"/>
      <c r="F26" s="5"/>
      <c r="G26" s="23"/>
      <c r="H26" s="5"/>
      <c r="I26" s="23"/>
      <c r="J26" s="5"/>
      <c r="K26" s="23"/>
      <c r="L26" s="5">
        <f t="shared" si="1"/>
        <v>0</v>
      </c>
      <c r="M26" s="23"/>
      <c r="N26" s="5"/>
      <c r="O26" s="23"/>
      <c r="P26" s="5"/>
      <c r="Q26" s="23"/>
      <c r="R26" s="5"/>
      <c r="S26" s="23"/>
      <c r="T26" s="5">
        <f t="shared" si="0"/>
        <v>0</v>
      </c>
      <c r="U26" s="23"/>
      <c r="V26" s="5">
        <f t="shared" si="2"/>
        <v>0</v>
      </c>
    </row>
    <row r="27" spans="1:22" x14ac:dyDescent="0.25">
      <c r="B27" s="5"/>
      <c r="C27" s="23"/>
      <c r="D27" s="5"/>
      <c r="E27" s="23"/>
      <c r="F27" s="5"/>
      <c r="G27" s="23"/>
      <c r="H27" s="5"/>
      <c r="I27" s="23"/>
      <c r="J27" s="5"/>
      <c r="K27" s="23"/>
      <c r="L27" s="5">
        <f t="shared" si="1"/>
        <v>0</v>
      </c>
      <c r="M27" s="23"/>
      <c r="N27" s="5"/>
      <c r="O27" s="23"/>
      <c r="P27" s="5"/>
      <c r="Q27" s="23"/>
      <c r="R27" s="5"/>
      <c r="S27" s="23"/>
      <c r="T27" s="5">
        <f t="shared" si="0"/>
        <v>0</v>
      </c>
      <c r="U27" s="23"/>
      <c r="V27" s="5">
        <f t="shared" si="2"/>
        <v>0</v>
      </c>
    </row>
    <row r="28" spans="1:22" x14ac:dyDescent="0.25">
      <c r="B28" s="5"/>
      <c r="C28" s="23"/>
      <c r="D28" s="5"/>
      <c r="E28" s="23"/>
      <c r="F28" s="5"/>
      <c r="G28" s="23"/>
      <c r="H28" s="5"/>
      <c r="I28" s="23"/>
      <c r="J28" s="5"/>
      <c r="K28" s="23"/>
      <c r="L28" s="5">
        <f t="shared" si="1"/>
        <v>0</v>
      </c>
      <c r="M28" s="23"/>
      <c r="N28" s="5"/>
      <c r="O28" s="23"/>
      <c r="P28" s="5"/>
      <c r="Q28" s="23"/>
      <c r="R28" s="5"/>
      <c r="S28" s="23"/>
      <c r="T28" s="5">
        <f t="shared" si="0"/>
        <v>0</v>
      </c>
      <c r="U28" s="23"/>
      <c r="V28" s="5">
        <f t="shared" si="2"/>
        <v>0</v>
      </c>
    </row>
    <row r="29" spans="1:22" x14ac:dyDescent="0.25">
      <c r="B29" s="5"/>
      <c r="C29" s="23"/>
      <c r="D29" s="5"/>
      <c r="E29" s="23"/>
      <c r="F29" s="5"/>
      <c r="G29" s="23"/>
      <c r="H29" s="5"/>
      <c r="I29" s="23"/>
      <c r="J29" s="5"/>
      <c r="K29" s="23"/>
      <c r="L29" s="5">
        <f t="shared" si="1"/>
        <v>0</v>
      </c>
      <c r="M29" s="23"/>
      <c r="N29" s="5"/>
      <c r="O29" s="23"/>
      <c r="P29" s="5"/>
      <c r="Q29" s="23"/>
      <c r="R29" s="5"/>
      <c r="S29" s="23"/>
      <c r="T29" s="5">
        <f>SUM(D29:R29)</f>
        <v>0</v>
      </c>
      <c r="U29" s="23"/>
      <c r="V29" s="5">
        <f>+B29-T29</f>
        <v>0</v>
      </c>
    </row>
    <row r="30" spans="1:22" x14ac:dyDescent="0.25">
      <c r="B30" s="5"/>
      <c r="C30" s="23"/>
      <c r="D30" s="5"/>
      <c r="E30" s="23"/>
      <c r="F30" s="5"/>
      <c r="G30" s="23"/>
      <c r="H30" s="5"/>
      <c r="I30" s="23"/>
      <c r="J30" s="5"/>
      <c r="K30" s="23"/>
      <c r="L30" s="5"/>
      <c r="M30" s="23"/>
      <c r="N30" s="5"/>
      <c r="O30" s="23"/>
      <c r="P30" s="5"/>
      <c r="Q30" s="23"/>
      <c r="R30" s="5"/>
      <c r="S30" s="23"/>
      <c r="T30" s="5"/>
      <c r="U30" s="23"/>
      <c r="V30" s="5"/>
    </row>
    <row r="31" spans="1:22" x14ac:dyDescent="0.25">
      <c r="A31" s="1" t="s">
        <v>77</v>
      </c>
      <c r="B31" s="24">
        <f>SUM(B16:B29)</f>
        <v>-44247795.409999996</v>
      </c>
      <c r="C31" s="23"/>
      <c r="D31" s="24">
        <f>SUM(D16:D29)</f>
        <v>-39000357</v>
      </c>
      <c r="E31" s="23"/>
      <c r="F31" s="24">
        <f>SUM(F16:F29)</f>
        <v>161378.46</v>
      </c>
      <c r="G31" s="23"/>
      <c r="H31" s="24">
        <f>SUM(H16:H29)</f>
        <v>-546191.13429131999</v>
      </c>
      <c r="I31" s="23"/>
      <c r="J31" s="24">
        <f>SUM(J16:J29)</f>
        <v>-3988861.6998696588</v>
      </c>
      <c r="K31" s="23"/>
      <c r="L31" s="24">
        <f>SUM(L16:L29)</f>
        <v>-413992.01388507837</v>
      </c>
      <c r="M31" s="23"/>
      <c r="N31" s="24">
        <f>SUM(N16:N29)</f>
        <v>0</v>
      </c>
      <c r="O31" s="23"/>
      <c r="P31" s="24">
        <f>SUM(P16:P29)</f>
        <v>0</v>
      </c>
      <c r="Q31" s="23"/>
      <c r="R31" s="24">
        <f>SUM(R16:R29)</f>
        <v>0</v>
      </c>
      <c r="S31" s="23"/>
      <c r="T31" s="24">
        <f>SUM(T16:T29)</f>
        <v>-43788023.388046056</v>
      </c>
      <c r="U31" s="23"/>
      <c r="V31" s="24">
        <f>SUM(V16:V29)</f>
        <v>-459772.02195394569</v>
      </c>
    </row>
    <row r="32" spans="1:22" x14ac:dyDescent="0.25">
      <c r="B32" s="5"/>
      <c r="C32" s="23"/>
      <c r="D32" s="5"/>
      <c r="E32" s="23"/>
      <c r="F32" s="5"/>
      <c r="G32" s="23"/>
      <c r="H32" s="5"/>
      <c r="I32" s="23"/>
      <c r="J32" s="5"/>
      <c r="K32" s="23"/>
      <c r="L32" s="5"/>
      <c r="M32" s="23"/>
      <c r="N32" s="5"/>
      <c r="O32" s="23"/>
      <c r="P32" s="5"/>
      <c r="Q32" s="23"/>
      <c r="R32" s="5"/>
      <c r="S32" s="23"/>
      <c r="T32" s="5"/>
      <c r="U32" s="23"/>
      <c r="V32" s="5"/>
    </row>
    <row r="33" spans="1:25" x14ac:dyDescent="0.25">
      <c r="A33" s="1" t="s">
        <v>78</v>
      </c>
      <c r="B33" s="4">
        <f>+B13+B31</f>
        <v>59962176.590000004</v>
      </c>
      <c r="C33" s="23"/>
      <c r="D33" s="4">
        <f>+D13+D31</f>
        <v>0</v>
      </c>
      <c r="E33" s="23"/>
      <c r="F33" s="4">
        <f>+F13+F31</f>
        <v>24311735.831121299</v>
      </c>
      <c r="G33" s="23"/>
      <c r="H33" s="4">
        <f>+H13+H31</f>
        <v>11524998.61458738</v>
      </c>
      <c r="I33" s="23"/>
      <c r="J33" s="4">
        <f>+J13+J31</f>
        <v>5180380.3001303412</v>
      </c>
      <c r="K33" s="23"/>
      <c r="L33" s="4">
        <f>+L13+L31</f>
        <v>3557133.9861149215</v>
      </c>
      <c r="M33" s="23"/>
      <c r="N33" s="4">
        <f>+N13+N31</f>
        <v>0</v>
      </c>
      <c r="O33" s="23"/>
      <c r="P33" s="4">
        <f>+P13+P31</f>
        <v>0</v>
      </c>
      <c r="Q33" s="23"/>
      <c r="R33" s="4">
        <f>+R13+R31</f>
        <v>0</v>
      </c>
      <c r="S33" s="23"/>
      <c r="T33" s="4">
        <f>+T13+T31</f>
        <v>44574248.731953949</v>
      </c>
      <c r="U33" s="23"/>
      <c r="V33" s="4">
        <f>+V13+V31</f>
        <v>15387927.858046049</v>
      </c>
      <c r="Y33" s="28"/>
    </row>
    <row r="34" spans="1:25" x14ac:dyDescent="0.25">
      <c r="B34" s="5"/>
      <c r="C34" s="23"/>
      <c r="D34" s="5"/>
      <c r="E34" s="23"/>
      <c r="F34" s="5"/>
      <c r="G34" s="23"/>
      <c r="H34" s="5"/>
      <c r="I34" s="23"/>
      <c r="J34" s="5"/>
      <c r="K34" s="23"/>
      <c r="L34" s="5"/>
      <c r="M34" s="23"/>
      <c r="N34" s="5"/>
      <c r="O34" s="23"/>
      <c r="P34" s="5"/>
      <c r="Q34" s="23"/>
      <c r="R34" s="5"/>
      <c r="S34" s="23"/>
      <c r="T34" s="5"/>
      <c r="U34" s="23"/>
      <c r="V34" s="5"/>
    </row>
    <row r="35" spans="1:25" x14ac:dyDescent="0.25">
      <c r="B35" s="4"/>
      <c r="C35" s="23"/>
      <c r="D35" s="4"/>
      <c r="E35" s="23"/>
      <c r="F35" s="4"/>
      <c r="G35" s="23"/>
      <c r="H35" s="4"/>
      <c r="I35" s="23"/>
      <c r="J35" s="4"/>
      <c r="K35" s="23"/>
      <c r="L35" s="4">
        <f t="shared" ref="L35" si="3">-(-B35+D35+F35+H35+J35)*0.25345</f>
        <v>0</v>
      </c>
      <c r="M35" s="23"/>
      <c r="N35" s="4"/>
      <c r="O35" s="23"/>
      <c r="P35" s="4"/>
      <c r="Q35" s="23"/>
      <c r="R35" s="4"/>
      <c r="S35" s="23"/>
      <c r="T35" s="4">
        <f>SUM(D35:R35)</f>
        <v>0</v>
      </c>
      <c r="U35" s="23"/>
      <c r="V35" s="4">
        <f>+B35-T35</f>
        <v>0</v>
      </c>
      <c r="Y35" s="28"/>
    </row>
    <row r="36" spans="1:25" x14ac:dyDescent="0.25">
      <c r="B36" s="5"/>
      <c r="C36" s="23"/>
      <c r="D36" s="5"/>
      <c r="E36" s="23"/>
      <c r="F36" s="5"/>
      <c r="G36" s="23"/>
      <c r="H36" s="5"/>
      <c r="I36" s="23"/>
      <c r="J36" s="5"/>
      <c r="K36" s="23"/>
      <c r="L36" s="5"/>
      <c r="M36" s="23"/>
      <c r="N36" s="5"/>
      <c r="O36" s="23"/>
      <c r="P36" s="5"/>
      <c r="Q36" s="23"/>
      <c r="R36" s="5"/>
      <c r="S36" s="23"/>
      <c r="T36" s="5"/>
      <c r="U36" s="23"/>
      <c r="V36" s="5"/>
    </row>
    <row r="37" spans="1:25" x14ac:dyDescent="0.25">
      <c r="A37" s="1" t="s">
        <v>79</v>
      </c>
      <c r="B37" s="4">
        <f>B33+B35</f>
        <v>59962176.590000004</v>
      </c>
      <c r="C37" s="23"/>
      <c r="D37" s="4">
        <f>D33+D35</f>
        <v>0</v>
      </c>
      <c r="E37" s="23"/>
      <c r="F37" s="4">
        <f>F33+F35</f>
        <v>24311735.831121299</v>
      </c>
      <c r="G37" s="23"/>
      <c r="H37" s="4">
        <f>H33+H35</f>
        <v>11524998.61458738</v>
      </c>
      <c r="I37" s="23"/>
      <c r="J37" s="4">
        <f>J33+J35</f>
        <v>5180380.3001303412</v>
      </c>
      <c r="K37" s="23"/>
      <c r="L37" s="4">
        <f>L33+L35</f>
        <v>3557133.9861149215</v>
      </c>
      <c r="M37" s="23"/>
      <c r="N37" s="4">
        <f>N33+N35</f>
        <v>0</v>
      </c>
      <c r="O37" s="23"/>
      <c r="P37" s="4">
        <f>P33+P35</f>
        <v>0</v>
      </c>
      <c r="Q37" s="23"/>
      <c r="R37" s="4">
        <f>R33+R35</f>
        <v>0</v>
      </c>
      <c r="S37" s="23"/>
      <c r="T37" s="4">
        <f>T33+T35</f>
        <v>44574248.731953949</v>
      </c>
      <c r="U37" s="23"/>
      <c r="V37" s="4">
        <f>V33+V35</f>
        <v>15387927.858046049</v>
      </c>
    </row>
    <row r="38" spans="1:25" x14ac:dyDescent="0.25">
      <c r="B38" s="5"/>
      <c r="C38" s="23"/>
      <c r="D38" s="5"/>
      <c r="E38" s="23"/>
      <c r="F38" s="5"/>
      <c r="G38" s="23"/>
      <c r="H38" s="5"/>
      <c r="I38" s="23"/>
      <c r="J38" s="5"/>
      <c r="K38" s="23"/>
      <c r="L38" s="5"/>
      <c r="M38" s="23"/>
      <c r="N38" s="5"/>
      <c r="O38" s="23"/>
      <c r="P38" s="5"/>
      <c r="Q38" s="23"/>
      <c r="R38" s="5"/>
      <c r="S38" s="23"/>
      <c r="T38" s="5"/>
      <c r="U38" s="23"/>
      <c r="V38" s="5"/>
      <c r="Y38" s="28"/>
    </row>
    <row r="39" spans="1:25" x14ac:dyDescent="0.25">
      <c r="A39" s="1" t="s">
        <v>120</v>
      </c>
      <c r="B39" s="5"/>
      <c r="C39" s="23"/>
      <c r="D39" s="5"/>
      <c r="E39" s="23"/>
      <c r="F39" s="5"/>
      <c r="G39" s="23"/>
      <c r="H39" s="5">
        <v>-1491132</v>
      </c>
      <c r="I39" s="23"/>
      <c r="J39" s="5"/>
      <c r="K39" s="23"/>
      <c r="L39" s="5">
        <v>351382.19999999995</v>
      </c>
      <c r="M39" s="23"/>
      <c r="N39" s="5"/>
      <c r="O39" s="23"/>
      <c r="P39" s="5"/>
      <c r="Q39" s="23"/>
      <c r="R39" s="5"/>
      <c r="S39" s="23"/>
      <c r="T39" s="5">
        <f>SUM(D39:R39)</f>
        <v>-1139749.8</v>
      </c>
      <c r="U39" s="23"/>
      <c r="V39" s="5">
        <f>+B39-T39</f>
        <v>1139749.8</v>
      </c>
    </row>
    <row r="40" spans="1:25" x14ac:dyDescent="0.25">
      <c r="A40" s="1" t="s">
        <v>121</v>
      </c>
      <c r="B40" s="5"/>
      <c r="C40" s="23"/>
      <c r="D40" s="5"/>
      <c r="E40" s="23"/>
      <c r="F40" s="5"/>
      <c r="G40" s="23"/>
      <c r="H40" s="5"/>
      <c r="I40" s="23"/>
      <c r="J40" s="5"/>
      <c r="K40" s="23"/>
      <c r="L40" s="5"/>
      <c r="M40" s="23"/>
      <c r="N40" s="5"/>
      <c r="O40" s="23"/>
      <c r="P40" s="5"/>
      <c r="Q40" s="23"/>
      <c r="R40" s="5"/>
      <c r="S40" s="23"/>
      <c r="T40" s="5">
        <f>SUM(D40:R40)</f>
        <v>0</v>
      </c>
      <c r="U40" s="23"/>
      <c r="V40" s="5">
        <f>+B40-T40</f>
        <v>0</v>
      </c>
    </row>
    <row r="41" spans="1:25" x14ac:dyDescent="0.25">
      <c r="B41" s="5"/>
      <c r="C41" s="23"/>
      <c r="D41" s="5"/>
      <c r="E41" s="23"/>
      <c r="F41" s="5"/>
      <c r="G41" s="23"/>
      <c r="H41" s="5"/>
      <c r="I41" s="23"/>
      <c r="J41" s="5"/>
      <c r="K41" s="23"/>
      <c r="L41" s="5">
        <f>-(-B41+D41+F41+H41+J41)*0.24522</f>
        <v>0</v>
      </c>
      <c r="M41" s="23"/>
      <c r="N41" s="5"/>
      <c r="O41" s="23"/>
      <c r="P41" s="5"/>
      <c r="Q41" s="23"/>
      <c r="R41" s="5"/>
      <c r="S41" s="23"/>
      <c r="T41" s="5">
        <f>SUM(D41:R41)</f>
        <v>0</v>
      </c>
      <c r="U41" s="23"/>
      <c r="V41" s="5">
        <f>+B41-T41</f>
        <v>0</v>
      </c>
    </row>
    <row r="42" spans="1:25" x14ac:dyDescent="0.25">
      <c r="B42" s="5"/>
      <c r="C42" s="23"/>
      <c r="D42" s="5"/>
      <c r="E42" s="23"/>
      <c r="F42" s="5"/>
      <c r="G42" s="23"/>
      <c r="H42" s="5"/>
      <c r="I42" s="23"/>
      <c r="J42" s="5"/>
      <c r="K42" s="23"/>
      <c r="L42" s="5">
        <f>-(-B42+D42+F42+H42+J42)*0.24522</f>
        <v>0</v>
      </c>
      <c r="M42" s="23"/>
      <c r="N42" s="5"/>
      <c r="O42" s="23"/>
      <c r="P42" s="5"/>
      <c r="Q42" s="23"/>
      <c r="R42" s="5"/>
      <c r="S42" s="23"/>
      <c r="T42" s="5">
        <f>SUM(D42:R42)</f>
        <v>0</v>
      </c>
      <c r="U42" s="23"/>
      <c r="V42" s="5">
        <f>+B42-T42</f>
        <v>0</v>
      </c>
    </row>
    <row r="43" spans="1:25" x14ac:dyDescent="0.25">
      <c r="A43" s="1" t="s">
        <v>83</v>
      </c>
      <c r="B43" s="24">
        <f>SUM(B39:B42)</f>
        <v>0</v>
      </c>
      <c r="C43" s="23"/>
      <c r="D43" s="24">
        <f>SUM(D39:D42)</f>
        <v>0</v>
      </c>
      <c r="E43" s="23"/>
      <c r="F43" s="24">
        <f>SUM(F39:F42)</f>
        <v>0</v>
      </c>
      <c r="G43" s="23"/>
      <c r="H43" s="24">
        <f>SUM(H39:H42)</f>
        <v>-1491132</v>
      </c>
      <c r="I43" s="23"/>
      <c r="J43" s="24">
        <f>SUM(J39:J42)</f>
        <v>0</v>
      </c>
      <c r="K43" s="23"/>
      <c r="L43" s="24">
        <f>SUM(L39:L42)</f>
        <v>351382.19999999995</v>
      </c>
      <c r="M43" s="23"/>
      <c r="N43" s="24">
        <f>SUM(N39:N42)</f>
        <v>0</v>
      </c>
      <c r="O43" s="23"/>
      <c r="P43" s="24">
        <f>SUM(P39:P42)</f>
        <v>0</v>
      </c>
      <c r="Q43" s="23"/>
      <c r="R43" s="24">
        <f>SUM(R39:R42)</f>
        <v>0</v>
      </c>
      <c r="S43" s="23"/>
      <c r="T43" s="24">
        <f>SUM(T39:T42)</f>
        <v>-1139749.8</v>
      </c>
      <c r="U43" s="23"/>
      <c r="V43" s="24">
        <f>SUM(V39:V42)</f>
        <v>1139749.8</v>
      </c>
    </row>
    <row r="44" spans="1:25" x14ac:dyDescent="0.25">
      <c r="B44" s="5"/>
      <c r="C44" s="23"/>
      <c r="D44" s="5"/>
      <c r="E44" s="23"/>
      <c r="F44" s="5"/>
      <c r="G44" s="23"/>
      <c r="H44" s="5"/>
      <c r="I44" s="23"/>
      <c r="J44" s="5"/>
      <c r="K44" s="23"/>
      <c r="L44" s="5"/>
      <c r="M44" s="23"/>
      <c r="N44" s="5"/>
      <c r="O44" s="23"/>
      <c r="P44" s="5"/>
      <c r="Q44" s="23"/>
      <c r="R44" s="5"/>
      <c r="S44" s="23"/>
      <c r="T44" s="5"/>
      <c r="U44" s="23"/>
      <c r="V44" s="5"/>
    </row>
    <row r="45" spans="1:25" x14ac:dyDescent="0.25">
      <c r="B45" s="5"/>
      <c r="C45" s="23"/>
      <c r="D45" s="5"/>
      <c r="E45" s="23"/>
      <c r="F45" s="5"/>
      <c r="G45" s="23"/>
      <c r="H45" s="5"/>
      <c r="I45" s="23"/>
      <c r="J45" s="5"/>
      <c r="K45" s="23"/>
      <c r="L45" s="5"/>
      <c r="M45" s="23"/>
      <c r="N45" s="5"/>
      <c r="O45" s="23"/>
      <c r="P45" s="5"/>
      <c r="Q45" s="23"/>
      <c r="R45" s="5"/>
      <c r="S45" s="23"/>
      <c r="T45" s="5"/>
      <c r="U45" s="23"/>
      <c r="V45" s="5"/>
    </row>
    <row r="46" spans="1:25" ht="15.75" thickBot="1" x14ac:dyDescent="0.3">
      <c r="A46" s="1" t="s">
        <v>84</v>
      </c>
      <c r="B46" s="26">
        <f t="shared" ref="B46:T46" si="4">+B37+B43</f>
        <v>59962176.590000004</v>
      </c>
      <c r="C46" s="23"/>
      <c r="D46" s="26">
        <f t="shared" si="4"/>
        <v>0</v>
      </c>
      <c r="E46" s="23"/>
      <c r="F46" s="26">
        <f t="shared" si="4"/>
        <v>24311735.831121299</v>
      </c>
      <c r="G46" s="23"/>
      <c r="H46" s="26">
        <f t="shared" si="4"/>
        <v>10033866.61458738</v>
      </c>
      <c r="I46" s="23"/>
      <c r="J46" s="26">
        <f t="shared" si="4"/>
        <v>5180380.3001303412</v>
      </c>
      <c r="K46" s="23"/>
      <c r="L46" s="26">
        <f t="shared" si="4"/>
        <v>3908516.1861149212</v>
      </c>
      <c r="M46" s="23"/>
      <c r="N46" s="26">
        <f t="shared" si="4"/>
        <v>0</v>
      </c>
      <c r="O46" s="23"/>
      <c r="P46" s="26">
        <f t="shared" si="4"/>
        <v>0</v>
      </c>
      <c r="Q46" s="23"/>
      <c r="R46" s="26">
        <f t="shared" si="4"/>
        <v>0</v>
      </c>
      <c r="S46" s="23"/>
      <c r="T46" s="26">
        <f t="shared" si="4"/>
        <v>43434498.931953952</v>
      </c>
      <c r="U46" s="23"/>
      <c r="V46" s="26">
        <f>+V37+V43</f>
        <v>16527677.65804605</v>
      </c>
    </row>
    <row r="47" spans="1:25" ht="15.75" thickTop="1" x14ac:dyDescent="0.25">
      <c r="B47" s="5"/>
      <c r="C47" s="23"/>
      <c r="D47" s="5"/>
      <c r="E47" s="23"/>
      <c r="F47" s="5"/>
      <c r="G47" s="23"/>
      <c r="H47" s="5"/>
      <c r="I47" s="23"/>
      <c r="J47" s="5"/>
      <c r="K47" s="23"/>
      <c r="L47" s="5"/>
      <c r="M47" s="23"/>
      <c r="N47" s="5"/>
      <c r="O47" s="23"/>
      <c r="P47" s="5"/>
      <c r="Q47" s="23"/>
      <c r="R47" s="5"/>
      <c r="S47" s="23"/>
      <c r="T47" s="5"/>
      <c r="U47" s="23"/>
      <c r="V47" s="5"/>
    </row>
    <row r="48" spans="1:25" x14ac:dyDescent="0.25">
      <c r="B48" s="5"/>
      <c r="C48" s="23"/>
      <c r="D48" s="5"/>
      <c r="E48" s="23"/>
      <c r="F48" s="5"/>
      <c r="G48" s="23"/>
      <c r="H48" s="5"/>
      <c r="I48" s="23"/>
      <c r="J48" s="5"/>
      <c r="K48" s="23"/>
      <c r="L48" s="5"/>
      <c r="M48" s="23"/>
      <c r="N48" s="5"/>
      <c r="O48" s="23"/>
      <c r="P48" s="5"/>
      <c r="Q48" s="23"/>
      <c r="R48" s="5"/>
      <c r="S48" s="23"/>
      <c r="T48" s="5"/>
      <c r="U48" s="23"/>
      <c r="V48" s="5"/>
    </row>
  </sheetData>
  <pageMargins left="0.25" right="0.25" top="0.75" bottom="0.75" header="0.3" footer="0.3"/>
  <pageSetup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4"/>
  <sheetViews>
    <sheetView topLeftCell="A22" zoomScale="80" zoomScaleNormal="80" zoomScaleSheetLayoutView="80" workbookViewId="0">
      <selection activeCell="A35" sqref="A35"/>
    </sheetView>
  </sheetViews>
  <sheetFormatPr defaultColWidth="9.140625" defaultRowHeight="15" x14ac:dyDescent="0.25"/>
  <cols>
    <col min="1" max="1" width="47.28515625" style="2" customWidth="1"/>
    <col min="2" max="2" width="17.5703125" style="2" customWidth="1"/>
    <col min="3" max="3" width="4.7109375" style="27" customWidth="1"/>
    <col min="4" max="4" width="17" style="2" bestFit="1" customWidth="1"/>
    <col min="5" max="5" width="4.7109375" style="27" customWidth="1"/>
    <col min="6" max="6" width="18.42578125" style="2" customWidth="1"/>
    <col min="7" max="7" width="4.7109375" style="27" customWidth="1"/>
    <col min="8" max="8" width="15.5703125" style="2" bestFit="1" customWidth="1"/>
    <col min="9" max="9" width="4.7109375" style="27" customWidth="1"/>
    <col min="10" max="10" width="16.28515625" style="2" bestFit="1" customWidth="1"/>
    <col min="11" max="11" width="4.7109375" style="27" customWidth="1"/>
    <col min="12" max="12" width="17.28515625" style="2" customWidth="1"/>
    <col min="13" max="13" width="4.7109375" style="27" customWidth="1"/>
    <col min="14" max="14" width="14" style="2" customWidth="1"/>
    <col min="15" max="15" width="4.7109375" style="27" customWidth="1"/>
    <col min="16" max="16" width="19.42578125" style="2" customWidth="1"/>
    <col min="17" max="17" width="4.7109375" style="2" customWidth="1"/>
    <col min="18" max="18" width="12.85546875" style="2" customWidth="1"/>
    <col min="19" max="19" width="4.7109375" style="2" customWidth="1"/>
    <col min="20" max="20" width="13" style="2" customWidth="1"/>
    <col min="21" max="21" width="4.7109375" style="2" customWidth="1"/>
    <col min="22" max="22" width="13.42578125" style="2" customWidth="1"/>
    <col min="23" max="23" width="12.85546875" style="2" customWidth="1"/>
    <col min="24" max="16384" width="9.140625" style="2"/>
  </cols>
  <sheetData>
    <row r="1" spans="1:23" x14ac:dyDescent="0.25">
      <c r="A1" s="1" t="str">
        <f>'Report Summary'!A1</f>
        <v>FLORIDA PUBLIC UTILITIES COMPANY</v>
      </c>
      <c r="B1" s="1"/>
      <c r="C1" s="15"/>
      <c r="D1" s="1"/>
      <c r="E1" s="15"/>
      <c r="F1" s="1"/>
      <c r="G1" s="15"/>
      <c r="H1" s="1"/>
      <c r="I1" s="15"/>
      <c r="J1" s="1"/>
      <c r="K1" s="15"/>
      <c r="L1" s="1"/>
      <c r="M1" s="15"/>
      <c r="N1" s="20"/>
      <c r="O1" s="15"/>
      <c r="P1" s="1" t="s">
        <v>122</v>
      </c>
      <c r="Q1" s="1"/>
      <c r="R1" s="1"/>
      <c r="S1" s="1"/>
      <c r="T1" s="1"/>
      <c r="U1" s="1"/>
      <c r="W1" s="1"/>
    </row>
    <row r="2" spans="1:23" x14ac:dyDescent="0.25">
      <c r="A2" s="1" t="str">
        <f>'Report Summary'!A2</f>
        <v>NATURAL GAS</v>
      </c>
      <c r="B2" s="1"/>
      <c r="C2" s="15"/>
      <c r="D2" s="1"/>
      <c r="E2" s="15"/>
      <c r="F2" s="1"/>
      <c r="G2" s="15"/>
      <c r="H2" s="1"/>
      <c r="I2" s="15"/>
      <c r="J2" s="1"/>
      <c r="K2" s="15"/>
      <c r="L2" s="1"/>
      <c r="M2" s="15"/>
      <c r="N2" s="1"/>
      <c r="O2" s="15"/>
      <c r="P2" s="1" t="s">
        <v>45</v>
      </c>
      <c r="Q2" s="1"/>
      <c r="R2" s="1"/>
      <c r="S2" s="1"/>
      <c r="T2" s="1"/>
      <c r="U2" s="1"/>
      <c r="W2" s="1"/>
    </row>
    <row r="3" spans="1:23" x14ac:dyDescent="0.25">
      <c r="A3" s="1" t="s">
        <v>123</v>
      </c>
      <c r="B3" s="1"/>
      <c r="C3" s="15"/>
      <c r="D3" s="1"/>
      <c r="E3" s="15"/>
      <c r="F3" s="1"/>
      <c r="G3" s="15"/>
      <c r="H3" s="1"/>
      <c r="I3" s="15"/>
      <c r="J3" s="1"/>
      <c r="K3" s="15"/>
      <c r="L3" s="1"/>
      <c r="M3" s="15"/>
      <c r="N3" s="1"/>
      <c r="O3" s="15"/>
      <c r="P3" s="1"/>
      <c r="Q3" s="1"/>
      <c r="R3" s="1"/>
      <c r="S3" s="1"/>
      <c r="T3" s="1"/>
      <c r="U3" s="1"/>
      <c r="V3" s="1"/>
      <c r="W3" s="1"/>
    </row>
    <row r="4" spans="1:23" x14ac:dyDescent="0.25">
      <c r="A4" s="1" t="str">
        <f>+'Avg ROR'!A4</f>
        <v>For the 12 Months Ending December 31, 2021</v>
      </c>
      <c r="B4" s="1"/>
      <c r="C4" s="15"/>
      <c r="D4" s="1"/>
      <c r="E4" s="15"/>
      <c r="F4" s="1"/>
      <c r="G4" s="15"/>
      <c r="H4" s="1"/>
      <c r="I4" s="15"/>
      <c r="J4" s="1"/>
      <c r="K4" s="15"/>
      <c r="L4" s="1"/>
      <c r="M4" s="15"/>
      <c r="N4" s="1"/>
      <c r="O4" s="15"/>
      <c r="P4" s="1"/>
      <c r="Q4" s="1"/>
      <c r="R4" s="1"/>
      <c r="S4" s="1"/>
      <c r="T4" s="1"/>
      <c r="U4" s="1"/>
      <c r="V4" s="1"/>
      <c r="W4" s="1"/>
    </row>
    <row r="5" spans="1:23" x14ac:dyDescent="0.25">
      <c r="A5" s="1" t="s">
        <v>46</v>
      </c>
      <c r="B5" s="1"/>
      <c r="C5" s="15"/>
      <c r="D5" s="1"/>
      <c r="E5" s="15"/>
      <c r="F5" s="1"/>
      <c r="G5" s="15"/>
      <c r="H5" s="1"/>
      <c r="I5" s="15"/>
      <c r="J5" s="1"/>
      <c r="K5" s="15"/>
      <c r="L5" s="1"/>
      <c r="M5" s="15"/>
      <c r="N5" s="1"/>
      <c r="O5" s="15"/>
      <c r="P5" s="1"/>
      <c r="Q5" s="1"/>
      <c r="R5" s="1"/>
      <c r="S5" s="1"/>
      <c r="T5" s="1"/>
      <c r="U5" s="1"/>
      <c r="V5" s="1"/>
      <c r="W5" s="1"/>
    </row>
    <row r="6" spans="1:23" x14ac:dyDescent="0.25">
      <c r="A6" s="1"/>
      <c r="B6" s="1"/>
      <c r="C6" s="15"/>
      <c r="D6" s="1"/>
      <c r="E6" s="15"/>
      <c r="F6" s="1"/>
      <c r="G6" s="15"/>
      <c r="H6" s="1"/>
      <c r="I6" s="15"/>
      <c r="J6" s="1"/>
      <c r="K6" s="15"/>
      <c r="L6" s="1"/>
      <c r="M6" s="15"/>
      <c r="N6" s="1"/>
      <c r="O6" s="15"/>
      <c r="P6" s="1"/>
      <c r="Q6" s="1"/>
      <c r="R6" s="1"/>
      <c r="S6" s="1"/>
      <c r="T6" s="1"/>
      <c r="U6" s="1"/>
      <c r="V6" s="1"/>
      <c r="W6" s="1"/>
    </row>
    <row r="7" spans="1:23" x14ac:dyDescent="0.25">
      <c r="A7" s="1"/>
      <c r="B7" s="1"/>
      <c r="C7" s="15"/>
      <c r="D7" s="1"/>
      <c r="E7" s="15"/>
      <c r="F7" s="1"/>
      <c r="G7" s="15"/>
      <c r="H7" s="1"/>
      <c r="I7" s="15"/>
      <c r="J7" s="1"/>
      <c r="K7" s="15"/>
      <c r="L7" s="1"/>
      <c r="M7" s="15"/>
      <c r="N7" s="1"/>
      <c r="O7" s="15"/>
      <c r="P7" s="1"/>
      <c r="Q7" s="1"/>
      <c r="R7" s="1"/>
      <c r="S7" s="1"/>
      <c r="T7" s="1"/>
      <c r="U7" s="1"/>
      <c r="V7" s="1"/>
      <c r="W7" s="1"/>
    </row>
    <row r="8" spans="1:23" x14ac:dyDescent="0.25">
      <c r="A8" s="1"/>
      <c r="B8" s="3" t="s">
        <v>4</v>
      </c>
      <c r="C8" s="21"/>
      <c r="D8" s="3" t="s">
        <v>5</v>
      </c>
      <c r="E8" s="21"/>
      <c r="F8" s="3" t="s">
        <v>6</v>
      </c>
      <c r="G8" s="21"/>
      <c r="H8" s="3" t="s">
        <v>7</v>
      </c>
      <c r="I8" s="21"/>
      <c r="J8" s="3" t="s">
        <v>8</v>
      </c>
      <c r="K8" s="21"/>
      <c r="L8" s="3" t="s">
        <v>47</v>
      </c>
      <c r="M8" s="21"/>
      <c r="N8" s="3" t="s">
        <v>48</v>
      </c>
      <c r="O8" s="21"/>
      <c r="P8" s="3" t="s">
        <v>49</v>
      </c>
      <c r="Q8" s="1"/>
      <c r="R8" s="1"/>
      <c r="S8" s="1"/>
      <c r="T8" s="1"/>
      <c r="U8" s="1"/>
      <c r="V8" s="1"/>
      <c r="W8" s="1"/>
    </row>
    <row r="9" spans="1:23" x14ac:dyDescent="0.25">
      <c r="A9" s="1"/>
      <c r="B9" s="3"/>
      <c r="C9" s="21"/>
      <c r="D9" s="3" t="s">
        <v>50</v>
      </c>
      <c r="E9" s="21"/>
      <c r="F9" s="3"/>
      <c r="G9" s="21"/>
      <c r="H9" s="3" t="s">
        <v>51</v>
      </c>
      <c r="I9" s="21"/>
      <c r="J9" s="3" t="s">
        <v>52</v>
      </c>
      <c r="K9" s="21"/>
      <c r="L9" s="3" t="s">
        <v>53</v>
      </c>
      <c r="M9" s="21"/>
      <c r="N9" s="3"/>
      <c r="O9" s="21"/>
      <c r="P9" s="3"/>
      <c r="Q9" s="1"/>
      <c r="R9" s="1"/>
      <c r="S9" s="1"/>
      <c r="T9" s="1"/>
      <c r="U9" s="1"/>
      <c r="V9" s="1"/>
      <c r="W9" s="1"/>
    </row>
    <row r="10" spans="1:23" x14ac:dyDescent="0.25">
      <c r="A10" s="1"/>
      <c r="B10" s="3" t="s">
        <v>54</v>
      </c>
      <c r="C10" s="21"/>
      <c r="D10" s="3" t="s">
        <v>55</v>
      </c>
      <c r="E10" s="21"/>
      <c r="F10" s="3" t="s">
        <v>54</v>
      </c>
      <c r="G10" s="21"/>
      <c r="H10" s="3" t="s">
        <v>56</v>
      </c>
      <c r="I10" s="21"/>
      <c r="J10" s="3" t="s">
        <v>57</v>
      </c>
      <c r="K10" s="21"/>
      <c r="L10" s="3" t="s">
        <v>58</v>
      </c>
      <c r="M10" s="21"/>
      <c r="N10" s="3" t="s">
        <v>59</v>
      </c>
      <c r="O10" s="21"/>
      <c r="P10" s="3" t="s">
        <v>60</v>
      </c>
      <c r="Q10" s="1"/>
      <c r="R10" s="1"/>
      <c r="S10" s="1"/>
      <c r="T10" s="1"/>
      <c r="U10" s="1"/>
      <c r="V10" s="1"/>
      <c r="W10" s="1"/>
    </row>
    <row r="11" spans="1:23" x14ac:dyDescent="0.25">
      <c r="A11" s="1"/>
      <c r="B11" s="22" t="s">
        <v>61</v>
      </c>
      <c r="C11" s="21"/>
      <c r="D11" s="22" t="s">
        <v>62</v>
      </c>
      <c r="E11" s="21"/>
      <c r="F11" s="22" t="s">
        <v>61</v>
      </c>
      <c r="G11" s="21"/>
      <c r="H11" s="22" t="s">
        <v>63</v>
      </c>
      <c r="I11" s="21"/>
      <c r="J11" s="22" t="s">
        <v>64</v>
      </c>
      <c r="K11" s="21"/>
      <c r="L11" s="22" t="s">
        <v>65</v>
      </c>
      <c r="M11" s="21"/>
      <c r="N11" s="22" t="s">
        <v>66</v>
      </c>
      <c r="O11" s="21"/>
      <c r="P11" s="22" t="s">
        <v>46</v>
      </c>
      <c r="Q11" s="1"/>
      <c r="R11" s="1"/>
      <c r="S11" s="1"/>
      <c r="T11" s="1"/>
      <c r="U11" s="1"/>
      <c r="V11" s="1"/>
      <c r="W11" s="1"/>
    </row>
    <row r="12" spans="1:23" x14ac:dyDescent="0.25">
      <c r="A12" s="1"/>
      <c r="B12" s="1"/>
      <c r="C12" s="15"/>
      <c r="D12" s="1"/>
      <c r="E12" s="15"/>
      <c r="F12" s="1"/>
      <c r="G12" s="15"/>
      <c r="H12" s="1"/>
      <c r="I12" s="15"/>
      <c r="J12" s="1"/>
      <c r="K12" s="15"/>
      <c r="L12" s="1"/>
      <c r="M12" s="15"/>
      <c r="N12" s="1"/>
      <c r="O12" s="15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1"/>
      <c r="B13" s="1"/>
      <c r="C13" s="15"/>
      <c r="D13" s="1"/>
      <c r="E13" s="15"/>
      <c r="F13" s="1"/>
      <c r="G13" s="15"/>
      <c r="H13" s="1"/>
      <c r="I13" s="15"/>
      <c r="J13" s="1"/>
      <c r="K13" s="15"/>
      <c r="L13" s="1"/>
      <c r="M13" s="15"/>
      <c r="N13" s="1"/>
      <c r="O13" s="15"/>
      <c r="P13" s="1"/>
      <c r="Q13" s="1"/>
      <c r="R13" s="1"/>
      <c r="S13" s="1"/>
      <c r="T13" s="1"/>
      <c r="U13" s="1"/>
      <c r="V13" s="1"/>
      <c r="W13" s="1"/>
    </row>
    <row r="14" spans="1:23" x14ac:dyDescent="0.25">
      <c r="A14" s="1" t="s">
        <v>67</v>
      </c>
      <c r="B14" s="4">
        <v>419872594.77397507</v>
      </c>
      <c r="C14" s="23"/>
      <c r="D14" s="4">
        <v>-104904587.37246186</v>
      </c>
      <c r="E14" s="23"/>
      <c r="F14" s="4">
        <f>+B14+D14</f>
        <v>314968007.40151322</v>
      </c>
      <c r="G14" s="23"/>
      <c r="H14" s="4">
        <v>0</v>
      </c>
      <c r="I14" s="23"/>
      <c r="J14" s="4">
        <v>4690537</v>
      </c>
      <c r="K14" s="23"/>
      <c r="L14" s="4">
        <f>+F14+J14</f>
        <v>319658544.40151322</v>
      </c>
      <c r="M14" s="23"/>
      <c r="N14" s="4">
        <v>6673118.950410001</v>
      </c>
      <c r="O14" s="23"/>
      <c r="P14" s="4">
        <f>+L14+N14</f>
        <v>326331663.35192323</v>
      </c>
      <c r="Q14" s="1"/>
      <c r="R14" s="1"/>
      <c r="S14" s="1"/>
      <c r="T14" s="1"/>
      <c r="U14" s="1"/>
      <c r="V14" s="1"/>
      <c r="W14" s="1"/>
    </row>
    <row r="15" spans="1:23" x14ac:dyDescent="0.25">
      <c r="A15" s="1"/>
      <c r="B15" s="5"/>
      <c r="C15" s="23"/>
      <c r="D15" s="5"/>
      <c r="E15" s="23"/>
      <c r="F15" s="5"/>
      <c r="G15" s="23"/>
      <c r="H15" s="5"/>
      <c r="I15" s="23"/>
      <c r="J15" s="5"/>
      <c r="K15" s="23"/>
      <c r="L15" s="5"/>
      <c r="M15" s="23"/>
      <c r="N15" s="5"/>
      <c r="O15" s="23"/>
      <c r="P15" s="5"/>
      <c r="Q15" s="1"/>
      <c r="R15" s="1"/>
      <c r="S15" s="1"/>
      <c r="T15" s="1"/>
      <c r="U15" s="1"/>
      <c r="V15" s="1"/>
      <c r="W15" s="1"/>
    </row>
    <row r="16" spans="1:23" x14ac:dyDescent="0.25">
      <c r="A16" s="1" t="s">
        <v>68</v>
      </c>
      <c r="B16" s="5"/>
      <c r="C16" s="23"/>
      <c r="D16" s="5"/>
      <c r="E16" s="23"/>
      <c r="F16" s="5"/>
      <c r="G16" s="23"/>
      <c r="H16" s="5"/>
      <c r="I16" s="23"/>
      <c r="J16" s="5"/>
      <c r="K16" s="23"/>
      <c r="L16" s="5"/>
      <c r="M16" s="23"/>
      <c r="N16" s="5"/>
      <c r="O16" s="23"/>
      <c r="P16" s="5"/>
      <c r="Q16" s="1"/>
      <c r="R16" s="1"/>
      <c r="S16" s="1"/>
      <c r="T16" s="1"/>
      <c r="U16" s="1"/>
      <c r="V16" s="1"/>
      <c r="W16" s="1"/>
    </row>
    <row r="17" spans="1:23" x14ac:dyDescent="0.25">
      <c r="A17" s="1"/>
      <c r="B17" s="5"/>
      <c r="C17" s="23"/>
      <c r="D17" s="5"/>
      <c r="E17" s="23"/>
      <c r="F17" s="5"/>
      <c r="G17" s="23"/>
      <c r="H17" s="5"/>
      <c r="I17" s="23"/>
      <c r="J17" s="5"/>
      <c r="K17" s="23"/>
      <c r="L17" s="5"/>
      <c r="M17" s="23"/>
      <c r="N17" s="5"/>
      <c r="O17" s="23"/>
      <c r="P17" s="5"/>
      <c r="Q17" s="1"/>
      <c r="R17" s="1"/>
      <c r="S17" s="1"/>
      <c r="T17" s="1"/>
      <c r="U17" s="1"/>
      <c r="V17" s="1"/>
      <c r="W17" s="1"/>
    </row>
    <row r="18" spans="1:23" x14ac:dyDescent="0.25">
      <c r="A18" s="1" t="str">
        <f>'Avg ROR'!A18</f>
        <v>1) ELIMINATIONS TO NON-UTILITY MATERIALS</v>
      </c>
      <c r="B18" s="5">
        <v>0</v>
      </c>
      <c r="C18" s="23"/>
      <c r="D18" s="5">
        <v>0</v>
      </c>
      <c r="E18" s="23"/>
      <c r="F18" s="5">
        <f>B18+D18</f>
        <v>0</v>
      </c>
      <c r="G18" s="23"/>
      <c r="H18" s="5"/>
      <c r="I18" s="23"/>
      <c r="J18" s="5"/>
      <c r="K18" s="23"/>
      <c r="L18" s="5">
        <f t="shared" ref="L18:L25" si="0">+F18+J18</f>
        <v>0</v>
      </c>
      <c r="M18" s="23"/>
      <c r="N18" s="5">
        <v>0</v>
      </c>
      <c r="O18" s="23"/>
      <c r="P18" s="5">
        <f t="shared" ref="P18:P25" si="1">+L18+N18</f>
        <v>0</v>
      </c>
      <c r="Q18" s="1"/>
      <c r="R18" s="1"/>
      <c r="S18" s="1"/>
      <c r="T18" s="1"/>
      <c r="U18" s="1"/>
      <c r="V18" s="1"/>
      <c r="W18" s="1"/>
    </row>
    <row r="19" spans="1:23" x14ac:dyDescent="0.25">
      <c r="A19" s="1" t="str">
        <f>'Avg ROR'!A19</f>
        <v>2)   ELIMINATE GOODWILL</v>
      </c>
      <c r="B19" s="5">
        <v>-2469682</v>
      </c>
      <c r="C19" s="23"/>
      <c r="D19" s="5">
        <v>0</v>
      </c>
      <c r="E19" s="23"/>
      <c r="F19" s="5">
        <f>B19+D19</f>
        <v>-2469682</v>
      </c>
      <c r="G19" s="23"/>
      <c r="H19" s="5"/>
      <c r="I19" s="23"/>
      <c r="J19" s="5"/>
      <c r="K19" s="23"/>
      <c r="L19" s="5">
        <f t="shared" si="0"/>
        <v>-2469682</v>
      </c>
      <c r="M19" s="23"/>
      <c r="N19" s="5">
        <v>0</v>
      </c>
      <c r="O19" s="23"/>
      <c r="P19" s="5">
        <f t="shared" si="1"/>
        <v>-2469682</v>
      </c>
      <c r="Q19" s="1"/>
      <c r="R19" s="1"/>
      <c r="S19" s="1"/>
      <c r="T19" s="1"/>
      <c r="U19" s="1"/>
      <c r="V19" s="1"/>
      <c r="W19" s="1"/>
    </row>
    <row r="20" spans="1:23" x14ac:dyDescent="0.25">
      <c r="A20" s="1" t="s">
        <v>71</v>
      </c>
      <c r="B20" s="5">
        <v>-1020000</v>
      </c>
      <c r="C20" s="23"/>
      <c r="D20" s="5">
        <v>184250</v>
      </c>
      <c r="E20" s="23"/>
      <c r="F20" s="5">
        <f>+B20+D20</f>
        <v>-835750</v>
      </c>
      <c r="G20" s="23"/>
      <c r="H20" s="5"/>
      <c r="I20" s="23"/>
      <c r="J20" s="5"/>
      <c r="K20" s="23"/>
      <c r="L20" s="5">
        <f t="shared" si="0"/>
        <v>-835750</v>
      </c>
      <c r="M20" s="23"/>
      <c r="N20" s="5">
        <v>0</v>
      </c>
      <c r="O20" s="23"/>
      <c r="P20" s="5">
        <f t="shared" si="1"/>
        <v>-835750</v>
      </c>
      <c r="Q20" s="1"/>
      <c r="R20" s="1"/>
      <c r="S20" s="1"/>
      <c r="T20" s="1"/>
      <c r="U20" s="1"/>
      <c r="V20" s="1"/>
      <c r="W20" s="1"/>
    </row>
    <row r="21" spans="1:23" x14ac:dyDescent="0.25">
      <c r="A21" s="1" t="s">
        <v>72</v>
      </c>
      <c r="B21" s="5">
        <v>-2141222.0056250002</v>
      </c>
      <c r="C21" s="23"/>
      <c r="D21" s="5">
        <v>782304.62844388001</v>
      </c>
      <c r="E21" s="23"/>
      <c r="F21" s="5">
        <f>+B21+D21</f>
        <v>-1358917.3771811202</v>
      </c>
      <c r="G21" s="23"/>
      <c r="H21" s="5"/>
      <c r="I21" s="23"/>
      <c r="J21" s="5"/>
      <c r="K21" s="23"/>
      <c r="L21" s="5">
        <f t="shared" si="0"/>
        <v>-1358917.3771811202</v>
      </c>
      <c r="M21" s="23"/>
      <c r="N21" s="5">
        <v>0</v>
      </c>
      <c r="O21" s="23"/>
      <c r="P21" s="5">
        <f t="shared" si="1"/>
        <v>-1358917.3771811202</v>
      </c>
      <c r="Q21" s="1"/>
      <c r="R21" s="1"/>
      <c r="S21" s="1"/>
      <c r="T21" s="1"/>
      <c r="U21" s="1"/>
      <c r="V21" s="1"/>
      <c r="W21" s="1"/>
    </row>
    <row r="22" spans="1:23" x14ac:dyDescent="0.25">
      <c r="A22" s="1" t="s">
        <v>73</v>
      </c>
      <c r="B22" s="5">
        <v>0</v>
      </c>
      <c r="C22" s="23"/>
      <c r="D22" s="5">
        <v>0</v>
      </c>
      <c r="E22" s="23"/>
      <c r="F22" s="5">
        <f>+B22+D22</f>
        <v>0</v>
      </c>
      <c r="G22" s="23"/>
      <c r="H22" s="5"/>
      <c r="I22" s="23"/>
      <c r="J22" s="5"/>
      <c r="K22" s="23"/>
      <c r="L22" s="5">
        <v>-811846</v>
      </c>
      <c r="M22" s="23"/>
      <c r="N22" s="5">
        <v>0</v>
      </c>
      <c r="O22" s="23"/>
      <c r="P22" s="5">
        <f t="shared" si="1"/>
        <v>-811846</v>
      </c>
      <c r="Q22" s="1"/>
      <c r="R22" s="1"/>
      <c r="S22" s="1"/>
      <c r="T22" s="1"/>
      <c r="U22" s="1"/>
      <c r="V22" s="1"/>
      <c r="W22" s="1"/>
    </row>
    <row r="23" spans="1:23" x14ac:dyDescent="0.25">
      <c r="A23" s="1" t="s">
        <v>74</v>
      </c>
      <c r="B23" s="5">
        <v>0</v>
      </c>
      <c r="C23" s="23"/>
      <c r="D23" s="5">
        <v>0</v>
      </c>
      <c r="E23" s="23"/>
      <c r="F23" s="5">
        <f>+B23+D23</f>
        <v>0</v>
      </c>
      <c r="G23" s="23"/>
      <c r="H23" s="5"/>
      <c r="I23" s="23"/>
      <c r="J23" s="5"/>
      <c r="K23" s="23"/>
      <c r="L23" s="5">
        <f t="shared" si="0"/>
        <v>0</v>
      </c>
      <c r="M23" s="23"/>
      <c r="N23" s="5">
        <v>-864867.348</v>
      </c>
      <c r="O23" s="23"/>
      <c r="P23" s="5">
        <f t="shared" si="1"/>
        <v>-864867.348</v>
      </c>
      <c r="Q23" s="1"/>
      <c r="R23" s="1"/>
      <c r="S23" s="1"/>
      <c r="T23" s="1"/>
      <c r="U23" s="1"/>
      <c r="V23" s="1"/>
      <c r="W23" s="1"/>
    </row>
    <row r="24" spans="1:23" x14ac:dyDescent="0.25">
      <c r="A24" s="1" t="s">
        <v>75</v>
      </c>
      <c r="B24" s="5">
        <v>0</v>
      </c>
      <c r="C24" s="23"/>
      <c r="D24" s="5">
        <v>0</v>
      </c>
      <c r="E24" s="23"/>
      <c r="F24" s="5">
        <f>+B24+D24</f>
        <v>0</v>
      </c>
      <c r="G24" s="23"/>
      <c r="H24" s="5"/>
      <c r="I24" s="23"/>
      <c r="J24" s="5"/>
      <c r="K24" s="23"/>
      <c r="L24" s="5">
        <f t="shared" si="0"/>
        <v>0</v>
      </c>
      <c r="M24" s="23"/>
      <c r="N24" s="5">
        <v>-3645883</v>
      </c>
      <c r="O24" s="23"/>
      <c r="P24" s="5">
        <f t="shared" si="1"/>
        <v>-3645883</v>
      </c>
      <c r="Q24" s="1"/>
      <c r="R24" s="1"/>
      <c r="S24" s="1"/>
      <c r="T24" s="1"/>
      <c r="U24" s="1"/>
      <c r="V24" s="1"/>
      <c r="W24" s="1"/>
    </row>
    <row r="25" spans="1:23" x14ac:dyDescent="0.25">
      <c r="A25" s="1" t="s">
        <v>76</v>
      </c>
      <c r="B25" s="5"/>
      <c r="C25" s="23"/>
      <c r="D25" s="5"/>
      <c r="E25" s="23"/>
      <c r="F25" s="5"/>
      <c r="G25" s="23"/>
      <c r="H25" s="5"/>
      <c r="I25" s="23"/>
      <c r="J25" s="5"/>
      <c r="K25" s="23"/>
      <c r="L25" s="5">
        <f t="shared" si="0"/>
        <v>0</v>
      </c>
      <c r="M25" s="23"/>
      <c r="N25" s="5">
        <v>5611069</v>
      </c>
      <c r="O25" s="23"/>
      <c r="P25" s="5">
        <f t="shared" si="1"/>
        <v>5611069</v>
      </c>
      <c r="Q25" s="1"/>
      <c r="R25" s="1"/>
      <c r="S25" s="1"/>
      <c r="T25" s="1"/>
      <c r="U25" s="1"/>
      <c r="V25" s="1"/>
      <c r="W25" s="1"/>
    </row>
    <row r="26" spans="1:23" x14ac:dyDescent="0.25">
      <c r="A26" s="1" t="s">
        <v>77</v>
      </c>
      <c r="B26" s="24">
        <f>SUM(B18:B25)</f>
        <v>-5630904.0056250002</v>
      </c>
      <c r="C26" s="23"/>
      <c r="D26" s="24">
        <f>SUM(D18:D25)</f>
        <v>966554.62844388001</v>
      </c>
      <c r="E26" s="23"/>
      <c r="F26" s="24">
        <f>SUM(F18:F25)</f>
        <v>-4664349.3771811202</v>
      </c>
      <c r="G26" s="23"/>
      <c r="H26" s="24">
        <f>SUM(H18:H25)</f>
        <v>0</v>
      </c>
      <c r="I26" s="23"/>
      <c r="J26" s="24">
        <f>SUM(J18:J25)</f>
        <v>0</v>
      </c>
      <c r="K26" s="23"/>
      <c r="L26" s="24">
        <f>SUM(L18:L25)</f>
        <v>-5476195.3771811202</v>
      </c>
      <c r="M26" s="23"/>
      <c r="N26" s="24">
        <f>SUM(N18:N25)</f>
        <v>1100318.6519999998</v>
      </c>
      <c r="O26" s="23"/>
      <c r="P26" s="24">
        <f>SUM(P18:P25)</f>
        <v>-4375876.7251811214</v>
      </c>
      <c r="Q26" s="1"/>
      <c r="R26" s="1"/>
      <c r="S26" s="1"/>
      <c r="T26" s="1"/>
      <c r="U26" s="1"/>
      <c r="V26" s="1"/>
      <c r="W26" s="1"/>
    </row>
    <row r="27" spans="1:23" x14ac:dyDescent="0.25">
      <c r="A27" s="1"/>
      <c r="B27" s="5"/>
      <c r="C27" s="23"/>
      <c r="D27" s="5"/>
      <c r="E27" s="23"/>
      <c r="F27" s="5"/>
      <c r="G27" s="23"/>
      <c r="H27" s="5"/>
      <c r="I27" s="23"/>
      <c r="J27" s="5"/>
      <c r="K27" s="23"/>
      <c r="L27" s="5"/>
      <c r="M27" s="23"/>
      <c r="N27" s="5"/>
      <c r="O27" s="23"/>
      <c r="P27" s="5"/>
      <c r="Q27" s="1"/>
      <c r="R27" s="1"/>
      <c r="S27" s="1"/>
      <c r="T27" s="1"/>
      <c r="U27" s="1"/>
      <c r="V27" s="1"/>
      <c r="W27" s="1"/>
    </row>
    <row r="28" spans="1:23" x14ac:dyDescent="0.25">
      <c r="A28" s="1"/>
      <c r="B28" s="5"/>
      <c r="C28" s="23"/>
      <c r="D28" s="5"/>
      <c r="E28" s="23"/>
      <c r="F28" s="5"/>
      <c r="G28" s="23"/>
      <c r="H28" s="5"/>
      <c r="I28" s="23"/>
      <c r="J28" s="5"/>
      <c r="K28" s="23"/>
      <c r="L28" s="5"/>
      <c r="M28" s="23"/>
      <c r="N28" s="5"/>
      <c r="O28" s="23"/>
      <c r="P28" s="5"/>
      <c r="Q28" s="1"/>
      <c r="R28" s="1"/>
      <c r="S28" s="1"/>
      <c r="T28" s="1"/>
      <c r="U28" s="1"/>
      <c r="V28" s="1"/>
      <c r="W28" s="1"/>
    </row>
    <row r="29" spans="1:23" x14ac:dyDescent="0.25">
      <c r="A29" s="1" t="s">
        <v>78</v>
      </c>
      <c r="B29" s="4">
        <f>+B14+B26</f>
        <v>414241690.76835006</v>
      </c>
      <c r="C29" s="23"/>
      <c r="D29" s="4">
        <f>+D14+D26</f>
        <v>-103938032.74401797</v>
      </c>
      <c r="E29" s="23"/>
      <c r="F29" s="4">
        <f>+F14+F26</f>
        <v>310303658.02433211</v>
      </c>
      <c r="G29" s="23"/>
      <c r="H29" s="4">
        <f>+H14+H26</f>
        <v>0</v>
      </c>
      <c r="I29" s="23"/>
      <c r="J29" s="4">
        <f>+J14+J26</f>
        <v>4690537</v>
      </c>
      <c r="K29" s="23"/>
      <c r="L29" s="4">
        <f>+L14+L26</f>
        <v>314182349.02433211</v>
      </c>
      <c r="M29" s="23"/>
      <c r="N29" s="4">
        <f>+N14+N26</f>
        <v>7773437.6024100007</v>
      </c>
      <c r="O29" s="23"/>
      <c r="P29" s="4">
        <f>+P14+P26</f>
        <v>321955786.62674212</v>
      </c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5"/>
      <c r="C30" s="23"/>
      <c r="D30" s="5"/>
      <c r="E30" s="23"/>
      <c r="F30" s="5"/>
      <c r="G30" s="23"/>
      <c r="H30" s="5"/>
      <c r="I30" s="23"/>
      <c r="J30" s="5"/>
      <c r="K30" s="23"/>
      <c r="L30" s="5"/>
      <c r="M30" s="23"/>
      <c r="N30" s="5"/>
      <c r="O30" s="23"/>
      <c r="P30" s="5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4"/>
      <c r="C31" s="23"/>
      <c r="D31" s="4"/>
      <c r="E31" s="23"/>
      <c r="F31" s="4">
        <f>+B31+D31</f>
        <v>0</v>
      </c>
      <c r="G31" s="23"/>
      <c r="H31" s="4"/>
      <c r="I31" s="23"/>
      <c r="J31" s="4"/>
      <c r="K31" s="23"/>
      <c r="L31" s="4">
        <f t="shared" ref="L31" si="2">+F31+J31</f>
        <v>0</v>
      </c>
      <c r="M31" s="23"/>
      <c r="N31" s="4"/>
      <c r="O31" s="23"/>
      <c r="P31" s="4">
        <f t="shared" ref="P31" si="3">+L31+N31</f>
        <v>0</v>
      </c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5"/>
      <c r="C32" s="23"/>
      <c r="D32" s="5"/>
      <c r="E32" s="23"/>
      <c r="F32" s="5"/>
      <c r="G32" s="23"/>
      <c r="H32" s="5"/>
      <c r="I32" s="23"/>
      <c r="J32" s="5"/>
      <c r="K32" s="23"/>
      <c r="L32" s="5"/>
      <c r="M32" s="23"/>
      <c r="N32" s="5"/>
      <c r="O32" s="23"/>
      <c r="P32" s="5"/>
      <c r="Q32" s="1"/>
      <c r="R32" s="1"/>
      <c r="S32" s="1"/>
      <c r="T32" s="1"/>
      <c r="U32" s="1"/>
      <c r="V32" s="1"/>
      <c r="W32" s="1"/>
    </row>
    <row r="33" spans="1:23" ht="15.75" thickBot="1" x14ac:dyDescent="0.3">
      <c r="A33" s="1" t="s">
        <v>79</v>
      </c>
      <c r="B33" s="26">
        <f>SUM(B29:B31)</f>
        <v>414241690.76835006</v>
      </c>
      <c r="C33" s="23"/>
      <c r="D33" s="26">
        <f>SUM(D29:D31)</f>
        <v>-103938032.74401797</v>
      </c>
      <c r="E33" s="23"/>
      <c r="F33" s="26">
        <f>SUM(F29:F31)</f>
        <v>310303658.02433211</v>
      </c>
      <c r="G33" s="23"/>
      <c r="H33" s="26">
        <f>SUM(H29:H31)</f>
        <v>0</v>
      </c>
      <c r="I33" s="23"/>
      <c r="J33" s="26">
        <f>SUM(J29:J31)</f>
        <v>4690537</v>
      </c>
      <c r="K33" s="23"/>
      <c r="L33" s="26">
        <f>SUM(L29:L31)</f>
        <v>314182349.02433211</v>
      </c>
      <c r="M33" s="23"/>
      <c r="N33" s="26">
        <f>SUM(N29:N31)</f>
        <v>7773437.6024100007</v>
      </c>
      <c r="O33" s="23"/>
      <c r="P33" s="26">
        <f>SUM(P29:P31)</f>
        <v>321955786.62674212</v>
      </c>
      <c r="Q33" s="1"/>
      <c r="R33" s="1"/>
      <c r="S33" s="1"/>
      <c r="T33" s="1"/>
      <c r="U33" s="1"/>
      <c r="V33" s="1"/>
      <c r="W33" s="1"/>
    </row>
    <row r="34" spans="1:23" ht="15.75" thickTop="1" x14ac:dyDescent="0.25">
      <c r="A34" s="1" t="str">
        <f>'Avg ROR'!A34</f>
        <v>PROFORMA ADJUSTMENTS</v>
      </c>
      <c r="B34" s="5"/>
      <c r="C34" s="23"/>
      <c r="D34" s="5"/>
      <c r="E34" s="23"/>
      <c r="F34" s="5"/>
      <c r="G34" s="23"/>
      <c r="H34" s="5"/>
      <c r="I34" s="23"/>
      <c r="J34" s="5"/>
      <c r="K34" s="23"/>
      <c r="L34" s="5"/>
      <c r="M34" s="23"/>
      <c r="N34" s="5"/>
      <c r="O34" s="23"/>
      <c r="P34" s="5"/>
      <c r="Q34" s="1"/>
      <c r="R34" s="1"/>
      <c r="S34" s="1"/>
      <c r="T34" s="1"/>
      <c r="U34" s="1"/>
      <c r="V34" s="1"/>
      <c r="W34" s="1"/>
    </row>
    <row r="35" spans="1:23" x14ac:dyDescent="0.25">
      <c r="A35" s="1"/>
      <c r="B35" s="5"/>
      <c r="C35" s="23"/>
      <c r="D35" s="5"/>
      <c r="E35" s="23"/>
      <c r="F35" s="5"/>
      <c r="G35" s="23"/>
      <c r="H35" s="5"/>
      <c r="I35" s="23"/>
      <c r="J35" s="5"/>
      <c r="K35" s="23"/>
      <c r="L35" s="5"/>
      <c r="M35" s="23"/>
      <c r="N35" s="5"/>
      <c r="O35" s="23"/>
      <c r="P35" s="5"/>
      <c r="Q35" s="1"/>
      <c r="R35" s="1"/>
      <c r="S35" s="1"/>
      <c r="T35" s="1"/>
      <c r="U35" s="1"/>
      <c r="V35" s="1"/>
      <c r="W35" s="1"/>
    </row>
    <row r="36" spans="1:23" x14ac:dyDescent="0.25">
      <c r="A36" s="1"/>
      <c r="B36" s="5"/>
      <c r="C36" s="23"/>
      <c r="D36" s="5"/>
      <c r="E36" s="23"/>
      <c r="F36" s="5"/>
      <c r="G36" s="23"/>
      <c r="H36" s="5"/>
      <c r="I36" s="23"/>
      <c r="J36" s="5"/>
      <c r="K36" s="23"/>
      <c r="L36" s="5"/>
      <c r="M36" s="23"/>
      <c r="N36" s="5"/>
      <c r="O36" s="23"/>
      <c r="P36" s="5"/>
      <c r="Q36" s="1"/>
      <c r="R36" s="1"/>
      <c r="S36" s="1"/>
      <c r="T36" s="1"/>
      <c r="U36" s="1"/>
      <c r="V36" s="1"/>
      <c r="W36" s="1"/>
    </row>
    <row r="37" spans="1:23" x14ac:dyDescent="0.25">
      <c r="A37" s="1" t="str">
        <f>+'Avg ROR'!A37</f>
        <v xml:space="preserve">  ELIM. ACQUISITION ADJUSTMENT</v>
      </c>
      <c r="B37" s="5">
        <v>-34192493</v>
      </c>
      <c r="C37" s="23"/>
      <c r="D37" s="5">
        <v>13866953.800000004</v>
      </c>
      <c r="E37" s="23"/>
      <c r="F37" s="5">
        <f>B37+D37</f>
        <v>-20325539.199999996</v>
      </c>
      <c r="G37" s="23"/>
      <c r="H37" s="5"/>
      <c r="I37" s="23"/>
      <c r="J37" s="5"/>
      <c r="K37" s="23"/>
      <c r="L37" s="5">
        <f>+F37+J37</f>
        <v>-20325539.199999996</v>
      </c>
      <c r="M37" s="23"/>
      <c r="N37" s="5"/>
      <c r="O37" s="23"/>
      <c r="P37" s="5">
        <f>+L37+N37</f>
        <v>-20325539.199999996</v>
      </c>
      <c r="Q37" s="1"/>
      <c r="R37" s="1"/>
      <c r="S37" s="1"/>
      <c r="T37" s="1"/>
      <c r="U37" s="1"/>
      <c r="V37" s="1"/>
      <c r="W37" s="1"/>
    </row>
    <row r="38" spans="1:23" x14ac:dyDescent="0.25">
      <c r="A38" s="1" t="str">
        <f>+'Avg ROR'!A38</f>
        <v xml:space="preserve">   ELIM. REG ASSET-TRNSCTN &amp; TRNSITN CSTS</v>
      </c>
      <c r="B38" s="5"/>
      <c r="C38" s="23"/>
      <c r="D38" s="5"/>
      <c r="E38" s="23"/>
      <c r="F38" s="5"/>
      <c r="G38" s="23"/>
      <c r="H38" s="5"/>
      <c r="I38" s="23"/>
      <c r="J38" s="5"/>
      <c r="K38" s="23"/>
      <c r="L38" s="5"/>
      <c r="M38" s="23"/>
      <c r="N38" s="5"/>
      <c r="O38" s="23"/>
      <c r="P38" s="5">
        <f>+L38+N38</f>
        <v>0</v>
      </c>
      <c r="Q38" s="1"/>
      <c r="R38" s="1"/>
      <c r="S38" s="1"/>
      <c r="T38" s="1"/>
      <c r="U38" s="1"/>
      <c r="V38" s="1"/>
      <c r="W38" s="1"/>
    </row>
    <row r="39" spans="1:23" x14ac:dyDescent="0.25">
      <c r="A39" s="1" t="str">
        <f>'Avg ROR'!A39</f>
        <v>TOTAL PRO FORMA ADJUSTMENTS</v>
      </c>
      <c r="B39" s="24">
        <f>SUM(B37:B38)</f>
        <v>-34192493</v>
      </c>
      <c r="C39" s="23"/>
      <c r="D39" s="24">
        <f>SUM(D37:D38)</f>
        <v>13866953.800000004</v>
      </c>
      <c r="E39" s="23"/>
      <c r="F39" s="24">
        <f>B39+D39</f>
        <v>-20325539.199999996</v>
      </c>
      <c r="G39" s="23"/>
      <c r="H39" s="24">
        <f>SUM(H37:H38)</f>
        <v>0</v>
      </c>
      <c r="I39" s="23"/>
      <c r="J39" s="24">
        <f>SUM(J37:J38)</f>
        <v>0</v>
      </c>
      <c r="K39" s="23"/>
      <c r="L39" s="24">
        <f>+F39+J39</f>
        <v>-20325539.199999996</v>
      </c>
      <c r="M39" s="23"/>
      <c r="N39" s="24">
        <f>SUM(N37:N38)</f>
        <v>0</v>
      </c>
      <c r="O39" s="23"/>
      <c r="P39" s="24">
        <f>+L39+N39</f>
        <v>-20325539.199999996</v>
      </c>
      <c r="Q39" s="1"/>
      <c r="R39" s="1"/>
      <c r="S39" s="1"/>
      <c r="T39" s="1"/>
      <c r="U39" s="1"/>
      <c r="V39" s="1"/>
      <c r="W39" s="1"/>
    </row>
    <row r="40" spans="1:23" x14ac:dyDescent="0.25">
      <c r="A40" s="1"/>
      <c r="B40" s="5"/>
      <c r="C40" s="23"/>
      <c r="D40" s="5"/>
      <c r="E40" s="23"/>
      <c r="F40" s="5"/>
      <c r="G40" s="23"/>
      <c r="H40" s="5"/>
      <c r="I40" s="23"/>
      <c r="J40" s="5"/>
      <c r="K40" s="23"/>
      <c r="L40" s="5"/>
      <c r="M40" s="23"/>
      <c r="N40" s="5"/>
      <c r="O40" s="23"/>
      <c r="P40" s="5"/>
      <c r="Q40" s="1"/>
      <c r="R40" s="1"/>
      <c r="S40" s="1"/>
      <c r="T40" s="1"/>
      <c r="U40" s="1"/>
      <c r="V40" s="1"/>
      <c r="W40" s="1"/>
    </row>
    <row r="41" spans="1:23" x14ac:dyDescent="0.25">
      <c r="A41" s="1"/>
      <c r="B41" s="5"/>
      <c r="C41" s="23"/>
      <c r="D41" s="5"/>
      <c r="E41" s="23"/>
      <c r="F41" s="5"/>
      <c r="G41" s="23"/>
      <c r="H41" s="5"/>
      <c r="I41" s="23"/>
      <c r="J41" s="5"/>
      <c r="K41" s="23"/>
      <c r="L41" s="5"/>
      <c r="M41" s="23"/>
      <c r="N41" s="5"/>
      <c r="O41" s="23"/>
      <c r="P41" s="5"/>
      <c r="Q41" s="1"/>
      <c r="R41" s="1"/>
      <c r="S41" s="1"/>
      <c r="T41" s="1"/>
      <c r="U41" s="1"/>
      <c r="V41" s="1"/>
      <c r="W41" s="1"/>
    </row>
    <row r="42" spans="1:23" ht="15.75" thickBot="1" x14ac:dyDescent="0.3">
      <c r="A42" s="1" t="s">
        <v>84</v>
      </c>
      <c r="B42" s="26">
        <f>+B33+B39</f>
        <v>380049197.76835006</v>
      </c>
      <c r="C42" s="23"/>
      <c r="D42" s="26">
        <f>+D33+D39</f>
        <v>-90071078.944017977</v>
      </c>
      <c r="E42" s="23"/>
      <c r="F42" s="26">
        <f>+F33+F39</f>
        <v>289978118.82433212</v>
      </c>
      <c r="G42" s="23"/>
      <c r="H42" s="26">
        <f>+H33+H39</f>
        <v>0</v>
      </c>
      <c r="I42" s="23"/>
      <c r="J42" s="26">
        <f>+J33+J39</f>
        <v>4690537</v>
      </c>
      <c r="K42" s="23"/>
      <c r="L42" s="26">
        <f>+L33+L39</f>
        <v>293856809.82433212</v>
      </c>
      <c r="M42" s="23"/>
      <c r="N42" s="26">
        <f>+N33+N39</f>
        <v>7773437.6024100007</v>
      </c>
      <c r="O42" s="23"/>
      <c r="P42" s="26">
        <f>+P33+P39</f>
        <v>301630247.42674214</v>
      </c>
      <c r="Q42" s="1"/>
      <c r="R42" s="1"/>
      <c r="S42" s="1"/>
      <c r="T42" s="1"/>
      <c r="U42" s="1"/>
      <c r="V42" s="1"/>
      <c r="W42" s="1"/>
    </row>
    <row r="43" spans="1:23" ht="15.75" thickTop="1" x14ac:dyDescent="0.25">
      <c r="A43" s="1"/>
      <c r="B43" s="5"/>
      <c r="C43" s="23"/>
      <c r="D43" s="5"/>
      <c r="E43" s="23"/>
      <c r="F43" s="5"/>
      <c r="G43" s="23"/>
      <c r="H43" s="5"/>
      <c r="I43" s="23"/>
      <c r="J43" s="5"/>
      <c r="K43" s="23"/>
      <c r="L43" s="5"/>
      <c r="M43" s="23"/>
      <c r="N43" s="5"/>
      <c r="O43" s="23"/>
      <c r="P43" s="5"/>
      <c r="Q43" s="1"/>
      <c r="R43" s="1"/>
      <c r="S43" s="1"/>
      <c r="T43" s="1"/>
      <c r="U43" s="1"/>
      <c r="V43" s="1"/>
      <c r="W43" s="1"/>
    </row>
    <row r="44" spans="1:23" x14ac:dyDescent="0.25">
      <c r="B44" s="29"/>
      <c r="C44" s="30"/>
      <c r="D44" s="29"/>
      <c r="E44" s="30"/>
      <c r="F44" s="29"/>
      <c r="G44" s="30"/>
      <c r="H44" s="29"/>
      <c r="I44" s="30"/>
      <c r="J44" s="29"/>
      <c r="K44" s="30"/>
      <c r="L44" s="29"/>
      <c r="M44" s="30"/>
      <c r="N44" s="29"/>
      <c r="O44" s="30"/>
      <c r="P44" s="29"/>
    </row>
  </sheetData>
  <pageMargins left="0.25" right="0.25" top="0.75" bottom="0.75" header="0.3" footer="0.3"/>
  <pageSetup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50"/>
  <sheetViews>
    <sheetView zoomScale="80" zoomScaleNormal="80" workbookViewId="0">
      <pane xSplit="1" ySplit="11" topLeftCell="B12" activePane="bottomRight" state="frozen"/>
      <selection activeCell="A35" sqref="A35"/>
      <selection pane="topRight" activeCell="A35" sqref="A35"/>
      <selection pane="bottomLeft" activeCell="A35" sqref="A35"/>
      <selection pane="bottomRight" activeCell="A35" sqref="A35"/>
    </sheetView>
  </sheetViews>
  <sheetFormatPr defaultColWidth="9.140625" defaultRowHeight="15" x14ac:dyDescent="0.25"/>
  <cols>
    <col min="1" max="1" width="47.42578125" style="1" customWidth="1"/>
    <col min="2" max="2" width="14.5703125" style="1" customWidth="1"/>
    <col min="3" max="3" width="1.5703125" style="15" customWidth="1"/>
    <col min="4" max="4" width="16" style="1" customWidth="1"/>
    <col min="5" max="5" width="2.5703125" style="15" customWidth="1"/>
    <col min="6" max="6" width="12.5703125" style="1" customWidth="1"/>
    <col min="7" max="7" width="2.42578125" style="15" customWidth="1"/>
    <col min="8" max="8" width="15.28515625" style="1" bestFit="1" customWidth="1"/>
    <col min="9" max="9" width="2" style="15" customWidth="1"/>
    <col min="10" max="10" width="15" style="1" bestFit="1" customWidth="1"/>
    <col min="11" max="11" width="2" style="15" customWidth="1"/>
    <col min="12" max="12" width="14.5703125" style="1" bestFit="1" customWidth="1"/>
    <col min="13" max="13" width="1.42578125" style="15" customWidth="1"/>
    <col min="14" max="14" width="7.85546875" style="1" customWidth="1"/>
    <col min="15" max="15" width="2.140625" style="15" customWidth="1"/>
    <col min="16" max="16" width="6.140625" style="1" bestFit="1" customWidth="1"/>
    <col min="17" max="17" width="2.7109375" style="15" customWidth="1"/>
    <col min="18" max="18" width="12.7109375" style="1" bestFit="1" customWidth="1"/>
    <col min="19" max="19" width="2.28515625" style="15" customWidth="1"/>
    <col min="20" max="20" width="16" style="1" bestFit="1" customWidth="1"/>
    <col min="21" max="21" width="1.7109375" style="15" customWidth="1"/>
    <col min="22" max="22" width="15.28515625" style="1" bestFit="1" customWidth="1"/>
    <col min="23" max="23" width="11.5703125" style="1" bestFit="1" customWidth="1"/>
    <col min="24" max="16384" width="9.140625" style="1"/>
  </cols>
  <sheetData>
    <row r="1" spans="1:23" x14ac:dyDescent="0.25">
      <c r="A1" s="1" t="str">
        <f>'Year End ROR'!A1</f>
        <v>FLORIDA PUBLIC UTILITIES COMPANY</v>
      </c>
      <c r="T1" s="20"/>
      <c r="V1" s="1" t="s">
        <v>124</v>
      </c>
    </row>
    <row r="2" spans="1:23" x14ac:dyDescent="0.25">
      <c r="A2" s="1" t="str">
        <f>'Year End ROR'!A2</f>
        <v>NATURAL GAS</v>
      </c>
      <c r="V2" s="1" t="s">
        <v>86</v>
      </c>
    </row>
    <row r="3" spans="1:23" x14ac:dyDescent="0.25">
      <c r="A3" s="1" t="str">
        <f>'Year End ROR'!A3</f>
        <v>YEAR END RATE OF RETURN</v>
      </c>
    </row>
    <row r="4" spans="1:23" x14ac:dyDescent="0.25">
      <c r="A4" s="1" t="str">
        <f>'Year End ROR'!A4</f>
        <v>For the 12 Months Ending December 31, 2021</v>
      </c>
    </row>
    <row r="5" spans="1:23" x14ac:dyDescent="0.25">
      <c r="A5" s="1" t="s">
        <v>87</v>
      </c>
      <c r="L5" s="31"/>
    </row>
    <row r="6" spans="1:23" x14ac:dyDescent="0.25">
      <c r="L6" s="31"/>
    </row>
    <row r="8" spans="1:23" x14ac:dyDescent="0.25">
      <c r="B8" s="3" t="s">
        <v>4</v>
      </c>
      <c r="C8" s="21"/>
      <c r="D8" s="3" t="s">
        <v>5</v>
      </c>
      <c r="E8" s="21"/>
      <c r="F8" s="3" t="s">
        <v>6</v>
      </c>
      <c r="G8" s="21"/>
      <c r="H8" s="3" t="s">
        <v>7</v>
      </c>
      <c r="I8" s="21"/>
      <c r="J8" s="3" t="s">
        <v>8</v>
      </c>
      <c r="K8" s="21"/>
      <c r="L8" s="3" t="s">
        <v>47</v>
      </c>
      <c r="M8" s="21"/>
      <c r="N8" s="3" t="s">
        <v>48</v>
      </c>
      <c r="O8" s="21"/>
      <c r="P8" s="3" t="s">
        <v>49</v>
      </c>
      <c r="Q8" s="21"/>
      <c r="R8" s="3" t="s">
        <v>88</v>
      </c>
      <c r="S8" s="21"/>
      <c r="T8" s="3" t="s">
        <v>89</v>
      </c>
      <c r="U8" s="21"/>
      <c r="V8" s="3" t="s">
        <v>90</v>
      </c>
    </row>
    <row r="9" spans="1:23" x14ac:dyDescent="0.25">
      <c r="B9" s="3"/>
      <c r="C9" s="21"/>
      <c r="D9" s="3"/>
      <c r="E9" s="21"/>
      <c r="F9" s="3"/>
      <c r="G9" s="21"/>
      <c r="H9" s="3"/>
      <c r="I9" s="21"/>
      <c r="J9" s="3"/>
      <c r="K9" s="21"/>
      <c r="L9" s="3"/>
      <c r="M9" s="21"/>
      <c r="N9" s="3"/>
      <c r="O9" s="21"/>
      <c r="P9" s="3"/>
      <c r="Q9" s="21"/>
      <c r="R9" s="3" t="s">
        <v>91</v>
      </c>
      <c r="S9" s="21"/>
      <c r="T9" s="3" t="s">
        <v>60</v>
      </c>
      <c r="U9" s="21"/>
      <c r="V9" s="3" t="s">
        <v>53</v>
      </c>
    </row>
    <row r="10" spans="1:23" x14ac:dyDescent="0.25">
      <c r="B10" s="3" t="s">
        <v>92</v>
      </c>
      <c r="C10" s="21"/>
      <c r="D10" s="3" t="s">
        <v>93</v>
      </c>
      <c r="E10" s="21"/>
      <c r="F10" s="3" t="s">
        <v>94</v>
      </c>
      <c r="G10" s="21"/>
      <c r="H10" s="3" t="s">
        <v>95</v>
      </c>
      <c r="I10" s="21"/>
      <c r="J10" s="3" t="s">
        <v>96</v>
      </c>
      <c r="K10" s="21"/>
      <c r="L10" s="3" t="s">
        <v>97</v>
      </c>
      <c r="M10" s="21"/>
      <c r="N10" s="3" t="s">
        <v>98</v>
      </c>
      <c r="O10" s="21"/>
      <c r="P10" s="3" t="s">
        <v>99</v>
      </c>
      <c r="Q10" s="21"/>
      <c r="R10" s="3" t="s">
        <v>100</v>
      </c>
      <c r="S10" s="21"/>
      <c r="T10" s="3" t="s">
        <v>92</v>
      </c>
      <c r="U10" s="21"/>
      <c r="V10" s="3" t="s">
        <v>92</v>
      </c>
    </row>
    <row r="11" spans="1:23" x14ac:dyDescent="0.25">
      <c r="B11" s="22" t="s">
        <v>101</v>
      </c>
      <c r="C11" s="21"/>
      <c r="D11" s="22" t="s">
        <v>102</v>
      </c>
      <c r="E11" s="21"/>
      <c r="F11" s="22" t="s">
        <v>103</v>
      </c>
      <c r="G11" s="21"/>
      <c r="H11" s="22" t="s">
        <v>62</v>
      </c>
      <c r="I11" s="21"/>
      <c r="J11" s="22" t="s">
        <v>104</v>
      </c>
      <c r="K11" s="21"/>
      <c r="L11" s="22" t="s">
        <v>105</v>
      </c>
      <c r="M11" s="21"/>
      <c r="N11" s="22" t="s">
        <v>106</v>
      </c>
      <c r="O11" s="21"/>
      <c r="P11" s="22" t="s">
        <v>106</v>
      </c>
      <c r="Q11" s="21"/>
      <c r="R11" s="22" t="s">
        <v>107</v>
      </c>
      <c r="S11" s="21"/>
      <c r="T11" s="22" t="s">
        <v>108</v>
      </c>
      <c r="U11" s="21"/>
      <c r="V11" s="22" t="s">
        <v>109</v>
      </c>
    </row>
    <row r="13" spans="1:23" x14ac:dyDescent="0.25">
      <c r="A13" s="1" t="s">
        <v>67</v>
      </c>
      <c r="B13" s="5">
        <v>104209972</v>
      </c>
      <c r="C13" s="23"/>
      <c r="D13" s="5">
        <v>39000357</v>
      </c>
      <c r="E13" s="23"/>
      <c r="F13" s="5">
        <v>24150357.371121299</v>
      </c>
      <c r="G13" s="23"/>
      <c r="H13" s="5">
        <v>12071189.748878699</v>
      </c>
      <c r="I13" s="23"/>
      <c r="J13" s="5">
        <v>9169242</v>
      </c>
      <c r="K13" s="23"/>
      <c r="L13" s="5">
        <v>3971126</v>
      </c>
      <c r="M13" s="23"/>
      <c r="N13" s="5"/>
      <c r="O13" s="23"/>
      <c r="P13" s="5"/>
      <c r="Q13" s="23"/>
      <c r="R13" s="5"/>
      <c r="S13" s="23"/>
      <c r="T13" s="5">
        <f>SUM(D13:R13)</f>
        <v>88362272.120000005</v>
      </c>
      <c r="U13" s="23"/>
      <c r="V13" s="5">
        <f>+B13-T13</f>
        <v>15847699.879999995</v>
      </c>
      <c r="W13" s="32"/>
    </row>
    <row r="14" spans="1:23" x14ac:dyDescent="0.25">
      <c r="B14" s="5"/>
      <c r="C14" s="23"/>
      <c r="D14" s="5"/>
      <c r="E14" s="23"/>
      <c r="F14" s="5"/>
      <c r="G14" s="23"/>
      <c r="H14" s="5"/>
      <c r="I14" s="23"/>
      <c r="J14" s="5"/>
      <c r="K14" s="23"/>
      <c r="L14" s="5"/>
      <c r="M14" s="23"/>
      <c r="N14" s="5"/>
      <c r="O14" s="23"/>
      <c r="P14" s="5"/>
      <c r="Q14" s="23"/>
      <c r="R14" s="5"/>
      <c r="S14" s="23"/>
      <c r="T14" s="5"/>
      <c r="U14" s="23"/>
      <c r="V14" s="5"/>
      <c r="W14" s="32"/>
    </row>
    <row r="15" spans="1:23" x14ac:dyDescent="0.25">
      <c r="A15" s="1" t="s">
        <v>68</v>
      </c>
      <c r="B15" s="5"/>
      <c r="C15" s="23"/>
      <c r="D15" s="5"/>
      <c r="E15" s="23"/>
      <c r="F15" s="5"/>
      <c r="G15" s="23"/>
      <c r="H15" s="5"/>
      <c r="I15" s="23"/>
      <c r="J15" s="5"/>
      <c r="K15" s="23"/>
      <c r="L15" s="5"/>
      <c r="M15" s="23"/>
      <c r="N15" s="5"/>
      <c r="O15" s="23"/>
      <c r="P15" s="5"/>
      <c r="Q15" s="23"/>
      <c r="R15" s="5"/>
      <c r="S15" s="23"/>
      <c r="T15" s="5"/>
      <c r="U15" s="23"/>
      <c r="V15" s="5"/>
      <c r="W15" s="32"/>
    </row>
    <row r="16" spans="1:23" x14ac:dyDescent="0.25">
      <c r="A16" s="1" t="s">
        <v>110</v>
      </c>
      <c r="B16" s="5"/>
      <c r="C16" s="23"/>
      <c r="D16" s="5"/>
      <c r="E16" s="23"/>
      <c r="F16" s="5"/>
      <c r="G16" s="23"/>
      <c r="H16" s="5"/>
      <c r="I16" s="23"/>
      <c r="J16" s="5"/>
      <c r="K16" s="23"/>
      <c r="L16" s="5">
        <v>-201612.72750869996</v>
      </c>
      <c r="M16" s="23"/>
      <c r="N16" s="5"/>
      <c r="O16" s="23"/>
      <c r="P16" s="5"/>
      <c r="Q16" s="23"/>
      <c r="R16" s="5"/>
      <c r="S16" s="23"/>
      <c r="T16" s="5">
        <f>SUM(D16:R16)</f>
        <v>-201612.72750869996</v>
      </c>
      <c r="U16" s="23"/>
      <c r="V16" s="5">
        <f>+B16-T16</f>
        <v>201612.72750869996</v>
      </c>
      <c r="W16" s="32"/>
    </row>
    <row r="17" spans="1:23" x14ac:dyDescent="0.25">
      <c r="A17" s="1" t="s">
        <v>111</v>
      </c>
      <c r="B17" s="5">
        <v>-36219959</v>
      </c>
      <c r="C17" s="23"/>
      <c r="D17" s="5">
        <v>-36044900</v>
      </c>
      <c r="E17" s="23"/>
      <c r="F17" s="5"/>
      <c r="G17" s="23"/>
      <c r="H17" s="5"/>
      <c r="I17" s="23"/>
      <c r="J17" s="5">
        <v>-175384.18801429123</v>
      </c>
      <c r="K17" s="23"/>
      <c r="L17" s="5">
        <f>-(-B17+D17+F17+H17+J17)*0.23793</f>
        <v>77.371984240311605</v>
      </c>
      <c r="M17" s="23"/>
      <c r="N17" s="5"/>
      <c r="O17" s="23"/>
      <c r="P17" s="5"/>
      <c r="Q17" s="23"/>
      <c r="R17" s="5"/>
      <c r="S17" s="23"/>
      <c r="T17" s="5">
        <f t="shared" ref="T17:T29" si="0">SUM(D17:R17)</f>
        <v>-36220206.816030048</v>
      </c>
      <c r="U17" s="23"/>
      <c r="V17" s="5">
        <f t="shared" ref="V17:V29" si="1">+B17-T17</f>
        <v>247.81603004783392</v>
      </c>
      <c r="W17" s="32"/>
    </row>
    <row r="18" spans="1:23" x14ac:dyDescent="0.25">
      <c r="A18" s="1" t="s">
        <v>112</v>
      </c>
      <c r="B18" s="5">
        <v>-2969976</v>
      </c>
      <c r="C18" s="23"/>
      <c r="D18" s="5">
        <v>-2955457</v>
      </c>
      <c r="E18" s="23"/>
      <c r="F18" s="5"/>
      <c r="G18" s="23"/>
      <c r="H18" s="5"/>
      <c r="I18" s="23"/>
      <c r="J18" s="5">
        <v>-14864.212292170618</v>
      </c>
      <c r="K18" s="23"/>
      <c r="L18" s="5">
        <f t="shared" ref="L18:L30" si="2">-(-B18+D18+F18+H18+J18)*0.23793</f>
        <v>82.136360676155078</v>
      </c>
      <c r="M18" s="23"/>
      <c r="N18" s="5"/>
      <c r="O18" s="23"/>
      <c r="P18" s="5"/>
      <c r="Q18" s="23"/>
      <c r="R18" s="5"/>
      <c r="S18" s="23"/>
      <c r="T18" s="5">
        <f>SUM(D18:R18)</f>
        <v>-2970239.0759314946</v>
      </c>
      <c r="U18" s="23"/>
      <c r="V18" s="5">
        <f t="shared" si="1"/>
        <v>263.0759314945899</v>
      </c>
      <c r="W18" s="32"/>
    </row>
    <row r="19" spans="1:23" x14ac:dyDescent="0.25">
      <c r="A19" s="1" t="s">
        <v>113</v>
      </c>
      <c r="B19" s="5"/>
      <c r="C19" s="23"/>
      <c r="D19" s="5"/>
      <c r="E19" s="23"/>
      <c r="F19" s="5"/>
      <c r="G19" s="23"/>
      <c r="H19" s="5">
        <v>-163323.13429131996</v>
      </c>
      <c r="I19" s="23"/>
      <c r="J19" s="5"/>
      <c r="K19" s="23"/>
      <c r="L19" s="5">
        <f t="shared" si="2"/>
        <v>38859.473341933757</v>
      </c>
      <c r="M19" s="23"/>
      <c r="N19" s="5"/>
      <c r="O19" s="23"/>
      <c r="P19" s="5"/>
      <c r="Q19" s="23"/>
      <c r="R19" s="5"/>
      <c r="S19" s="23"/>
      <c r="T19" s="5">
        <f t="shared" si="0"/>
        <v>-124463.66094938621</v>
      </c>
      <c r="U19" s="23"/>
      <c r="V19" s="5">
        <f t="shared" si="1"/>
        <v>124463.66094938621</v>
      </c>
      <c r="W19" s="32"/>
    </row>
    <row r="20" spans="1:23" x14ac:dyDescent="0.25">
      <c r="A20" s="1" t="s">
        <v>114</v>
      </c>
      <c r="B20" s="5">
        <v>-333538</v>
      </c>
      <c r="C20" s="23"/>
      <c r="D20" s="5"/>
      <c r="E20" s="23"/>
      <c r="F20" s="5"/>
      <c r="G20" s="23"/>
      <c r="H20" s="5">
        <v>-331868</v>
      </c>
      <c r="I20" s="23"/>
      <c r="J20" s="5">
        <f>-((B20/1.00503)-B20)</f>
        <v>-1669.299563197128</v>
      </c>
      <c r="K20" s="23"/>
      <c r="L20" s="5">
        <f t="shared" si="2"/>
        <v>-0.16665492850733279</v>
      </c>
      <c r="M20" s="23"/>
      <c r="N20" s="5"/>
      <c r="O20" s="23"/>
      <c r="P20" s="5"/>
      <c r="Q20" s="23"/>
      <c r="R20" s="5"/>
      <c r="S20" s="23"/>
      <c r="T20" s="5">
        <f t="shared" si="0"/>
        <v>-333537.46621812566</v>
      </c>
      <c r="U20" s="23"/>
      <c r="V20" s="5">
        <f t="shared" si="1"/>
        <v>-0.53378187434282154</v>
      </c>
      <c r="W20" s="32"/>
    </row>
    <row r="21" spans="1:23" x14ac:dyDescent="0.25">
      <c r="A21" s="1" t="s">
        <v>115</v>
      </c>
      <c r="B21" s="5">
        <v>-3779209</v>
      </c>
      <c r="C21" s="23"/>
      <c r="D21" s="5"/>
      <c r="E21" s="23"/>
      <c r="F21" s="5"/>
      <c r="G21" s="23"/>
      <c r="H21" s="5"/>
      <c r="I21" s="23"/>
      <c r="J21" s="5">
        <f>B21</f>
        <v>-3779209</v>
      </c>
      <c r="K21" s="23"/>
      <c r="L21" s="5">
        <f t="shared" si="2"/>
        <v>0</v>
      </c>
      <c r="M21" s="23"/>
      <c r="N21" s="5"/>
      <c r="O21" s="23"/>
      <c r="P21" s="5"/>
      <c r="Q21" s="23"/>
      <c r="R21" s="5"/>
      <c r="S21" s="23"/>
      <c r="T21" s="5">
        <f t="shared" si="0"/>
        <v>-3779209</v>
      </c>
      <c r="U21" s="23"/>
      <c r="V21" s="5">
        <f t="shared" si="1"/>
        <v>0</v>
      </c>
      <c r="W21" s="32"/>
    </row>
    <row r="22" spans="1:23" x14ac:dyDescent="0.25">
      <c r="A22" s="1" t="s">
        <v>116</v>
      </c>
      <c r="B22" s="5"/>
      <c r="C22" s="23"/>
      <c r="D22" s="5"/>
      <c r="E22" s="23"/>
      <c r="F22" s="5">
        <v>-869.37000000000012</v>
      </c>
      <c r="G22" s="23"/>
      <c r="H22" s="5"/>
      <c r="I22" s="23"/>
      <c r="J22" s="5"/>
      <c r="K22" s="23"/>
      <c r="L22" s="5">
        <f t="shared" si="2"/>
        <v>206.84920410000004</v>
      </c>
      <c r="M22" s="23"/>
      <c r="N22" s="5"/>
      <c r="O22" s="23"/>
      <c r="P22" s="5"/>
      <c r="Q22" s="23"/>
      <c r="R22" s="5"/>
      <c r="S22" s="23"/>
      <c r="T22" s="5">
        <f t="shared" si="0"/>
        <v>-662.52079590000005</v>
      </c>
      <c r="U22" s="23"/>
      <c r="V22" s="5">
        <f t="shared" si="1"/>
        <v>662.52079590000005</v>
      </c>
      <c r="W22" s="32"/>
    </row>
    <row r="23" spans="1:23" x14ac:dyDescent="0.25">
      <c r="A23" s="1" t="s">
        <v>117</v>
      </c>
      <c r="B23" s="5">
        <f>'NOI SCH 2 P 2'!B23</f>
        <v>0</v>
      </c>
      <c r="C23" s="23"/>
      <c r="D23" s="5"/>
      <c r="E23" s="23"/>
      <c r="F23" s="5">
        <f>'NOI SCH 2 P 2'!F23</f>
        <v>174066</v>
      </c>
      <c r="G23" s="23"/>
      <c r="H23" s="5"/>
      <c r="I23" s="23"/>
      <c r="J23" s="5"/>
      <c r="K23" s="23"/>
      <c r="L23" s="5">
        <f t="shared" si="2"/>
        <v>-41415.523379999999</v>
      </c>
      <c r="M23" s="23"/>
      <c r="N23" s="5"/>
      <c r="O23" s="23"/>
      <c r="P23" s="5"/>
      <c r="Q23" s="23"/>
      <c r="R23" s="5"/>
      <c r="S23" s="23"/>
      <c r="T23" s="5">
        <f t="shared" si="0"/>
        <v>132650.47662</v>
      </c>
      <c r="U23" s="23"/>
      <c r="V23" s="5">
        <f t="shared" si="1"/>
        <v>-132650.47662</v>
      </c>
      <c r="W23" s="32"/>
    </row>
    <row r="24" spans="1:23" x14ac:dyDescent="0.25">
      <c r="A24" s="1" t="s">
        <v>118</v>
      </c>
      <c r="B24" s="5">
        <f>'NOI SCH 2 P 2'!B24</f>
        <v>-635394.41</v>
      </c>
      <c r="C24" s="23"/>
      <c r="D24" s="5"/>
      <c r="E24" s="23"/>
      <c r="F24" s="5">
        <f>'NOI SCH 2 P 2'!F24</f>
        <v>-11818.17</v>
      </c>
      <c r="G24" s="23"/>
      <c r="H24" s="5">
        <f>'NOI SCH 2 P 2'!H24</f>
        <v>-51000</v>
      </c>
      <c r="I24" s="23"/>
      <c r="J24" s="5">
        <f>'NOI SCH 2 P 2'!J24</f>
        <v>-17735</v>
      </c>
      <c r="K24" s="23"/>
      <c r="L24" s="5">
        <f t="shared" si="2"/>
        <v>-132013.37623319999</v>
      </c>
      <c r="M24" s="23"/>
      <c r="N24" s="5"/>
      <c r="O24" s="23"/>
      <c r="P24" s="5"/>
      <c r="Q24" s="23"/>
      <c r="R24" s="5"/>
      <c r="S24" s="23"/>
      <c r="T24" s="5">
        <f t="shared" si="0"/>
        <v>-212566.5462332</v>
      </c>
      <c r="U24" s="23"/>
      <c r="V24" s="5">
        <f t="shared" si="1"/>
        <v>-422827.86376680003</v>
      </c>
      <c r="W24" s="32"/>
    </row>
    <row r="25" spans="1:23" x14ac:dyDescent="0.25">
      <c r="A25" s="1" t="s">
        <v>119</v>
      </c>
      <c r="B25" s="5">
        <f>'NOI SCH 2 P 2'!B25</f>
        <v>-309719</v>
      </c>
      <c r="C25" s="23"/>
      <c r="D25" s="5"/>
      <c r="E25" s="23"/>
      <c r="F25" s="5"/>
      <c r="G25" s="23"/>
      <c r="H25" s="5"/>
      <c r="I25" s="23"/>
      <c r="J25" s="5"/>
      <c r="K25" s="23"/>
      <c r="L25" s="5">
        <f t="shared" si="2"/>
        <v>-73691.44167</v>
      </c>
      <c r="M25" s="23"/>
      <c r="N25" s="5"/>
      <c r="O25" s="23"/>
      <c r="P25" s="5"/>
      <c r="Q25" s="23"/>
      <c r="R25" s="5"/>
      <c r="S25" s="23"/>
      <c r="T25" s="5">
        <f t="shared" si="0"/>
        <v>-73691.44167</v>
      </c>
      <c r="U25" s="23"/>
      <c r="V25" s="5">
        <f t="shared" si="1"/>
        <v>-236027.55833</v>
      </c>
      <c r="W25" s="32"/>
    </row>
    <row r="26" spans="1:23" x14ac:dyDescent="0.25">
      <c r="B26" s="5"/>
      <c r="C26" s="23"/>
      <c r="D26" s="5"/>
      <c r="E26" s="23"/>
      <c r="F26" s="5"/>
      <c r="G26" s="23"/>
      <c r="H26" s="5"/>
      <c r="I26" s="23"/>
      <c r="J26" s="5"/>
      <c r="K26" s="23"/>
      <c r="L26" s="5">
        <f t="shared" si="2"/>
        <v>0</v>
      </c>
      <c r="M26" s="23"/>
      <c r="N26" s="5"/>
      <c r="O26" s="23"/>
      <c r="P26" s="5"/>
      <c r="Q26" s="23"/>
      <c r="R26" s="5"/>
      <c r="S26" s="23"/>
      <c r="T26" s="5">
        <f t="shared" si="0"/>
        <v>0</v>
      </c>
      <c r="U26" s="23"/>
      <c r="V26" s="5">
        <f t="shared" si="1"/>
        <v>0</v>
      </c>
      <c r="W26" s="32"/>
    </row>
    <row r="27" spans="1:23" x14ac:dyDescent="0.25">
      <c r="B27" s="5"/>
      <c r="C27" s="23"/>
      <c r="D27" s="5"/>
      <c r="E27" s="23"/>
      <c r="F27" s="5"/>
      <c r="G27" s="23"/>
      <c r="H27" s="5"/>
      <c r="I27" s="23"/>
      <c r="J27" s="5"/>
      <c r="K27" s="23"/>
      <c r="L27" s="5">
        <f t="shared" si="2"/>
        <v>0</v>
      </c>
      <c r="M27" s="23"/>
      <c r="N27" s="5"/>
      <c r="O27" s="23"/>
      <c r="P27" s="5"/>
      <c r="Q27" s="23"/>
      <c r="R27" s="5"/>
      <c r="S27" s="23"/>
      <c r="T27" s="5">
        <f t="shared" si="0"/>
        <v>0</v>
      </c>
      <c r="U27" s="23"/>
      <c r="V27" s="5">
        <f t="shared" si="1"/>
        <v>0</v>
      </c>
      <c r="W27" s="32"/>
    </row>
    <row r="28" spans="1:23" x14ac:dyDescent="0.25">
      <c r="B28" s="5"/>
      <c r="C28" s="23"/>
      <c r="D28" s="5"/>
      <c r="E28" s="23"/>
      <c r="F28" s="5"/>
      <c r="G28" s="23"/>
      <c r="H28" s="5"/>
      <c r="I28" s="23"/>
      <c r="J28" s="5"/>
      <c r="K28" s="23"/>
      <c r="L28" s="5">
        <f t="shared" si="2"/>
        <v>0</v>
      </c>
      <c r="M28" s="23"/>
      <c r="N28" s="5"/>
      <c r="O28" s="23"/>
      <c r="P28" s="5"/>
      <c r="Q28" s="23"/>
      <c r="R28" s="5"/>
      <c r="S28" s="23"/>
      <c r="T28" s="5">
        <f t="shared" si="0"/>
        <v>0</v>
      </c>
      <c r="U28" s="23"/>
      <c r="V28" s="5">
        <f t="shared" si="1"/>
        <v>0</v>
      </c>
      <c r="W28" s="32"/>
    </row>
    <row r="29" spans="1:23" x14ac:dyDescent="0.25">
      <c r="B29" s="5"/>
      <c r="C29" s="23"/>
      <c r="D29" s="5"/>
      <c r="E29" s="23"/>
      <c r="F29" s="5"/>
      <c r="G29" s="23"/>
      <c r="H29" s="5"/>
      <c r="I29" s="23"/>
      <c r="J29" s="5"/>
      <c r="K29" s="23"/>
      <c r="L29" s="5">
        <f t="shared" si="2"/>
        <v>0</v>
      </c>
      <c r="M29" s="23"/>
      <c r="N29" s="5"/>
      <c r="O29" s="23"/>
      <c r="P29" s="5"/>
      <c r="Q29" s="23"/>
      <c r="R29" s="5"/>
      <c r="S29" s="23"/>
      <c r="T29" s="5">
        <f t="shared" si="0"/>
        <v>0</v>
      </c>
      <c r="U29" s="23"/>
      <c r="V29" s="5">
        <f t="shared" si="1"/>
        <v>0</v>
      </c>
      <c r="W29" s="32"/>
    </row>
    <row r="30" spans="1:23" x14ac:dyDescent="0.25">
      <c r="B30" s="5"/>
      <c r="C30" s="23"/>
      <c r="D30" s="5"/>
      <c r="E30" s="23"/>
      <c r="F30" s="5"/>
      <c r="G30" s="23"/>
      <c r="H30" s="5"/>
      <c r="I30" s="23"/>
      <c r="J30" s="5"/>
      <c r="K30" s="23"/>
      <c r="L30" s="5">
        <f t="shared" si="2"/>
        <v>0</v>
      </c>
      <c r="M30" s="23"/>
      <c r="N30" s="5"/>
      <c r="O30" s="23"/>
      <c r="P30" s="5"/>
      <c r="Q30" s="23"/>
      <c r="R30" s="5"/>
      <c r="S30" s="23"/>
      <c r="T30" s="5">
        <f>SUM(D30:R30)</f>
        <v>0</v>
      </c>
      <c r="U30" s="23"/>
      <c r="V30" s="5">
        <f>+B30-T30</f>
        <v>0</v>
      </c>
      <c r="W30" s="32"/>
    </row>
    <row r="31" spans="1:23" x14ac:dyDescent="0.25">
      <c r="B31" s="5"/>
      <c r="C31" s="23"/>
      <c r="D31" s="5"/>
      <c r="E31" s="23"/>
      <c r="F31" s="5"/>
      <c r="G31" s="23"/>
      <c r="H31" s="5"/>
      <c r="I31" s="23"/>
      <c r="J31" s="5"/>
      <c r="K31" s="23"/>
      <c r="L31" s="5"/>
      <c r="M31" s="23"/>
      <c r="N31" s="5"/>
      <c r="O31" s="23"/>
      <c r="P31" s="5"/>
      <c r="Q31" s="23"/>
      <c r="R31" s="5"/>
      <c r="S31" s="23"/>
      <c r="T31" s="5"/>
      <c r="U31" s="23"/>
      <c r="V31" s="5"/>
      <c r="W31" s="32"/>
    </row>
    <row r="32" spans="1:23" x14ac:dyDescent="0.25">
      <c r="A32" s="1" t="s">
        <v>77</v>
      </c>
      <c r="B32" s="24">
        <f>SUM(B16:B30)</f>
        <v>-44247795.409999996</v>
      </c>
      <c r="C32" s="23"/>
      <c r="D32" s="24">
        <f>SUM(D16:D30)</f>
        <v>-39000357</v>
      </c>
      <c r="E32" s="23"/>
      <c r="F32" s="24">
        <f>SUM(F16:F30)</f>
        <v>161378.46</v>
      </c>
      <c r="G32" s="23"/>
      <c r="H32" s="24">
        <f>SUM(H16:H30)</f>
        <v>-546191.13429131999</v>
      </c>
      <c r="I32" s="23"/>
      <c r="J32" s="24">
        <f>SUM(J16:J30)</f>
        <v>-3988861.6998696588</v>
      </c>
      <c r="K32" s="23"/>
      <c r="L32" s="24">
        <f>SUM(L16:L30)</f>
        <v>-409507.40455587825</v>
      </c>
      <c r="M32" s="23"/>
      <c r="N32" s="24">
        <f>SUM(N16:N30)</f>
        <v>0</v>
      </c>
      <c r="O32" s="23"/>
      <c r="P32" s="24">
        <f>SUM(P16:P30)</f>
        <v>0</v>
      </c>
      <c r="Q32" s="23"/>
      <c r="R32" s="24">
        <f>SUM(R16:R30)</f>
        <v>0</v>
      </c>
      <c r="S32" s="23"/>
      <c r="T32" s="24">
        <f>SUM(T16:T30)</f>
        <v>-43783538.778716855</v>
      </c>
      <c r="U32" s="23"/>
      <c r="V32" s="24">
        <f>SUM(V16:V30)</f>
        <v>-464256.63128314575</v>
      </c>
      <c r="W32" s="32"/>
    </row>
    <row r="33" spans="1:23" x14ac:dyDescent="0.25">
      <c r="B33" s="5"/>
      <c r="C33" s="23"/>
      <c r="D33" s="5"/>
      <c r="E33" s="23"/>
      <c r="F33" s="5"/>
      <c r="G33" s="23"/>
      <c r="H33" s="5"/>
      <c r="I33" s="23"/>
      <c r="J33" s="5"/>
      <c r="K33" s="23"/>
      <c r="L33" s="5"/>
      <c r="M33" s="23"/>
      <c r="N33" s="5"/>
      <c r="O33" s="23"/>
      <c r="P33" s="5"/>
      <c r="Q33" s="23"/>
      <c r="R33" s="5"/>
      <c r="S33" s="23"/>
      <c r="T33" s="5"/>
      <c r="U33" s="23"/>
      <c r="V33" s="5"/>
      <c r="W33" s="32"/>
    </row>
    <row r="34" spans="1:23" x14ac:dyDescent="0.25">
      <c r="A34" s="1" t="s">
        <v>78</v>
      </c>
      <c r="B34" s="4">
        <f>+B13+B32</f>
        <v>59962176.590000004</v>
      </c>
      <c r="C34" s="23"/>
      <c r="D34" s="4">
        <f>+D13+D32</f>
        <v>0</v>
      </c>
      <c r="E34" s="23"/>
      <c r="F34" s="4">
        <f>+F13+F32</f>
        <v>24311735.831121299</v>
      </c>
      <c r="G34" s="23"/>
      <c r="H34" s="4">
        <f>+H13+H32</f>
        <v>11524998.61458738</v>
      </c>
      <c r="I34" s="23"/>
      <c r="J34" s="4">
        <f>+J13+J32</f>
        <v>5180380.3001303412</v>
      </c>
      <c r="K34" s="23"/>
      <c r="L34" s="4">
        <f>+L13+L32</f>
        <v>3561618.5954441219</v>
      </c>
      <c r="M34" s="23"/>
      <c r="N34" s="4">
        <f>+N13+N32</f>
        <v>0</v>
      </c>
      <c r="O34" s="23"/>
      <c r="P34" s="4">
        <f>+P13+P32</f>
        <v>0</v>
      </c>
      <c r="Q34" s="23"/>
      <c r="R34" s="4">
        <f>+R13+R32</f>
        <v>0</v>
      </c>
      <c r="S34" s="23"/>
      <c r="T34" s="4">
        <f>+T13+T32</f>
        <v>44578733.34128315</v>
      </c>
      <c r="U34" s="23"/>
      <c r="V34" s="4">
        <f>+V13+V32</f>
        <v>15383443.24871685</v>
      </c>
      <c r="W34" s="32"/>
    </row>
    <row r="35" spans="1:23" x14ac:dyDescent="0.25">
      <c r="B35" s="5"/>
      <c r="C35" s="23"/>
      <c r="D35" s="5"/>
      <c r="E35" s="23"/>
      <c r="F35" s="5"/>
      <c r="G35" s="23"/>
      <c r="H35" s="5"/>
      <c r="I35" s="23"/>
      <c r="J35" s="5"/>
      <c r="K35" s="23"/>
      <c r="L35" s="5"/>
      <c r="M35" s="23"/>
      <c r="N35" s="5"/>
      <c r="O35" s="23"/>
      <c r="P35" s="5"/>
      <c r="Q35" s="23"/>
      <c r="R35" s="5"/>
      <c r="S35" s="23"/>
      <c r="T35" s="5"/>
      <c r="U35" s="23"/>
      <c r="V35" s="5"/>
      <c r="W35" s="32"/>
    </row>
    <row r="36" spans="1:23" x14ac:dyDescent="0.25">
      <c r="B36" s="4">
        <f>'NOI SCH 2 P 2'!B35</f>
        <v>0</v>
      </c>
      <c r="C36" s="23"/>
      <c r="D36" s="4"/>
      <c r="E36" s="23"/>
      <c r="F36" s="4">
        <f>'NOI SCH 2 P 2'!F35</f>
        <v>0</v>
      </c>
      <c r="G36" s="23"/>
      <c r="H36" s="4">
        <f>'NOI SCH 2 P 2'!H35</f>
        <v>0</v>
      </c>
      <c r="I36" s="23"/>
      <c r="J36" s="4">
        <f>'NOI SCH 2 P 2'!J35</f>
        <v>0</v>
      </c>
      <c r="K36" s="23"/>
      <c r="L36" s="4">
        <f>-(-B36+D36+F36+H36+J36)*0.24522</f>
        <v>0</v>
      </c>
      <c r="M36" s="23"/>
      <c r="N36" s="4"/>
      <c r="O36" s="23"/>
      <c r="P36" s="4"/>
      <c r="Q36" s="23"/>
      <c r="R36" s="4"/>
      <c r="S36" s="23"/>
      <c r="T36" s="4">
        <f>SUM(D36:R36)</f>
        <v>0</v>
      </c>
      <c r="U36" s="23"/>
      <c r="V36" s="4">
        <f>+B36-T36</f>
        <v>0</v>
      </c>
      <c r="W36" s="32"/>
    </row>
    <row r="37" spans="1:23" x14ac:dyDescent="0.25">
      <c r="B37" s="5"/>
      <c r="C37" s="23"/>
      <c r="D37" s="5"/>
      <c r="E37" s="23"/>
      <c r="F37" s="5"/>
      <c r="G37" s="23"/>
      <c r="H37" s="5"/>
      <c r="I37" s="23"/>
      <c r="J37" s="5"/>
      <c r="K37" s="23"/>
      <c r="L37" s="5"/>
      <c r="M37" s="23"/>
      <c r="N37" s="5"/>
      <c r="O37" s="23"/>
      <c r="P37" s="5"/>
      <c r="Q37" s="23"/>
      <c r="R37" s="5"/>
      <c r="S37" s="23"/>
      <c r="T37" s="5"/>
      <c r="U37" s="23"/>
      <c r="V37" s="5"/>
      <c r="W37" s="32"/>
    </row>
    <row r="38" spans="1:23" x14ac:dyDescent="0.25">
      <c r="A38" s="1" t="s">
        <v>79</v>
      </c>
      <c r="B38" s="4">
        <f>B34+B36</f>
        <v>59962176.590000004</v>
      </c>
      <c r="C38" s="23"/>
      <c r="D38" s="4">
        <f>D34+D36</f>
        <v>0</v>
      </c>
      <c r="E38" s="23"/>
      <c r="F38" s="4">
        <f>F34+F36</f>
        <v>24311735.831121299</v>
      </c>
      <c r="G38" s="23"/>
      <c r="H38" s="4">
        <f>H34+H36</f>
        <v>11524998.61458738</v>
      </c>
      <c r="I38" s="23"/>
      <c r="J38" s="4">
        <f>J34+J36</f>
        <v>5180380.3001303412</v>
      </c>
      <c r="K38" s="23"/>
      <c r="L38" s="4">
        <f>L34+L36</f>
        <v>3561618.5954441219</v>
      </c>
      <c r="M38" s="23"/>
      <c r="N38" s="4">
        <f>N34+N36</f>
        <v>0</v>
      </c>
      <c r="O38" s="23"/>
      <c r="P38" s="4">
        <f>P34+P36</f>
        <v>0</v>
      </c>
      <c r="Q38" s="23"/>
      <c r="R38" s="4">
        <f>R34+R36</f>
        <v>0</v>
      </c>
      <c r="S38" s="23"/>
      <c r="T38" s="4">
        <f>T34+T36</f>
        <v>44578733.34128315</v>
      </c>
      <c r="U38" s="23"/>
      <c r="V38" s="4">
        <f>V34+V36</f>
        <v>15383443.24871685</v>
      </c>
      <c r="W38" s="32"/>
    </row>
    <row r="39" spans="1:23" x14ac:dyDescent="0.25">
      <c r="B39" s="5"/>
      <c r="C39" s="23"/>
      <c r="D39" s="5"/>
      <c r="E39" s="23"/>
      <c r="F39" s="5"/>
      <c r="G39" s="23"/>
      <c r="H39" s="5"/>
      <c r="I39" s="23"/>
      <c r="J39" s="5"/>
      <c r="K39" s="23"/>
      <c r="L39" s="5"/>
      <c r="M39" s="23"/>
      <c r="N39" s="5"/>
      <c r="O39" s="23"/>
      <c r="P39" s="5"/>
      <c r="Q39" s="23"/>
      <c r="R39" s="5"/>
      <c r="S39" s="23"/>
      <c r="T39" s="5"/>
      <c r="U39" s="23"/>
      <c r="V39" s="5"/>
      <c r="W39" s="32"/>
    </row>
    <row r="40" spans="1:23" x14ac:dyDescent="0.25">
      <c r="A40" s="1" t="s">
        <v>120</v>
      </c>
      <c r="B40" s="5"/>
      <c r="C40" s="23"/>
      <c r="D40" s="5"/>
      <c r="E40" s="23"/>
      <c r="F40" s="5"/>
      <c r="G40" s="23"/>
      <c r="H40" s="5">
        <v>-1491132</v>
      </c>
      <c r="I40" s="23"/>
      <c r="J40" s="5"/>
      <c r="K40" s="23"/>
      <c r="L40" s="5">
        <v>351382.19999999995</v>
      </c>
      <c r="M40" s="23"/>
      <c r="N40" s="5"/>
      <c r="O40" s="23"/>
      <c r="P40" s="5"/>
      <c r="Q40" s="23"/>
      <c r="R40" s="5"/>
      <c r="S40" s="23"/>
      <c r="T40" s="5">
        <f>SUM(D40:R40)</f>
        <v>-1139749.8</v>
      </c>
      <c r="U40" s="23"/>
      <c r="V40" s="5">
        <f>+B40-T40</f>
        <v>1139749.8</v>
      </c>
      <c r="W40" s="32"/>
    </row>
    <row r="41" spans="1:23" x14ac:dyDescent="0.25">
      <c r="A41" s="1" t="s">
        <v>121</v>
      </c>
      <c r="B41" s="5"/>
      <c r="C41" s="23"/>
      <c r="D41" s="5"/>
      <c r="E41" s="23"/>
      <c r="F41" s="5"/>
      <c r="G41" s="23"/>
      <c r="H41" s="5"/>
      <c r="I41" s="23"/>
      <c r="J41" s="5"/>
      <c r="K41" s="23"/>
      <c r="L41" s="5"/>
      <c r="M41" s="23"/>
      <c r="N41" s="5"/>
      <c r="O41" s="23"/>
      <c r="P41" s="5"/>
      <c r="Q41" s="23"/>
      <c r="R41" s="5"/>
      <c r="S41" s="23"/>
      <c r="T41" s="5">
        <f>SUM(D41:R41)</f>
        <v>0</v>
      </c>
      <c r="U41" s="23"/>
      <c r="V41" s="5">
        <f>+B41-T41</f>
        <v>0</v>
      </c>
      <c r="W41" s="32"/>
    </row>
    <row r="42" spans="1:23" x14ac:dyDescent="0.25">
      <c r="B42" s="5"/>
      <c r="C42" s="23"/>
      <c r="D42" s="5"/>
      <c r="E42" s="23"/>
      <c r="F42" s="5"/>
      <c r="G42" s="23"/>
      <c r="H42" s="5"/>
      <c r="I42" s="23"/>
      <c r="J42" s="5"/>
      <c r="K42" s="23"/>
      <c r="L42" s="5">
        <f>-(-B42+D42+F42+H42+J42)*0.24522</f>
        <v>0</v>
      </c>
      <c r="M42" s="23"/>
      <c r="N42" s="5"/>
      <c r="O42" s="23"/>
      <c r="P42" s="5"/>
      <c r="Q42" s="23"/>
      <c r="R42" s="5"/>
      <c r="S42" s="23"/>
      <c r="T42" s="5">
        <f>SUM(D42:R42)</f>
        <v>0</v>
      </c>
      <c r="U42" s="23"/>
      <c r="V42" s="5">
        <f>+B42-T42</f>
        <v>0</v>
      </c>
      <c r="W42" s="32"/>
    </row>
    <row r="43" spans="1:23" x14ac:dyDescent="0.25">
      <c r="B43" s="4"/>
      <c r="C43" s="23"/>
      <c r="D43" s="4"/>
      <c r="E43" s="23"/>
      <c r="F43" s="4"/>
      <c r="G43" s="23"/>
      <c r="H43" s="4"/>
      <c r="I43" s="23"/>
      <c r="J43" s="4"/>
      <c r="K43" s="23"/>
      <c r="L43" s="5">
        <f>-(-B43+D43+F43+H43+J43)*0.24522</f>
        <v>0</v>
      </c>
      <c r="M43" s="23"/>
      <c r="N43" s="4"/>
      <c r="O43" s="23"/>
      <c r="P43" s="4"/>
      <c r="Q43" s="23"/>
      <c r="R43" s="4"/>
      <c r="S43" s="23"/>
      <c r="T43" s="4">
        <f>SUM(D43:R43)</f>
        <v>0</v>
      </c>
      <c r="U43" s="23"/>
      <c r="V43" s="4">
        <f>+B43-T43</f>
        <v>0</v>
      </c>
      <c r="W43" s="32"/>
    </row>
    <row r="44" spans="1:23" x14ac:dyDescent="0.25">
      <c r="A44" s="1" t="s">
        <v>83</v>
      </c>
      <c r="B44" s="24">
        <f>SUM(B40:B43)</f>
        <v>0</v>
      </c>
      <c r="C44" s="23"/>
      <c r="D44" s="24">
        <f>SUM(D40:D43)</f>
        <v>0</v>
      </c>
      <c r="E44" s="23"/>
      <c r="F44" s="24">
        <f>SUM(F40:F43)</f>
        <v>0</v>
      </c>
      <c r="G44" s="23"/>
      <c r="H44" s="24">
        <f>SUM(H40:H43)</f>
        <v>-1491132</v>
      </c>
      <c r="I44" s="23"/>
      <c r="J44" s="24">
        <f>SUM(J40:J43)</f>
        <v>0</v>
      </c>
      <c r="K44" s="23"/>
      <c r="L44" s="24">
        <f>SUM(L40:L43)</f>
        <v>351382.19999999995</v>
      </c>
      <c r="M44" s="23"/>
      <c r="N44" s="24">
        <f>SUM(N40:N43)</f>
        <v>0</v>
      </c>
      <c r="O44" s="23"/>
      <c r="P44" s="24">
        <f>SUM(P40:P43)</f>
        <v>0</v>
      </c>
      <c r="Q44" s="23"/>
      <c r="R44" s="24">
        <f>SUM(R40:R43)</f>
        <v>0</v>
      </c>
      <c r="S44" s="23"/>
      <c r="T44" s="24">
        <f>SUM(T40:T43)</f>
        <v>-1139749.8</v>
      </c>
      <c r="U44" s="23"/>
      <c r="V44" s="24">
        <f>SUM(V40:V43)</f>
        <v>1139749.8</v>
      </c>
      <c r="W44" s="32"/>
    </row>
    <row r="45" spans="1:23" x14ac:dyDescent="0.25">
      <c r="B45" s="5"/>
      <c r="C45" s="23"/>
      <c r="D45" s="5"/>
      <c r="E45" s="23"/>
      <c r="F45" s="5"/>
      <c r="G45" s="23"/>
      <c r="H45" s="5"/>
      <c r="I45" s="23"/>
      <c r="J45" s="5"/>
      <c r="K45" s="23"/>
      <c r="L45" s="5"/>
      <c r="M45" s="23"/>
      <c r="N45" s="5"/>
      <c r="O45" s="23"/>
      <c r="P45" s="5"/>
      <c r="Q45" s="23"/>
      <c r="R45" s="5"/>
      <c r="S45" s="23"/>
      <c r="T45" s="5"/>
      <c r="U45" s="23"/>
      <c r="V45" s="5"/>
      <c r="W45" s="32"/>
    </row>
    <row r="46" spans="1:23" x14ac:dyDescent="0.25">
      <c r="B46" s="5"/>
      <c r="C46" s="23"/>
      <c r="D46" s="5"/>
      <c r="E46" s="23"/>
      <c r="F46" s="5"/>
      <c r="G46" s="23"/>
      <c r="H46" s="5"/>
      <c r="I46" s="23"/>
      <c r="J46" s="5"/>
      <c r="K46" s="23"/>
      <c r="L46" s="5"/>
      <c r="M46" s="23"/>
      <c r="N46" s="5"/>
      <c r="O46" s="23"/>
      <c r="P46" s="5"/>
      <c r="Q46" s="23"/>
      <c r="R46" s="5"/>
      <c r="S46" s="23"/>
      <c r="T46" s="5"/>
      <c r="U46" s="23"/>
      <c r="V46" s="5"/>
      <c r="W46" s="32"/>
    </row>
    <row r="47" spans="1:23" ht="15.75" thickBot="1" x14ac:dyDescent="0.3">
      <c r="A47" s="1" t="s">
        <v>84</v>
      </c>
      <c r="B47" s="26">
        <f t="shared" ref="B47:T47" si="3">+B38+B44</f>
        <v>59962176.590000004</v>
      </c>
      <c r="C47" s="23"/>
      <c r="D47" s="26">
        <f t="shared" si="3"/>
        <v>0</v>
      </c>
      <c r="E47" s="23"/>
      <c r="F47" s="26">
        <f t="shared" si="3"/>
        <v>24311735.831121299</v>
      </c>
      <c r="G47" s="23"/>
      <c r="H47" s="26">
        <f t="shared" si="3"/>
        <v>10033866.61458738</v>
      </c>
      <c r="I47" s="23"/>
      <c r="J47" s="26">
        <f t="shared" si="3"/>
        <v>5180380.3001303412</v>
      </c>
      <c r="K47" s="23"/>
      <c r="L47" s="26">
        <f t="shared" si="3"/>
        <v>3913000.7954441216</v>
      </c>
      <c r="M47" s="23"/>
      <c r="N47" s="26">
        <f t="shared" si="3"/>
        <v>0</v>
      </c>
      <c r="O47" s="23"/>
      <c r="P47" s="26">
        <f t="shared" si="3"/>
        <v>0</v>
      </c>
      <c r="Q47" s="23"/>
      <c r="R47" s="26">
        <f t="shared" si="3"/>
        <v>0</v>
      </c>
      <c r="S47" s="23"/>
      <c r="T47" s="26">
        <f t="shared" si="3"/>
        <v>43438983.541283153</v>
      </c>
      <c r="U47" s="23"/>
      <c r="V47" s="26">
        <f>+V38+V44</f>
        <v>16523193.048716851</v>
      </c>
      <c r="W47" s="32"/>
    </row>
    <row r="48" spans="1:23" ht="15.75" thickTop="1" x14ac:dyDescent="0.25">
      <c r="B48" s="5"/>
      <c r="C48" s="23"/>
      <c r="D48" s="5"/>
      <c r="E48" s="23"/>
      <c r="F48" s="5"/>
      <c r="G48" s="23"/>
      <c r="H48" s="5"/>
      <c r="I48" s="23"/>
      <c r="J48" s="5"/>
      <c r="K48" s="23"/>
      <c r="L48" s="5"/>
      <c r="M48" s="23"/>
      <c r="N48" s="5"/>
      <c r="O48" s="23"/>
      <c r="P48" s="5"/>
      <c r="Q48" s="23"/>
      <c r="R48" s="5"/>
      <c r="S48" s="23"/>
      <c r="T48" s="5"/>
      <c r="U48" s="23"/>
      <c r="V48" s="5"/>
      <c r="W48" s="32"/>
    </row>
    <row r="49" spans="2:23" x14ac:dyDescent="0.25">
      <c r="B49" s="32"/>
      <c r="C49" s="33"/>
      <c r="D49" s="32"/>
      <c r="E49" s="33"/>
      <c r="F49" s="32"/>
      <c r="G49" s="33"/>
      <c r="H49" s="32"/>
      <c r="I49" s="33"/>
      <c r="J49" s="32"/>
      <c r="K49" s="33"/>
      <c r="L49" s="32"/>
      <c r="M49" s="33"/>
      <c r="N49" s="32"/>
      <c r="O49" s="33"/>
      <c r="P49" s="32"/>
      <c r="Q49" s="33"/>
      <c r="R49" s="32"/>
      <c r="S49" s="33"/>
      <c r="T49" s="32"/>
      <c r="U49" s="33"/>
      <c r="V49" s="32"/>
      <c r="W49" s="32"/>
    </row>
    <row r="50" spans="2:23" x14ac:dyDescent="0.25">
      <c r="B50" s="32"/>
      <c r="C50" s="33"/>
      <c r="D50" s="32"/>
      <c r="E50" s="33"/>
      <c r="F50" s="32"/>
      <c r="G50" s="33"/>
      <c r="H50" s="32"/>
      <c r="I50" s="33"/>
      <c r="J50" s="32"/>
      <c r="K50" s="33"/>
      <c r="L50" s="32"/>
      <c r="M50" s="33"/>
      <c r="N50" s="32"/>
      <c r="O50" s="33"/>
      <c r="P50" s="32"/>
      <c r="Q50" s="33"/>
      <c r="R50" s="32"/>
      <c r="S50" s="33"/>
      <c r="T50" s="32"/>
      <c r="U50" s="33"/>
      <c r="V50" s="32"/>
      <c r="W50" s="32"/>
    </row>
  </sheetData>
  <pageMargins left="0.25" right="0.25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63"/>
  <sheetViews>
    <sheetView zoomScale="80" zoomScaleNormal="80" zoomScaleSheetLayoutView="100" workbookViewId="0">
      <selection activeCell="T30" sqref="T30"/>
    </sheetView>
  </sheetViews>
  <sheetFormatPr defaultColWidth="9.140625" defaultRowHeight="15" x14ac:dyDescent="0.25"/>
  <cols>
    <col min="1" max="1" width="32.42578125" style="2" bestFit="1" customWidth="1"/>
    <col min="2" max="2" width="3.5703125" style="2" customWidth="1"/>
    <col min="3" max="3" width="3.85546875" style="2" customWidth="1"/>
    <col min="4" max="4" width="17.28515625" style="2" customWidth="1"/>
    <col min="5" max="5" width="13.85546875" style="2" customWidth="1"/>
    <col min="6" max="6" width="16.5703125" style="2" customWidth="1"/>
    <col min="7" max="7" width="14.5703125" style="2" bestFit="1" customWidth="1"/>
    <col min="8" max="8" width="12.5703125" style="2" customWidth="1"/>
    <col min="9" max="9" width="15.5703125" style="2" customWidth="1"/>
    <col min="10" max="10" width="11.140625" style="2" customWidth="1"/>
    <col min="11" max="11" width="10.7109375" style="2" customWidth="1"/>
    <col min="12" max="13" width="11.140625" style="2" customWidth="1"/>
    <col min="14" max="14" width="10.5703125" style="2" customWidth="1"/>
    <col min="15" max="15" width="11.5703125" style="2" customWidth="1"/>
    <col min="16" max="16" width="13" style="2" customWidth="1"/>
    <col min="17" max="18" width="9.140625" style="2"/>
    <col min="19" max="19" width="12.140625" style="2" bestFit="1" customWidth="1"/>
    <col min="20" max="20" width="14.28515625" style="2" customWidth="1"/>
    <col min="21" max="16384" width="9.140625" style="2"/>
  </cols>
  <sheetData>
    <row r="1" spans="1:19" x14ac:dyDescent="0.25">
      <c r="A1" s="1" t="str">
        <f>'Report Summary'!A1</f>
        <v>FLORIDA PUBLIC UTILITIES COMPANY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0"/>
      <c r="P1" s="1" t="s">
        <v>125</v>
      </c>
    </row>
    <row r="2" spans="1:19" x14ac:dyDescent="0.25">
      <c r="A2" s="1" t="str">
        <f>'Report Summary'!A2</f>
        <v>NATURAL GAS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x14ac:dyDescent="0.25">
      <c r="A3" s="1" t="s">
        <v>126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9" x14ac:dyDescent="0.25">
      <c r="A4" s="34" t="str">
        <f>'Report Summary'!$A$4</f>
        <v>For the 12 Months Ending December 31, 2021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9" x14ac:dyDescent="0.25">
      <c r="A5" s="1" t="s">
        <v>127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9" x14ac:dyDescent="0.25">
      <c r="A6" s="1"/>
      <c r="B6" s="1"/>
      <c r="C6" s="1"/>
      <c r="D6" s="3"/>
      <c r="E6" s="3"/>
      <c r="F6" s="3"/>
      <c r="G6" s="3"/>
      <c r="H6" s="3"/>
      <c r="I6" s="3"/>
      <c r="J6" s="3"/>
      <c r="K6" s="61" t="s">
        <v>128</v>
      </c>
      <c r="L6" s="61"/>
      <c r="M6" s="61" t="s">
        <v>129</v>
      </c>
      <c r="N6" s="61"/>
      <c r="O6" s="61" t="s">
        <v>130</v>
      </c>
      <c r="P6" s="61"/>
      <c r="Q6" s="35"/>
      <c r="R6" s="35"/>
      <c r="S6" s="35"/>
    </row>
    <row r="7" spans="1:19" x14ac:dyDescent="0.25">
      <c r="A7" s="1"/>
      <c r="B7" s="1"/>
      <c r="C7" s="1"/>
      <c r="D7" s="36"/>
      <c r="E7" s="37"/>
      <c r="F7" s="37"/>
      <c r="G7" s="37"/>
      <c r="H7" s="37"/>
      <c r="I7" s="37"/>
      <c r="J7" s="38"/>
      <c r="K7" s="36"/>
      <c r="L7" s="39"/>
      <c r="M7" s="36"/>
      <c r="N7" s="39"/>
      <c r="O7" s="37"/>
      <c r="P7" s="39"/>
      <c r="Q7" s="35"/>
      <c r="R7" s="35"/>
      <c r="S7" s="35"/>
    </row>
    <row r="8" spans="1:19" x14ac:dyDescent="0.25">
      <c r="A8" s="1"/>
      <c r="B8" s="1"/>
      <c r="C8" s="1"/>
      <c r="D8" s="40"/>
      <c r="E8" s="21" t="s">
        <v>14</v>
      </c>
      <c r="F8" s="21"/>
      <c r="G8" s="21"/>
      <c r="H8" s="21"/>
      <c r="I8" s="21"/>
      <c r="J8" s="41"/>
      <c r="K8" s="40" t="s">
        <v>131</v>
      </c>
      <c r="L8" s="42" t="s">
        <v>132</v>
      </c>
      <c r="M8" s="40" t="s">
        <v>131</v>
      </c>
      <c r="N8" s="42" t="s">
        <v>132</v>
      </c>
      <c r="O8" s="21" t="s">
        <v>131</v>
      </c>
      <c r="P8" s="42" t="s">
        <v>132</v>
      </c>
      <c r="Q8" s="35"/>
      <c r="R8" s="35"/>
      <c r="S8" s="35"/>
    </row>
    <row r="9" spans="1:19" x14ac:dyDescent="0.25">
      <c r="A9" s="1"/>
      <c r="B9" s="1"/>
      <c r="C9" s="1"/>
      <c r="D9" s="40"/>
      <c r="E9" s="21"/>
      <c r="F9" s="21" t="s">
        <v>133</v>
      </c>
      <c r="G9" s="21"/>
      <c r="H9" s="21"/>
      <c r="I9" s="21"/>
      <c r="J9" s="41" t="s">
        <v>134</v>
      </c>
      <c r="K9" s="40" t="s">
        <v>135</v>
      </c>
      <c r="L9" s="42" t="s">
        <v>136</v>
      </c>
      <c r="M9" s="40" t="s">
        <v>135</v>
      </c>
      <c r="N9" s="42" t="s">
        <v>136</v>
      </c>
      <c r="O9" s="21" t="s">
        <v>135</v>
      </c>
      <c r="P9" s="42" t="s">
        <v>136</v>
      </c>
      <c r="Q9" s="35"/>
      <c r="R9" s="35"/>
      <c r="S9" s="35"/>
    </row>
    <row r="10" spans="1:19" x14ac:dyDescent="0.25">
      <c r="A10" s="43" t="s">
        <v>137</v>
      </c>
      <c r="B10" s="1"/>
      <c r="C10" s="1"/>
      <c r="D10" s="44" t="s">
        <v>13</v>
      </c>
      <c r="E10" s="22" t="s">
        <v>138</v>
      </c>
      <c r="F10" s="22" t="s">
        <v>139</v>
      </c>
      <c r="G10" s="22" t="s">
        <v>140</v>
      </c>
      <c r="H10" s="22" t="s">
        <v>141</v>
      </c>
      <c r="I10" s="22" t="s">
        <v>142</v>
      </c>
      <c r="J10" s="45" t="s">
        <v>143</v>
      </c>
      <c r="K10" s="44" t="s">
        <v>144</v>
      </c>
      <c r="L10" s="46" t="s">
        <v>145</v>
      </c>
      <c r="M10" s="44" t="s">
        <v>144</v>
      </c>
      <c r="N10" s="46" t="s">
        <v>145</v>
      </c>
      <c r="O10" s="22" t="s">
        <v>144</v>
      </c>
      <c r="P10" s="46" t="s">
        <v>145</v>
      </c>
      <c r="Q10" s="35"/>
      <c r="R10" s="35"/>
      <c r="S10" s="35"/>
    </row>
    <row r="11" spans="1:19" x14ac:dyDescent="0.25">
      <c r="A11" s="1"/>
      <c r="B11" s="1"/>
      <c r="C11" s="1"/>
      <c r="D11" s="14"/>
      <c r="E11" s="15"/>
      <c r="F11" s="15"/>
      <c r="G11" s="15"/>
      <c r="H11" s="15"/>
      <c r="I11" s="15"/>
      <c r="J11" s="47"/>
      <c r="K11" s="14"/>
      <c r="L11" s="16"/>
      <c r="M11" s="14"/>
      <c r="N11" s="16"/>
      <c r="O11" s="15"/>
      <c r="P11" s="16"/>
    </row>
    <row r="12" spans="1:19" x14ac:dyDescent="0.25">
      <c r="A12" s="1"/>
      <c r="B12" s="1"/>
      <c r="C12" s="1"/>
      <c r="D12" s="14"/>
      <c r="E12" s="15"/>
      <c r="F12" s="15"/>
      <c r="G12" s="15"/>
      <c r="H12" s="15"/>
      <c r="I12" s="15"/>
      <c r="J12" s="47"/>
      <c r="K12" s="14"/>
      <c r="L12" s="16"/>
      <c r="M12" s="14"/>
      <c r="N12" s="16"/>
      <c r="O12" s="15"/>
      <c r="P12" s="16"/>
    </row>
    <row r="13" spans="1:19" x14ac:dyDescent="0.25">
      <c r="A13" s="1" t="s">
        <v>146</v>
      </c>
      <c r="B13" s="1"/>
      <c r="C13" s="1"/>
      <c r="D13" s="48">
        <v>129906307</v>
      </c>
      <c r="E13" s="30"/>
      <c r="F13" s="23">
        <f>D13+E13</f>
        <v>129906307</v>
      </c>
      <c r="G13" s="23">
        <v>-422467</v>
      </c>
      <c r="H13" s="23">
        <f>+'Avg ROR'!P19</f>
        <v>-2469682</v>
      </c>
      <c r="I13" s="23">
        <f>F13+G13+H13</f>
        <v>127014158</v>
      </c>
      <c r="J13" s="49">
        <f>ROUND(I13/$I$30,5)</f>
        <v>0.41837000000000002</v>
      </c>
      <c r="K13" s="50">
        <f>M13-0.01</f>
        <v>9.8500000000000004E-2</v>
      </c>
      <c r="L13" s="51">
        <f>ROUND($J13*K13,4)</f>
        <v>4.1200000000000001E-2</v>
      </c>
      <c r="M13" s="50">
        <v>0.1085</v>
      </c>
      <c r="N13" s="51">
        <f>ROUND($J13*M13,4)</f>
        <v>4.5400000000000003E-2</v>
      </c>
      <c r="O13" s="52">
        <f>M13+0.01</f>
        <v>0.11849999999999999</v>
      </c>
      <c r="P13" s="51">
        <f>ROUND($J13*O13,4)</f>
        <v>4.9599999999999998E-2</v>
      </c>
      <c r="S13" s="53"/>
    </row>
    <row r="14" spans="1:19" x14ac:dyDescent="0.25">
      <c r="A14" s="1"/>
      <c r="B14" s="1"/>
      <c r="C14" s="1"/>
      <c r="D14" s="48"/>
      <c r="E14" s="23"/>
      <c r="F14" s="23"/>
      <c r="G14" s="23"/>
      <c r="H14" s="23"/>
      <c r="I14" s="23"/>
      <c r="J14" s="49"/>
      <c r="K14" s="50"/>
      <c r="L14" s="51"/>
      <c r="M14" s="50"/>
      <c r="N14" s="51"/>
      <c r="O14" s="52"/>
      <c r="P14" s="51"/>
      <c r="S14" s="1"/>
    </row>
    <row r="15" spans="1:19" x14ac:dyDescent="0.25">
      <c r="A15" s="1" t="s">
        <v>147</v>
      </c>
      <c r="B15" s="1"/>
      <c r="C15" s="1"/>
      <c r="D15" s="48">
        <v>91176361.578606755</v>
      </c>
      <c r="E15" s="23"/>
      <c r="F15" s="23">
        <f>D15+E15</f>
        <v>91176361.578606755</v>
      </c>
      <c r="G15" s="23">
        <v>-296514</v>
      </c>
      <c r="H15" s="23"/>
      <c r="I15" s="23">
        <f>F15+G15+H15</f>
        <v>90879847.578606755</v>
      </c>
      <c r="J15" s="49">
        <f>ROUND(I15/$I$30,5)</f>
        <v>0.29935</v>
      </c>
      <c r="K15" s="50">
        <v>3.6025772184299656E-2</v>
      </c>
      <c r="L15" s="51">
        <f>ROUND($J15*K15,4)</f>
        <v>1.0800000000000001E-2</v>
      </c>
      <c r="M15" s="50">
        <f>+K15</f>
        <v>3.6025772184299656E-2</v>
      </c>
      <c r="N15" s="51">
        <f>ROUND($J15*M15,4)</f>
        <v>1.0800000000000001E-2</v>
      </c>
      <c r="O15" s="52">
        <f>K15</f>
        <v>3.6025772184299656E-2</v>
      </c>
      <c r="P15" s="51">
        <f>ROUND($J15*O15,4)</f>
        <v>1.0800000000000001E-2</v>
      </c>
      <c r="S15" s="53"/>
    </row>
    <row r="16" spans="1:19" x14ac:dyDescent="0.25">
      <c r="A16" s="1"/>
      <c r="B16" s="1"/>
      <c r="C16" s="1"/>
      <c r="D16" s="48"/>
      <c r="E16" s="23"/>
      <c r="F16" s="23"/>
      <c r="G16" s="23"/>
      <c r="H16" s="23"/>
      <c r="I16" s="23"/>
      <c r="J16" s="49"/>
      <c r="K16" s="50"/>
      <c r="L16" s="51"/>
      <c r="M16" s="50"/>
      <c r="N16" s="51"/>
      <c r="O16" s="52"/>
      <c r="P16" s="51"/>
      <c r="S16" s="1"/>
    </row>
    <row r="17" spans="1:19" x14ac:dyDescent="0.25">
      <c r="A17" s="1" t="s">
        <v>148</v>
      </c>
      <c r="B17" s="1"/>
      <c r="C17" s="1"/>
      <c r="D17" s="48">
        <v>32293194</v>
      </c>
      <c r="E17" s="23"/>
      <c r="F17" s="23">
        <f>D17+E17</f>
        <v>32293194</v>
      </c>
      <c r="G17" s="23">
        <v>-105020</v>
      </c>
      <c r="H17" s="23"/>
      <c r="I17" s="23">
        <f>F17+G17+H17</f>
        <v>32188174</v>
      </c>
      <c r="J17" s="49">
        <f>ROUND(I17/$I$30,5)</f>
        <v>0.10602</v>
      </c>
      <c r="K17" s="50">
        <v>1.4200000000000001E-2</v>
      </c>
      <c r="L17" s="51">
        <f>ROUND($J17*K17,4)</f>
        <v>1.5E-3</v>
      </c>
      <c r="M17" s="50">
        <f>+K17</f>
        <v>1.4200000000000001E-2</v>
      </c>
      <c r="N17" s="51">
        <f>ROUND($J17*M17,4)</f>
        <v>1.5E-3</v>
      </c>
      <c r="O17" s="52">
        <f>M17</f>
        <v>1.4200000000000001E-2</v>
      </c>
      <c r="P17" s="51">
        <f>ROUND($J17*O17,4)</f>
        <v>1.5E-3</v>
      </c>
      <c r="S17" s="53"/>
    </row>
    <row r="18" spans="1:19" x14ac:dyDescent="0.25">
      <c r="A18" s="1"/>
      <c r="B18" s="1"/>
      <c r="C18" s="1"/>
      <c r="D18" s="48"/>
      <c r="E18" s="23"/>
      <c r="F18" s="23"/>
      <c r="G18" s="23"/>
      <c r="H18" s="23"/>
      <c r="I18" s="23"/>
      <c r="J18" s="49"/>
      <c r="K18" s="50"/>
      <c r="L18" s="51"/>
      <c r="M18" s="50"/>
      <c r="N18" s="51"/>
      <c r="O18" s="52"/>
      <c r="P18" s="51"/>
      <c r="S18" s="1"/>
    </row>
    <row r="19" spans="1:19" x14ac:dyDescent="0.25">
      <c r="A19" s="1" t="s">
        <v>149</v>
      </c>
      <c r="B19" s="1"/>
      <c r="C19" s="1"/>
      <c r="D19" s="48">
        <v>8766028</v>
      </c>
      <c r="E19" s="23"/>
      <c r="F19" s="23">
        <f>D19+E19</f>
        <v>8766028</v>
      </c>
      <c r="G19" s="23"/>
      <c r="H19" s="23"/>
      <c r="I19" s="23">
        <f>F19+G19+H19</f>
        <v>8766028</v>
      </c>
      <c r="J19" s="49">
        <f>ROUND(I19/$I$30,5)</f>
        <v>2.887E-2</v>
      </c>
      <c r="K19" s="50">
        <v>2.413432350084431E-2</v>
      </c>
      <c r="L19" s="51">
        <f>ROUND($J19*K19,4)</f>
        <v>6.9999999999999999E-4</v>
      </c>
      <c r="M19" s="50">
        <f>+K19</f>
        <v>2.413432350084431E-2</v>
      </c>
      <c r="N19" s="51">
        <f>ROUND($J19*M19,4)</f>
        <v>6.9999999999999999E-4</v>
      </c>
      <c r="O19" s="52">
        <f>+M19</f>
        <v>2.413432350084431E-2</v>
      </c>
      <c r="P19" s="51">
        <f>ROUND($J19*O19,4)</f>
        <v>6.9999999999999999E-4</v>
      </c>
      <c r="S19" s="53"/>
    </row>
    <row r="20" spans="1:19" x14ac:dyDescent="0.25">
      <c r="A20" s="1"/>
      <c r="B20" s="1"/>
      <c r="C20" s="1"/>
      <c r="D20" s="48"/>
      <c r="E20" s="23"/>
      <c r="F20" s="23"/>
      <c r="G20" s="23"/>
      <c r="H20" s="23"/>
      <c r="I20" s="23"/>
      <c r="J20" s="49"/>
      <c r="K20" s="50"/>
      <c r="L20" s="51"/>
      <c r="M20" s="50"/>
      <c r="N20" s="51"/>
      <c r="O20" s="52"/>
      <c r="P20" s="51"/>
      <c r="S20" s="1"/>
    </row>
    <row r="21" spans="1:19" x14ac:dyDescent="0.25">
      <c r="A21" s="1" t="s">
        <v>150</v>
      </c>
      <c r="B21" s="1"/>
      <c r="C21" s="1"/>
      <c r="D21" s="48">
        <v>44744796.537669986</v>
      </c>
      <c r="E21" s="23"/>
      <c r="F21" s="23">
        <f>D21+E21</f>
        <v>44744796.537669986</v>
      </c>
      <c r="G21" s="23"/>
      <c r="H21" s="23"/>
      <c r="I21" s="23">
        <f>F21+G21+H21</f>
        <v>44744796.537669986</v>
      </c>
      <c r="J21" s="49">
        <f>ROUND(I21/$I$30,5)</f>
        <v>0.14738000000000001</v>
      </c>
      <c r="K21" s="50">
        <v>0</v>
      </c>
      <c r="L21" s="51">
        <f>ROUND($J21*K21,4)</f>
        <v>0</v>
      </c>
      <c r="M21" s="50">
        <f>+K21</f>
        <v>0</v>
      </c>
      <c r="N21" s="51">
        <f>ROUND($J21*M21,4)</f>
        <v>0</v>
      </c>
      <c r="O21" s="52">
        <f>M21</f>
        <v>0</v>
      </c>
      <c r="P21" s="51">
        <f>ROUND($J21*O21,4)</f>
        <v>0</v>
      </c>
      <c r="S21" s="53"/>
    </row>
    <row r="22" spans="1:19" x14ac:dyDescent="0.25">
      <c r="A22" s="1"/>
      <c r="B22" s="1"/>
      <c r="C22" s="1"/>
      <c r="D22" s="48"/>
      <c r="E22" s="23"/>
      <c r="F22" s="23"/>
      <c r="G22" s="23"/>
      <c r="H22" s="23"/>
      <c r="I22" s="23"/>
      <c r="J22" s="49"/>
      <c r="K22" s="50"/>
      <c r="L22" s="51"/>
      <c r="M22" s="50"/>
      <c r="N22" s="51"/>
      <c r="O22" s="52"/>
      <c r="P22" s="51"/>
      <c r="S22" s="1"/>
    </row>
    <row r="23" spans="1:19" x14ac:dyDescent="0.25">
      <c r="A23" s="1" t="s">
        <v>151</v>
      </c>
      <c r="B23" s="1"/>
      <c r="C23" s="1"/>
      <c r="D23" s="48">
        <v>0</v>
      </c>
      <c r="E23" s="23"/>
      <c r="F23" s="23">
        <f>D23+E23</f>
        <v>0</v>
      </c>
      <c r="G23" s="23"/>
      <c r="H23" s="23"/>
      <c r="I23" s="23">
        <f>F23+G23+H23</f>
        <v>0</v>
      </c>
      <c r="J23" s="49">
        <f>ROUND(I23/$I$30,5)</f>
        <v>0</v>
      </c>
      <c r="K23" s="50">
        <f>SUM(L13:L17)</f>
        <v>5.3500000000000006E-2</v>
      </c>
      <c r="L23" s="51">
        <f>ROUND($J23*K23,4)</f>
        <v>0</v>
      </c>
      <c r="M23" s="50">
        <f>SUM(N13:N17)</f>
        <v>5.7700000000000001E-2</v>
      </c>
      <c r="N23" s="51">
        <f>ROUND($J23*M23,4)</f>
        <v>0</v>
      </c>
      <c r="O23" s="52">
        <f>SUM(P13:P17)</f>
        <v>6.1899999999999997E-2</v>
      </c>
      <c r="P23" s="51">
        <f>ROUND($J23*O23,4)</f>
        <v>0</v>
      </c>
      <c r="S23" s="53"/>
    </row>
    <row r="24" spans="1:19" x14ac:dyDescent="0.25">
      <c r="A24" s="1"/>
      <c r="B24" s="1"/>
      <c r="C24" s="1"/>
      <c r="D24" s="48"/>
      <c r="E24" s="23"/>
      <c r="F24" s="23"/>
      <c r="G24" s="23"/>
      <c r="H24" s="23"/>
      <c r="I24" s="23"/>
      <c r="J24" s="49"/>
      <c r="K24" s="50"/>
      <c r="L24" s="51"/>
      <c r="M24" s="50"/>
      <c r="N24" s="51"/>
      <c r="O24" s="52"/>
      <c r="P24" s="51"/>
      <c r="S24" s="53"/>
    </row>
    <row r="25" spans="1:19" x14ac:dyDescent="0.25">
      <c r="A25" s="1"/>
      <c r="B25" s="1"/>
      <c r="C25" s="1"/>
      <c r="D25" s="48"/>
      <c r="E25" s="23"/>
      <c r="F25" s="23"/>
      <c r="G25" s="23"/>
      <c r="H25" s="23"/>
      <c r="I25" s="23"/>
      <c r="J25" s="49"/>
      <c r="K25" s="50"/>
      <c r="L25" s="51"/>
      <c r="M25" s="50"/>
      <c r="N25" s="51"/>
      <c r="O25" s="52"/>
      <c r="P25" s="51"/>
      <c r="S25" s="1"/>
    </row>
    <row r="26" spans="1:19" x14ac:dyDescent="0.25">
      <c r="A26" s="1"/>
      <c r="B26" s="1"/>
      <c r="C26" s="1"/>
      <c r="D26" s="48"/>
      <c r="E26" s="23"/>
      <c r="F26" s="23"/>
      <c r="G26" s="23"/>
      <c r="H26" s="23"/>
      <c r="I26" s="23"/>
      <c r="J26" s="49"/>
      <c r="K26" s="50"/>
      <c r="L26" s="51"/>
      <c r="M26" s="50"/>
      <c r="N26" s="51"/>
      <c r="O26" s="52"/>
      <c r="P26" s="51"/>
      <c r="S26" s="53"/>
    </row>
    <row r="27" spans="1:19" x14ac:dyDescent="0.25">
      <c r="A27" s="1"/>
      <c r="B27" s="1"/>
      <c r="C27" s="1"/>
      <c r="D27" s="48"/>
      <c r="E27" s="23"/>
      <c r="F27" s="23"/>
      <c r="G27" s="23"/>
      <c r="H27" s="23"/>
      <c r="I27" s="23"/>
      <c r="J27" s="49"/>
      <c r="K27" s="50"/>
      <c r="L27" s="51"/>
      <c r="M27" s="50"/>
      <c r="N27" s="51"/>
      <c r="O27" s="52"/>
      <c r="P27" s="51"/>
      <c r="S27" s="1"/>
    </row>
    <row r="28" spans="1:19" x14ac:dyDescent="0.25">
      <c r="A28" s="1"/>
      <c r="B28" s="1"/>
      <c r="C28" s="1"/>
      <c r="D28" s="54"/>
      <c r="E28" s="4"/>
      <c r="F28" s="4"/>
      <c r="G28" s="4"/>
      <c r="H28" s="4"/>
      <c r="I28" s="4"/>
      <c r="J28" s="55"/>
      <c r="K28" s="56"/>
      <c r="L28" s="57"/>
      <c r="M28" s="56"/>
      <c r="N28" s="57"/>
      <c r="O28" s="7"/>
      <c r="P28" s="57"/>
      <c r="S28" s="1"/>
    </row>
    <row r="29" spans="1:19" x14ac:dyDescent="0.25">
      <c r="A29" s="1"/>
      <c r="B29" s="1"/>
      <c r="C29" s="1"/>
      <c r="D29" s="48"/>
      <c r="E29" s="23"/>
      <c r="F29" s="23"/>
      <c r="G29" s="23"/>
      <c r="H29" s="23"/>
      <c r="I29" s="23"/>
      <c r="J29" s="49"/>
      <c r="K29" s="50"/>
      <c r="L29" s="51"/>
      <c r="M29" s="50"/>
      <c r="N29" s="51"/>
      <c r="O29" s="52"/>
      <c r="P29" s="51"/>
      <c r="S29" s="1"/>
    </row>
    <row r="30" spans="1:19" x14ac:dyDescent="0.25">
      <c r="A30" s="1" t="s">
        <v>152</v>
      </c>
      <c r="B30" s="1"/>
      <c r="C30" s="1"/>
      <c r="D30" s="54">
        <f>SUM(D12:D28)</f>
        <v>306886687.11627674</v>
      </c>
      <c r="E30" s="4">
        <f>SUM(E13:E28)</f>
        <v>0</v>
      </c>
      <c r="F30" s="4">
        <f>SUM(F13:F28)</f>
        <v>306886687.11627674</v>
      </c>
      <c r="G30" s="4">
        <f>SUM(G13:G28)</f>
        <v>-824001</v>
      </c>
      <c r="H30" s="4">
        <f>SUM(H12:H28)</f>
        <v>-2469682</v>
      </c>
      <c r="I30" s="4">
        <f>SUM(I12:I28)</f>
        <v>303593004.11627674</v>
      </c>
      <c r="J30" s="55">
        <f>SUM(J13:J28)</f>
        <v>0.99998999999999993</v>
      </c>
      <c r="K30" s="56"/>
      <c r="L30" s="57">
        <f>SUM(L13:L28)</f>
        <v>5.4200000000000005E-2</v>
      </c>
      <c r="M30" s="56"/>
      <c r="N30" s="57">
        <f>SUM(N13:N28)</f>
        <v>5.8400000000000001E-2</v>
      </c>
      <c r="O30" s="7"/>
      <c r="P30" s="57">
        <f>SUM(P13:P28)</f>
        <v>6.2600000000000003E-2</v>
      </c>
      <c r="S30" s="1"/>
    </row>
    <row r="31" spans="1:1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S31" s="1"/>
    </row>
    <row r="32" spans="1:19" x14ac:dyDescent="0.25">
      <c r="A32" s="1"/>
      <c r="B32" s="1"/>
      <c r="C32" s="1"/>
      <c r="D32" s="1"/>
      <c r="E32" s="1"/>
      <c r="F32" s="1"/>
      <c r="G32" s="1"/>
      <c r="H32" s="1"/>
      <c r="I32" s="28"/>
      <c r="J32" s="1"/>
      <c r="K32" s="1"/>
      <c r="L32" s="1"/>
      <c r="M32" s="1"/>
      <c r="N32" s="1"/>
      <c r="O32" s="1"/>
      <c r="P32" s="1"/>
      <c r="S32" s="1"/>
    </row>
    <row r="33" spans="1:19" x14ac:dyDescent="0.25">
      <c r="A33" s="1"/>
      <c r="B33" s="1"/>
      <c r="C33" s="1"/>
      <c r="D33" s="3"/>
      <c r="E33" s="3"/>
      <c r="F33" s="3"/>
      <c r="G33" s="3"/>
      <c r="H33" s="3"/>
      <c r="I33" s="3"/>
      <c r="J33" s="3"/>
      <c r="K33" s="62" t="s">
        <v>128</v>
      </c>
      <c r="L33" s="62"/>
      <c r="M33" s="62" t="s">
        <v>129</v>
      </c>
      <c r="N33" s="62"/>
      <c r="O33" s="62" t="s">
        <v>130</v>
      </c>
      <c r="P33" s="62"/>
      <c r="S33" s="1"/>
    </row>
    <row r="34" spans="1:19" x14ac:dyDescent="0.25">
      <c r="A34" s="1"/>
      <c r="B34" s="1"/>
      <c r="C34" s="1"/>
      <c r="D34" s="36"/>
      <c r="E34" s="37"/>
      <c r="F34" s="37"/>
      <c r="G34" s="37"/>
      <c r="H34" s="37"/>
      <c r="I34" s="37"/>
      <c r="J34" s="38"/>
      <c r="K34" s="37"/>
      <c r="L34" s="39"/>
      <c r="M34" s="36"/>
      <c r="N34" s="39"/>
      <c r="O34" s="37"/>
      <c r="P34" s="39"/>
      <c r="S34" s="1"/>
    </row>
    <row r="35" spans="1:19" x14ac:dyDescent="0.25">
      <c r="A35" s="1"/>
      <c r="B35" s="1"/>
      <c r="C35" s="1"/>
      <c r="D35" s="40"/>
      <c r="E35" s="21" t="s">
        <v>14</v>
      </c>
      <c r="F35" s="21"/>
      <c r="G35" s="21"/>
      <c r="H35" s="21"/>
      <c r="I35" s="21"/>
      <c r="J35" s="41"/>
      <c r="K35" s="21" t="s">
        <v>131</v>
      </c>
      <c r="L35" s="42" t="s">
        <v>132</v>
      </c>
      <c r="M35" s="40" t="s">
        <v>131</v>
      </c>
      <c r="N35" s="42" t="s">
        <v>132</v>
      </c>
      <c r="O35" s="21" t="s">
        <v>131</v>
      </c>
      <c r="P35" s="42" t="s">
        <v>132</v>
      </c>
      <c r="S35" s="1"/>
    </row>
    <row r="36" spans="1:19" x14ac:dyDescent="0.25">
      <c r="A36" s="1"/>
      <c r="B36" s="1"/>
      <c r="C36" s="1"/>
      <c r="D36" s="40"/>
      <c r="E36" s="21"/>
      <c r="F36" s="21" t="s">
        <v>133</v>
      </c>
      <c r="G36" s="21"/>
      <c r="H36" s="21"/>
      <c r="I36" s="21"/>
      <c r="J36" s="41" t="s">
        <v>134</v>
      </c>
      <c r="K36" s="21" t="s">
        <v>135</v>
      </c>
      <c r="L36" s="42" t="s">
        <v>136</v>
      </c>
      <c r="M36" s="40" t="s">
        <v>135</v>
      </c>
      <c r="N36" s="42" t="s">
        <v>136</v>
      </c>
      <c r="O36" s="21" t="s">
        <v>135</v>
      </c>
      <c r="P36" s="42" t="s">
        <v>136</v>
      </c>
      <c r="S36" s="1"/>
    </row>
    <row r="37" spans="1:19" x14ac:dyDescent="0.25">
      <c r="A37" s="43" t="s">
        <v>153</v>
      </c>
      <c r="B37" s="1"/>
      <c r="C37" s="1"/>
      <c r="D37" s="44" t="s">
        <v>13</v>
      </c>
      <c r="E37" s="22" t="s">
        <v>138</v>
      </c>
      <c r="F37" s="22" t="s">
        <v>139</v>
      </c>
      <c r="G37" s="22" t="s">
        <v>140</v>
      </c>
      <c r="H37" s="22" t="s">
        <v>141</v>
      </c>
      <c r="I37" s="22" t="s">
        <v>142</v>
      </c>
      <c r="J37" s="45" t="s">
        <v>143</v>
      </c>
      <c r="K37" s="22" t="s">
        <v>144</v>
      </c>
      <c r="L37" s="46" t="s">
        <v>145</v>
      </c>
      <c r="M37" s="44" t="s">
        <v>144</v>
      </c>
      <c r="N37" s="46" t="s">
        <v>145</v>
      </c>
      <c r="O37" s="22" t="s">
        <v>144</v>
      </c>
      <c r="P37" s="46" t="s">
        <v>145</v>
      </c>
      <c r="S37" s="1"/>
    </row>
    <row r="38" spans="1:19" x14ac:dyDescent="0.25">
      <c r="A38" s="1"/>
      <c r="B38" s="1"/>
      <c r="C38" s="1"/>
      <c r="D38" s="14"/>
      <c r="E38" s="15"/>
      <c r="F38" s="15"/>
      <c r="G38" s="15"/>
      <c r="H38" s="15"/>
      <c r="I38" s="15"/>
      <c r="J38" s="47"/>
      <c r="K38" s="15"/>
      <c r="L38" s="16"/>
      <c r="M38" s="14"/>
      <c r="N38" s="16"/>
      <c r="O38" s="15"/>
      <c r="P38" s="16"/>
      <c r="S38" s="1"/>
    </row>
    <row r="39" spans="1:19" x14ac:dyDescent="0.25">
      <c r="A39" s="1"/>
      <c r="B39" s="1"/>
      <c r="C39" s="1"/>
      <c r="D39" s="14"/>
      <c r="E39" s="15"/>
      <c r="F39" s="15"/>
      <c r="G39" s="15"/>
      <c r="H39" s="15"/>
      <c r="I39" s="15"/>
      <c r="J39" s="47"/>
      <c r="K39" s="15"/>
      <c r="L39" s="16"/>
      <c r="M39" s="14"/>
      <c r="N39" s="16"/>
      <c r="O39" s="15"/>
      <c r="P39" s="16"/>
      <c r="S39" s="1"/>
    </row>
    <row r="40" spans="1:19" x14ac:dyDescent="0.25">
      <c r="A40" s="1" t="s">
        <v>146</v>
      </c>
      <c r="B40" s="1"/>
      <c r="C40" s="1"/>
      <c r="D40" s="48">
        <v>134990048</v>
      </c>
      <c r="E40" s="23"/>
      <c r="F40" s="23">
        <f>D40+E40</f>
        <v>134990048</v>
      </c>
      <c r="G40" s="23">
        <v>-949347</v>
      </c>
      <c r="H40" s="23">
        <f>+'Year End ROR'!P19</f>
        <v>-2469682</v>
      </c>
      <c r="I40" s="23">
        <f>F40+G40+H40</f>
        <v>131571019</v>
      </c>
      <c r="J40" s="49">
        <f>ROUND(I40/$I$57,5)</f>
        <v>0.40866000000000002</v>
      </c>
      <c r="K40" s="52">
        <f>M40-0.01</f>
        <v>9.8500000000000004E-2</v>
      </c>
      <c r="L40" s="51">
        <f>ROUND($J40*K40,4)</f>
        <v>4.0300000000000002E-2</v>
      </c>
      <c r="M40" s="50">
        <v>0.1085</v>
      </c>
      <c r="N40" s="51">
        <f>ROUND($J40*M40,4)</f>
        <v>4.4299999999999999E-2</v>
      </c>
      <c r="O40" s="52">
        <f>M40+0.01</f>
        <v>0.11849999999999999</v>
      </c>
      <c r="P40" s="51">
        <f>ROUND($J40*O40,4)</f>
        <v>4.8399999999999999E-2</v>
      </c>
      <c r="Q40" s="58"/>
      <c r="S40" s="53"/>
    </row>
    <row r="41" spans="1:19" x14ac:dyDescent="0.25">
      <c r="A41" s="1"/>
      <c r="B41" s="1"/>
      <c r="C41" s="1"/>
      <c r="D41" s="48"/>
      <c r="E41" s="23"/>
      <c r="F41" s="23"/>
      <c r="G41" s="23"/>
      <c r="H41" s="23"/>
      <c r="I41" s="23"/>
      <c r="J41" s="49"/>
      <c r="K41" s="52"/>
      <c r="L41" s="51"/>
      <c r="M41" s="50"/>
      <c r="N41" s="51"/>
      <c r="O41" s="52"/>
      <c r="P41" s="51"/>
      <c r="Q41" s="58"/>
      <c r="S41" s="1"/>
    </row>
    <row r="42" spans="1:19" x14ac:dyDescent="0.25">
      <c r="A42" s="1" t="s">
        <v>147</v>
      </c>
      <c r="B42" s="1"/>
      <c r="C42" s="1"/>
      <c r="D42" s="48">
        <v>97425178.411006138</v>
      </c>
      <c r="E42" s="23"/>
      <c r="F42" s="23">
        <f>D42+E42</f>
        <v>97425178.411006138</v>
      </c>
      <c r="G42" s="23">
        <v>-685163</v>
      </c>
      <c r="H42" s="23"/>
      <c r="I42" s="23">
        <f>F42+G42+H42</f>
        <v>96740015.411006138</v>
      </c>
      <c r="J42" s="49">
        <f>ROUND(I42/$I$57,5)</f>
        <v>0.30048000000000002</v>
      </c>
      <c r="K42" s="52">
        <v>3.3497432521016543E-2</v>
      </c>
      <c r="L42" s="51">
        <f>ROUND($J42*K42,4)</f>
        <v>1.01E-2</v>
      </c>
      <c r="M42" s="50">
        <f>+K42</f>
        <v>3.3497432521016543E-2</v>
      </c>
      <c r="N42" s="51">
        <f>ROUND($J42*M42,4)</f>
        <v>1.01E-2</v>
      </c>
      <c r="O42" s="52">
        <f>K42</f>
        <v>3.3497432521016543E-2</v>
      </c>
      <c r="P42" s="51">
        <f>ROUND($J42*O42,4)</f>
        <v>1.01E-2</v>
      </c>
      <c r="Q42" s="58"/>
      <c r="S42" s="53"/>
    </row>
    <row r="43" spans="1:19" x14ac:dyDescent="0.25">
      <c r="A43" s="1"/>
      <c r="B43" s="1"/>
      <c r="C43" s="1"/>
      <c r="D43" s="48"/>
      <c r="E43" s="23"/>
      <c r="F43" s="23"/>
      <c r="G43" s="23"/>
      <c r="H43" s="23"/>
      <c r="I43" s="23"/>
      <c r="J43" s="49"/>
      <c r="K43" s="52"/>
      <c r="L43" s="51"/>
      <c r="M43" s="50"/>
      <c r="N43" s="51"/>
      <c r="O43" s="52"/>
      <c r="P43" s="51"/>
      <c r="Q43" s="58"/>
      <c r="S43" s="1"/>
    </row>
    <row r="44" spans="1:19" x14ac:dyDescent="0.25">
      <c r="A44" s="1" t="s">
        <v>148</v>
      </c>
      <c r="B44" s="1"/>
      <c r="C44" s="1"/>
      <c r="D44" s="48">
        <v>38631744</v>
      </c>
      <c r="E44" s="23"/>
      <c r="F44" s="23">
        <f>D44+E44</f>
        <v>38631744</v>
      </c>
      <c r="G44" s="23">
        <v>-271686</v>
      </c>
      <c r="H44" s="23"/>
      <c r="I44" s="23">
        <f>F44+G44+H44</f>
        <v>38360058</v>
      </c>
      <c r="J44" s="49">
        <f>ROUND(I44/$I$57,5)</f>
        <v>0.11915000000000001</v>
      </c>
      <c r="K44" s="52">
        <v>1.18E-2</v>
      </c>
      <c r="L44" s="51">
        <f>ROUND($J44*K44,4)</f>
        <v>1.4E-3</v>
      </c>
      <c r="M44" s="50">
        <f>+K44</f>
        <v>1.18E-2</v>
      </c>
      <c r="N44" s="51">
        <f>ROUND($J44*M44,4)</f>
        <v>1.4E-3</v>
      </c>
      <c r="O44" s="52">
        <f>M44</f>
        <v>1.18E-2</v>
      </c>
      <c r="P44" s="51">
        <f>ROUND($J44*O44,4)</f>
        <v>1.4E-3</v>
      </c>
      <c r="Q44" s="58"/>
      <c r="S44" s="53"/>
    </row>
    <row r="45" spans="1:19" x14ac:dyDescent="0.25">
      <c r="A45" s="1"/>
      <c r="B45" s="1"/>
      <c r="C45" s="1"/>
      <c r="D45" s="48"/>
      <c r="E45" s="23"/>
      <c r="F45" s="23"/>
      <c r="G45" s="23"/>
      <c r="H45" s="23"/>
      <c r="I45" s="23"/>
      <c r="J45" s="49"/>
      <c r="K45" s="52"/>
      <c r="L45" s="51"/>
      <c r="M45" s="50"/>
      <c r="N45" s="51"/>
      <c r="O45" s="52"/>
      <c r="P45" s="51"/>
      <c r="Q45" s="58"/>
      <c r="S45" s="1"/>
    </row>
    <row r="46" spans="1:19" x14ac:dyDescent="0.25">
      <c r="A46" s="1" t="s">
        <v>149</v>
      </c>
      <c r="B46" s="1"/>
      <c r="C46" s="1"/>
      <c r="D46" s="48">
        <v>9011934</v>
      </c>
      <c r="E46" s="23"/>
      <c r="F46" s="23">
        <f>D46+E46</f>
        <v>9011934</v>
      </c>
      <c r="G46" s="23"/>
      <c r="H46" s="23"/>
      <c r="I46" s="23">
        <f>F46+G46+H46</f>
        <v>9011934</v>
      </c>
      <c r="J46" s="49">
        <f>ROUND(I46/$I$57,5)</f>
        <v>2.7990000000000001E-2</v>
      </c>
      <c r="K46" s="52">
        <v>2.34757766756836E-2</v>
      </c>
      <c r="L46" s="51">
        <f>ROUND($J46*K46,4)</f>
        <v>6.9999999999999999E-4</v>
      </c>
      <c r="M46" s="50">
        <f>+K46</f>
        <v>2.34757766756836E-2</v>
      </c>
      <c r="N46" s="51">
        <f>ROUND($J46*M46,4)</f>
        <v>6.9999999999999999E-4</v>
      </c>
      <c r="O46" s="52">
        <f>+M46</f>
        <v>2.34757766756836E-2</v>
      </c>
      <c r="P46" s="51">
        <f>ROUND($J46*O46,4)</f>
        <v>6.9999999999999999E-4</v>
      </c>
      <c r="Q46" s="58"/>
      <c r="S46" s="1"/>
    </row>
    <row r="47" spans="1:19" x14ac:dyDescent="0.25">
      <c r="A47" s="1"/>
      <c r="B47" s="1"/>
      <c r="C47" s="1"/>
      <c r="D47" s="48"/>
      <c r="E47" s="23"/>
      <c r="F47" s="23"/>
      <c r="G47" s="23"/>
      <c r="H47" s="23"/>
      <c r="I47" s="23"/>
      <c r="J47" s="49"/>
      <c r="K47" s="52"/>
      <c r="L47" s="51"/>
      <c r="M47" s="50"/>
      <c r="N47" s="51"/>
      <c r="O47" s="52"/>
      <c r="P47" s="51"/>
      <c r="Q47" s="58"/>
      <c r="S47" s="1"/>
    </row>
    <row r="48" spans="1:19" x14ac:dyDescent="0.25">
      <c r="A48" s="1" t="s">
        <v>150</v>
      </c>
      <c r="B48" s="1"/>
      <c r="C48" s="1"/>
      <c r="D48" s="48">
        <v>46272759.287899993</v>
      </c>
      <c r="E48" s="23"/>
      <c r="F48" s="23">
        <f>D48+E48</f>
        <v>46272759.287899993</v>
      </c>
      <c r="G48" s="23"/>
      <c r="H48" s="23"/>
      <c r="I48" s="23">
        <f>F48+G48+H48</f>
        <v>46272759.287899993</v>
      </c>
      <c r="J48" s="49">
        <f>ROUND(I48/$I$57,5)</f>
        <v>0.14371999999999999</v>
      </c>
      <c r="K48" s="52">
        <v>0</v>
      </c>
      <c r="L48" s="51">
        <f>ROUND($J48*K48,4)</f>
        <v>0</v>
      </c>
      <c r="M48" s="50">
        <f>+K48</f>
        <v>0</v>
      </c>
      <c r="N48" s="51">
        <f>ROUND($J48*M48,4)</f>
        <v>0</v>
      </c>
      <c r="O48" s="52">
        <f>M48</f>
        <v>0</v>
      </c>
      <c r="P48" s="51">
        <f>ROUND($J48*O48,4)</f>
        <v>0</v>
      </c>
      <c r="Q48" s="58"/>
      <c r="S48" s="1"/>
    </row>
    <row r="49" spans="1:20" x14ac:dyDescent="0.25">
      <c r="A49" s="1"/>
      <c r="B49" s="1"/>
      <c r="C49" s="1"/>
      <c r="D49" s="48"/>
      <c r="E49" s="23"/>
      <c r="F49" s="23"/>
      <c r="G49" s="23"/>
      <c r="H49" s="23"/>
      <c r="I49" s="23"/>
      <c r="J49" s="49"/>
      <c r="K49" s="52"/>
      <c r="L49" s="51"/>
      <c r="M49" s="50"/>
      <c r="N49" s="51"/>
      <c r="O49" s="52"/>
      <c r="P49" s="51"/>
      <c r="Q49" s="58"/>
      <c r="S49" s="1"/>
    </row>
    <row r="50" spans="1:20" x14ac:dyDescent="0.25">
      <c r="A50" s="1" t="s">
        <v>151</v>
      </c>
      <c r="B50" s="1"/>
      <c r="C50" s="1"/>
      <c r="D50" s="48">
        <v>0</v>
      </c>
      <c r="E50" s="23"/>
      <c r="F50" s="23">
        <f>D50+E50</f>
        <v>0</v>
      </c>
      <c r="G50" s="23"/>
      <c r="H50" s="23"/>
      <c r="I50" s="23">
        <f>F50+G50+H50</f>
        <v>0</v>
      </c>
      <c r="J50" s="49">
        <f>ROUND(I50/$I$57,5)</f>
        <v>0</v>
      </c>
      <c r="K50" s="52">
        <f>SUM(L40:L45)</f>
        <v>5.1799999999999999E-2</v>
      </c>
      <c r="L50" s="51">
        <f>ROUND($J50*K50,4)</f>
        <v>0</v>
      </c>
      <c r="M50" s="50">
        <f>SUM(N40:N45)</f>
        <v>5.5799999999999995E-2</v>
      </c>
      <c r="N50" s="51">
        <f>ROUND($J50*M50,4)</f>
        <v>0</v>
      </c>
      <c r="O50" s="52">
        <f>SUM(P40:P45)</f>
        <v>5.9899999999999995E-2</v>
      </c>
      <c r="P50" s="51">
        <f>ROUND($J50*O50,4)</f>
        <v>0</v>
      </c>
      <c r="Q50" s="58"/>
      <c r="S50" s="1"/>
    </row>
    <row r="51" spans="1:20" x14ac:dyDescent="0.25">
      <c r="A51" s="1"/>
      <c r="B51" s="1"/>
      <c r="C51" s="1"/>
      <c r="D51" s="48"/>
      <c r="E51" s="23"/>
      <c r="F51" s="23"/>
      <c r="G51" s="23"/>
      <c r="H51" s="23"/>
      <c r="I51" s="23"/>
      <c r="J51" s="49"/>
      <c r="K51" s="52"/>
      <c r="L51" s="51"/>
      <c r="M51" s="50"/>
      <c r="N51" s="51"/>
      <c r="O51" s="52"/>
      <c r="P51" s="51"/>
      <c r="Q51" s="58"/>
      <c r="S51" s="1"/>
    </row>
    <row r="52" spans="1:20" x14ac:dyDescent="0.25">
      <c r="A52" s="1"/>
      <c r="B52" s="1"/>
      <c r="C52" s="1"/>
      <c r="D52" s="48"/>
      <c r="E52" s="23"/>
      <c r="F52" s="23"/>
      <c r="G52" s="23"/>
      <c r="H52" s="23"/>
      <c r="I52" s="23"/>
      <c r="J52" s="49"/>
      <c r="K52" s="52"/>
      <c r="L52" s="51"/>
      <c r="M52" s="50"/>
      <c r="N52" s="51"/>
      <c r="O52" s="52"/>
      <c r="P52" s="51"/>
      <c r="Q52" s="58"/>
      <c r="S52" s="1"/>
    </row>
    <row r="53" spans="1:20" x14ac:dyDescent="0.25">
      <c r="A53" s="1"/>
      <c r="B53" s="1"/>
      <c r="C53" s="1"/>
      <c r="D53" s="48"/>
      <c r="E53" s="23"/>
      <c r="F53" s="23"/>
      <c r="G53" s="23"/>
      <c r="H53" s="23"/>
      <c r="I53" s="23"/>
      <c r="J53" s="49"/>
      <c r="K53" s="52"/>
      <c r="L53" s="51"/>
      <c r="M53" s="50"/>
      <c r="N53" s="51"/>
      <c r="O53" s="52"/>
      <c r="P53" s="51"/>
      <c r="Q53" s="58"/>
      <c r="S53" s="1"/>
    </row>
    <row r="54" spans="1:20" x14ac:dyDescent="0.25">
      <c r="A54" s="1"/>
      <c r="B54" s="1"/>
      <c r="C54" s="1"/>
      <c r="D54" s="48"/>
      <c r="E54" s="23"/>
      <c r="F54" s="23"/>
      <c r="G54" s="23"/>
      <c r="H54" s="23"/>
      <c r="I54" s="23"/>
      <c r="J54" s="49"/>
      <c r="K54" s="52"/>
      <c r="L54" s="51"/>
      <c r="M54" s="50"/>
      <c r="N54" s="51"/>
      <c r="O54" s="52"/>
      <c r="P54" s="51"/>
      <c r="Q54" s="58"/>
      <c r="S54" s="1"/>
    </row>
    <row r="55" spans="1:20" x14ac:dyDescent="0.25">
      <c r="A55" s="1"/>
      <c r="B55" s="1"/>
      <c r="C55" s="1"/>
      <c r="D55" s="54"/>
      <c r="E55" s="4"/>
      <c r="F55" s="4"/>
      <c r="G55" s="4"/>
      <c r="H55" s="4"/>
      <c r="I55" s="4"/>
      <c r="J55" s="55"/>
      <c r="K55" s="7"/>
      <c r="L55" s="57"/>
      <c r="M55" s="56"/>
      <c r="N55" s="57"/>
      <c r="O55" s="7"/>
      <c r="P55" s="57"/>
      <c r="Q55" s="58"/>
      <c r="S55" s="1"/>
    </row>
    <row r="56" spans="1:20" x14ac:dyDescent="0.25">
      <c r="A56" s="1"/>
      <c r="B56" s="1"/>
      <c r="C56" s="1"/>
      <c r="D56" s="48"/>
      <c r="E56" s="23"/>
      <c r="F56" s="23"/>
      <c r="G56" s="23"/>
      <c r="H56" s="23"/>
      <c r="I56" s="23"/>
      <c r="J56" s="49"/>
      <c r="K56" s="52"/>
      <c r="L56" s="51"/>
      <c r="M56" s="50"/>
      <c r="N56" s="51"/>
      <c r="O56" s="52"/>
      <c r="P56" s="51"/>
      <c r="S56" s="1"/>
    </row>
    <row r="57" spans="1:20" x14ac:dyDescent="0.25">
      <c r="A57" s="1" t="s">
        <v>154</v>
      </c>
      <c r="B57" s="1"/>
      <c r="C57" s="1"/>
      <c r="D57" s="54">
        <f t="shared" ref="D57:J57" si="0">SUM(D40:D55)</f>
        <v>326331663.69890612</v>
      </c>
      <c r="E57" s="4">
        <f t="shared" si="0"/>
        <v>0</v>
      </c>
      <c r="F57" s="4">
        <f t="shared" si="0"/>
        <v>326331663.69890612</v>
      </c>
      <c r="G57" s="4">
        <f t="shared" si="0"/>
        <v>-1906196</v>
      </c>
      <c r="H57" s="4">
        <f t="shared" si="0"/>
        <v>-2469682</v>
      </c>
      <c r="I57" s="4">
        <f t="shared" si="0"/>
        <v>321955785.69890612</v>
      </c>
      <c r="J57" s="55">
        <f t="shared" si="0"/>
        <v>1</v>
      </c>
      <c r="K57" s="7"/>
      <c r="L57" s="57">
        <f>SUM(L40:L55)</f>
        <v>5.2499999999999998E-2</v>
      </c>
      <c r="M57" s="56"/>
      <c r="N57" s="57">
        <f>SUM(N40:N55)</f>
        <v>5.6499999999999995E-2</v>
      </c>
      <c r="O57" s="7"/>
      <c r="P57" s="57">
        <f>SUM(P40:P55)</f>
        <v>6.0599999999999994E-2</v>
      </c>
      <c r="T57" s="6"/>
    </row>
    <row r="58" spans="1:2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2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2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2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2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2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</sheetData>
  <mergeCells count="6">
    <mergeCell ref="K6:L6"/>
    <mergeCell ref="M6:N6"/>
    <mergeCell ref="O6:P6"/>
    <mergeCell ref="K33:L33"/>
    <mergeCell ref="M33:N33"/>
    <mergeCell ref="O33:P33"/>
  </mergeCells>
  <printOptions horizontalCentered="1"/>
  <pageMargins left="0.25" right="0.25" top="0.75" bottom="0.75" header="0.3" footer="0.3"/>
  <pageSetup scale="53" orientation="landscape" r:id="rId1"/>
  <headerFooter alignWithMargins="0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 A C T I V E ! 1 5 6 7 6 7 1 3 . 1 < / d o c u m e n t i d >  
     < s e n d e r i d > K E A B E T < / s e n d e r i d >  
     < s e n d e r e m a i l > B K E A T I N G @ G U N S T E R . C O M < / s e n d e r e m a i l >  
     < l a s t m o d i f i e d > 2 0 2 2 - 0 6 - 2 7 T 1 0 : 4 4 : 5 4 . 0 0 0 0 0 0 0 - 0 4 : 0 0 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 Summary</vt:lpstr>
      <vt:lpstr>Avg ROR</vt:lpstr>
      <vt:lpstr>NOI SCH 2 P 2</vt:lpstr>
      <vt:lpstr>Year End ROR</vt:lpstr>
      <vt:lpstr>NOI SCH 3 P 2</vt:lpstr>
      <vt:lpstr>Capital Structure</vt:lpstr>
      <vt:lpstr>'Avg ROR'!Print_Area</vt:lpstr>
      <vt:lpstr>'Capital Structure'!Print_Area</vt:lpstr>
      <vt:lpstr>'Report Summary'!Print_Area</vt:lpstr>
      <vt:lpstr>'Year End ROR'!Print_Area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Waruszewski, Robert</dc:creator>
  <cp:lastModifiedBy>Baugh, Jowi</cp:lastModifiedBy>
  <dcterms:created xsi:type="dcterms:W3CDTF">2022-03-30T11:49:19Z</dcterms:created>
  <dcterms:modified xsi:type="dcterms:W3CDTF">2022-06-27T14:44:54Z</dcterms:modified>
</cp:coreProperties>
</file>