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"/>
    </mc:Choice>
  </mc:AlternateContent>
  <bookViews>
    <workbookView xWindow="0" yWindow="0" windowWidth="19200" windowHeight="6375" activeTab="1"/>
  </bookViews>
  <sheets>
    <sheet name="Sheet1 (2)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I57" i="1"/>
  <c r="I56" i="1"/>
  <c r="I48" i="1"/>
  <c r="I47" i="1"/>
  <c r="I46" i="1"/>
  <c r="I20" i="1" l="1"/>
  <c r="I18" i="1"/>
  <c r="I17" i="1"/>
  <c r="I16" i="1"/>
  <c r="J9" i="1" l="1"/>
  <c r="E58" i="1" l="1"/>
  <c r="E57" i="1"/>
  <c r="E56" i="1"/>
  <c r="E46" i="1"/>
  <c r="E48" i="1"/>
  <c r="E47" i="1"/>
  <c r="E15" i="1"/>
  <c r="C36" i="1" l="1"/>
  <c r="L14" i="2" l="1"/>
  <c r="J14" i="2"/>
  <c r="I14" i="2"/>
  <c r="H14" i="2"/>
  <c r="F14" i="2"/>
  <c r="E14" i="2"/>
  <c r="D14" i="2"/>
  <c r="C14" i="2"/>
  <c r="J12" i="2"/>
  <c r="F12" i="2"/>
  <c r="L12" i="2" s="1"/>
  <c r="J11" i="2"/>
  <c r="F11" i="2"/>
  <c r="L11" i="2" s="1"/>
  <c r="J10" i="2"/>
  <c r="F10" i="2"/>
  <c r="J9" i="2"/>
  <c r="F9" i="2"/>
  <c r="I8" i="2"/>
  <c r="J8" i="2" s="1"/>
  <c r="E8" i="2"/>
  <c r="F8" i="2" s="1"/>
  <c r="J7" i="2"/>
  <c r="F7" i="2"/>
  <c r="L7" i="2" s="1"/>
  <c r="I6" i="2"/>
  <c r="J6" i="2" s="1"/>
  <c r="E6" i="2"/>
  <c r="F6" i="2" s="1"/>
  <c r="I5" i="2"/>
  <c r="J5" i="2" s="1"/>
  <c r="E5" i="2"/>
  <c r="F5" i="2" s="1"/>
  <c r="L5" i="2" s="1"/>
  <c r="I4" i="2"/>
  <c r="J4" i="2" s="1"/>
  <c r="E4" i="2"/>
  <c r="F4" i="2" s="1"/>
  <c r="H3" i="2"/>
  <c r="I3" i="2" s="1"/>
  <c r="D3" i="2"/>
  <c r="C3" i="2"/>
  <c r="L10" i="2" l="1"/>
  <c r="L8" i="2"/>
  <c r="L4" i="2"/>
  <c r="E3" i="2"/>
  <c r="L6" i="2"/>
  <c r="J3" i="2"/>
  <c r="F3" i="2" l="1"/>
  <c r="L3" i="2" s="1"/>
  <c r="J21" i="1" l="1"/>
  <c r="L21" i="1" s="1"/>
  <c r="F21" i="1" l="1"/>
  <c r="E20" i="1"/>
  <c r="E18" i="1"/>
  <c r="E17" i="1"/>
  <c r="E16" i="1"/>
  <c r="D48" i="1" l="1"/>
  <c r="H58" i="1" l="1"/>
  <c r="J59" i="1" l="1"/>
  <c r="J58" i="1"/>
  <c r="J57" i="1"/>
  <c r="J56" i="1"/>
  <c r="I61" i="1"/>
  <c r="J48" i="1"/>
  <c r="J49" i="1"/>
  <c r="J46" i="1"/>
  <c r="J47" i="1"/>
  <c r="H61" i="1"/>
  <c r="J51" i="1" l="1"/>
  <c r="I51" i="1"/>
  <c r="I53" i="1" s="1"/>
  <c r="J61" i="1"/>
  <c r="H51" i="1"/>
  <c r="H53" i="1" s="1"/>
  <c r="E61" i="1"/>
  <c r="E51" i="1"/>
  <c r="E53" i="1" s="1"/>
  <c r="F59" i="1" l="1"/>
  <c r="L59" i="1" s="1"/>
  <c r="F58" i="1"/>
  <c r="L58" i="1" s="1"/>
  <c r="F57" i="1"/>
  <c r="F56" i="1"/>
  <c r="L56" i="1" s="1"/>
  <c r="F49" i="1"/>
  <c r="L49" i="1" s="1"/>
  <c r="F47" i="1"/>
  <c r="L47" i="1" s="1"/>
  <c r="F46" i="1"/>
  <c r="L46" i="1" s="1"/>
  <c r="L57" i="1" l="1"/>
  <c r="F61" i="1"/>
  <c r="D61" i="1"/>
  <c r="D51" i="1" l="1"/>
  <c r="D53" i="1" s="1"/>
  <c r="F48" i="1"/>
  <c r="L61" i="1"/>
  <c r="L48" i="1" l="1"/>
  <c r="F51" i="1"/>
  <c r="C61" i="1"/>
  <c r="L63" i="1" l="1"/>
  <c r="L51" i="1"/>
  <c r="C51" i="1"/>
  <c r="C53" i="1" s="1"/>
  <c r="I40" i="1" l="1"/>
  <c r="E40" i="1"/>
  <c r="D28" i="1"/>
  <c r="J27" i="1"/>
  <c r="F27" i="1"/>
  <c r="L27" i="1" s="1"/>
  <c r="D36" i="1"/>
  <c r="D15" i="1"/>
  <c r="D40" i="1" s="1"/>
  <c r="F10" i="1" l="1"/>
  <c r="J4" i="1"/>
  <c r="J5" i="1"/>
  <c r="J6" i="1"/>
  <c r="J7" i="1"/>
  <c r="J8" i="1"/>
  <c r="J10" i="1"/>
  <c r="J11" i="1"/>
  <c r="J12" i="1"/>
  <c r="J13" i="1"/>
  <c r="J14" i="1"/>
  <c r="J16" i="1"/>
  <c r="J17" i="1"/>
  <c r="J18" i="1"/>
  <c r="J19" i="1"/>
  <c r="J20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" i="1"/>
  <c r="J53" i="1" s="1"/>
  <c r="H15" i="1"/>
  <c r="J15" i="1" s="1"/>
  <c r="H38" i="1"/>
  <c r="J38" i="1" s="1"/>
  <c r="C15" i="1"/>
  <c r="F24" i="1"/>
  <c r="L24" i="1" s="1"/>
  <c r="F23" i="1"/>
  <c r="F22" i="1"/>
  <c r="F20" i="1"/>
  <c r="F19" i="1"/>
  <c r="L19" i="1" s="1"/>
  <c r="F18" i="1"/>
  <c r="F17" i="1"/>
  <c r="F16" i="1"/>
  <c r="L20" i="1" l="1"/>
  <c r="L10" i="1"/>
  <c r="L16" i="1"/>
  <c r="L17" i="1"/>
  <c r="L18" i="1"/>
  <c r="L22" i="1"/>
  <c r="L23" i="1"/>
  <c r="F4" i="1"/>
  <c r="L4" i="1" s="1"/>
  <c r="F5" i="1"/>
  <c r="F6" i="1"/>
  <c r="L6" i="1" s="1"/>
  <c r="F7" i="1"/>
  <c r="L7" i="1" s="1"/>
  <c r="F8" i="1"/>
  <c r="L8" i="1" s="1"/>
  <c r="F9" i="1"/>
  <c r="L9" i="1" s="1"/>
  <c r="F11" i="1"/>
  <c r="L11" i="1" s="1"/>
  <c r="F12" i="1"/>
  <c r="L12" i="1" s="1"/>
  <c r="F13" i="1"/>
  <c r="L13" i="1" s="1"/>
  <c r="F25" i="1"/>
  <c r="L25" i="1" s="1"/>
  <c r="F26" i="1"/>
  <c r="L26" i="1" s="1"/>
  <c r="F28" i="1"/>
  <c r="L28" i="1" s="1"/>
  <c r="F29" i="1"/>
  <c r="L29" i="1" s="1"/>
  <c r="F30" i="1"/>
  <c r="L30" i="1" s="1"/>
  <c r="F31" i="1"/>
  <c r="L31" i="1" s="1"/>
  <c r="F32" i="1"/>
  <c r="L32" i="1" s="1"/>
  <c r="F33" i="1"/>
  <c r="L33" i="1" s="1"/>
  <c r="F34" i="1"/>
  <c r="L34" i="1" s="1"/>
  <c r="F35" i="1"/>
  <c r="L35" i="1" s="1"/>
  <c r="F37" i="1"/>
  <c r="L37" i="1" s="1"/>
  <c r="F3" i="1"/>
  <c r="F53" i="1" l="1"/>
  <c r="L3" i="1"/>
  <c r="L53" i="1" s="1"/>
  <c r="L5" i="1"/>
  <c r="F36" i="1"/>
  <c r="L36" i="1" s="1"/>
  <c r="F15" i="1"/>
  <c r="L15" i="1" s="1"/>
  <c r="J40" i="1" l="1"/>
  <c r="C14" i="1"/>
  <c r="F14" i="1" l="1"/>
  <c r="L14" i="1" s="1"/>
  <c r="C38" i="1"/>
  <c r="F38" i="1" s="1"/>
  <c r="L38" i="1" s="1"/>
  <c r="F40" i="1" l="1"/>
  <c r="L40" i="1"/>
</calcChain>
</file>

<file path=xl/sharedStrings.xml><?xml version="1.0" encoding="utf-8"?>
<sst xmlns="http://schemas.openxmlformats.org/spreadsheetml/2006/main" count="99" uniqueCount="67">
  <si>
    <t>GRIP</t>
  </si>
  <si>
    <t>Safetytown</t>
  </si>
  <si>
    <t>Second Feed to Boca Raton and Hillsboro</t>
  </si>
  <si>
    <t>Second Feed for Hypoluxo and S Palm Beach</t>
  </si>
  <si>
    <t>Replacement LW North Gate Buffalo Rd</t>
  </si>
  <si>
    <t>Aldyl-A Replacement</t>
  </si>
  <si>
    <t>Belvedere Gate Station</t>
  </si>
  <si>
    <t>Debary Roof and Parking Lot Installation</t>
  </si>
  <si>
    <t>Customer Relationship Management Software</t>
  </si>
  <si>
    <t>Return to Office</t>
  </si>
  <si>
    <t>Vehicles</t>
  </si>
  <si>
    <t>Main Reinforcement</t>
  </si>
  <si>
    <t>Main Replacement</t>
  </si>
  <si>
    <t>Other</t>
  </si>
  <si>
    <t>CIS Systems</t>
  </si>
  <si>
    <t>Total Expenditures</t>
  </si>
  <si>
    <t>AMR</t>
  </si>
  <si>
    <t>South Florida Land</t>
  </si>
  <si>
    <t>Total 2022 and 2023</t>
  </si>
  <si>
    <t>Project</t>
  </si>
  <si>
    <t>Tools and Shop Equipment</t>
  </si>
  <si>
    <t>Misc Land</t>
  </si>
  <si>
    <t>Misc Structures and Improvements</t>
  </si>
  <si>
    <t>Misc Office Equipment</t>
  </si>
  <si>
    <t>GIS Upgrade</t>
  </si>
  <si>
    <t>Misc Power Operated Equipment</t>
  </si>
  <si>
    <t>Original 2022 Budget</t>
  </si>
  <si>
    <t>2022 Carryovers</t>
  </si>
  <si>
    <t>2022 Adjustments</t>
  </si>
  <si>
    <t>Original 2023 Budget</t>
  </si>
  <si>
    <t>2023 Adjustments</t>
  </si>
  <si>
    <t>Rate Case 2022</t>
  </si>
  <si>
    <t>Rate Case 2023</t>
  </si>
  <si>
    <t>Other Equipment</t>
  </si>
  <si>
    <t>Customer Growth - Mains</t>
  </si>
  <si>
    <t>Customer Growth - Services</t>
  </si>
  <si>
    <t>Customer Growth - Meters</t>
  </si>
  <si>
    <t>Customer Growth - Other Meter Devices</t>
  </si>
  <si>
    <t>Customer Growth - Regulators</t>
  </si>
  <si>
    <t>Customer Growth - M&amp;R General</t>
  </si>
  <si>
    <t>Customer Growth - M&amp;R City Gate</t>
  </si>
  <si>
    <t>Customer Growth - M&amp;R Industrial</t>
  </si>
  <si>
    <t>Replacement WPB Gate - Loxahatchee</t>
  </si>
  <si>
    <t>Notes</t>
  </si>
  <si>
    <t>Removed.  To be included in a separate filing</t>
  </si>
  <si>
    <t>Current GRIP estimate</t>
  </si>
  <si>
    <t>GMS Software</t>
  </si>
  <si>
    <t>Customer Growth - Meter Installs</t>
  </si>
  <si>
    <t>AMR for customer growth.  Removed dollats for full scale reduction</t>
  </si>
  <si>
    <t>CFG</t>
  </si>
  <si>
    <t>Indiantown</t>
  </si>
  <si>
    <t>FPU</t>
  </si>
  <si>
    <t>Ft Meade</t>
  </si>
  <si>
    <t>Total</t>
  </si>
  <si>
    <t>Total w/o CIS</t>
  </si>
  <si>
    <t>Total w/ CIS</t>
  </si>
  <si>
    <t>Cap Ex</t>
  </si>
  <si>
    <t>Plant in Service</t>
  </si>
  <si>
    <t>Aldyl-A Replacement (FI)</t>
  </si>
  <si>
    <t>Reinforcements to Boca and Hypoluxo</t>
  </si>
  <si>
    <t>Customer Growth - Regulator Installs</t>
  </si>
  <si>
    <t>Removed.  TO be filed separately</t>
  </si>
  <si>
    <t>Adjusted to tie to average per customer</t>
  </si>
  <si>
    <t>Adjusted to tie to cost estimate per customer</t>
  </si>
  <si>
    <t>Pull into 2023</t>
  </si>
  <si>
    <t>Price Increase</t>
  </si>
  <si>
    <t>Additional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</si>
</sst>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5" fontId="0" fillId="0" borderId="0" xfId="0" applyNumberFormat="1"/>
    <xf numFmtId="5" fontId="0" fillId="0" borderId="0" xfId="0" applyNumberFormat="1" applyFill="1"/>
    <xf numFmtId="0" fontId="0" fillId="0" borderId="0" xfId="0" applyFill="1"/>
    <xf numFmtId="164" fontId="0" fillId="0" borderId="0" xfId="1" applyNumberFormat="1" applyFont="1" applyFill="1"/>
    <xf numFmtId="5" fontId="3" fillId="0" borderId="0" xfId="0" applyNumberFormat="1" applyFont="1" applyFill="1"/>
    <xf numFmtId="5" fontId="5" fillId="0" borderId="0" xfId="0" applyNumberFormat="1" applyFont="1" applyFill="1"/>
    <xf numFmtId="0" fontId="5" fillId="0" borderId="0" xfId="0" applyFont="1" applyFill="1"/>
    <xf numFmtId="0" fontId="0" fillId="2" borderId="0" xfId="0" applyFill="1"/>
    <xf numFmtId="5" fontId="0" fillId="2" borderId="0" xfId="0" applyNumberFormat="1" applyFill="1"/>
    <xf numFmtId="5" fontId="3" fillId="2" borderId="0" xfId="0" applyNumberFormat="1" applyFont="1" applyFill="1"/>
    <xf numFmtId="5" fontId="5" fillId="2" borderId="0" xfId="0" applyNumberFormat="1" applyFont="1" applyFill="1"/>
    <xf numFmtId="0" fontId="0" fillId="3" borderId="0" xfId="0" applyFill="1"/>
    <xf numFmtId="5" fontId="0" fillId="3" borderId="0" xfId="0" applyNumberFormat="1" applyFill="1"/>
    <xf numFmtId="5" fontId="5" fillId="3" borderId="0" xfId="0" applyNumberFormat="1" applyFont="1" applyFill="1"/>
    <xf numFmtId="0" fontId="1" fillId="0" borderId="0" xfId="0" applyFont="1"/>
    <xf numFmtId="5" fontId="1" fillId="0" borderId="0" xfId="0" applyNumberFormat="1" applyFont="1" applyFill="1"/>
    <xf numFmtId="0" fontId="1" fillId="2" borderId="0" xfId="0" applyFont="1" applyFill="1"/>
    <xf numFmtId="5" fontId="1" fillId="2" borderId="0" xfId="0" applyNumberFormat="1" applyFont="1" applyFill="1"/>
    <xf numFmtId="5" fontId="4" fillId="2" borderId="0" xfId="0" applyNumberFormat="1" applyFont="1" applyFill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zoomScaleNormal="100" workbookViewId="0">
      <selection activeCell="D23" sqref="D23"/>
    </sheetView>
  </sheetViews>
  <sheetFormatPr defaultRowHeight="15" x14ac:dyDescent="0.25"/>
  <cols>
    <col min="1" max="1" width="37.7109375" bestFit="1" customWidth="1"/>
    <col min="3" max="3" width="13.28515625" style="3" customWidth="1"/>
    <col min="4" max="7" width="13.28515625" customWidth="1"/>
    <col min="8" max="8" width="13.28515625" style="7" customWidth="1"/>
    <col min="9" max="10" width="13.28515625" customWidth="1"/>
    <col min="11" max="11" width="9.5703125" customWidth="1"/>
    <col min="12" max="12" width="20" customWidth="1"/>
    <col min="13" max="13" width="61.85546875" bestFit="1" customWidth="1"/>
    <col min="14" max="14" width="11.85546875" bestFit="1" customWidth="1"/>
  </cols>
  <sheetData>
    <row r="2" spans="1:13" ht="30" x14ac:dyDescent="0.25">
      <c r="A2" s="20" t="s">
        <v>19</v>
      </c>
      <c r="B2" s="21"/>
      <c r="C2" s="22" t="s">
        <v>26</v>
      </c>
      <c r="D2" s="23" t="s">
        <v>27</v>
      </c>
      <c r="E2" s="23" t="s">
        <v>28</v>
      </c>
      <c r="F2" s="23" t="s">
        <v>31</v>
      </c>
      <c r="G2" s="20"/>
      <c r="H2" s="24" t="s">
        <v>29</v>
      </c>
      <c r="I2" s="23" t="s">
        <v>30</v>
      </c>
      <c r="J2" s="23" t="s">
        <v>32</v>
      </c>
      <c r="K2" s="23"/>
      <c r="L2" s="25" t="s">
        <v>18</v>
      </c>
      <c r="M2" s="23" t="s">
        <v>43</v>
      </c>
    </row>
    <row r="3" spans="1:13" s="3" customFormat="1" x14ac:dyDescent="0.25">
      <c r="A3" s="8" t="s">
        <v>34</v>
      </c>
      <c r="B3" s="8"/>
      <c r="C3" s="9">
        <f>7717320+409180</f>
        <v>8126500</v>
      </c>
      <c r="D3" s="9">
        <f>1032463+57688+3578000+174444</f>
        <v>4842595</v>
      </c>
      <c r="E3" s="9">
        <f>1894860-D3-C3</f>
        <v>-11074235</v>
      </c>
      <c r="F3" s="9">
        <f t="shared" ref="F3:F11" si="0">C3+D3+E3</f>
        <v>1894860</v>
      </c>
      <c r="G3" s="10"/>
      <c r="H3" s="11">
        <f>7964050+409180</f>
        <v>8373230</v>
      </c>
      <c r="I3" s="11">
        <f>2051712-H3</f>
        <v>-6321518</v>
      </c>
      <c r="J3" s="9">
        <f t="shared" ref="J3:J12" si="1">H3+I3</f>
        <v>2051712</v>
      </c>
      <c r="K3" s="9"/>
      <c r="L3" s="9">
        <f t="shared" ref="L3:L12" si="2">F3+J3</f>
        <v>3946572</v>
      </c>
    </row>
    <row r="4" spans="1:13" s="3" customFormat="1" x14ac:dyDescent="0.25">
      <c r="A4" s="8" t="s">
        <v>35</v>
      </c>
      <c r="B4" s="8"/>
      <c r="C4" s="9">
        <v>5734170</v>
      </c>
      <c r="D4" s="9">
        <v>34605</v>
      </c>
      <c r="E4" s="9">
        <f>3523883-D4-C4</f>
        <v>-2244892</v>
      </c>
      <c r="F4" s="9">
        <f t="shared" si="0"/>
        <v>3523883</v>
      </c>
      <c r="G4" s="10"/>
      <c r="H4" s="11">
        <v>5874488</v>
      </c>
      <c r="I4" s="11">
        <f>3614902-H4</f>
        <v>-2259586</v>
      </c>
      <c r="J4" s="9">
        <f t="shared" si="1"/>
        <v>3614902</v>
      </c>
      <c r="K4" s="9"/>
      <c r="L4" s="9">
        <f t="shared" si="2"/>
        <v>7138785</v>
      </c>
    </row>
    <row r="5" spans="1:13" s="3" customFormat="1" x14ac:dyDescent="0.25">
      <c r="A5" s="8" t="s">
        <v>36</v>
      </c>
      <c r="B5" s="8"/>
      <c r="C5" s="9">
        <v>2163915</v>
      </c>
      <c r="D5" s="9"/>
      <c r="E5" s="9">
        <f>975620-D5-C5</f>
        <v>-1188295</v>
      </c>
      <c r="F5" s="9">
        <f t="shared" si="0"/>
        <v>975620</v>
      </c>
      <c r="G5" s="10"/>
      <c r="H5" s="11">
        <v>2210627</v>
      </c>
      <c r="I5" s="11">
        <f>1000742-H5</f>
        <v>-1209885</v>
      </c>
      <c r="J5" s="9">
        <f t="shared" si="1"/>
        <v>1000742</v>
      </c>
      <c r="K5" s="9"/>
      <c r="L5" s="9">
        <f t="shared" si="2"/>
        <v>1976362</v>
      </c>
    </row>
    <row r="6" spans="1:13" s="3" customFormat="1" x14ac:dyDescent="0.25">
      <c r="A6" s="8" t="s">
        <v>47</v>
      </c>
      <c r="B6" s="8"/>
      <c r="C6" s="9">
        <v>1880307</v>
      </c>
      <c r="D6" s="9"/>
      <c r="E6" s="9">
        <f>248812-D6-C6</f>
        <v>-1631495</v>
      </c>
      <c r="F6" s="9">
        <f t="shared" si="0"/>
        <v>248812</v>
      </c>
      <c r="G6" s="10"/>
      <c r="H6" s="11">
        <v>1902494</v>
      </c>
      <c r="I6" s="11">
        <f>255123-H6</f>
        <v>-1647371</v>
      </c>
      <c r="J6" s="9">
        <f t="shared" si="1"/>
        <v>255123</v>
      </c>
      <c r="K6" s="9"/>
      <c r="L6" s="9">
        <f t="shared" si="2"/>
        <v>503935</v>
      </c>
    </row>
    <row r="7" spans="1:13" s="3" customFormat="1" x14ac:dyDescent="0.25">
      <c r="A7" s="8" t="s">
        <v>37</v>
      </c>
      <c r="B7" s="8"/>
      <c r="C7" s="9">
        <v>586162</v>
      </c>
      <c r="D7" s="9"/>
      <c r="E7" s="9"/>
      <c r="F7" s="9">
        <f t="shared" si="0"/>
        <v>586162</v>
      </c>
      <c r="G7" s="10"/>
      <c r="H7" s="11">
        <v>612020</v>
      </c>
      <c r="I7" s="10"/>
      <c r="J7" s="9">
        <f t="shared" si="1"/>
        <v>612020</v>
      </c>
      <c r="K7" s="9"/>
      <c r="L7" s="9">
        <f t="shared" si="2"/>
        <v>1198182</v>
      </c>
    </row>
    <row r="8" spans="1:13" s="3" customFormat="1" x14ac:dyDescent="0.25">
      <c r="A8" s="8" t="s">
        <v>38</v>
      </c>
      <c r="B8" s="8"/>
      <c r="C8" s="9">
        <v>870639</v>
      </c>
      <c r="D8" s="9"/>
      <c r="E8" s="9">
        <f>167912-D8-C8</f>
        <v>-702727</v>
      </c>
      <c r="F8" s="9">
        <f t="shared" si="0"/>
        <v>167912</v>
      </c>
      <c r="G8" s="10"/>
      <c r="H8" s="11">
        <v>880257</v>
      </c>
      <c r="I8" s="11">
        <f>172160-H8</f>
        <v>-708097</v>
      </c>
      <c r="J8" s="9">
        <f t="shared" si="1"/>
        <v>172160</v>
      </c>
      <c r="K8" s="9"/>
      <c r="L8" s="9">
        <f t="shared" si="2"/>
        <v>340072</v>
      </c>
    </row>
    <row r="9" spans="1:13" s="3" customFormat="1" x14ac:dyDescent="0.25">
      <c r="A9" s="8" t="s">
        <v>60</v>
      </c>
      <c r="B9" s="8"/>
      <c r="C9" s="9">
        <v>0</v>
      </c>
      <c r="D9" s="9"/>
      <c r="E9" s="9">
        <v>27646</v>
      </c>
      <c r="F9" s="9">
        <f t="shared" si="0"/>
        <v>27646</v>
      </c>
      <c r="G9" s="10"/>
      <c r="H9" s="11">
        <v>0</v>
      </c>
      <c r="I9" s="11">
        <v>28347</v>
      </c>
      <c r="J9" s="9">
        <f t="shared" si="1"/>
        <v>28347</v>
      </c>
      <c r="K9" s="9"/>
      <c r="L9" s="9"/>
    </row>
    <row r="10" spans="1:13" s="3" customFormat="1" x14ac:dyDescent="0.25">
      <c r="A10" s="8" t="s">
        <v>39</v>
      </c>
      <c r="B10" s="8"/>
      <c r="C10" s="9">
        <v>988650</v>
      </c>
      <c r="D10" s="9">
        <v>40250</v>
      </c>
      <c r="E10" s="9"/>
      <c r="F10" s="9">
        <f t="shared" si="0"/>
        <v>1028900</v>
      </c>
      <c r="G10" s="10"/>
      <c r="H10" s="11">
        <v>1006200</v>
      </c>
      <c r="I10" s="10"/>
      <c r="J10" s="9">
        <f t="shared" si="1"/>
        <v>1006200</v>
      </c>
      <c r="K10" s="9"/>
      <c r="L10" s="9">
        <f t="shared" si="2"/>
        <v>2035100</v>
      </c>
    </row>
    <row r="11" spans="1:13" s="3" customFormat="1" x14ac:dyDescent="0.25">
      <c r="A11" s="8" t="s">
        <v>40</v>
      </c>
      <c r="B11" s="8"/>
      <c r="C11" s="9">
        <v>631800</v>
      </c>
      <c r="D11" s="9">
        <v>34168</v>
      </c>
      <c r="E11" s="9"/>
      <c r="F11" s="9">
        <f t="shared" si="0"/>
        <v>665968</v>
      </c>
      <c r="G11" s="10"/>
      <c r="H11" s="11">
        <v>596700</v>
      </c>
      <c r="I11" s="10"/>
      <c r="J11" s="9">
        <f t="shared" si="1"/>
        <v>596700</v>
      </c>
      <c r="K11" s="9"/>
      <c r="L11" s="9">
        <f t="shared" si="2"/>
        <v>1262668</v>
      </c>
    </row>
    <row r="12" spans="1:13" s="3" customFormat="1" x14ac:dyDescent="0.25">
      <c r="A12" s="8" t="s">
        <v>41</v>
      </c>
      <c r="B12" s="8"/>
      <c r="C12" s="9">
        <v>30713</v>
      </c>
      <c r="D12" s="9">
        <v>7138</v>
      </c>
      <c r="E12" s="9"/>
      <c r="F12" s="9">
        <f>C12+D12+E12</f>
        <v>37851</v>
      </c>
      <c r="G12" s="10"/>
      <c r="H12" s="11">
        <v>31634</v>
      </c>
      <c r="I12" s="10"/>
      <c r="J12" s="9">
        <f t="shared" si="1"/>
        <v>31634</v>
      </c>
      <c r="K12" s="9"/>
      <c r="L12" s="9">
        <f t="shared" si="2"/>
        <v>69485</v>
      </c>
    </row>
    <row r="14" spans="1:13" x14ac:dyDescent="0.25">
      <c r="A14" s="17" t="s">
        <v>53</v>
      </c>
      <c r="B14" s="17"/>
      <c r="C14" s="18">
        <f>SUM(C3:C13)</f>
        <v>21012856</v>
      </c>
      <c r="D14" s="18">
        <f>SUM(D3:D13)</f>
        <v>4958756</v>
      </c>
      <c r="E14" s="18">
        <f>SUM(E3:E13)</f>
        <v>-16813998</v>
      </c>
      <c r="F14" s="18">
        <f>SUM(F3:F13)</f>
        <v>9157614</v>
      </c>
      <c r="G14" s="17"/>
      <c r="H14" s="18">
        <f>SUM(H3:H13)</f>
        <v>21487650</v>
      </c>
      <c r="I14" s="18">
        <f>SUM(I3:I13)</f>
        <v>-12118110</v>
      </c>
      <c r="J14" s="18">
        <f>SUM(J3:J13)</f>
        <v>9369540</v>
      </c>
      <c r="K14" s="17"/>
      <c r="L14" s="18">
        <f>SUM(L3:L13)</f>
        <v>18471161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"/>
  <sheetViews>
    <sheetView tabSelected="1" topLeftCell="A33" zoomScaleNormal="100" workbookViewId="0">
      <selection activeCell="A41" sqref="A41"/>
    </sheetView>
  </sheetViews>
  <sheetFormatPr defaultRowHeight="15" x14ac:dyDescent="0.25"/>
  <cols>
    <col min="1" max="1" width="37.7109375" bestFit="1" customWidth="1"/>
    <col min="3" max="3" width="13.28515625" style="3" customWidth="1"/>
    <col min="4" max="7" width="13.28515625" customWidth="1"/>
    <col min="8" max="8" width="13.28515625" style="7" customWidth="1"/>
    <col min="9" max="10" width="13.28515625" customWidth="1"/>
    <col min="11" max="11" width="9.5703125" customWidth="1"/>
    <col min="12" max="12" width="20" customWidth="1"/>
    <col min="13" max="13" width="61.85546875" bestFit="1" customWidth="1"/>
    <col min="14" max="14" width="11.85546875" bestFit="1" customWidth="1"/>
  </cols>
  <sheetData>
    <row r="2" spans="1:13" ht="30" x14ac:dyDescent="0.25">
      <c r="A2" s="20" t="s">
        <v>19</v>
      </c>
      <c r="B2" s="21"/>
      <c r="C2" s="22" t="s">
        <v>26</v>
      </c>
      <c r="D2" s="23" t="s">
        <v>27</v>
      </c>
      <c r="E2" s="23" t="s">
        <v>28</v>
      </c>
      <c r="F2" s="23" t="s">
        <v>31</v>
      </c>
      <c r="G2" s="20"/>
      <c r="H2" s="24" t="s">
        <v>29</v>
      </c>
      <c r="I2" s="23" t="s">
        <v>30</v>
      </c>
      <c r="J2" s="23" t="s">
        <v>32</v>
      </c>
      <c r="K2" s="23"/>
      <c r="L2" s="25" t="s">
        <v>18</v>
      </c>
      <c r="M2" s="23" t="s">
        <v>43</v>
      </c>
    </row>
    <row r="3" spans="1:13" s="3" customFormat="1" x14ac:dyDescent="0.25">
      <c r="A3" s="3" t="s">
        <v>14</v>
      </c>
      <c r="C3" s="2">
        <v>367332</v>
      </c>
      <c r="D3" s="2"/>
      <c r="E3" s="2">
        <v>-367332</v>
      </c>
      <c r="F3" s="2">
        <f>C3+D3+E3</f>
        <v>0</v>
      </c>
      <c r="G3" s="2"/>
      <c r="H3" s="6">
        <v>7305835</v>
      </c>
      <c r="I3" s="2">
        <v>-7305835</v>
      </c>
      <c r="J3" s="2">
        <f>H3+I3</f>
        <v>0</v>
      </c>
      <c r="K3" s="2"/>
      <c r="L3" s="2">
        <f>F3+J3</f>
        <v>0</v>
      </c>
      <c r="M3" s="3" t="s">
        <v>44</v>
      </c>
    </row>
    <row r="4" spans="1:13" s="3" customFormat="1" x14ac:dyDescent="0.25">
      <c r="A4" s="3" t="s">
        <v>0</v>
      </c>
      <c r="C4" s="2">
        <v>15850000</v>
      </c>
      <c r="D4" s="2"/>
      <c r="E4" s="2">
        <v>-6365419</v>
      </c>
      <c r="F4" s="2">
        <f t="shared" ref="F4:F38" si="0">C4+D4+E4</f>
        <v>9484581</v>
      </c>
      <c r="G4" s="2"/>
      <c r="H4" s="6">
        <v>0</v>
      </c>
      <c r="I4" s="2"/>
      <c r="J4" s="2">
        <f t="shared" ref="J4:J38" si="1">H4+I4</f>
        <v>0</v>
      </c>
      <c r="K4" s="2"/>
      <c r="L4" s="2">
        <f t="shared" ref="L4:L38" si="2">F4+J4</f>
        <v>9484581</v>
      </c>
      <c r="M4" s="3" t="s">
        <v>45</v>
      </c>
    </row>
    <row r="5" spans="1:13" s="3" customFormat="1" x14ac:dyDescent="0.25">
      <c r="A5" s="3" t="s">
        <v>16</v>
      </c>
      <c r="C5" s="2">
        <v>468000</v>
      </c>
      <c r="D5" s="2"/>
      <c r="E5" s="2"/>
      <c r="F5" s="2">
        <f t="shared" si="0"/>
        <v>468000</v>
      </c>
      <c r="G5" s="4"/>
      <c r="H5" s="6">
        <v>468000</v>
      </c>
      <c r="I5" s="4"/>
      <c r="J5" s="2">
        <f t="shared" si="1"/>
        <v>468000</v>
      </c>
      <c r="K5" s="2"/>
      <c r="L5" s="2">
        <f t="shared" si="2"/>
        <v>936000</v>
      </c>
      <c r="M5" s="3" t="s">
        <v>48</v>
      </c>
    </row>
    <row r="6" spans="1:13" s="3" customFormat="1" x14ac:dyDescent="0.25">
      <c r="A6" s="3" t="s">
        <v>1</v>
      </c>
      <c r="C6" s="2">
        <v>3000000</v>
      </c>
      <c r="D6" s="2"/>
      <c r="E6" s="2"/>
      <c r="F6" s="2">
        <f t="shared" si="0"/>
        <v>3000000</v>
      </c>
      <c r="G6" s="2"/>
      <c r="H6" s="6">
        <v>0</v>
      </c>
      <c r="I6" s="2"/>
      <c r="J6" s="2">
        <f t="shared" si="1"/>
        <v>0</v>
      </c>
      <c r="K6" s="2"/>
      <c r="L6" s="2">
        <f t="shared" si="2"/>
        <v>3000000</v>
      </c>
    </row>
    <row r="7" spans="1:13" s="3" customFormat="1" x14ac:dyDescent="0.25">
      <c r="A7" s="3" t="s">
        <v>2</v>
      </c>
      <c r="C7" s="2">
        <v>702000</v>
      </c>
      <c r="D7" s="2"/>
      <c r="E7" s="2"/>
      <c r="F7" s="2">
        <f t="shared" si="0"/>
        <v>702000</v>
      </c>
      <c r="G7" s="2"/>
      <c r="H7" s="6">
        <v>702000</v>
      </c>
      <c r="I7" s="5">
        <v>702000</v>
      </c>
      <c r="J7" s="2">
        <f t="shared" si="1"/>
        <v>1404000</v>
      </c>
      <c r="K7" s="2"/>
      <c r="L7" s="2">
        <f t="shared" si="2"/>
        <v>2106000</v>
      </c>
      <c r="M7" s="3" t="s">
        <v>64</v>
      </c>
    </row>
    <row r="8" spans="1:13" s="3" customFormat="1" x14ac:dyDescent="0.25">
      <c r="A8" s="3" t="s">
        <v>3</v>
      </c>
      <c r="C8" s="2">
        <v>702000</v>
      </c>
      <c r="D8" s="2"/>
      <c r="E8" s="2"/>
      <c r="F8" s="2">
        <f t="shared" si="0"/>
        <v>702000</v>
      </c>
      <c r="G8" s="2"/>
      <c r="H8" s="6">
        <v>702000</v>
      </c>
      <c r="I8" s="5">
        <v>702000</v>
      </c>
      <c r="J8" s="2">
        <f t="shared" si="1"/>
        <v>1404000</v>
      </c>
      <c r="K8" s="2"/>
      <c r="L8" s="2">
        <f t="shared" si="2"/>
        <v>2106000</v>
      </c>
      <c r="M8" s="3" t="s">
        <v>64</v>
      </c>
    </row>
    <row r="9" spans="1:13" s="3" customFormat="1" x14ac:dyDescent="0.25">
      <c r="A9" s="3" t="s">
        <v>4</v>
      </c>
      <c r="C9" s="2">
        <v>1053000</v>
      </c>
      <c r="D9" s="2"/>
      <c r="E9" s="2"/>
      <c r="F9" s="2">
        <f t="shared" si="0"/>
        <v>1053000</v>
      </c>
      <c r="G9" s="2"/>
      <c r="H9" s="6">
        <v>0</v>
      </c>
      <c r="I9" s="2"/>
      <c r="J9" s="2">
        <f>H9+I9</f>
        <v>0</v>
      </c>
      <c r="K9" s="2"/>
      <c r="L9" s="2">
        <f t="shared" si="2"/>
        <v>1053000</v>
      </c>
    </row>
    <row r="10" spans="1:13" s="3" customFormat="1" x14ac:dyDescent="0.25">
      <c r="A10" s="3" t="s">
        <v>42</v>
      </c>
      <c r="C10" s="2">
        <v>0</v>
      </c>
      <c r="D10" s="2"/>
      <c r="E10" s="2"/>
      <c r="F10" s="2">
        <f t="shared" si="0"/>
        <v>0</v>
      </c>
      <c r="G10" s="2"/>
      <c r="H10" s="6">
        <v>292500</v>
      </c>
      <c r="I10" s="5">
        <v>700000</v>
      </c>
      <c r="J10" s="2">
        <f t="shared" si="1"/>
        <v>992500</v>
      </c>
      <c r="K10" s="2"/>
      <c r="L10" s="2">
        <f t="shared" si="2"/>
        <v>992500</v>
      </c>
      <c r="M10" s="3" t="s">
        <v>65</v>
      </c>
    </row>
    <row r="11" spans="1:13" s="3" customFormat="1" x14ac:dyDescent="0.25">
      <c r="A11" s="3" t="s">
        <v>5</v>
      </c>
      <c r="C11" s="2">
        <v>0</v>
      </c>
      <c r="D11" s="2"/>
      <c r="E11" s="2"/>
      <c r="F11" s="2">
        <f t="shared" si="0"/>
        <v>0</v>
      </c>
      <c r="G11" s="2"/>
      <c r="H11" s="6">
        <v>1170000</v>
      </c>
      <c r="I11" s="2">
        <v>-1170000</v>
      </c>
      <c r="J11" s="2">
        <f t="shared" si="1"/>
        <v>0</v>
      </c>
      <c r="K11" s="2"/>
      <c r="L11" s="2">
        <f t="shared" si="2"/>
        <v>0</v>
      </c>
      <c r="M11" s="3" t="s">
        <v>61</v>
      </c>
    </row>
    <row r="12" spans="1:13" s="3" customFormat="1" x14ac:dyDescent="0.25">
      <c r="A12" s="3" t="s">
        <v>17</v>
      </c>
      <c r="C12" s="2">
        <v>3500000</v>
      </c>
      <c r="D12" s="2"/>
      <c r="E12" s="2">
        <v>-3500000</v>
      </c>
      <c r="F12" s="2">
        <f t="shared" si="0"/>
        <v>0</v>
      </c>
      <c r="G12" s="5"/>
      <c r="H12" s="6">
        <v>0</v>
      </c>
      <c r="I12" s="5"/>
      <c r="J12" s="2">
        <f t="shared" si="1"/>
        <v>0</v>
      </c>
      <c r="K12" s="2"/>
      <c r="L12" s="2">
        <f t="shared" si="2"/>
        <v>0</v>
      </c>
      <c r="M12" s="3" t="s">
        <v>61</v>
      </c>
    </row>
    <row r="13" spans="1:13" s="3" customFormat="1" x14ac:dyDescent="0.25">
      <c r="A13" s="3" t="s">
        <v>6</v>
      </c>
      <c r="C13" s="2">
        <v>4095000</v>
      </c>
      <c r="D13" s="2"/>
      <c r="E13" s="2"/>
      <c r="F13" s="2">
        <f t="shared" si="0"/>
        <v>4095000</v>
      </c>
      <c r="G13" s="5"/>
      <c r="H13" s="6">
        <v>0</v>
      </c>
      <c r="I13" s="5"/>
      <c r="J13" s="2">
        <f t="shared" si="1"/>
        <v>0</v>
      </c>
      <c r="K13" s="2"/>
      <c r="L13" s="2">
        <f t="shared" si="2"/>
        <v>4095000</v>
      </c>
    </row>
    <row r="14" spans="1:13" s="3" customFormat="1" x14ac:dyDescent="0.25">
      <c r="A14" s="3" t="s">
        <v>7</v>
      </c>
      <c r="C14" s="2">
        <f>200000+75000</f>
        <v>275000</v>
      </c>
      <c r="D14" s="2"/>
      <c r="E14" s="2"/>
      <c r="F14" s="2">
        <f t="shared" si="0"/>
        <v>275000</v>
      </c>
      <c r="G14" s="5"/>
      <c r="H14" s="6">
        <v>0</v>
      </c>
      <c r="I14" s="5"/>
      <c r="J14" s="2">
        <f t="shared" si="1"/>
        <v>0</v>
      </c>
      <c r="K14" s="2"/>
      <c r="L14" s="2">
        <f t="shared" si="2"/>
        <v>275000</v>
      </c>
    </row>
    <row r="15" spans="1:13" s="3" customFormat="1" x14ac:dyDescent="0.25">
      <c r="A15" s="8" t="s">
        <v>34</v>
      </c>
      <c r="B15" s="8"/>
      <c r="C15" s="9">
        <f>7717320+409180</f>
        <v>8126500</v>
      </c>
      <c r="D15" s="9">
        <f>1032463+57688+3578000+174444</f>
        <v>4842595</v>
      </c>
      <c r="E15" s="9">
        <f>1894860+57688+174444-D15-C15</f>
        <v>-10842103</v>
      </c>
      <c r="F15" s="9">
        <f t="shared" si="0"/>
        <v>2126992</v>
      </c>
      <c r="G15" s="10"/>
      <c r="H15" s="11">
        <f>7964050+409180</f>
        <v>8373230</v>
      </c>
      <c r="I15" s="11">
        <v>-6321518</v>
      </c>
      <c r="J15" s="9">
        <f t="shared" si="1"/>
        <v>2051712</v>
      </c>
      <c r="K15" s="9"/>
      <c r="L15" s="9">
        <f t="shared" si="2"/>
        <v>4178704</v>
      </c>
      <c r="M15" s="3" t="s">
        <v>63</v>
      </c>
    </row>
    <row r="16" spans="1:13" s="3" customFormat="1" x14ac:dyDescent="0.25">
      <c r="A16" s="8" t="s">
        <v>35</v>
      </c>
      <c r="B16" s="8"/>
      <c r="C16" s="9">
        <v>5734170</v>
      </c>
      <c r="D16" s="9">
        <v>34605</v>
      </c>
      <c r="E16" s="9">
        <f>3523883-D16-C16</f>
        <v>-2244892</v>
      </c>
      <c r="F16" s="9">
        <f t="shared" si="0"/>
        <v>3523883</v>
      </c>
      <c r="G16" s="10"/>
      <c r="H16" s="11">
        <v>5874488</v>
      </c>
      <c r="I16" s="10">
        <f>3827459-H16</f>
        <v>-2047029</v>
      </c>
      <c r="J16" s="9">
        <f t="shared" si="1"/>
        <v>3827459</v>
      </c>
      <c r="K16" s="9"/>
      <c r="L16" s="9">
        <f t="shared" si="2"/>
        <v>7351342</v>
      </c>
      <c r="M16" s="3" t="s">
        <v>62</v>
      </c>
    </row>
    <row r="17" spans="1:13" s="3" customFormat="1" x14ac:dyDescent="0.25">
      <c r="A17" s="8" t="s">
        <v>36</v>
      </c>
      <c r="B17" s="8"/>
      <c r="C17" s="9">
        <v>5098384</v>
      </c>
      <c r="D17" s="9"/>
      <c r="E17" s="9">
        <f>975620-D17-C17</f>
        <v>-4122764</v>
      </c>
      <c r="F17" s="9">
        <f t="shared" si="0"/>
        <v>975620</v>
      </c>
      <c r="G17" s="10"/>
      <c r="H17" s="11">
        <v>5193140</v>
      </c>
      <c r="I17" s="10">
        <f>1059586-H17</f>
        <v>-4133554</v>
      </c>
      <c r="J17" s="9">
        <f t="shared" si="1"/>
        <v>1059586</v>
      </c>
      <c r="K17" s="9"/>
      <c r="L17" s="9">
        <f t="shared" si="2"/>
        <v>2035206</v>
      </c>
      <c r="M17" s="3" t="s">
        <v>62</v>
      </c>
    </row>
    <row r="18" spans="1:13" s="3" customFormat="1" x14ac:dyDescent="0.25">
      <c r="A18" s="8" t="s">
        <v>47</v>
      </c>
      <c r="B18" s="8"/>
      <c r="C18" s="9">
        <v>95667</v>
      </c>
      <c r="D18" s="9"/>
      <c r="E18" s="9">
        <f>248812-D18-C18</f>
        <v>153145</v>
      </c>
      <c r="F18" s="9">
        <f t="shared" si="0"/>
        <v>248812</v>
      </c>
      <c r="G18" s="10"/>
      <c r="H18" s="11">
        <v>94111</v>
      </c>
      <c r="I18" s="10">
        <f>270124-H18</f>
        <v>176013</v>
      </c>
      <c r="J18" s="9">
        <f t="shared" si="1"/>
        <v>270124</v>
      </c>
      <c r="K18" s="9"/>
      <c r="L18" s="9">
        <f t="shared" si="2"/>
        <v>518936</v>
      </c>
      <c r="M18" s="3" t="s">
        <v>62</v>
      </c>
    </row>
    <row r="19" spans="1:13" s="3" customFormat="1" x14ac:dyDescent="0.25">
      <c r="A19" s="8" t="s">
        <v>37</v>
      </c>
      <c r="B19" s="8"/>
      <c r="C19" s="9">
        <v>586162</v>
      </c>
      <c r="D19" s="9"/>
      <c r="E19" s="9"/>
      <c r="F19" s="9">
        <f t="shared" si="0"/>
        <v>586162</v>
      </c>
      <c r="G19" s="10"/>
      <c r="H19" s="11">
        <v>612020</v>
      </c>
      <c r="I19" s="10"/>
      <c r="J19" s="9">
        <f t="shared" si="1"/>
        <v>612020</v>
      </c>
      <c r="K19" s="9"/>
      <c r="L19" s="9">
        <f t="shared" si="2"/>
        <v>1198182</v>
      </c>
    </row>
    <row r="20" spans="1:13" s="3" customFormat="1" x14ac:dyDescent="0.25">
      <c r="A20" s="8" t="s">
        <v>38</v>
      </c>
      <c r="B20" s="8"/>
      <c r="C20" s="9">
        <v>284477</v>
      </c>
      <c r="D20" s="9"/>
      <c r="E20" s="9">
        <f>167912-D20-C20</f>
        <v>-116565</v>
      </c>
      <c r="F20" s="9">
        <f t="shared" si="0"/>
        <v>167912</v>
      </c>
      <c r="G20" s="10"/>
      <c r="H20" s="11">
        <v>330257</v>
      </c>
      <c r="I20" s="10">
        <f>182283-H20</f>
        <v>-147974</v>
      </c>
      <c r="J20" s="9">
        <f t="shared" si="1"/>
        <v>182283</v>
      </c>
      <c r="K20" s="9"/>
      <c r="L20" s="9">
        <f t="shared" si="2"/>
        <v>350195</v>
      </c>
      <c r="M20" s="3" t="s">
        <v>62</v>
      </c>
    </row>
    <row r="21" spans="1:13" s="3" customFormat="1" x14ac:dyDescent="0.25">
      <c r="A21" s="8" t="s">
        <v>60</v>
      </c>
      <c r="B21" s="8"/>
      <c r="C21" s="9">
        <v>0</v>
      </c>
      <c r="D21" s="9"/>
      <c r="E21" s="9">
        <v>27646</v>
      </c>
      <c r="F21" s="9">
        <f t="shared" si="0"/>
        <v>27646</v>
      </c>
      <c r="G21" s="10"/>
      <c r="H21" s="11">
        <v>0</v>
      </c>
      <c r="I21" s="10">
        <v>30014</v>
      </c>
      <c r="J21" s="9">
        <f t="shared" si="1"/>
        <v>30014</v>
      </c>
      <c r="K21" s="9"/>
      <c r="L21" s="9">
        <f t="shared" si="2"/>
        <v>57660</v>
      </c>
      <c r="M21" s="3" t="s">
        <v>62</v>
      </c>
    </row>
    <row r="22" spans="1:13" s="3" customFormat="1" x14ac:dyDescent="0.25">
      <c r="A22" s="8" t="s">
        <v>39</v>
      </c>
      <c r="B22" s="8"/>
      <c r="C22" s="9">
        <v>988650</v>
      </c>
      <c r="D22" s="9">
        <v>40250</v>
      </c>
      <c r="E22" s="9"/>
      <c r="F22" s="9">
        <f t="shared" si="0"/>
        <v>1028900</v>
      </c>
      <c r="G22" s="10"/>
      <c r="H22" s="11">
        <v>1006200</v>
      </c>
      <c r="I22" s="10"/>
      <c r="J22" s="9">
        <f t="shared" si="1"/>
        <v>1006200</v>
      </c>
      <c r="K22" s="9"/>
      <c r="L22" s="9">
        <f t="shared" si="2"/>
        <v>2035100</v>
      </c>
    </row>
    <row r="23" spans="1:13" s="3" customFormat="1" x14ac:dyDescent="0.25">
      <c r="A23" s="8" t="s">
        <v>40</v>
      </c>
      <c r="B23" s="8"/>
      <c r="C23" s="9">
        <v>631800</v>
      </c>
      <c r="D23" s="9">
        <v>34168</v>
      </c>
      <c r="E23" s="9"/>
      <c r="F23" s="9">
        <f t="shared" si="0"/>
        <v>665968</v>
      </c>
      <c r="G23" s="10"/>
      <c r="H23" s="11">
        <v>596700</v>
      </c>
      <c r="I23" s="10"/>
      <c r="J23" s="9">
        <f t="shared" si="1"/>
        <v>596700</v>
      </c>
      <c r="K23" s="9"/>
      <c r="L23" s="9">
        <f t="shared" si="2"/>
        <v>1262668</v>
      </c>
    </row>
    <row r="24" spans="1:13" s="3" customFormat="1" x14ac:dyDescent="0.25">
      <c r="A24" s="8" t="s">
        <v>41</v>
      </c>
      <c r="B24" s="8"/>
      <c r="C24" s="9">
        <v>30713</v>
      </c>
      <c r="D24" s="9">
        <v>7138</v>
      </c>
      <c r="E24" s="9"/>
      <c r="F24" s="9">
        <f>C24+D24+E24</f>
        <v>37851</v>
      </c>
      <c r="G24" s="10"/>
      <c r="H24" s="11">
        <v>31634</v>
      </c>
      <c r="I24" s="10"/>
      <c r="J24" s="9">
        <f t="shared" si="1"/>
        <v>31634</v>
      </c>
      <c r="K24" s="9"/>
      <c r="L24" s="9">
        <f t="shared" si="2"/>
        <v>69485</v>
      </c>
    </row>
    <row r="25" spans="1:13" s="3" customFormat="1" x14ac:dyDescent="0.25">
      <c r="A25" s="3" t="s">
        <v>8</v>
      </c>
      <c r="C25" s="2">
        <v>50000</v>
      </c>
      <c r="D25" s="2"/>
      <c r="E25" s="2"/>
      <c r="F25" s="2">
        <f t="shared" si="0"/>
        <v>50000</v>
      </c>
      <c r="G25" s="5"/>
      <c r="H25" s="6">
        <v>25000</v>
      </c>
      <c r="I25" s="5"/>
      <c r="J25" s="2">
        <f t="shared" si="1"/>
        <v>25000</v>
      </c>
      <c r="K25" s="2"/>
      <c r="L25" s="2">
        <f t="shared" si="2"/>
        <v>75000</v>
      </c>
    </row>
    <row r="26" spans="1:13" s="3" customFormat="1" x14ac:dyDescent="0.25">
      <c r="A26" s="3" t="s">
        <v>9</v>
      </c>
      <c r="C26" s="2">
        <v>150000</v>
      </c>
      <c r="D26" s="2"/>
      <c r="E26" s="2"/>
      <c r="F26" s="2">
        <f t="shared" si="0"/>
        <v>150000</v>
      </c>
      <c r="G26" s="5"/>
      <c r="H26" s="6">
        <v>0</v>
      </c>
      <c r="I26" s="5"/>
      <c r="J26" s="2">
        <f t="shared" si="1"/>
        <v>0</v>
      </c>
      <c r="K26" s="2"/>
      <c r="L26" s="2">
        <f t="shared" si="2"/>
        <v>150000</v>
      </c>
    </row>
    <row r="27" spans="1:13" s="3" customFormat="1" x14ac:dyDescent="0.25">
      <c r="A27" s="3" t="s">
        <v>46</v>
      </c>
      <c r="C27" s="2">
        <v>0</v>
      </c>
      <c r="D27" s="2">
        <v>1013376</v>
      </c>
      <c r="E27" s="2"/>
      <c r="F27" s="2">
        <f t="shared" si="0"/>
        <v>1013376</v>
      </c>
      <c r="G27" s="5"/>
      <c r="H27" s="6">
        <v>0</v>
      </c>
      <c r="I27" s="5"/>
      <c r="J27" s="2">
        <f t="shared" si="1"/>
        <v>0</v>
      </c>
      <c r="K27" s="2"/>
      <c r="L27" s="2">
        <f t="shared" si="2"/>
        <v>1013376</v>
      </c>
    </row>
    <row r="28" spans="1:13" s="3" customFormat="1" x14ac:dyDescent="0.25">
      <c r="A28" s="3" t="s">
        <v>10</v>
      </c>
      <c r="C28" s="2">
        <v>896750</v>
      </c>
      <c r="D28" s="2">
        <f>63489+28654</f>
        <v>92143</v>
      </c>
      <c r="E28" s="2"/>
      <c r="F28" s="2">
        <f t="shared" si="0"/>
        <v>988893</v>
      </c>
      <c r="G28" s="5"/>
      <c r="H28" s="6">
        <v>997303</v>
      </c>
      <c r="I28" s="5"/>
      <c r="J28" s="2">
        <f t="shared" si="1"/>
        <v>997303</v>
      </c>
      <c r="K28" s="2"/>
      <c r="L28" s="2">
        <f t="shared" si="2"/>
        <v>1986196</v>
      </c>
    </row>
    <row r="29" spans="1:13" s="3" customFormat="1" x14ac:dyDescent="0.25">
      <c r="A29" s="3" t="s">
        <v>11</v>
      </c>
      <c r="C29" s="2">
        <v>1983150</v>
      </c>
      <c r="D29" s="2"/>
      <c r="E29" s="2"/>
      <c r="F29" s="2">
        <f t="shared" si="0"/>
        <v>1983150</v>
      </c>
      <c r="G29" s="5"/>
      <c r="H29" s="6">
        <v>1613255</v>
      </c>
      <c r="I29" s="5">
        <v>400000</v>
      </c>
      <c r="J29" s="2">
        <f t="shared" si="1"/>
        <v>2013255</v>
      </c>
      <c r="K29" s="2"/>
      <c r="L29" s="2">
        <f t="shared" si="2"/>
        <v>3996405</v>
      </c>
      <c r="M29" s="3" t="s">
        <v>66</v>
      </c>
    </row>
    <row r="30" spans="1:13" s="3" customFormat="1" x14ac:dyDescent="0.25">
      <c r="A30" s="3" t="s">
        <v>12</v>
      </c>
      <c r="C30" s="2">
        <v>2536560</v>
      </c>
      <c r="D30" s="2"/>
      <c r="E30" s="2"/>
      <c r="F30" s="2">
        <f t="shared" si="0"/>
        <v>2536560</v>
      </c>
      <c r="G30" s="5"/>
      <c r="H30" s="6">
        <v>2515559</v>
      </c>
      <c r="I30" s="5"/>
      <c r="J30" s="2">
        <f t="shared" si="1"/>
        <v>2515559</v>
      </c>
      <c r="K30" s="2"/>
      <c r="L30" s="2">
        <f t="shared" si="2"/>
        <v>5052119</v>
      </c>
    </row>
    <row r="31" spans="1:13" s="3" customFormat="1" x14ac:dyDescent="0.25">
      <c r="A31" s="3" t="s">
        <v>20</v>
      </c>
      <c r="C31" s="2">
        <v>255400</v>
      </c>
      <c r="D31" s="2">
        <v>16103</v>
      </c>
      <c r="E31" s="2"/>
      <c r="F31" s="2">
        <f t="shared" si="0"/>
        <v>271503</v>
      </c>
      <c r="G31" s="5"/>
      <c r="H31" s="6">
        <v>264345</v>
      </c>
      <c r="I31" s="5"/>
      <c r="J31" s="2">
        <f t="shared" si="1"/>
        <v>264345</v>
      </c>
      <c r="K31" s="2"/>
      <c r="L31" s="2">
        <f t="shared" si="2"/>
        <v>535848</v>
      </c>
    </row>
    <row r="32" spans="1:13" s="3" customFormat="1" x14ac:dyDescent="0.25">
      <c r="A32" s="3" t="s">
        <v>25</v>
      </c>
      <c r="C32" s="2">
        <v>270700</v>
      </c>
      <c r="D32" s="2">
        <v>87195</v>
      </c>
      <c r="E32" s="2"/>
      <c r="F32" s="2">
        <f t="shared" si="0"/>
        <v>357895</v>
      </c>
      <c r="G32" s="5"/>
      <c r="H32" s="6">
        <v>231500</v>
      </c>
      <c r="I32" s="5">
        <v>100000</v>
      </c>
      <c r="J32" s="2">
        <f t="shared" si="1"/>
        <v>331500</v>
      </c>
      <c r="K32" s="2"/>
      <c r="L32" s="2">
        <f t="shared" si="2"/>
        <v>689395</v>
      </c>
      <c r="M32" s="3" t="s">
        <v>66</v>
      </c>
    </row>
    <row r="33" spans="1:12" s="3" customFormat="1" x14ac:dyDescent="0.25">
      <c r="A33" s="3" t="s">
        <v>33</v>
      </c>
      <c r="C33" s="2">
        <v>153900</v>
      </c>
      <c r="D33" s="2">
        <v>11000</v>
      </c>
      <c r="E33" s="2"/>
      <c r="F33" s="2">
        <f t="shared" si="0"/>
        <v>164900</v>
      </c>
      <c r="G33" s="5"/>
      <c r="H33" s="6">
        <v>236900</v>
      </c>
      <c r="I33" s="5"/>
      <c r="J33" s="2">
        <f t="shared" si="1"/>
        <v>236900</v>
      </c>
      <c r="K33" s="2"/>
      <c r="L33" s="2">
        <f t="shared" si="2"/>
        <v>401800</v>
      </c>
    </row>
    <row r="34" spans="1:12" s="3" customFormat="1" x14ac:dyDescent="0.25">
      <c r="A34" s="3" t="s">
        <v>24</v>
      </c>
      <c r="C34" s="2">
        <v>37500</v>
      </c>
      <c r="D34" s="2"/>
      <c r="E34" s="2"/>
      <c r="F34" s="2">
        <f t="shared" si="0"/>
        <v>37500</v>
      </c>
      <c r="G34" s="5"/>
      <c r="H34" s="6">
        <v>0</v>
      </c>
      <c r="I34" s="5"/>
      <c r="J34" s="2">
        <f t="shared" si="1"/>
        <v>0</v>
      </c>
      <c r="K34" s="2"/>
      <c r="L34" s="2">
        <f t="shared" si="2"/>
        <v>37500</v>
      </c>
    </row>
    <row r="35" spans="1:12" s="3" customFormat="1" x14ac:dyDescent="0.25">
      <c r="A35" s="3" t="s">
        <v>23</v>
      </c>
      <c r="C35" s="2">
        <v>110000</v>
      </c>
      <c r="D35" s="2"/>
      <c r="E35" s="2"/>
      <c r="F35" s="2">
        <f t="shared" si="0"/>
        <v>110000</v>
      </c>
      <c r="G35" s="5"/>
      <c r="H35" s="6">
        <v>110000</v>
      </c>
      <c r="I35" s="5"/>
      <c r="J35" s="2">
        <f t="shared" si="1"/>
        <v>110000</v>
      </c>
      <c r="K35" s="2"/>
      <c r="L35" s="2">
        <f t="shared" si="2"/>
        <v>220000</v>
      </c>
    </row>
    <row r="36" spans="1:12" s="3" customFormat="1" x14ac:dyDescent="0.25">
      <c r="A36" s="3" t="s">
        <v>22</v>
      </c>
      <c r="C36" s="2">
        <f>30000+10000+100000+60000</f>
        <v>200000</v>
      </c>
      <c r="D36" s="2">
        <f>43375+306788</f>
        <v>350163</v>
      </c>
      <c r="E36" s="2"/>
      <c r="F36" s="2">
        <f t="shared" si="0"/>
        <v>550163</v>
      </c>
      <c r="G36" s="5"/>
      <c r="H36" s="6">
        <v>140000</v>
      </c>
      <c r="I36" s="5"/>
      <c r="J36" s="2">
        <f t="shared" si="1"/>
        <v>140000</v>
      </c>
      <c r="K36" s="2"/>
      <c r="L36" s="2">
        <f t="shared" si="2"/>
        <v>690163</v>
      </c>
    </row>
    <row r="37" spans="1:12" s="3" customFormat="1" x14ac:dyDescent="0.25">
      <c r="A37" s="3" t="s">
        <v>21</v>
      </c>
      <c r="C37" s="2">
        <v>50000</v>
      </c>
      <c r="D37" s="2"/>
      <c r="E37" s="2"/>
      <c r="F37" s="2">
        <f t="shared" si="0"/>
        <v>50000</v>
      </c>
      <c r="G37" s="5"/>
      <c r="H37" s="6">
        <v>50000</v>
      </c>
      <c r="I37" s="5"/>
      <c r="J37" s="2">
        <f t="shared" si="1"/>
        <v>50000</v>
      </c>
      <c r="K37" s="2"/>
      <c r="L37" s="2">
        <f t="shared" si="2"/>
        <v>100000</v>
      </c>
    </row>
    <row r="38" spans="1:12" s="3" customFormat="1" x14ac:dyDescent="0.25">
      <c r="A38" s="3" t="s">
        <v>13</v>
      </c>
      <c r="C38" s="2">
        <f>C40-SUM(C3:C37)</f>
        <v>-463669</v>
      </c>
      <c r="D38" s="2">
        <v>-31</v>
      </c>
      <c r="E38" s="2"/>
      <c r="F38" s="2">
        <f t="shared" si="0"/>
        <v>-463700</v>
      </c>
      <c r="G38" s="5"/>
      <c r="H38" s="6">
        <f>H40-SUM(H3:H37)</f>
        <v>-524132</v>
      </c>
      <c r="I38" s="5"/>
      <c r="J38" s="2">
        <f t="shared" si="1"/>
        <v>-524132</v>
      </c>
      <c r="K38" s="2"/>
      <c r="L38" s="2">
        <f t="shared" si="2"/>
        <v>-987832</v>
      </c>
    </row>
    <row r="39" spans="1:12" x14ac:dyDescent="0.25">
      <c r="C39" s="2"/>
      <c r="D39" s="1"/>
      <c r="E39" s="1"/>
      <c r="F39" s="1"/>
      <c r="G39" s="1"/>
      <c r="H39" s="6"/>
      <c r="I39" s="1"/>
      <c r="J39" s="1"/>
      <c r="K39" s="1"/>
    </row>
    <row r="40" spans="1:12" x14ac:dyDescent="0.25">
      <c r="A40" s="17" t="s">
        <v>15</v>
      </c>
      <c r="B40" s="17"/>
      <c r="C40" s="18">
        <v>57819146</v>
      </c>
      <c r="D40" s="18">
        <f>SUM(D3:D39)</f>
        <v>6528705</v>
      </c>
      <c r="E40" s="18">
        <f>SUM(E3:E39)</f>
        <v>-27378284</v>
      </c>
      <c r="F40" s="18">
        <f>SUM(F3:F39)</f>
        <v>36969567</v>
      </c>
      <c r="G40" s="18"/>
      <c r="H40" s="19">
        <v>38411845</v>
      </c>
      <c r="I40" s="18">
        <f>SUM(I3:I39)</f>
        <v>-18315883</v>
      </c>
      <c r="J40" s="18">
        <f>SUM(J3:J39)</f>
        <v>20095962</v>
      </c>
      <c r="K40" s="18"/>
      <c r="L40" s="18">
        <f>SUM(L3:L39)</f>
        <v>57065529</v>
      </c>
    </row>
    <row r="41" spans="1:12" x14ac:dyDescent="0.25">
      <c r="C41" s="2"/>
      <c r="D41" s="1"/>
      <c r="E41" s="1"/>
      <c r="F41" s="1"/>
      <c r="G41" s="1"/>
      <c r="H41" s="6"/>
      <c r="I41" s="1"/>
      <c r="L41" s="1"/>
    </row>
    <row r="43" spans="1:12" x14ac:dyDescent="0.25">
      <c r="A43" s="12"/>
      <c r="B43" s="12"/>
      <c r="C43" s="13"/>
      <c r="D43" s="13"/>
      <c r="E43" s="13"/>
      <c r="F43" s="13"/>
      <c r="G43" s="13"/>
      <c r="H43" s="14"/>
      <c r="I43" s="13"/>
      <c r="J43" s="13"/>
      <c r="K43" s="13"/>
      <c r="L43" s="12"/>
    </row>
    <row r="44" spans="1:12" x14ac:dyDescent="0.25">
      <c r="C44" s="2"/>
      <c r="D44" s="1"/>
      <c r="E44" s="1"/>
      <c r="F44" s="1"/>
      <c r="G44" s="1"/>
      <c r="H44" s="6"/>
      <c r="I44" s="1"/>
      <c r="J44" s="1"/>
      <c r="K44" s="1"/>
    </row>
    <row r="45" spans="1:12" x14ac:dyDescent="0.25">
      <c r="A45" t="s">
        <v>56</v>
      </c>
      <c r="C45" s="2"/>
      <c r="D45" s="1"/>
      <c r="E45" s="1"/>
      <c r="F45" s="1"/>
      <c r="G45" s="1"/>
      <c r="H45" s="6"/>
      <c r="I45" s="1"/>
      <c r="J45" s="1"/>
      <c r="K45" s="1"/>
    </row>
    <row r="46" spans="1:12" x14ac:dyDescent="0.25">
      <c r="A46" t="s">
        <v>49</v>
      </c>
      <c r="C46" s="2">
        <v>9916030</v>
      </c>
      <c r="D46" s="2">
        <v>1222382</v>
      </c>
      <c r="E46" s="1">
        <f>1008368-3177061-2888663</f>
        <v>-5057356</v>
      </c>
      <c r="F46" s="2">
        <f t="shared" ref="F46:F49" si="3">C46+D46+E46</f>
        <v>6081056</v>
      </c>
      <c r="G46" s="1"/>
      <c r="H46" s="6">
        <v>8717080</v>
      </c>
      <c r="I46" s="1">
        <f>1034703-3177061-1824420+60841</f>
        <v>-3905937</v>
      </c>
      <c r="J46" s="1">
        <f>H46+I46</f>
        <v>4811143</v>
      </c>
      <c r="K46" s="1"/>
      <c r="L46" s="2">
        <f t="shared" ref="L46:L49" si="4">F46+J46</f>
        <v>10892199</v>
      </c>
    </row>
    <row r="47" spans="1:12" x14ac:dyDescent="0.25">
      <c r="A47" t="s">
        <v>50</v>
      </c>
      <c r="C47" s="2">
        <v>125865</v>
      </c>
      <c r="D47" s="2">
        <v>0</v>
      </c>
      <c r="E47" s="1">
        <f>3464-30595-23526</f>
        <v>-50657</v>
      </c>
      <c r="F47" s="2">
        <f t="shared" si="3"/>
        <v>75208</v>
      </c>
      <c r="G47" s="1"/>
      <c r="H47" s="6">
        <v>1290267</v>
      </c>
      <c r="I47" s="1">
        <f>I11+(3472-31442)-24211+204</f>
        <v>-1221977</v>
      </c>
      <c r="J47" s="1">
        <f t="shared" ref="J47:J49" si="5">H47+I47</f>
        <v>68290</v>
      </c>
      <c r="K47" s="1"/>
      <c r="L47" s="2">
        <f t="shared" si="4"/>
        <v>143498</v>
      </c>
    </row>
    <row r="48" spans="1:12" x14ac:dyDescent="0.25">
      <c r="A48" t="s">
        <v>51</v>
      </c>
      <c r="C48" s="2">
        <v>47309419</v>
      </c>
      <c r="D48" s="2">
        <f>5306323</f>
        <v>5306323</v>
      </c>
      <c r="E48" s="1">
        <f>E4+E12+(3932041-8039647)-7929914</f>
        <v>-21902939</v>
      </c>
      <c r="F48" s="2">
        <f t="shared" si="3"/>
        <v>30712803</v>
      </c>
      <c r="G48" s="1"/>
      <c r="H48" s="6">
        <v>20998413</v>
      </c>
      <c r="I48" s="1">
        <f>4033100-8283494-4472887+237146+100000+400000+700000+1404000</f>
        <v>-5882135</v>
      </c>
      <c r="J48" s="1">
        <f t="shared" si="5"/>
        <v>15116278</v>
      </c>
      <c r="K48" s="1"/>
      <c r="L48" s="2">
        <f t="shared" si="4"/>
        <v>45829081</v>
      </c>
    </row>
    <row r="49" spans="1:14" x14ac:dyDescent="0.25">
      <c r="A49" t="s">
        <v>52</v>
      </c>
      <c r="C49" s="2">
        <v>100500</v>
      </c>
      <c r="D49" s="2">
        <v>0</v>
      </c>
      <c r="E49" s="1">
        <v>0</v>
      </c>
      <c r="F49" s="2">
        <f t="shared" si="3"/>
        <v>100500</v>
      </c>
      <c r="G49" s="1"/>
      <c r="H49" s="6">
        <v>100250</v>
      </c>
      <c r="I49" s="1"/>
      <c r="J49" s="1">
        <f t="shared" si="5"/>
        <v>100250</v>
      </c>
      <c r="K49" s="1"/>
      <c r="L49" s="2">
        <f t="shared" si="4"/>
        <v>200750</v>
      </c>
    </row>
    <row r="50" spans="1:14" x14ac:dyDescent="0.25">
      <c r="C50" s="2"/>
      <c r="D50" s="2"/>
      <c r="E50" s="1"/>
      <c r="F50" s="1"/>
      <c r="G50" s="1"/>
      <c r="H50" s="6"/>
      <c r="I50" s="1"/>
      <c r="J50" s="1"/>
      <c r="K50" s="1"/>
    </row>
    <row r="51" spans="1:14" x14ac:dyDescent="0.25">
      <c r="A51" s="15" t="s">
        <v>54</v>
      </c>
      <c r="B51" s="15"/>
      <c r="C51" s="16">
        <f>SUM(C46:C50)</f>
        <v>57451814</v>
      </c>
      <c r="D51" s="16">
        <f>SUM(D46:D50)</f>
        <v>6528705</v>
      </c>
      <c r="E51" s="16">
        <f t="shared" ref="E51:L51" si="6">SUM(E46:E50)</f>
        <v>-27010952</v>
      </c>
      <c r="F51" s="16">
        <f t="shared" si="6"/>
        <v>36969567</v>
      </c>
      <c r="G51" s="1"/>
      <c r="H51" s="16">
        <f t="shared" si="6"/>
        <v>31106010</v>
      </c>
      <c r="I51" s="16">
        <f t="shared" si="6"/>
        <v>-11010049</v>
      </c>
      <c r="J51" s="16">
        <f t="shared" si="6"/>
        <v>20095961</v>
      </c>
      <c r="K51" s="1"/>
      <c r="L51" s="16">
        <f t="shared" si="6"/>
        <v>57065528</v>
      </c>
    </row>
    <row r="52" spans="1:14" x14ac:dyDescent="0.25">
      <c r="A52" s="15"/>
      <c r="B52" s="15"/>
      <c r="C52" s="16"/>
      <c r="D52" s="16"/>
      <c r="E52" s="1"/>
      <c r="F52" s="1"/>
      <c r="G52" s="1"/>
      <c r="H52" s="1"/>
      <c r="I52" s="1"/>
      <c r="J52" s="1"/>
      <c r="K52" s="1"/>
    </row>
    <row r="53" spans="1:14" x14ac:dyDescent="0.25">
      <c r="A53" s="17" t="s">
        <v>55</v>
      </c>
      <c r="B53" s="17"/>
      <c r="C53" s="18">
        <f>C51+C3</f>
        <v>57819146</v>
      </c>
      <c r="D53" s="18">
        <f>D51+D3</f>
        <v>6528705</v>
      </c>
      <c r="E53" s="18">
        <f t="shared" ref="E53:F53" si="7">E51+E3</f>
        <v>-27378284</v>
      </c>
      <c r="F53" s="18">
        <f t="shared" si="7"/>
        <v>36969567</v>
      </c>
      <c r="G53" s="8"/>
      <c r="H53" s="18">
        <f>H51+H3</f>
        <v>38411845</v>
      </c>
      <c r="I53" s="18">
        <f>I51+I3</f>
        <v>-18315884</v>
      </c>
      <c r="J53" s="18">
        <f>J51+J3</f>
        <v>20095961</v>
      </c>
      <c r="K53" s="8"/>
      <c r="L53" s="18">
        <f>L51+L3</f>
        <v>57065528</v>
      </c>
      <c r="N53" s="1"/>
    </row>
    <row r="54" spans="1:14" x14ac:dyDescent="0.25">
      <c r="D54" s="3"/>
    </row>
    <row r="55" spans="1:14" x14ac:dyDescent="0.25">
      <c r="A55" t="s">
        <v>57</v>
      </c>
      <c r="D55" s="3"/>
    </row>
    <row r="56" spans="1:14" x14ac:dyDescent="0.25">
      <c r="A56" t="s">
        <v>49</v>
      </c>
      <c r="C56" s="2">
        <v>9916030</v>
      </c>
      <c r="D56" s="2">
        <v>1222382</v>
      </c>
      <c r="E56" s="1">
        <f>1008368-3177061-2888663</f>
        <v>-5057356</v>
      </c>
      <c r="F56" s="2">
        <f t="shared" ref="F56:F59" si="8">C56+D56+E56</f>
        <v>6081056</v>
      </c>
      <c r="H56" s="2">
        <v>8717080</v>
      </c>
      <c r="I56" s="1">
        <f>1034703-3177061-1824420+60841</f>
        <v>-3905937</v>
      </c>
      <c r="J56" s="1">
        <f t="shared" ref="J56:J59" si="9">H56+I56</f>
        <v>4811143</v>
      </c>
      <c r="L56" s="2">
        <f t="shared" ref="L56:L59" si="10">F56+J56</f>
        <v>10892199</v>
      </c>
    </row>
    <row r="57" spans="1:14" x14ac:dyDescent="0.25">
      <c r="A57" t="s">
        <v>50</v>
      </c>
      <c r="C57" s="2">
        <v>125865</v>
      </c>
      <c r="D57" s="2">
        <v>0</v>
      </c>
      <c r="E57" s="1">
        <f>3464-30595-23526</f>
        <v>-50657</v>
      </c>
      <c r="F57" s="2">
        <f t="shared" si="8"/>
        <v>75208</v>
      </c>
      <c r="H57" s="2">
        <v>705267</v>
      </c>
      <c r="I57" s="2">
        <f>-585000-(3472-31442)-55941-24211+204</f>
        <v>-636978</v>
      </c>
      <c r="J57" s="1">
        <f t="shared" si="9"/>
        <v>68289</v>
      </c>
      <c r="L57" s="2">
        <f t="shared" si="10"/>
        <v>143497</v>
      </c>
    </row>
    <row r="58" spans="1:14" x14ac:dyDescent="0.25">
      <c r="A58" t="s">
        <v>51</v>
      </c>
      <c r="C58" s="2">
        <v>45905419</v>
      </c>
      <c r="D58" s="2">
        <v>5306323</v>
      </c>
      <c r="E58" s="2">
        <f>E4+E12+(3932041-8039647)-7929914</f>
        <v>-21902939</v>
      </c>
      <c r="F58" s="2">
        <f t="shared" si="8"/>
        <v>29308803</v>
      </c>
      <c r="H58" s="2">
        <f>19594413+1404000</f>
        <v>20998413</v>
      </c>
      <c r="I58" s="1">
        <f>4033100-8283494-4472887+2841146+1404000</f>
        <v>-4478135</v>
      </c>
      <c r="J58" s="1">
        <f t="shared" si="9"/>
        <v>16520278</v>
      </c>
      <c r="L58" s="2">
        <f t="shared" si="10"/>
        <v>45829081</v>
      </c>
    </row>
    <row r="59" spans="1:14" x14ac:dyDescent="0.25">
      <c r="A59" t="s">
        <v>52</v>
      </c>
      <c r="C59" s="2">
        <v>100500</v>
      </c>
      <c r="D59" s="2">
        <v>0</v>
      </c>
      <c r="E59" s="2">
        <v>0</v>
      </c>
      <c r="F59" s="2">
        <f t="shared" si="8"/>
        <v>100500</v>
      </c>
      <c r="H59" s="2">
        <v>100250</v>
      </c>
      <c r="I59" s="2">
        <v>0</v>
      </c>
      <c r="J59" s="1">
        <f t="shared" si="9"/>
        <v>100250</v>
      </c>
      <c r="L59" s="2">
        <f t="shared" si="10"/>
        <v>200750</v>
      </c>
    </row>
    <row r="60" spans="1:14" x14ac:dyDescent="0.25">
      <c r="D60" s="3"/>
      <c r="E60" s="3"/>
      <c r="F60" s="3"/>
      <c r="H60" s="3"/>
    </row>
    <row r="61" spans="1:14" x14ac:dyDescent="0.25">
      <c r="A61" s="17" t="s">
        <v>53</v>
      </c>
      <c r="B61" s="17"/>
      <c r="C61" s="18">
        <f>SUM(C56:C60)</f>
        <v>56047814</v>
      </c>
      <c r="D61" s="18">
        <f>SUM(D56:D60)</f>
        <v>6528705</v>
      </c>
      <c r="E61" s="18">
        <f t="shared" ref="E61:L61" si="11">SUM(E56:E60)</f>
        <v>-27010952</v>
      </c>
      <c r="F61" s="18">
        <f t="shared" si="11"/>
        <v>35565567</v>
      </c>
      <c r="G61" s="8"/>
      <c r="H61" s="18">
        <f t="shared" si="11"/>
        <v>30521010</v>
      </c>
      <c r="I61" s="18">
        <f t="shared" si="11"/>
        <v>-9021050</v>
      </c>
      <c r="J61" s="18">
        <f t="shared" si="11"/>
        <v>21499960</v>
      </c>
      <c r="K61" s="8"/>
      <c r="L61" s="18">
        <f t="shared" si="11"/>
        <v>57065527</v>
      </c>
    </row>
    <row r="62" spans="1:14" x14ac:dyDescent="0.25">
      <c r="D62" s="3"/>
      <c r="H62"/>
    </row>
    <row r="63" spans="1:14" x14ac:dyDescent="0.25">
      <c r="A63" t="s">
        <v>59</v>
      </c>
      <c r="C63" s="2">
        <v>-1404000</v>
      </c>
      <c r="D63" s="2"/>
      <c r="F63" s="2">
        <v>-1404000</v>
      </c>
      <c r="H63" s="2">
        <v>-1404000</v>
      </c>
      <c r="J63" s="2">
        <v>1404000</v>
      </c>
      <c r="L63" s="2">
        <f>L48-L58</f>
        <v>0</v>
      </c>
    </row>
    <row r="64" spans="1:14" x14ac:dyDescent="0.25">
      <c r="A64" t="s">
        <v>58</v>
      </c>
      <c r="D64" s="3"/>
      <c r="H64" s="6">
        <v>585000</v>
      </c>
      <c r="I64" s="6">
        <v>-585000</v>
      </c>
    </row>
  </sheetData>
  <pageMargins left="0.7" right="0.7" top="0.75" bottom="0.75" header="0.3" footer="0.3"/>
  <pageSetup orientation="portrait"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 A C T I V E ! 1 5 6 7 6 7 8 4 . 1 < / d o c u m e n t i d >  
     < s e n d e r i d > K E A B E T < / s e n d e r i d >  
     < s e n d e r e m a i l > B K E A T I N G @ G U N S T E R . C O M < / s e n d e r e m a i l >  
     < l a s t m o d i f i e d > 2 0 2 2 - 0 4 - 1 3 T 1 0 : 2 3 : 4 4 . 0 0 0 0 0 0 0 - 0 4 : 0 0 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926392A04157409DF604FC20191F16" ma:contentTypeVersion="14" ma:contentTypeDescription="Create a new document." ma:contentTypeScope="" ma:versionID="46d1c10128068e5b3fa390f3bc1ef545">
  <xsd:schema xmlns:xsd="http://www.w3.org/2001/XMLSchema" xmlns:xs="http://www.w3.org/2001/XMLSchema" xmlns:p="http://schemas.microsoft.com/office/2006/metadata/properties" xmlns:ns3="ef9cd610-d1cd-49e7-bba7-2b2fd1f576ec" xmlns:ns4="793d2290-cc4d-409d-ad2e-09ad71f15dc0" targetNamespace="http://schemas.microsoft.com/office/2006/metadata/properties" ma:root="true" ma:fieldsID="6ae85ed0629089db7ead7ee25d175816" ns3:_="" ns4:_="">
    <xsd:import namespace="ef9cd610-d1cd-49e7-bba7-2b2fd1f576ec"/>
    <xsd:import namespace="793d2290-cc4d-409d-ad2e-09ad71f15d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cd610-d1cd-49e7-bba7-2b2fd1f576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d2290-cc4d-409d-ad2e-09ad71f15d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58544-5765-4D6E-891D-1269711168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00A14-F86C-4CA3-963B-ABEFAEEA78AE}">
  <ds:schemaRefs>
    <ds:schemaRef ds:uri="793d2290-cc4d-409d-ad2e-09ad71f15dc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f9cd610-d1cd-49e7-bba7-2b2fd1f576e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67162F-A9F9-4310-B400-BDAE328B9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cd610-d1cd-49e7-bba7-2b2fd1f576ec"/>
    <ds:schemaRef ds:uri="793d2290-cc4d-409d-ad2e-09ad71f15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Clausius, Jennifer</dc:creator>
  <cp:lastModifiedBy>Welch, Kathy</cp:lastModifiedBy>
  <dcterms:created xsi:type="dcterms:W3CDTF">2022-03-07T16:32:34Z</dcterms:created>
  <dcterms:modified xsi:type="dcterms:W3CDTF">2022-04-13T14:23:44Z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0x01010082926392A04157409DF604FC20191F16</vt:lpwstr>
  </property>
</Properties>
</file>