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2022\20220067-GU FPUC Gas Base rate case\Supplemental Testimony\Working Folder\My Drafts\"/>
    </mc:Choice>
  </mc:AlternateContent>
  <bookViews>
    <workbookView xWindow="-120" yWindow="-120" windowWidth="29040" windowHeight="15840" tabRatio="910" activeTab="31"/>
  </bookViews>
  <sheets>
    <sheet name="Contents" sheetId="29" r:id="rId1"/>
    <sheet name="A" sheetId="1" r:id="rId2"/>
    <sheet name="AP2" sheetId="97" r:id="rId3"/>
    <sheet name="A-1" sheetId="2" r:id="rId4"/>
    <sheet name="B" sheetId="74" r:id="rId5"/>
    <sheet name="B.1" sheetId="73" r:id="rId6"/>
    <sheet name="C" sheetId="75" r:id="rId7"/>
    <sheet name="C.1" sheetId="76" r:id="rId8"/>
    <sheet name="D" sheetId="6" r:id="rId9"/>
    <sheet name="B-1" sheetId="116" r:id="rId10"/>
    <sheet name="B-2" sheetId="115" r:id="rId11"/>
    <sheet name="B-3" sheetId="114" r:id="rId12"/>
    <sheet name="B-4" sheetId="113" r:id="rId13"/>
    <sheet name="B-5" sheetId="200" r:id="rId14"/>
    <sheet name="B-6" sheetId="147" r:id="rId15"/>
    <sheet name="C-1" sheetId="150" r:id="rId16"/>
    <sheet name="C-1 P2" sheetId="197" r:id="rId17"/>
    <sheet name="C-3 P3" sheetId="196" r:id="rId18"/>
    <sheet name="C-1 P4" sheetId="199" r:id="rId19"/>
    <sheet name="C-1 P5" sheetId="195" r:id="rId20"/>
    <sheet name="C-2" sheetId="191" r:id="rId21"/>
    <sheet name="C-3" sheetId="20" r:id="rId22"/>
    <sheet name="C-4" sheetId="127" r:id="rId23"/>
    <sheet name="C-5" sheetId="15" r:id="rId24"/>
    <sheet name="C-6" sheetId="110" r:id="rId25"/>
    <sheet name="C-7" sheetId="112" r:id="rId26"/>
    <sheet name="C-8" sheetId="91" r:id="rId27"/>
    <sheet name="C-9" sheetId="190" r:id="rId28"/>
    <sheet name="C-10IntSyn" sheetId="31" r:id="rId29"/>
    <sheet name="C-11" sheetId="193" r:id="rId30"/>
    <sheet name="C-11 P2" sheetId="194" r:id="rId31"/>
    <sheet name="C-12" sheetId="192" r:id="rId32"/>
    <sheet name="NOI Adj Table" sheetId="56" state="hidden" r:id="rId33"/>
  </sheets>
  <externalReferences>
    <externalReference r:id="rId34"/>
  </externalReferences>
  <definedNames>
    <definedName name="Plant">'[1]Input Data'!$D:$D</definedName>
    <definedName name="_xlnm.Print_Area" localSheetId="1">A!$A$1:$K$32</definedName>
    <definedName name="_xlnm.Print_Area" localSheetId="3">'A-1'!$A$1:$I$51</definedName>
    <definedName name="_xlnm.Print_Area" localSheetId="2">'AP2'!$A$1:$M$60</definedName>
    <definedName name="_xlnm.Print_Area" localSheetId="4">B!$A$1:$I$40</definedName>
    <definedName name="_xlnm.Print_Area" localSheetId="5">B.1!$A$1:$R$36</definedName>
    <definedName name="_xlnm.Print_Area" localSheetId="9">'B-1'!$A$1:$G$20</definedName>
    <definedName name="_xlnm.Print_Area" localSheetId="12">'B-4'!$A$1:$G$24</definedName>
    <definedName name="_xlnm.Print_Area" localSheetId="14">'B-6'!$A$1:$H$61</definedName>
    <definedName name="_xlnm.Print_Area" localSheetId="6">'C'!$A$1:$I$28</definedName>
    <definedName name="_xlnm.Print_Area" localSheetId="7">'C.1'!$A$1:$W$30</definedName>
    <definedName name="_xlnm.Print_Area" localSheetId="15">'C-1'!$A$1:$K$32</definedName>
    <definedName name="_xlnm.Print_Area" localSheetId="28">'C-10IntSyn'!$A$1:$G$37</definedName>
    <definedName name="_xlnm.Print_Area" localSheetId="21">'C-3'!$A$1:$G$27</definedName>
    <definedName name="_xlnm.Print_Area" localSheetId="22">'C-4'!$A$1:$G$24</definedName>
    <definedName name="_xlnm.Print_Area" localSheetId="23">'C-5'!$A$1:$G$28</definedName>
    <definedName name="_xlnm.Print_Area" localSheetId="24">'C-6'!$A$1:$G$22</definedName>
    <definedName name="_xlnm.Print_Area" localSheetId="25">'C-7'!$A$1:$I$23</definedName>
    <definedName name="_xlnm.Print_Area" localSheetId="26">'C-8'!$A$1:$G$19</definedName>
    <definedName name="_xlnm.Print_Area" localSheetId="0">Contents!$A$1:$F$71</definedName>
    <definedName name="_xlnm.Print_Area" localSheetId="8">D!$A$1:$U$56</definedName>
    <definedName name="_xlnm.Print_Titles" localSheetId="7">'C.1'!$A:$D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91" l="1"/>
  <c r="G2" i="15"/>
  <c r="G2" i="116"/>
  <c r="K24" i="97"/>
  <c r="M15" i="1" l="1"/>
  <c r="L2" i="73"/>
  <c r="L1" i="73"/>
  <c r="S2" i="76"/>
  <c r="S1" i="76"/>
  <c r="I14" i="76" l="1"/>
  <c r="A4" i="191"/>
  <c r="G2" i="191"/>
  <c r="G1" i="191"/>
  <c r="A1" i="191"/>
  <c r="C71" i="29" l="1"/>
  <c r="M2" i="194" l="1"/>
  <c r="M1" i="194"/>
  <c r="K30" i="194"/>
  <c r="K32" i="194" s="1"/>
  <c r="I30" i="194"/>
  <c r="I32" i="194" s="1"/>
  <c r="G30" i="194"/>
  <c r="G32" i="194" s="1"/>
  <c r="E30" i="194"/>
  <c r="E32" i="194" s="1"/>
  <c r="M32" i="194" l="1"/>
  <c r="K34" i="6"/>
  <c r="M19" i="6"/>
  <c r="K19" i="6"/>
  <c r="A18" i="113" l="1"/>
  <c r="A19" i="113" s="1"/>
  <c r="A20" i="113" s="1"/>
  <c r="A22" i="113" s="1"/>
  <c r="A24" i="113" s="1"/>
  <c r="E19" i="113"/>
  <c r="E20" i="113" s="1"/>
  <c r="E18" i="113"/>
  <c r="E25" i="190"/>
  <c r="E22" i="113" l="1"/>
  <c r="E24" i="113" s="1"/>
  <c r="E10" i="113" s="1"/>
  <c r="L13" i="73"/>
  <c r="E21" i="147"/>
  <c r="E23" i="147" s="1"/>
  <c r="E25" i="147" s="1"/>
  <c r="G30" i="147" s="1"/>
  <c r="A12" i="147"/>
  <c r="A14" i="147" s="1"/>
  <c r="A21" i="147" s="1"/>
  <c r="A22" i="147" s="1"/>
  <c r="A23" i="147" s="1"/>
  <c r="A24" i="147" s="1"/>
  <c r="A25" i="147" s="1"/>
  <c r="A30" i="147" s="1"/>
  <c r="A31" i="147" s="1"/>
  <c r="A32" i="147" s="1"/>
  <c r="A33" i="147" s="1"/>
  <c r="A34" i="147" s="1"/>
  <c r="A35" i="147" s="1"/>
  <c r="A36" i="147" s="1"/>
  <c r="A37" i="147" s="1"/>
  <c r="A38" i="147" s="1"/>
  <c r="A39" i="147" s="1"/>
  <c r="A40" i="147" s="1"/>
  <c r="A41" i="147" s="1"/>
  <c r="A42" i="147" s="1"/>
  <c r="A43" i="147" s="1"/>
  <c r="A44" i="147" s="1"/>
  <c r="A45" i="147" s="1"/>
  <c r="A46" i="147" s="1"/>
  <c r="A47" i="147" s="1"/>
  <c r="A48" i="147" s="1"/>
  <c r="A49" i="147" s="1"/>
  <c r="A50" i="147" s="1"/>
  <c r="A51" i="147" s="1"/>
  <c r="A52" i="147" s="1"/>
  <c r="A53" i="147" s="1"/>
  <c r="A54" i="147" s="1"/>
  <c r="A55" i="147" s="1"/>
  <c r="A56" i="147" s="1"/>
  <c r="A57" i="147" s="1"/>
  <c r="A58" i="147" s="1"/>
  <c r="A59" i="147" s="1"/>
  <c r="A60" i="147" s="1"/>
  <c r="A61" i="147" s="1"/>
  <c r="K21" i="73"/>
  <c r="B24" i="29"/>
  <c r="B23" i="29"/>
  <c r="G2" i="200"/>
  <c r="G1" i="200"/>
  <c r="A4" i="200"/>
  <c r="A1" i="200"/>
  <c r="G31" i="147" l="1"/>
  <c r="G32" i="147" s="1"/>
  <c r="G33" i="147" s="1"/>
  <c r="G34" i="147" s="1"/>
  <c r="G35" i="147" s="1"/>
  <c r="G36" i="147" s="1"/>
  <c r="G37" i="147" s="1"/>
  <c r="G38" i="147" s="1"/>
  <c r="G39" i="147" s="1"/>
  <c r="G40" i="147" s="1"/>
  <c r="G41" i="147" s="1"/>
  <c r="G42" i="147" s="1"/>
  <c r="G43" i="147" s="1"/>
  <c r="G44" i="147" s="1"/>
  <c r="G45" i="147" s="1"/>
  <c r="G46" i="147" s="1"/>
  <c r="G47" i="147" s="1"/>
  <c r="G48" i="147" s="1"/>
  <c r="G49" i="147" s="1"/>
  <c r="G50" i="147" s="1"/>
  <c r="G51" i="147" s="1"/>
  <c r="G52" i="147" s="1"/>
  <c r="G53" i="147" s="1"/>
  <c r="G54" i="147" s="1"/>
  <c r="E31" i="147"/>
  <c r="E32" i="147" s="1"/>
  <c r="E33" i="147" s="1"/>
  <c r="E34" i="147" s="1"/>
  <c r="E35" i="147" s="1"/>
  <c r="E36" i="147" s="1"/>
  <c r="E37" i="147" s="1"/>
  <c r="E38" i="147" s="1"/>
  <c r="E39" i="147" s="1"/>
  <c r="E40" i="147" s="1"/>
  <c r="E41" i="147" s="1"/>
  <c r="E42" i="147" s="1"/>
  <c r="E43" i="147" s="1"/>
  <c r="E44" i="147" s="1"/>
  <c r="E45" i="147" s="1"/>
  <c r="E46" i="147" s="1"/>
  <c r="E47" i="147" s="1"/>
  <c r="E48" i="147" s="1"/>
  <c r="E49" i="147" s="1"/>
  <c r="E50" i="147" s="1"/>
  <c r="E51" i="147" s="1"/>
  <c r="E52" i="147" s="1"/>
  <c r="E53" i="147" s="1"/>
  <c r="E54" i="147" s="1"/>
  <c r="K2" i="150"/>
  <c r="A12" i="150"/>
  <c r="A13" i="150" s="1"/>
  <c r="A14" i="150" s="1"/>
  <c r="A15" i="150" s="1"/>
  <c r="A16" i="150" s="1"/>
  <c r="A17" i="150" s="1"/>
  <c r="A18" i="150" s="1"/>
  <c r="A19" i="150" s="1"/>
  <c r="A20" i="150" s="1"/>
  <c r="A21" i="150" s="1"/>
  <c r="A22" i="150" s="1"/>
  <c r="A23" i="150" s="1"/>
  <c r="A24" i="150" s="1"/>
  <c r="A26" i="150" s="1"/>
  <c r="G23" i="150"/>
  <c r="G22" i="150"/>
  <c r="I22" i="150" s="1"/>
  <c r="G21" i="150"/>
  <c r="G20" i="150"/>
  <c r="G19" i="150"/>
  <c r="I19" i="150" s="1"/>
  <c r="E16" i="150"/>
  <c r="G16" i="150" s="1"/>
  <c r="I16" i="150" s="1"/>
  <c r="I23" i="150"/>
  <c r="I21" i="150"/>
  <c r="I20" i="150"/>
  <c r="E24" i="150"/>
  <c r="A12" i="195"/>
  <c r="A13" i="195" s="1"/>
  <c r="A14" i="195" s="1"/>
  <c r="A15" i="195" s="1"/>
  <c r="A16" i="195" s="1"/>
  <c r="A17" i="195" s="1"/>
  <c r="A18" i="195" s="1"/>
  <c r="A19" i="195" s="1"/>
  <c r="A20" i="195" s="1"/>
  <c r="A21" i="195" s="1"/>
  <c r="A22" i="195" s="1"/>
  <c r="A23" i="195" s="1"/>
  <c r="A24" i="195" s="1"/>
  <c r="A25" i="195" s="1"/>
  <c r="A26" i="195" s="1"/>
  <c r="A27" i="195" s="1"/>
  <c r="A28" i="195" s="1"/>
  <c r="A29" i="195" s="1"/>
  <c r="A30" i="195" s="1"/>
  <c r="A31" i="195" s="1"/>
  <c r="A32" i="195" s="1"/>
  <c r="A33" i="195" s="1"/>
  <c r="A34" i="195" s="1"/>
  <c r="A35" i="195" s="1"/>
  <c r="A36" i="195" s="1"/>
  <c r="A37" i="195" s="1"/>
  <c r="A38" i="195" s="1"/>
  <c r="A39" i="195" s="1"/>
  <c r="A40" i="195" s="1"/>
  <c r="A41" i="195" s="1"/>
  <c r="A42" i="195" s="1"/>
  <c r="A43" i="195" s="1"/>
  <c r="A44" i="195" s="1"/>
  <c r="A45" i="195" s="1"/>
  <c r="A46" i="195" s="1"/>
  <c r="A47" i="195" s="1"/>
  <c r="A48" i="195" s="1"/>
  <c r="A49" i="195" s="1"/>
  <c r="A4" i="195"/>
  <c r="P2" i="195"/>
  <c r="P1" i="195"/>
  <c r="A1" i="195"/>
  <c r="P14" i="196"/>
  <c r="P13" i="196"/>
  <c r="P12" i="196"/>
  <c r="P11" i="196"/>
  <c r="O14" i="196"/>
  <c r="O13" i="196"/>
  <c r="O12" i="196"/>
  <c r="O11" i="196"/>
  <c r="N14" i="196"/>
  <c r="N13" i="196"/>
  <c r="N12" i="196"/>
  <c r="N11" i="196"/>
  <c r="M14" i="196"/>
  <c r="M13" i="196"/>
  <c r="M12" i="196"/>
  <c r="M11" i="196"/>
  <c r="L13" i="196"/>
  <c r="L14" i="196"/>
  <c r="L12" i="196"/>
  <c r="L11" i="196"/>
  <c r="K14" i="196"/>
  <c r="K13" i="196"/>
  <c r="K12" i="196"/>
  <c r="K11" i="196"/>
  <c r="J14" i="196"/>
  <c r="J13" i="196"/>
  <c r="J12" i="196"/>
  <c r="J11" i="196"/>
  <c r="I14" i="196"/>
  <c r="I13" i="196"/>
  <c r="I12" i="196"/>
  <c r="I11" i="196"/>
  <c r="H14" i="196"/>
  <c r="H13" i="196"/>
  <c r="H12" i="196"/>
  <c r="H11" i="196"/>
  <c r="G14" i="196"/>
  <c r="G13" i="196"/>
  <c r="G12" i="196"/>
  <c r="G11" i="196"/>
  <c r="F14" i="196"/>
  <c r="F13" i="196"/>
  <c r="F12" i="196"/>
  <c r="F11" i="196"/>
  <c r="E14" i="196"/>
  <c r="E13" i="196"/>
  <c r="E12" i="196"/>
  <c r="E11" i="196"/>
  <c r="P14" i="199"/>
  <c r="O14" i="195" s="1"/>
  <c r="P13" i="199"/>
  <c r="O13" i="195" s="1"/>
  <c r="P12" i="199"/>
  <c r="O12" i="195" s="1"/>
  <c r="P11" i="199"/>
  <c r="O11" i="195" s="1"/>
  <c r="O14" i="199"/>
  <c r="N14" i="195" s="1"/>
  <c r="O13" i="199"/>
  <c r="N13" i="195" s="1"/>
  <c r="O12" i="199"/>
  <c r="N12" i="195" s="1"/>
  <c r="O11" i="199"/>
  <c r="N14" i="199"/>
  <c r="M14" i="195" s="1"/>
  <c r="N13" i="199"/>
  <c r="M13" i="195" s="1"/>
  <c r="N12" i="199"/>
  <c r="M12" i="195" s="1"/>
  <c r="N11" i="199"/>
  <c r="M11" i="195" s="1"/>
  <c r="M13" i="199"/>
  <c r="M14" i="199"/>
  <c r="L14" i="195" s="1"/>
  <c r="M12" i="199"/>
  <c r="L12" i="195" s="1"/>
  <c r="M11" i="199"/>
  <c r="L11" i="195" s="1"/>
  <c r="L14" i="199"/>
  <c r="K14" i="195" s="1"/>
  <c r="L13" i="199"/>
  <c r="L12" i="199"/>
  <c r="K12" i="195" s="1"/>
  <c r="L11" i="199"/>
  <c r="K14" i="199"/>
  <c r="J14" i="195" s="1"/>
  <c r="K13" i="199"/>
  <c r="J13" i="195" s="1"/>
  <c r="K12" i="199"/>
  <c r="J12" i="195" s="1"/>
  <c r="K11" i="199"/>
  <c r="J11" i="195" s="1"/>
  <c r="J14" i="199"/>
  <c r="I14" i="195" s="1"/>
  <c r="J13" i="199"/>
  <c r="I13" i="195" s="1"/>
  <c r="J12" i="199"/>
  <c r="I12" i="195" s="1"/>
  <c r="J11" i="199"/>
  <c r="I11" i="195" s="1"/>
  <c r="I14" i="199"/>
  <c r="H14" i="195" s="1"/>
  <c r="I13" i="199"/>
  <c r="H13" i="195" s="1"/>
  <c r="I12" i="199"/>
  <c r="H12" i="195" s="1"/>
  <c r="I11" i="199"/>
  <c r="H14" i="199"/>
  <c r="H13" i="199"/>
  <c r="G13" i="195" s="1"/>
  <c r="H12" i="199"/>
  <c r="G12" i="195" s="1"/>
  <c r="H11" i="199"/>
  <c r="G11" i="195" s="1"/>
  <c r="G14" i="199"/>
  <c r="F14" i="195" s="1"/>
  <c r="G13" i="199"/>
  <c r="F13" i="195" s="1"/>
  <c r="G12" i="199"/>
  <c r="F12" i="195" s="1"/>
  <c r="G11" i="199"/>
  <c r="F11" i="195" s="1"/>
  <c r="F14" i="199"/>
  <c r="F13" i="199"/>
  <c r="E13" i="195" s="1"/>
  <c r="F12" i="199"/>
  <c r="E12" i="195" s="1"/>
  <c r="F11" i="199"/>
  <c r="E11" i="195" s="1"/>
  <c r="E14" i="199"/>
  <c r="D14" i="195" s="1"/>
  <c r="E13" i="199"/>
  <c r="D13" i="195" s="1"/>
  <c r="E12" i="199"/>
  <c r="D12" i="195" s="1"/>
  <c r="E11" i="199"/>
  <c r="D11" i="195" s="1"/>
  <c r="Q52" i="199"/>
  <c r="Q50" i="199"/>
  <c r="P48" i="199"/>
  <c r="O48" i="199"/>
  <c r="N48" i="199"/>
  <c r="M48" i="199"/>
  <c r="L48" i="199"/>
  <c r="K48" i="199"/>
  <c r="J48" i="199"/>
  <c r="I48" i="199"/>
  <c r="H48" i="199"/>
  <c r="G48" i="199"/>
  <c r="F48" i="199"/>
  <c r="E48" i="199"/>
  <c r="P47" i="199"/>
  <c r="O47" i="199"/>
  <c r="N47" i="199"/>
  <c r="M47" i="199"/>
  <c r="L47" i="199"/>
  <c r="K47" i="199"/>
  <c r="J47" i="199"/>
  <c r="I47" i="199"/>
  <c r="H47" i="199"/>
  <c r="G47" i="199"/>
  <c r="F47" i="199"/>
  <c r="E47" i="199"/>
  <c r="P46" i="199"/>
  <c r="O46" i="199"/>
  <c r="N46" i="199"/>
  <c r="M46" i="199"/>
  <c r="L46" i="199"/>
  <c r="K46" i="199"/>
  <c r="J46" i="199"/>
  <c r="I46" i="199"/>
  <c r="H46" i="199"/>
  <c r="G46" i="199"/>
  <c r="F46" i="199"/>
  <c r="E46" i="199"/>
  <c r="P45" i="199"/>
  <c r="O45" i="199"/>
  <c r="N45" i="199"/>
  <c r="M45" i="199"/>
  <c r="L45" i="199"/>
  <c r="K45" i="199"/>
  <c r="J45" i="199"/>
  <c r="I45" i="199"/>
  <c r="H45" i="199"/>
  <c r="G45" i="199"/>
  <c r="F45" i="199"/>
  <c r="E45" i="199"/>
  <c r="P44" i="199"/>
  <c r="O44" i="199"/>
  <c r="N44" i="199"/>
  <c r="M44" i="199"/>
  <c r="L44" i="199"/>
  <c r="K44" i="199"/>
  <c r="J44" i="199"/>
  <c r="I44" i="199"/>
  <c r="H44" i="199"/>
  <c r="G44" i="199"/>
  <c r="F44" i="199"/>
  <c r="E44" i="199"/>
  <c r="P43" i="199"/>
  <c r="O43" i="199"/>
  <c r="N43" i="199"/>
  <c r="M43" i="199"/>
  <c r="L43" i="199"/>
  <c r="K43" i="199"/>
  <c r="J43" i="199"/>
  <c r="I43" i="199"/>
  <c r="H43" i="199"/>
  <c r="G43" i="199"/>
  <c r="F43" i="199"/>
  <c r="E43" i="199"/>
  <c r="P42" i="199"/>
  <c r="O42" i="199"/>
  <c r="N42" i="199"/>
  <c r="M42" i="199"/>
  <c r="L42" i="199"/>
  <c r="K42" i="199"/>
  <c r="J42" i="199"/>
  <c r="I42" i="199"/>
  <c r="H42" i="199"/>
  <c r="G42" i="199"/>
  <c r="F42" i="199"/>
  <c r="E42" i="199"/>
  <c r="P41" i="199"/>
  <c r="O41" i="199"/>
  <c r="N41" i="199"/>
  <c r="M41" i="199"/>
  <c r="L41" i="199"/>
  <c r="K41" i="199"/>
  <c r="J41" i="199"/>
  <c r="I41" i="199"/>
  <c r="H41" i="199"/>
  <c r="G41" i="199"/>
  <c r="F41" i="199"/>
  <c r="E41" i="199"/>
  <c r="P40" i="199"/>
  <c r="O40" i="199"/>
  <c r="N40" i="199"/>
  <c r="M40" i="199"/>
  <c r="L40" i="199"/>
  <c r="K40" i="199"/>
  <c r="J40" i="199"/>
  <c r="I40" i="199"/>
  <c r="H40" i="199"/>
  <c r="G40" i="199"/>
  <c r="F40" i="199"/>
  <c r="E40" i="199"/>
  <c r="P39" i="199"/>
  <c r="O39" i="199"/>
  <c r="N39" i="199"/>
  <c r="M39" i="199"/>
  <c r="L39" i="199"/>
  <c r="K39" i="199"/>
  <c r="J39" i="199"/>
  <c r="I39" i="199"/>
  <c r="H39" i="199"/>
  <c r="G39" i="199"/>
  <c r="F39" i="199"/>
  <c r="E39" i="199"/>
  <c r="P38" i="199"/>
  <c r="O38" i="199"/>
  <c r="N38" i="199"/>
  <c r="M38" i="199"/>
  <c r="L38" i="199"/>
  <c r="K38" i="199"/>
  <c r="J38" i="199"/>
  <c r="I38" i="199"/>
  <c r="H38" i="199"/>
  <c r="G38" i="199"/>
  <c r="F38" i="199"/>
  <c r="E38" i="199"/>
  <c r="P37" i="199"/>
  <c r="O37" i="199"/>
  <c r="N37" i="199"/>
  <c r="M37" i="199"/>
  <c r="L37" i="199"/>
  <c r="K37" i="199"/>
  <c r="J37" i="199"/>
  <c r="I37" i="199"/>
  <c r="H37" i="199"/>
  <c r="G37" i="199"/>
  <c r="F37" i="199"/>
  <c r="E37" i="199"/>
  <c r="P36" i="199"/>
  <c r="O36" i="199"/>
  <c r="N36" i="199"/>
  <c r="M36" i="195" s="1"/>
  <c r="M36" i="199"/>
  <c r="L36" i="199"/>
  <c r="K36" i="199"/>
  <c r="J36" i="199"/>
  <c r="I36" i="199"/>
  <c r="H36" i="199"/>
  <c r="G36" i="199"/>
  <c r="F36" i="199"/>
  <c r="E36" i="199"/>
  <c r="P35" i="199"/>
  <c r="O35" i="199"/>
  <c r="N35" i="199"/>
  <c r="M35" i="199"/>
  <c r="L35" i="199"/>
  <c r="K35" i="199"/>
  <c r="J35" i="199"/>
  <c r="I35" i="199"/>
  <c r="H35" i="199"/>
  <c r="G35" i="199"/>
  <c r="F35" i="199"/>
  <c r="E35" i="199"/>
  <c r="P34" i="199"/>
  <c r="O34" i="199"/>
  <c r="N34" i="199"/>
  <c r="M34" i="199"/>
  <c r="L34" i="199"/>
  <c r="K34" i="199"/>
  <c r="J34" i="199"/>
  <c r="I34" i="199"/>
  <c r="H34" i="199"/>
  <c r="G34" i="199"/>
  <c r="F34" i="199"/>
  <c r="E34" i="199"/>
  <c r="P33" i="199"/>
  <c r="O33" i="199"/>
  <c r="N33" i="199"/>
  <c r="M33" i="199"/>
  <c r="L33" i="199"/>
  <c r="K33" i="199"/>
  <c r="J33" i="199"/>
  <c r="I33" i="199"/>
  <c r="H33" i="199"/>
  <c r="G33" i="199"/>
  <c r="F33" i="199"/>
  <c r="E33" i="199"/>
  <c r="P32" i="199"/>
  <c r="O32" i="199"/>
  <c r="N32" i="199"/>
  <c r="M32" i="199"/>
  <c r="L32" i="199"/>
  <c r="K32" i="199"/>
  <c r="J32" i="199"/>
  <c r="I32" i="199"/>
  <c r="H32" i="199"/>
  <c r="G32" i="199"/>
  <c r="F32" i="199"/>
  <c r="E32" i="199"/>
  <c r="P31" i="199"/>
  <c r="O31" i="199"/>
  <c r="N31" i="199"/>
  <c r="M31" i="199"/>
  <c r="L31" i="199"/>
  <c r="K31" i="199"/>
  <c r="J31" i="199"/>
  <c r="I31" i="199"/>
  <c r="H31" i="199"/>
  <c r="G31" i="199"/>
  <c r="F31" i="199"/>
  <c r="E31" i="199"/>
  <c r="P30" i="199"/>
  <c r="O30" i="199"/>
  <c r="N30" i="199"/>
  <c r="M30" i="199"/>
  <c r="L30" i="199"/>
  <c r="K30" i="199"/>
  <c r="J30" i="199"/>
  <c r="I30" i="199"/>
  <c r="H30" i="199"/>
  <c r="G30" i="199"/>
  <c r="F30" i="199"/>
  <c r="E30" i="199"/>
  <c r="P29" i="199"/>
  <c r="O29" i="199"/>
  <c r="N29" i="199"/>
  <c r="M29" i="199"/>
  <c r="L29" i="199"/>
  <c r="K29" i="199"/>
  <c r="J29" i="199"/>
  <c r="I29" i="199"/>
  <c r="H29" i="199"/>
  <c r="G29" i="199"/>
  <c r="F29" i="199"/>
  <c r="E29" i="199"/>
  <c r="P28" i="199"/>
  <c r="O28" i="199"/>
  <c r="N28" i="199"/>
  <c r="M28" i="199"/>
  <c r="L28" i="199"/>
  <c r="K28" i="199"/>
  <c r="J28" i="199"/>
  <c r="I28" i="199"/>
  <c r="H28" i="199"/>
  <c r="G28" i="199"/>
  <c r="F28" i="199"/>
  <c r="E28" i="199"/>
  <c r="P27" i="199"/>
  <c r="O27" i="199"/>
  <c r="N27" i="199"/>
  <c r="M27" i="199"/>
  <c r="L27" i="199"/>
  <c r="K27" i="199"/>
  <c r="J27" i="199"/>
  <c r="I27" i="199"/>
  <c r="H27" i="199"/>
  <c r="G27" i="199"/>
  <c r="F27" i="199"/>
  <c r="E27" i="199"/>
  <c r="P26" i="199"/>
  <c r="O26" i="199"/>
  <c r="N26" i="199"/>
  <c r="M26" i="199"/>
  <c r="L26" i="199"/>
  <c r="K26" i="199"/>
  <c r="J26" i="199"/>
  <c r="I26" i="199"/>
  <c r="H26" i="199"/>
  <c r="G26" i="199"/>
  <c r="F26" i="199"/>
  <c r="E26" i="199"/>
  <c r="P25" i="199"/>
  <c r="O25" i="199"/>
  <c r="N25" i="199"/>
  <c r="M25" i="199"/>
  <c r="L25" i="199"/>
  <c r="K25" i="199"/>
  <c r="J25" i="199"/>
  <c r="I25" i="199"/>
  <c r="H25" i="199"/>
  <c r="G25" i="199"/>
  <c r="F25" i="199"/>
  <c r="E25" i="199"/>
  <c r="P24" i="199"/>
  <c r="O24" i="199"/>
  <c r="N24" i="199"/>
  <c r="M24" i="195" s="1"/>
  <c r="M24" i="199"/>
  <c r="L24" i="199"/>
  <c r="K24" i="199"/>
  <c r="J24" i="199"/>
  <c r="I24" i="199"/>
  <c r="H24" i="199"/>
  <c r="G24" i="199"/>
  <c r="F24" i="199"/>
  <c r="E24" i="199"/>
  <c r="P23" i="199"/>
  <c r="O23" i="199"/>
  <c r="N23" i="199"/>
  <c r="M23" i="199"/>
  <c r="L23" i="199"/>
  <c r="K23" i="199"/>
  <c r="J23" i="199"/>
  <c r="I23" i="199"/>
  <c r="H23" i="199"/>
  <c r="G23" i="199"/>
  <c r="F23" i="199"/>
  <c r="E23" i="199"/>
  <c r="P22" i="199"/>
  <c r="O22" i="199"/>
  <c r="N22" i="199"/>
  <c r="M22" i="199"/>
  <c r="L22" i="199"/>
  <c r="K22" i="199"/>
  <c r="J22" i="199"/>
  <c r="I22" i="199"/>
  <c r="H22" i="199"/>
  <c r="G22" i="199"/>
  <c r="F22" i="199"/>
  <c r="E22" i="199"/>
  <c r="P21" i="199"/>
  <c r="O21" i="199"/>
  <c r="N21" i="199"/>
  <c r="M21" i="199"/>
  <c r="L21" i="199"/>
  <c r="K21" i="199"/>
  <c r="J21" i="199"/>
  <c r="I21" i="199"/>
  <c r="H21" i="199"/>
  <c r="G21" i="199"/>
  <c r="F21" i="199"/>
  <c r="E21" i="199"/>
  <c r="P20" i="199"/>
  <c r="O20" i="199"/>
  <c r="N20" i="199"/>
  <c r="M20" i="199"/>
  <c r="L20" i="199"/>
  <c r="K20" i="199"/>
  <c r="J20" i="199"/>
  <c r="I20" i="199"/>
  <c r="H20" i="199"/>
  <c r="G20" i="199"/>
  <c r="F20" i="199"/>
  <c r="E20" i="199"/>
  <c r="P19" i="199"/>
  <c r="O19" i="199"/>
  <c r="N19" i="199"/>
  <c r="M19" i="199"/>
  <c r="L19" i="199"/>
  <c r="K19" i="199"/>
  <c r="J19" i="199"/>
  <c r="I19" i="199"/>
  <c r="H19" i="199"/>
  <c r="G19" i="199"/>
  <c r="F19" i="199"/>
  <c r="E19" i="199"/>
  <c r="P18" i="199"/>
  <c r="O18" i="199"/>
  <c r="N18" i="199"/>
  <c r="M18" i="199"/>
  <c r="L18" i="199"/>
  <c r="K18" i="199"/>
  <c r="J18" i="199"/>
  <c r="I18" i="199"/>
  <c r="H18" i="199"/>
  <c r="G18" i="199"/>
  <c r="F18" i="199"/>
  <c r="E18" i="199"/>
  <c r="P17" i="199"/>
  <c r="O17" i="199"/>
  <c r="N17" i="199"/>
  <c r="M17" i="199"/>
  <c r="L17" i="199"/>
  <c r="K17" i="199"/>
  <c r="J17" i="199"/>
  <c r="I17" i="199"/>
  <c r="H17" i="199"/>
  <c r="G17" i="199"/>
  <c r="F17" i="199"/>
  <c r="E17" i="199"/>
  <c r="P16" i="199"/>
  <c r="O16" i="199"/>
  <c r="N16" i="199"/>
  <c r="M16" i="199"/>
  <c r="L16" i="199"/>
  <c r="K16" i="199"/>
  <c r="J16" i="199"/>
  <c r="I16" i="199"/>
  <c r="H16" i="199"/>
  <c r="G16" i="199"/>
  <c r="F16" i="199"/>
  <c r="E16" i="199"/>
  <c r="P15" i="199"/>
  <c r="O15" i="199"/>
  <c r="N15" i="199"/>
  <c r="M15" i="199"/>
  <c r="L15" i="199"/>
  <c r="K15" i="199"/>
  <c r="J15" i="199"/>
  <c r="I15" i="199"/>
  <c r="H15" i="199"/>
  <c r="G15" i="199"/>
  <c r="F15" i="199"/>
  <c r="E15" i="199"/>
  <c r="A12" i="199"/>
  <c r="A13" i="199" s="1"/>
  <c r="A14" i="199" s="1"/>
  <c r="A15" i="199" s="1"/>
  <c r="A16" i="199" s="1"/>
  <c r="A17" i="199" s="1"/>
  <c r="A18" i="199" s="1"/>
  <c r="A19" i="199" s="1"/>
  <c r="A20" i="199" s="1"/>
  <c r="A21" i="199" s="1"/>
  <c r="A22" i="199" s="1"/>
  <c r="A23" i="199" s="1"/>
  <c r="A24" i="199" s="1"/>
  <c r="A25" i="199" s="1"/>
  <c r="A26" i="199" s="1"/>
  <c r="A27" i="199" s="1"/>
  <c r="A28" i="199" s="1"/>
  <c r="A29" i="199" s="1"/>
  <c r="A30" i="199" s="1"/>
  <c r="A31" i="199" s="1"/>
  <c r="A32" i="199" s="1"/>
  <c r="A33" i="199" s="1"/>
  <c r="A34" i="199" s="1"/>
  <c r="A35" i="199" s="1"/>
  <c r="A36" i="199" s="1"/>
  <c r="A37" i="199" s="1"/>
  <c r="A38" i="199" s="1"/>
  <c r="A39" i="199" s="1"/>
  <c r="A40" i="199" s="1"/>
  <c r="A41" i="199" s="1"/>
  <c r="A42" i="199" s="1"/>
  <c r="A43" i="199" s="1"/>
  <c r="A44" i="199" s="1"/>
  <c r="A45" i="199" s="1"/>
  <c r="A46" i="199" s="1"/>
  <c r="A47" i="199" s="1"/>
  <c r="A48" i="199" s="1"/>
  <c r="A49" i="199" s="1"/>
  <c r="A50" i="199" s="1"/>
  <c r="A51" i="199" s="1"/>
  <c r="A52" i="199" s="1"/>
  <c r="A53" i="199" s="1"/>
  <c r="A54" i="199" s="1"/>
  <c r="A55" i="199" s="1"/>
  <c r="A4" i="199"/>
  <c r="Q2" i="199"/>
  <c r="Q1" i="199"/>
  <c r="A1" i="199"/>
  <c r="P48" i="196"/>
  <c r="P47" i="196"/>
  <c r="P46" i="196"/>
  <c r="P45" i="196"/>
  <c r="P44" i="196"/>
  <c r="O44" i="195" s="1"/>
  <c r="P43" i="196"/>
  <c r="P42" i="196"/>
  <c r="P41" i="196"/>
  <c r="P40" i="196"/>
  <c r="P39" i="196"/>
  <c r="P38" i="196"/>
  <c r="P37" i="196"/>
  <c r="P36" i="196"/>
  <c r="P35" i="196"/>
  <c r="P34" i="196"/>
  <c r="P33" i="196"/>
  <c r="P32" i="196"/>
  <c r="O32" i="195" s="1"/>
  <c r="P31" i="196"/>
  <c r="P30" i="196"/>
  <c r="P29" i="196"/>
  <c r="P28" i="196"/>
  <c r="P27" i="196"/>
  <c r="P26" i="196"/>
  <c r="P25" i="196"/>
  <c r="P24" i="196"/>
  <c r="P23" i="196"/>
  <c r="P22" i="196"/>
  <c r="P21" i="196"/>
  <c r="P20" i="196"/>
  <c r="P19" i="196"/>
  <c r="P18" i="196"/>
  <c r="P17" i="196"/>
  <c r="P16" i="196"/>
  <c r="P15" i="196"/>
  <c r="O48" i="196"/>
  <c r="O47" i="196"/>
  <c r="O46" i="196"/>
  <c r="N46" i="195" s="1"/>
  <c r="O45" i="196"/>
  <c r="O44" i="196"/>
  <c r="O43" i="196"/>
  <c r="O42" i="196"/>
  <c r="O41" i="196"/>
  <c r="O40" i="196"/>
  <c r="O39" i="196"/>
  <c r="O38" i="196"/>
  <c r="O37" i="196"/>
  <c r="O36" i="196"/>
  <c r="O35" i="196"/>
  <c r="O34" i="196"/>
  <c r="O33" i="196"/>
  <c r="O32" i="196"/>
  <c r="O31" i="196"/>
  <c r="O30" i="196"/>
  <c r="O29" i="196"/>
  <c r="O28" i="196"/>
  <c r="O27" i="196"/>
  <c r="O26" i="196"/>
  <c r="O25" i="196"/>
  <c r="O24" i="196"/>
  <c r="O23" i="196"/>
  <c r="O22" i="196"/>
  <c r="O21" i="196"/>
  <c r="O20" i="196"/>
  <c r="O19" i="196"/>
  <c r="O18" i="196"/>
  <c r="O17" i="196"/>
  <c r="O16" i="196"/>
  <c r="O15" i="196"/>
  <c r="N48" i="196"/>
  <c r="N47" i="196"/>
  <c r="N46" i="196"/>
  <c r="N45" i="196"/>
  <c r="N44" i="196"/>
  <c r="N43" i="196"/>
  <c r="N42" i="196"/>
  <c r="N41" i="196"/>
  <c r="N40" i="196"/>
  <c r="N39" i="196"/>
  <c r="N38" i="196"/>
  <c r="N37" i="196"/>
  <c r="N36" i="196"/>
  <c r="N35" i="196"/>
  <c r="N34" i="196"/>
  <c r="N33" i="196"/>
  <c r="N32" i="196"/>
  <c r="N31" i="196"/>
  <c r="N30" i="196"/>
  <c r="N29" i="196"/>
  <c r="N28" i="196"/>
  <c r="N27" i="196"/>
  <c r="N26" i="196"/>
  <c r="N25" i="196"/>
  <c r="N24" i="196"/>
  <c r="N23" i="196"/>
  <c r="N22" i="196"/>
  <c r="N21" i="196"/>
  <c r="N20" i="196"/>
  <c r="N19" i="196"/>
  <c r="N18" i="196"/>
  <c r="N17" i="196"/>
  <c r="N16" i="196"/>
  <c r="N15" i="196"/>
  <c r="M48" i="196"/>
  <c r="M47" i="196"/>
  <c r="M46" i="196"/>
  <c r="M45" i="196"/>
  <c r="M44" i="196"/>
  <c r="M43" i="196"/>
  <c r="M42" i="196"/>
  <c r="M41" i="196"/>
  <c r="M40" i="196"/>
  <c r="M39" i="196"/>
  <c r="M38" i="196"/>
  <c r="L38" i="195" s="1"/>
  <c r="M37" i="196"/>
  <c r="M36" i="196"/>
  <c r="M35" i="196"/>
  <c r="M34" i="196"/>
  <c r="M33" i="196"/>
  <c r="M32" i="196"/>
  <c r="M31" i="196"/>
  <c r="M30" i="196"/>
  <c r="M29" i="196"/>
  <c r="M28" i="196"/>
  <c r="M27" i="196"/>
  <c r="M26" i="196"/>
  <c r="L26" i="195" s="1"/>
  <c r="M25" i="196"/>
  <c r="M24" i="196"/>
  <c r="M23" i="196"/>
  <c r="M22" i="196"/>
  <c r="M21" i="196"/>
  <c r="M20" i="196"/>
  <c r="M19" i="196"/>
  <c r="M18" i="196"/>
  <c r="M17" i="196"/>
  <c r="M16" i="196"/>
  <c r="M15" i="196"/>
  <c r="L48" i="196"/>
  <c r="L47" i="196"/>
  <c r="L46" i="196"/>
  <c r="L45" i="196"/>
  <c r="L44" i="196"/>
  <c r="L43" i="196"/>
  <c r="L42" i="196"/>
  <c r="L41" i="196"/>
  <c r="L40" i="196"/>
  <c r="K40" i="195" s="1"/>
  <c r="L39" i="196"/>
  <c r="L38" i="196"/>
  <c r="L37" i="196"/>
  <c r="L36" i="196"/>
  <c r="L35" i="196"/>
  <c r="L34" i="196"/>
  <c r="L33" i="196"/>
  <c r="L32" i="196"/>
  <c r="L31" i="196"/>
  <c r="L30" i="196"/>
  <c r="L29" i="196"/>
  <c r="L28" i="196"/>
  <c r="L27" i="196"/>
  <c r="L26" i="196"/>
  <c r="L25" i="196"/>
  <c r="L24" i="196"/>
  <c r="L23" i="196"/>
  <c r="L22" i="196"/>
  <c r="L21" i="196"/>
  <c r="L20" i="196"/>
  <c r="L19" i="196"/>
  <c r="L18" i="196"/>
  <c r="L17" i="196"/>
  <c r="L16" i="196"/>
  <c r="L15" i="196"/>
  <c r="K48" i="196"/>
  <c r="K47" i="196"/>
  <c r="K46" i="196"/>
  <c r="K45" i="196"/>
  <c r="K44" i="196"/>
  <c r="K43" i="196"/>
  <c r="K42" i="196"/>
  <c r="K41" i="196"/>
  <c r="K40" i="196"/>
  <c r="K39" i="196"/>
  <c r="K38" i="196"/>
  <c r="K37" i="196"/>
  <c r="K36" i="196"/>
  <c r="K35" i="196"/>
  <c r="K34" i="196"/>
  <c r="K33" i="196"/>
  <c r="K32" i="196"/>
  <c r="K31" i="196"/>
  <c r="K30" i="196"/>
  <c r="K29" i="196"/>
  <c r="K28" i="196"/>
  <c r="K27" i="196"/>
  <c r="K26" i="196"/>
  <c r="K25" i="196"/>
  <c r="K24" i="196"/>
  <c r="K23" i="196"/>
  <c r="K22" i="196"/>
  <c r="K21" i="196"/>
  <c r="K20" i="196"/>
  <c r="K19" i="196"/>
  <c r="K18" i="196"/>
  <c r="K17" i="196"/>
  <c r="K16" i="196"/>
  <c r="K15" i="196"/>
  <c r="J48" i="196"/>
  <c r="J47" i="196"/>
  <c r="J46" i="196"/>
  <c r="J45" i="196"/>
  <c r="J44" i="196"/>
  <c r="J43" i="196"/>
  <c r="J42" i="196"/>
  <c r="J41" i="196"/>
  <c r="J40" i="196"/>
  <c r="J39" i="196"/>
  <c r="J38" i="196"/>
  <c r="J37" i="196"/>
  <c r="J36" i="196"/>
  <c r="J35" i="196"/>
  <c r="J34" i="196"/>
  <c r="J33" i="196"/>
  <c r="J32" i="196"/>
  <c r="J31" i="196"/>
  <c r="J30" i="196"/>
  <c r="J29" i="196"/>
  <c r="J28" i="196"/>
  <c r="J27" i="196"/>
  <c r="J26" i="196"/>
  <c r="J25" i="196"/>
  <c r="J24" i="196"/>
  <c r="J23" i="196"/>
  <c r="J22" i="196"/>
  <c r="J21" i="196"/>
  <c r="J20" i="196"/>
  <c r="J19" i="196"/>
  <c r="J18" i="196"/>
  <c r="J17" i="196"/>
  <c r="J16" i="196"/>
  <c r="J15" i="196"/>
  <c r="I48" i="196"/>
  <c r="I47" i="196"/>
  <c r="I46" i="196"/>
  <c r="I45" i="196"/>
  <c r="I44" i="196"/>
  <c r="I43" i="196"/>
  <c r="I42" i="196"/>
  <c r="I41" i="196"/>
  <c r="I40" i="196"/>
  <c r="I39" i="196"/>
  <c r="I38" i="196"/>
  <c r="I37" i="196"/>
  <c r="I36" i="196"/>
  <c r="I35" i="196"/>
  <c r="I34" i="196"/>
  <c r="I33" i="196"/>
  <c r="I32" i="196"/>
  <c r="I31" i="196"/>
  <c r="I30" i="196"/>
  <c r="I29" i="196"/>
  <c r="I28" i="196"/>
  <c r="I27" i="196"/>
  <c r="I26" i="196"/>
  <c r="I25" i="196"/>
  <c r="I24" i="196"/>
  <c r="I23" i="196"/>
  <c r="I22" i="196"/>
  <c r="I21" i="196"/>
  <c r="I20" i="196"/>
  <c r="I19" i="196"/>
  <c r="I18" i="196"/>
  <c r="I17" i="196"/>
  <c r="I16" i="196"/>
  <c r="I15" i="196"/>
  <c r="H48" i="196"/>
  <c r="H47" i="196"/>
  <c r="H46" i="196"/>
  <c r="H45" i="196"/>
  <c r="G45" i="195" s="1"/>
  <c r="H44" i="196"/>
  <c r="H43" i="196"/>
  <c r="H42" i="196"/>
  <c r="H41" i="196"/>
  <c r="H40" i="196"/>
  <c r="H39" i="196"/>
  <c r="H38" i="196"/>
  <c r="H37" i="196"/>
  <c r="H36" i="196"/>
  <c r="H35" i="196"/>
  <c r="H34" i="196"/>
  <c r="H33" i="196"/>
  <c r="H32" i="196"/>
  <c r="H31" i="196"/>
  <c r="H30" i="196"/>
  <c r="H29" i="196"/>
  <c r="H28" i="196"/>
  <c r="H27" i="196"/>
  <c r="H26" i="196"/>
  <c r="H25" i="196"/>
  <c r="H24" i="196"/>
  <c r="H23" i="196"/>
  <c r="H22" i="196"/>
  <c r="H21" i="196"/>
  <c r="H20" i="196"/>
  <c r="H19" i="196"/>
  <c r="H18" i="196"/>
  <c r="H17" i="196"/>
  <c r="H16" i="196"/>
  <c r="H15" i="196"/>
  <c r="G48" i="196"/>
  <c r="G47" i="196"/>
  <c r="G46" i="196"/>
  <c r="G45" i="196"/>
  <c r="G44" i="196"/>
  <c r="G43" i="196"/>
  <c r="G42" i="196"/>
  <c r="G41" i="196"/>
  <c r="G40" i="196"/>
  <c r="G39" i="196"/>
  <c r="G38" i="196"/>
  <c r="G37" i="196"/>
  <c r="G36" i="196"/>
  <c r="G35" i="196"/>
  <c r="G34" i="196"/>
  <c r="G33" i="196"/>
  <c r="G32" i="196"/>
  <c r="G31" i="196"/>
  <c r="G30" i="196"/>
  <c r="G29" i="196"/>
  <c r="G28" i="196"/>
  <c r="G27" i="196"/>
  <c r="G26" i="196"/>
  <c r="G25" i="196"/>
  <c r="G24" i="196"/>
  <c r="G23" i="196"/>
  <c r="G22" i="196"/>
  <c r="G21" i="196"/>
  <c r="G20" i="196"/>
  <c r="G19" i="196"/>
  <c r="G18" i="196"/>
  <c r="G17" i="196"/>
  <c r="G16" i="196"/>
  <c r="G15" i="196"/>
  <c r="F48" i="196"/>
  <c r="F47" i="196"/>
  <c r="F46" i="196"/>
  <c r="F45" i="196"/>
  <c r="F44" i="196"/>
  <c r="E44" i="195" s="1"/>
  <c r="F43" i="196"/>
  <c r="F42" i="196"/>
  <c r="F41" i="196"/>
  <c r="F40" i="196"/>
  <c r="F39" i="196"/>
  <c r="F38" i="196"/>
  <c r="F37" i="196"/>
  <c r="E37" i="195" s="1"/>
  <c r="F36" i="196"/>
  <c r="F35" i="196"/>
  <c r="F34" i="196"/>
  <c r="F32" i="196"/>
  <c r="F31" i="196"/>
  <c r="F33" i="196"/>
  <c r="F30" i="196"/>
  <c r="F29" i="196"/>
  <c r="F28" i="196"/>
  <c r="E28" i="195" s="1"/>
  <c r="F27" i="196"/>
  <c r="F26" i="196"/>
  <c r="F25" i="196"/>
  <c r="F24" i="196"/>
  <c r="F23" i="196"/>
  <c r="F22" i="196"/>
  <c r="F21" i="196"/>
  <c r="F20" i="196"/>
  <c r="F19" i="196"/>
  <c r="F18" i="196"/>
  <c r="F17" i="196"/>
  <c r="F16" i="196"/>
  <c r="F15" i="196"/>
  <c r="Q52" i="196"/>
  <c r="E14" i="150" s="1"/>
  <c r="G14" i="150" s="1"/>
  <c r="I14" i="150" s="1"/>
  <c r="Q50" i="196"/>
  <c r="E12" i="150" s="1"/>
  <c r="Q1" i="196"/>
  <c r="Q2" i="196"/>
  <c r="E24" i="196"/>
  <c r="E23" i="196"/>
  <c r="E48" i="196"/>
  <c r="E47" i="196"/>
  <c r="E46" i="196"/>
  <c r="D46" i="195" s="1"/>
  <c r="E45" i="196"/>
  <c r="E44" i="196"/>
  <c r="E43" i="196"/>
  <c r="E42" i="196"/>
  <c r="E41" i="196"/>
  <c r="E40" i="196"/>
  <c r="E39" i="196"/>
  <c r="D39" i="195" s="1"/>
  <c r="E38" i="196"/>
  <c r="E37" i="196"/>
  <c r="E36" i="196"/>
  <c r="E35" i="196"/>
  <c r="E34" i="196"/>
  <c r="E33" i="196"/>
  <c r="E32" i="196"/>
  <c r="E31" i="196"/>
  <c r="E30" i="196"/>
  <c r="E29" i="196"/>
  <c r="E28" i="196"/>
  <c r="E27" i="196"/>
  <c r="E25" i="196"/>
  <c r="E26" i="196"/>
  <c r="E22" i="196"/>
  <c r="E21" i="196"/>
  <c r="E20" i="196"/>
  <c r="E19" i="196"/>
  <c r="E18" i="196"/>
  <c r="D18" i="195" s="1"/>
  <c r="E17" i="196"/>
  <c r="E16" i="196"/>
  <c r="E15" i="196"/>
  <c r="A12" i="196"/>
  <c r="A13" i="196" s="1"/>
  <c r="A14" i="196" s="1"/>
  <c r="A15" i="196" s="1"/>
  <c r="A16" i="196" s="1"/>
  <c r="A17" i="196" s="1"/>
  <c r="A18" i="196" s="1"/>
  <c r="A19" i="196" s="1"/>
  <c r="A20" i="196" s="1"/>
  <c r="A21" i="196" s="1"/>
  <c r="A22" i="196" s="1"/>
  <c r="A23" i="196" s="1"/>
  <c r="A24" i="196" s="1"/>
  <c r="A25" i="196" s="1"/>
  <c r="A26" i="196" s="1"/>
  <c r="A27" i="196" s="1"/>
  <c r="A28" i="196" s="1"/>
  <c r="A29" i="196" s="1"/>
  <c r="A30" i="196" s="1"/>
  <c r="A31" i="196" s="1"/>
  <c r="A32" i="196" s="1"/>
  <c r="A33" i="196" s="1"/>
  <c r="A34" i="196" s="1"/>
  <c r="A35" i="196" s="1"/>
  <c r="A36" i="196" s="1"/>
  <c r="A37" i="196" s="1"/>
  <c r="A38" i="196" s="1"/>
  <c r="A39" i="196" s="1"/>
  <c r="A40" i="196" s="1"/>
  <c r="A41" i="196" s="1"/>
  <c r="A42" i="196" s="1"/>
  <c r="A43" i="196" s="1"/>
  <c r="A44" i="196" s="1"/>
  <c r="A45" i="196" s="1"/>
  <c r="A46" i="196" s="1"/>
  <c r="A47" i="196" s="1"/>
  <c r="A48" i="196" s="1"/>
  <c r="A49" i="196" s="1"/>
  <c r="A50" i="196" s="1"/>
  <c r="A51" i="196" s="1"/>
  <c r="A52" i="196" s="1"/>
  <c r="A53" i="196" s="1"/>
  <c r="A54" i="196" s="1"/>
  <c r="A55" i="196" s="1"/>
  <c r="A4" i="196"/>
  <c r="A1" i="196"/>
  <c r="O20" i="195" l="1"/>
  <c r="M48" i="195"/>
  <c r="I16" i="195"/>
  <c r="I17" i="195"/>
  <c r="I18" i="195"/>
  <c r="I19" i="195"/>
  <c r="I21" i="195"/>
  <c r="I22" i="195"/>
  <c r="I24" i="195"/>
  <c r="I25" i="195"/>
  <c r="I26" i="195"/>
  <c r="J15" i="195"/>
  <c r="J16" i="195"/>
  <c r="J19" i="195"/>
  <c r="J20" i="195"/>
  <c r="J22" i="195"/>
  <c r="J23" i="195"/>
  <c r="N22" i="195"/>
  <c r="N34" i="195"/>
  <c r="E14" i="195"/>
  <c r="D15" i="195"/>
  <c r="D17" i="195"/>
  <c r="D21" i="195"/>
  <c r="D22" i="195"/>
  <c r="D23" i="195"/>
  <c r="D30" i="195"/>
  <c r="D42" i="195"/>
  <c r="E16" i="195"/>
  <c r="E40" i="195"/>
  <c r="G15" i="195"/>
  <c r="G16" i="195"/>
  <c r="G18" i="195"/>
  <c r="G22" i="195"/>
  <c r="G23" i="195"/>
  <c r="G24" i="195"/>
  <c r="G27" i="195"/>
  <c r="G28" i="195"/>
  <c r="G30" i="195"/>
  <c r="G34" i="195"/>
  <c r="G36" i="195"/>
  <c r="G48" i="195"/>
  <c r="H22" i="195"/>
  <c r="H34" i="195"/>
  <c r="H46" i="195"/>
  <c r="I28" i="195"/>
  <c r="I29" i="195"/>
  <c r="I30" i="195"/>
  <c r="I31" i="195"/>
  <c r="I33" i="195"/>
  <c r="I34" i="195"/>
  <c r="I36" i="195"/>
  <c r="I37" i="195"/>
  <c r="I38" i="195"/>
  <c r="I39" i="195"/>
  <c r="I40" i="195"/>
  <c r="I41" i="195"/>
  <c r="I42" i="195"/>
  <c r="I43" i="195"/>
  <c r="I45" i="195"/>
  <c r="I46" i="195"/>
  <c r="I48" i="195"/>
  <c r="I15" i="195"/>
  <c r="I27" i="195"/>
  <c r="J17" i="195"/>
  <c r="J18" i="195"/>
  <c r="J21" i="195"/>
  <c r="J24" i="195"/>
  <c r="J27" i="195"/>
  <c r="J28" i="195"/>
  <c r="J29" i="195"/>
  <c r="J30" i="195"/>
  <c r="J31" i="195"/>
  <c r="J32" i="195"/>
  <c r="J33" i="195"/>
  <c r="J34" i="195"/>
  <c r="J35" i="195"/>
  <c r="J36" i="195"/>
  <c r="J39" i="195"/>
  <c r="J40" i="195"/>
  <c r="J41" i="195"/>
  <c r="J42" i="195"/>
  <c r="J43" i="195"/>
  <c r="J44" i="195"/>
  <c r="J45" i="195"/>
  <c r="J46" i="195"/>
  <c r="J47" i="195"/>
  <c r="J48" i="195"/>
  <c r="K16" i="195"/>
  <c r="K18" i="195"/>
  <c r="K19" i="195"/>
  <c r="K20" i="195"/>
  <c r="K21" i="195"/>
  <c r="K22" i="195"/>
  <c r="K23" i="195"/>
  <c r="K24" i="195"/>
  <c r="K25" i="195"/>
  <c r="K26" i="195"/>
  <c r="K28" i="195"/>
  <c r="K30" i="195"/>
  <c r="K31" i="195"/>
  <c r="K32" i="195"/>
  <c r="K34" i="195"/>
  <c r="K35" i="195"/>
  <c r="K36" i="195"/>
  <c r="K37" i="195"/>
  <c r="K38" i="195"/>
  <c r="K42" i="195"/>
  <c r="K43" i="195"/>
  <c r="K44" i="195"/>
  <c r="K46" i="195"/>
  <c r="K47" i="195"/>
  <c r="K48" i="195"/>
  <c r="K13" i="195"/>
  <c r="H43" i="195"/>
  <c r="I35" i="195"/>
  <c r="J26" i="195"/>
  <c r="N11" i="195"/>
  <c r="K15" i="195"/>
  <c r="K41" i="195"/>
  <c r="L15" i="195"/>
  <c r="L16" i="195"/>
  <c r="L17" i="195"/>
  <c r="L18" i="195"/>
  <c r="L19" i="195"/>
  <c r="L20" i="195"/>
  <c r="L21" i="195"/>
  <c r="L22" i="195"/>
  <c r="L23" i="195"/>
  <c r="L24" i="195"/>
  <c r="L25" i="195"/>
  <c r="L27" i="195"/>
  <c r="L28" i="195"/>
  <c r="L29" i="195"/>
  <c r="L30" i="195"/>
  <c r="L31" i="195"/>
  <c r="L32" i="195"/>
  <c r="L33" i="195"/>
  <c r="L34" i="195"/>
  <c r="L35" i="195"/>
  <c r="L36" i="195"/>
  <c r="L37" i="195"/>
  <c r="L39" i="195"/>
  <c r="L40" i="195"/>
  <c r="L41" i="195"/>
  <c r="L42" i="195"/>
  <c r="L43" i="195"/>
  <c r="L44" i="195"/>
  <c r="L45" i="195"/>
  <c r="L46" i="195"/>
  <c r="L47" i="195"/>
  <c r="L48" i="195"/>
  <c r="I23" i="195"/>
  <c r="K17" i="195"/>
  <c r="K27" i="195"/>
  <c r="K33" i="195"/>
  <c r="M15" i="195"/>
  <c r="M16" i="195"/>
  <c r="M17" i="195"/>
  <c r="M18" i="195"/>
  <c r="M19" i="195"/>
  <c r="M20" i="195"/>
  <c r="M21" i="195"/>
  <c r="M22" i="195"/>
  <c r="M23" i="195"/>
  <c r="M25" i="195"/>
  <c r="M26" i="195"/>
  <c r="M27" i="195"/>
  <c r="M28" i="195"/>
  <c r="M29" i="195"/>
  <c r="M30" i="195"/>
  <c r="M31" i="195"/>
  <c r="M32" i="195"/>
  <c r="M33" i="195"/>
  <c r="M34" i="195"/>
  <c r="M35" i="195"/>
  <c r="M37" i="195"/>
  <c r="M38" i="195"/>
  <c r="M39" i="195"/>
  <c r="M40" i="195"/>
  <c r="M41" i="195"/>
  <c r="M42" i="195"/>
  <c r="M43" i="195"/>
  <c r="M44" i="195"/>
  <c r="M45" i="195"/>
  <c r="M46" i="195"/>
  <c r="M47" i="195"/>
  <c r="I47" i="195"/>
  <c r="K11" i="195"/>
  <c r="K29" i="195"/>
  <c r="K39" i="195"/>
  <c r="K45" i="195"/>
  <c r="N15" i="195"/>
  <c r="N16" i="195"/>
  <c r="N17" i="195"/>
  <c r="N18" i="195"/>
  <c r="N19" i="195"/>
  <c r="N20" i="195"/>
  <c r="N21" i="195"/>
  <c r="N23" i="195"/>
  <c r="N24" i="195"/>
  <c r="N25" i="195"/>
  <c r="N26" i="195"/>
  <c r="N27" i="195"/>
  <c r="N28" i="195"/>
  <c r="N29" i="195"/>
  <c r="N30" i="195"/>
  <c r="N31" i="195"/>
  <c r="N32" i="195"/>
  <c r="N33" i="195"/>
  <c r="N35" i="195"/>
  <c r="N36" i="195"/>
  <c r="N37" i="195"/>
  <c r="N38" i="195"/>
  <c r="N39" i="195"/>
  <c r="N40" i="195"/>
  <c r="N41" i="195"/>
  <c r="N42" i="195"/>
  <c r="N43" i="195"/>
  <c r="N44" i="195"/>
  <c r="N45" i="195"/>
  <c r="N47" i="195"/>
  <c r="N48" i="195"/>
  <c r="O15" i="195"/>
  <c r="O16" i="195"/>
  <c r="O17" i="195"/>
  <c r="O18" i="195"/>
  <c r="O19" i="195"/>
  <c r="O21" i="195"/>
  <c r="O22" i="195"/>
  <c r="O23" i="195"/>
  <c r="O24" i="195"/>
  <c r="O25" i="195"/>
  <c r="O26" i="195"/>
  <c r="O27" i="195"/>
  <c r="O28" i="195"/>
  <c r="O29" i="195"/>
  <c r="O30" i="195"/>
  <c r="O31" i="195"/>
  <c r="O33" i="195"/>
  <c r="O34" i="195"/>
  <c r="O35" i="195"/>
  <c r="O36" i="195"/>
  <c r="O37" i="195"/>
  <c r="O38" i="195"/>
  <c r="O39" i="195"/>
  <c r="O40" i="195"/>
  <c r="O41" i="195"/>
  <c r="O42" i="195"/>
  <c r="O43" i="195"/>
  <c r="O45" i="195"/>
  <c r="O46" i="195"/>
  <c r="O47" i="195"/>
  <c r="O48" i="195"/>
  <c r="D16" i="195"/>
  <c r="D20" i="195"/>
  <c r="D24" i="195"/>
  <c r="D25" i="195"/>
  <c r="D26" i="195"/>
  <c r="D27" i="195"/>
  <c r="D28" i="195"/>
  <c r="D29" i="195"/>
  <c r="D31" i="195"/>
  <c r="D32" i="195"/>
  <c r="D33" i="195"/>
  <c r="D34" i="195"/>
  <c r="D35" i="195"/>
  <c r="D36" i="195"/>
  <c r="D37" i="195"/>
  <c r="D38" i="195"/>
  <c r="D43" i="195"/>
  <c r="D44" i="195"/>
  <c r="D45" i="195"/>
  <c r="D47" i="195"/>
  <c r="D48" i="195"/>
  <c r="E15" i="195"/>
  <c r="E17" i="195"/>
  <c r="E18" i="195"/>
  <c r="E19" i="195"/>
  <c r="E20" i="195"/>
  <c r="E21" i="195"/>
  <c r="E22" i="195"/>
  <c r="E23" i="195"/>
  <c r="E24" i="195"/>
  <c r="E25" i="195"/>
  <c r="E26" i="195"/>
  <c r="E27" i="195"/>
  <c r="E29" i="195"/>
  <c r="E30" i="195"/>
  <c r="E31" i="195"/>
  <c r="E32" i="195"/>
  <c r="E33" i="195"/>
  <c r="E34" i="195"/>
  <c r="E35" i="195"/>
  <c r="E36" i="195"/>
  <c r="E38" i="195"/>
  <c r="E39" i="195"/>
  <c r="E41" i="195"/>
  <c r="E42" i="195"/>
  <c r="E43" i="195"/>
  <c r="E45" i="195"/>
  <c r="E46" i="195"/>
  <c r="E47" i="195"/>
  <c r="E48" i="195"/>
  <c r="L13" i="195"/>
  <c r="J37" i="195"/>
  <c r="H11" i="195"/>
  <c r="D19" i="195"/>
  <c r="I20" i="195"/>
  <c r="I32" i="195"/>
  <c r="I44" i="195"/>
  <c r="F15" i="195"/>
  <c r="F16" i="195"/>
  <c r="F17" i="195"/>
  <c r="F18" i="195"/>
  <c r="F19" i="195"/>
  <c r="F20" i="195"/>
  <c r="F21" i="195"/>
  <c r="F22" i="195"/>
  <c r="F23" i="195"/>
  <c r="F24" i="195"/>
  <c r="F25" i="195"/>
  <c r="F26" i="195"/>
  <c r="F27" i="195"/>
  <c r="F28" i="195"/>
  <c r="F29" i="195"/>
  <c r="F30" i="195"/>
  <c r="F31" i="195"/>
  <c r="F32" i="195"/>
  <c r="F33" i="195"/>
  <c r="F34" i="195"/>
  <c r="F35" i="195"/>
  <c r="F36" i="195"/>
  <c r="F37" i="195"/>
  <c r="F38" i="195"/>
  <c r="F39" i="195"/>
  <c r="F40" i="195"/>
  <c r="F41" i="195"/>
  <c r="F42" i="195"/>
  <c r="F43" i="195"/>
  <c r="F44" i="195"/>
  <c r="F45" i="195"/>
  <c r="F46" i="195"/>
  <c r="F47" i="195"/>
  <c r="F48" i="195"/>
  <c r="G14" i="195"/>
  <c r="J38" i="195"/>
  <c r="G21" i="195"/>
  <c r="G26" i="195"/>
  <c r="G29" i="195"/>
  <c r="G31" i="195"/>
  <c r="G32" i="195"/>
  <c r="G35" i="195"/>
  <c r="G37" i="195"/>
  <c r="G38" i="195"/>
  <c r="G39" i="195"/>
  <c r="G40" i="195"/>
  <c r="G41" i="195"/>
  <c r="G42" i="195"/>
  <c r="G43" i="195"/>
  <c r="G44" i="195"/>
  <c r="G46" i="195"/>
  <c r="G47" i="195"/>
  <c r="J25" i="195"/>
  <c r="G17" i="195"/>
  <c r="G19" i="195"/>
  <c r="G20" i="195"/>
  <c r="G25" i="195"/>
  <c r="G33" i="195"/>
  <c r="H15" i="195"/>
  <c r="H16" i="195"/>
  <c r="H17" i="195"/>
  <c r="H18" i="195"/>
  <c r="H19" i="195"/>
  <c r="H20" i="195"/>
  <c r="H21" i="195"/>
  <c r="H23" i="195"/>
  <c r="H24" i="195"/>
  <c r="H25" i="195"/>
  <c r="H26" i="195"/>
  <c r="H27" i="195"/>
  <c r="H28" i="195"/>
  <c r="H29" i="195"/>
  <c r="H30" i="195"/>
  <c r="H31" i="195"/>
  <c r="H32" i="195"/>
  <c r="H33" i="195"/>
  <c r="H35" i="195"/>
  <c r="H36" i="195"/>
  <c r="H37" i="195"/>
  <c r="H38" i="195"/>
  <c r="H39" i="195"/>
  <c r="H40" i="195"/>
  <c r="H41" i="195"/>
  <c r="H42" i="195"/>
  <c r="H44" i="195"/>
  <c r="H45" i="195"/>
  <c r="H47" i="195"/>
  <c r="H48" i="195"/>
  <c r="E55" i="147"/>
  <c r="E61" i="147" s="1"/>
  <c r="E12" i="147" s="1"/>
  <c r="G12" i="150"/>
  <c r="I12" i="150" s="1"/>
  <c r="Q33" i="199"/>
  <c r="Q34" i="199"/>
  <c r="Q35" i="199"/>
  <c r="Q36" i="199"/>
  <c r="Q37" i="199"/>
  <c r="Q38" i="199"/>
  <c r="Q39" i="199"/>
  <c r="Q40" i="199"/>
  <c r="Q41" i="199"/>
  <c r="Q42" i="199"/>
  <c r="Q43" i="199"/>
  <c r="Q44" i="199"/>
  <c r="Q45" i="199"/>
  <c r="Q46" i="199"/>
  <c r="Q47" i="199"/>
  <c r="Q48" i="199"/>
  <c r="D40" i="195"/>
  <c r="D41" i="195"/>
  <c r="I24" i="150"/>
  <c r="G24" i="150"/>
  <c r="P14" i="195"/>
  <c r="P12" i="195"/>
  <c r="Q15" i="199"/>
  <c r="Q16" i="199"/>
  <c r="Q17" i="199"/>
  <c r="Q18" i="199"/>
  <c r="Q19" i="199"/>
  <c r="Q20" i="199"/>
  <c r="Q21" i="199"/>
  <c r="Q22" i="199"/>
  <c r="Q23" i="199"/>
  <c r="Q24" i="199"/>
  <c r="Q25" i="199"/>
  <c r="Q26" i="199"/>
  <c r="Q27" i="199"/>
  <c r="Q28" i="199"/>
  <c r="Q29" i="199"/>
  <c r="Q30" i="199"/>
  <c r="Q31" i="199"/>
  <c r="Q32" i="199"/>
  <c r="Q12" i="196"/>
  <c r="Q11" i="196"/>
  <c r="Q14" i="196"/>
  <c r="Q13" i="196"/>
  <c r="P49" i="199"/>
  <c r="P51" i="199" s="1"/>
  <c r="P53" i="199" s="1"/>
  <c r="O49" i="199"/>
  <c r="O51" i="199" s="1"/>
  <c r="O53" i="199" s="1"/>
  <c r="N49" i="199"/>
  <c r="N51" i="199" s="1"/>
  <c r="N53" i="199" s="1"/>
  <c r="M49" i="199"/>
  <c r="M51" i="199" s="1"/>
  <c r="M53" i="199" s="1"/>
  <c r="L49" i="199"/>
  <c r="L51" i="199" s="1"/>
  <c r="L53" i="199" s="1"/>
  <c r="K49" i="199"/>
  <c r="K51" i="199" s="1"/>
  <c r="K53" i="199" s="1"/>
  <c r="Q13" i="199"/>
  <c r="J49" i="199"/>
  <c r="J51" i="199" s="1"/>
  <c r="J53" i="199" s="1"/>
  <c r="I49" i="199"/>
  <c r="I51" i="199" s="1"/>
  <c r="I53" i="199" s="1"/>
  <c r="H49" i="199"/>
  <c r="H51" i="199" s="1"/>
  <c r="H53" i="199" s="1"/>
  <c r="G49" i="199"/>
  <c r="G51" i="199" s="1"/>
  <c r="G53" i="199" s="1"/>
  <c r="Q12" i="199"/>
  <c r="F49" i="199"/>
  <c r="F51" i="199" s="1"/>
  <c r="F53" i="199" s="1"/>
  <c r="Q11" i="199"/>
  <c r="Q14" i="199"/>
  <c r="E49" i="199"/>
  <c r="E51" i="199" s="1"/>
  <c r="P49" i="196"/>
  <c r="P51" i="196" s="1"/>
  <c r="P53" i="196" s="1"/>
  <c r="O49" i="196"/>
  <c r="O51" i="196" s="1"/>
  <c r="O53" i="196" s="1"/>
  <c r="N49" i="196"/>
  <c r="N51" i="196" s="1"/>
  <c r="N53" i="196" s="1"/>
  <c r="M49" i="196"/>
  <c r="M51" i="196" s="1"/>
  <c r="M53" i="196" s="1"/>
  <c r="L49" i="196"/>
  <c r="L51" i="196" s="1"/>
  <c r="L53" i="196" s="1"/>
  <c r="K49" i="196"/>
  <c r="K51" i="196" s="1"/>
  <c r="K53" i="196" s="1"/>
  <c r="Q15" i="196"/>
  <c r="J49" i="196"/>
  <c r="J51" i="196" s="1"/>
  <c r="J53" i="196" s="1"/>
  <c r="I49" i="196"/>
  <c r="I51" i="196" s="1"/>
  <c r="I53" i="196" s="1"/>
  <c r="Q35" i="196"/>
  <c r="Q42" i="196"/>
  <c r="Q47" i="196"/>
  <c r="Q44" i="196"/>
  <c r="Q38" i="196"/>
  <c r="Q29" i="196"/>
  <c r="Q26" i="196"/>
  <c r="Q23" i="196"/>
  <c r="H49" i="196"/>
  <c r="H51" i="196" s="1"/>
  <c r="H53" i="196" s="1"/>
  <c r="Q48" i="196"/>
  <c r="Q24" i="196"/>
  <c r="Q18" i="196"/>
  <c r="Q46" i="196"/>
  <c r="Q43" i="196"/>
  <c r="Q41" i="196"/>
  <c r="Q40" i="196"/>
  <c r="Q39" i="196"/>
  <c r="Q36" i="196"/>
  <c r="Q34" i="196"/>
  <c r="Q32" i="196"/>
  <c r="Q30" i="196"/>
  <c r="Q28" i="196"/>
  <c r="Q27" i="196"/>
  <c r="Q22" i="196"/>
  <c r="Q20" i="196"/>
  <c r="Q19" i="196"/>
  <c r="Q17" i="196"/>
  <c r="G49" i="196"/>
  <c r="G51" i="196" s="1"/>
  <c r="G53" i="196" s="1"/>
  <c r="Q37" i="196"/>
  <c r="Q33" i="196"/>
  <c r="Q25" i="196"/>
  <c r="Q31" i="196"/>
  <c r="Q45" i="196"/>
  <c r="Q21" i="196"/>
  <c r="F49" i="196"/>
  <c r="F51" i="196" s="1"/>
  <c r="Q16" i="196"/>
  <c r="E49" i="196"/>
  <c r="E51" i="196" s="1"/>
  <c r="E53" i="196" s="1"/>
  <c r="A11" i="197"/>
  <c r="A12" i="197" s="1"/>
  <c r="A13" i="197" s="1"/>
  <c r="A14" i="197" s="1"/>
  <c r="A15" i="197" s="1"/>
  <c r="A16" i="197" s="1"/>
  <c r="A17" i="197" s="1"/>
  <c r="A18" i="197" s="1"/>
  <c r="A19" i="197" s="1"/>
  <c r="A20" i="197" s="1"/>
  <c r="A21" i="197" s="1"/>
  <c r="A22" i="197" s="1"/>
  <c r="A23" i="197" s="1"/>
  <c r="A24" i="197" s="1"/>
  <c r="A25" i="197" s="1"/>
  <c r="A26" i="197" s="1"/>
  <c r="A27" i="197" s="1"/>
  <c r="A28" i="197" s="1"/>
  <c r="A29" i="197" s="1"/>
  <c r="A30" i="197" s="1"/>
  <c r="A31" i="197" s="1"/>
  <c r="A32" i="197" s="1"/>
  <c r="A33" i="197" s="1"/>
  <c r="A34" i="197" s="1"/>
  <c r="A35" i="197" s="1"/>
  <c r="A36" i="197" s="1"/>
  <c r="A37" i="197" s="1"/>
  <c r="A38" i="197" s="1"/>
  <c r="A39" i="197" s="1"/>
  <c r="A40" i="197" s="1"/>
  <c r="A41" i="197" s="1"/>
  <c r="A42" i="197" s="1"/>
  <c r="A43" i="197" s="1"/>
  <c r="A44" i="197" s="1"/>
  <c r="A45" i="197" s="1"/>
  <c r="A46" i="197" s="1"/>
  <c r="A47" i="197" s="1"/>
  <c r="A48" i="197" s="1"/>
  <c r="Q47" i="197"/>
  <c r="Q46" i="197"/>
  <c r="Q45" i="197"/>
  <c r="Q44" i="197"/>
  <c r="Q43" i="197"/>
  <c r="Q42" i="197"/>
  <c r="Q41" i="197"/>
  <c r="Q40" i="197"/>
  <c r="Q39" i="197"/>
  <c r="Q38" i="197"/>
  <c r="Q37" i="197"/>
  <c r="Q36" i="197"/>
  <c r="Q35" i="197"/>
  <c r="Q34" i="197"/>
  <c r="Q33" i="197"/>
  <c r="Q32" i="197"/>
  <c r="Q31" i="197"/>
  <c r="Q30" i="197"/>
  <c r="Q29" i="197"/>
  <c r="Q28" i="197"/>
  <c r="Q27" i="197"/>
  <c r="Q26" i="197"/>
  <c r="Q25" i="197"/>
  <c r="Q24" i="197"/>
  <c r="Q23" i="197"/>
  <c r="Q22" i="197"/>
  <c r="Q21" i="197"/>
  <c r="Q20" i="197"/>
  <c r="Q19" i="197"/>
  <c r="Q18" i="197"/>
  <c r="Q17" i="197"/>
  <c r="Q16" i="197"/>
  <c r="Q15" i="197"/>
  <c r="Q14" i="197"/>
  <c r="Q13" i="197"/>
  <c r="Q12" i="197"/>
  <c r="Q11" i="197"/>
  <c r="Q10" i="197"/>
  <c r="P48" i="197"/>
  <c r="O48" i="197"/>
  <c r="N48" i="197"/>
  <c r="M48" i="197"/>
  <c r="L48" i="197"/>
  <c r="K48" i="197"/>
  <c r="J48" i="197"/>
  <c r="I48" i="197"/>
  <c r="H48" i="197"/>
  <c r="G48" i="197"/>
  <c r="F48" i="197"/>
  <c r="E48" i="197"/>
  <c r="D48" i="197"/>
  <c r="Q2" i="197"/>
  <c r="Q1" i="197"/>
  <c r="A4" i="197"/>
  <c r="A1" i="197"/>
  <c r="P17" i="195" l="1"/>
  <c r="P39" i="195"/>
  <c r="P18" i="195"/>
  <c r="P33" i="195"/>
  <c r="P32" i="195"/>
  <c r="P22" i="195"/>
  <c r="P37" i="195"/>
  <c r="P31" i="195"/>
  <c r="P30" i="195"/>
  <c r="P29" i="195"/>
  <c r="P16" i="195"/>
  <c r="P28" i="195"/>
  <c r="P46" i="195"/>
  <c r="P36" i="195"/>
  <c r="E49" i="195"/>
  <c r="E20" i="114" s="1"/>
  <c r="G20" i="114" s="1"/>
  <c r="P43" i="195"/>
  <c r="P26" i="195"/>
  <c r="N49" i="195"/>
  <c r="E29" i="114" s="1"/>
  <c r="F49" i="195"/>
  <c r="E21" i="114" s="1"/>
  <c r="L49" i="195"/>
  <c r="E27" i="114" s="1"/>
  <c r="P34" i="195"/>
  <c r="P21" i="195"/>
  <c r="P24" i="195"/>
  <c r="M49" i="195"/>
  <c r="E28" i="114" s="1"/>
  <c r="P45" i="195"/>
  <c r="J49" i="195"/>
  <c r="E25" i="114" s="1"/>
  <c r="P42" i="195"/>
  <c r="K49" i="195"/>
  <c r="E26" i="114" s="1"/>
  <c r="H49" i="195"/>
  <c r="E23" i="114" s="1"/>
  <c r="P40" i="195"/>
  <c r="G49" i="195"/>
  <c r="E22" i="114" s="1"/>
  <c r="P25" i="195"/>
  <c r="P47" i="195"/>
  <c r="P35" i="195"/>
  <c r="P19" i="195"/>
  <c r="P38" i="195"/>
  <c r="P44" i="195"/>
  <c r="P27" i="195"/>
  <c r="P41" i="195"/>
  <c r="O49" i="195"/>
  <c r="E30" i="114" s="1"/>
  <c r="P48" i="195"/>
  <c r="I49" i="195"/>
  <c r="E24" i="114" s="1"/>
  <c r="P20" i="195"/>
  <c r="P15" i="195"/>
  <c r="P13" i="195"/>
  <c r="P23" i="195"/>
  <c r="P11" i="195"/>
  <c r="D49" i="195"/>
  <c r="L23" i="73"/>
  <c r="E14" i="147"/>
  <c r="G57" i="147"/>
  <c r="Q49" i="199"/>
  <c r="G11" i="150" s="1"/>
  <c r="G13" i="150" s="1"/>
  <c r="G15" i="150" s="1"/>
  <c r="G17" i="150" s="1"/>
  <c r="G26" i="150" s="1"/>
  <c r="E53" i="199"/>
  <c r="Q53" i="199" s="1"/>
  <c r="Q55" i="199" s="1"/>
  <c r="Q51" i="199"/>
  <c r="Q49" i="196"/>
  <c r="E11" i="150" s="1"/>
  <c r="Q51" i="196"/>
  <c r="F53" i="196"/>
  <c r="Q53" i="196" s="1"/>
  <c r="Q55" i="196" s="1"/>
  <c r="Q48" i="197"/>
  <c r="G21" i="114" l="1"/>
  <c r="G22" i="114" s="1"/>
  <c r="G23" i="114" s="1"/>
  <c r="G24" i="114" s="1"/>
  <c r="G25" i="114" s="1"/>
  <c r="G26" i="114" s="1"/>
  <c r="G27" i="114" s="1"/>
  <c r="G28" i="114" s="1"/>
  <c r="G29" i="114" s="1"/>
  <c r="G30" i="114" s="1"/>
  <c r="E31" i="114"/>
  <c r="P49" i="195"/>
  <c r="I11" i="150"/>
  <c r="I13" i="150" s="1"/>
  <c r="I15" i="150" s="1"/>
  <c r="I17" i="150" s="1"/>
  <c r="I26" i="150" s="1"/>
  <c r="E13" i="150"/>
  <c r="E15" i="150" s="1"/>
  <c r="E17" i="150" s="1"/>
  <c r="E26" i="150" s="1"/>
  <c r="G2" i="147"/>
  <c r="A11" i="194"/>
  <c r="A12" i="194" s="1"/>
  <c r="A4" i="194"/>
  <c r="A1" i="194"/>
  <c r="B44" i="29"/>
  <c r="A11" i="193"/>
  <c r="A12" i="193" s="1"/>
  <c r="A13" i="193" s="1"/>
  <c r="A14" i="193" s="1"/>
  <c r="A15" i="193" s="1"/>
  <c r="A16" i="193" s="1"/>
  <c r="A17" i="193" s="1"/>
  <c r="A18" i="193" s="1"/>
  <c r="G2" i="193"/>
  <c r="G1" i="193"/>
  <c r="A4" i="193"/>
  <c r="A1" i="193"/>
  <c r="S13" i="76"/>
  <c r="B45" i="29"/>
  <c r="A12" i="15"/>
  <c r="A13" i="15" s="1"/>
  <c r="A15" i="15" s="1"/>
  <c r="A16" i="15" s="1"/>
  <c r="A17" i="15" s="1"/>
  <c r="A19" i="15" s="1"/>
  <c r="A20" i="15" s="1"/>
  <c r="A21" i="15" s="1"/>
  <c r="A23" i="15" s="1"/>
  <c r="J32" i="73"/>
  <c r="B22" i="29"/>
  <c r="G2" i="113"/>
  <c r="A19" i="114"/>
  <c r="A20" i="114" s="1"/>
  <c r="A21" i="114" s="1"/>
  <c r="A22" i="114" s="1"/>
  <c r="A23" i="114" s="1"/>
  <c r="A24" i="114" s="1"/>
  <c r="A25" i="114" s="1"/>
  <c r="A26" i="114" s="1"/>
  <c r="A27" i="114" s="1"/>
  <c r="A28" i="114" s="1"/>
  <c r="A29" i="114" s="1"/>
  <c r="A30" i="114" s="1"/>
  <c r="A31" i="114" s="1"/>
  <c r="A32" i="114" s="1"/>
  <c r="A33" i="114" s="1"/>
  <c r="G2" i="31"/>
  <c r="G31" i="114" l="1"/>
  <c r="G33" i="114" s="1"/>
  <c r="E11" i="114" s="1"/>
  <c r="I21" i="73" s="1"/>
  <c r="A13" i="194"/>
  <c r="A14" i="194" s="1"/>
  <c r="A15" i="194" s="1"/>
  <c r="A16" i="194" s="1"/>
  <c r="A18" i="194" s="1"/>
  <c r="A28" i="194" s="1"/>
  <c r="A29" i="194" s="1"/>
  <c r="A30" i="194" s="1"/>
  <c r="A31" i="194" s="1"/>
  <c r="A32" i="194" s="1"/>
  <c r="H14" i="76"/>
  <c r="G2" i="192"/>
  <c r="G1" i="192"/>
  <c r="A4" i="192"/>
  <c r="A1" i="192"/>
  <c r="B42" i="29"/>
  <c r="E10" i="190"/>
  <c r="P13" i="76" s="1"/>
  <c r="A20" i="190"/>
  <c r="A21" i="190" s="1"/>
  <c r="A22" i="190" s="1"/>
  <c r="A23" i="190" s="1"/>
  <c r="A24" i="190" s="1"/>
  <c r="A25" i="190" s="1"/>
  <c r="G2" i="190"/>
  <c r="O13" i="76"/>
  <c r="B41" i="29"/>
  <c r="B21" i="29"/>
  <c r="G2" i="114"/>
  <c r="G1" i="114"/>
  <c r="E42" i="6" l="1"/>
  <c r="E41" i="6"/>
  <c r="B20" i="29" l="1"/>
  <c r="E20" i="115"/>
  <c r="E22" i="115"/>
  <c r="G12" i="115" s="1"/>
  <c r="I12" i="115" s="1"/>
  <c r="H32" i="73" s="1"/>
  <c r="A4" i="115"/>
  <c r="I2" i="115"/>
  <c r="I1" i="115"/>
  <c r="E20" i="112"/>
  <c r="E22" i="112" s="1"/>
  <c r="G12" i="112" s="1"/>
  <c r="I12" i="112" s="1"/>
  <c r="N13" i="76" s="1"/>
  <c r="B40" i="29"/>
  <c r="I2" i="112"/>
  <c r="M13" i="76" l="1"/>
  <c r="G2" i="110"/>
  <c r="G1" i="110"/>
  <c r="G11" i="73"/>
  <c r="B19" i="29"/>
  <c r="E21" i="20"/>
  <c r="E11" i="20" s="1"/>
  <c r="A19" i="20"/>
  <c r="A20" i="20" s="1"/>
  <c r="A21" i="20" s="1"/>
  <c r="J13" i="76" l="1"/>
  <c r="E11" i="15"/>
  <c r="B39" i="29"/>
  <c r="B38" i="29"/>
  <c r="B37" i="29"/>
  <c r="B36" i="29"/>
  <c r="B35" i="29"/>
  <c r="G2" i="20"/>
  <c r="B34" i="29"/>
  <c r="E19" i="6"/>
  <c r="F14" i="76"/>
  <c r="G2" i="127"/>
  <c r="G1" i="127"/>
  <c r="E17" i="127"/>
  <c r="E12" i="15" s="1"/>
  <c r="A12" i="127"/>
  <c r="A13" i="127" s="1"/>
  <c r="A14" i="127" s="1"/>
  <c r="A15" i="127" s="1"/>
  <c r="A16" i="127" s="1"/>
  <c r="A17" i="127" s="1"/>
  <c r="K13" i="76" l="1"/>
  <c r="E13" i="15"/>
  <c r="D27" i="56"/>
  <c r="H25" i="56"/>
  <c r="H24" i="56"/>
  <c r="H23" i="56"/>
  <c r="E23" i="56"/>
  <c r="E25" i="56" s="1"/>
  <c r="D22" i="56"/>
  <c r="C22" i="56"/>
  <c r="B22" i="56"/>
  <c r="D21" i="56"/>
  <c r="C21" i="56"/>
  <c r="B21" i="56"/>
  <c r="B20" i="56"/>
  <c r="C19" i="56"/>
  <c r="B19" i="56"/>
  <c r="C18" i="56"/>
  <c r="B18" i="56"/>
  <c r="B17" i="56"/>
  <c r="B16" i="56"/>
  <c r="B15" i="56"/>
  <c r="B14" i="56"/>
  <c r="B13" i="56"/>
  <c r="B12" i="56"/>
  <c r="B11" i="56"/>
  <c r="B10" i="56"/>
  <c r="B9" i="56"/>
  <c r="B8" i="56"/>
  <c r="C7" i="56"/>
  <c r="B7" i="56"/>
  <c r="A12" i="31"/>
  <c r="A14" i="31" s="1"/>
  <c r="A16" i="31" s="1"/>
  <c r="A18" i="31" s="1"/>
  <c r="A20" i="31" s="1"/>
  <c r="A22" i="31" s="1"/>
  <c r="A4" i="31"/>
  <c r="A2" i="31"/>
  <c r="A4" i="190"/>
  <c r="G1" i="190"/>
  <c r="A4" i="91"/>
  <c r="G1" i="91"/>
  <c r="A4" i="112"/>
  <c r="I1" i="112"/>
  <c r="A4" i="110"/>
  <c r="A4" i="15"/>
  <c r="G1" i="15"/>
  <c r="A4" i="127"/>
  <c r="A4" i="20"/>
  <c r="G1" i="20"/>
  <c r="A4" i="150"/>
  <c r="K1" i="150"/>
  <c r="A4" i="147"/>
  <c r="G1" i="147"/>
  <c r="A4" i="113"/>
  <c r="G1" i="113"/>
  <c r="A4" i="114"/>
  <c r="A4" i="116"/>
  <c r="G1" i="116"/>
  <c r="S33" i="6"/>
  <c r="E33" i="6"/>
  <c r="I33" i="6" s="1"/>
  <c r="S32" i="6"/>
  <c r="E32" i="6"/>
  <c r="I32" i="6" s="1"/>
  <c r="S31" i="6"/>
  <c r="E31" i="6"/>
  <c r="I31" i="6" s="1"/>
  <c r="S30" i="6"/>
  <c r="E30" i="6"/>
  <c r="I30" i="6" s="1"/>
  <c r="S29" i="6"/>
  <c r="E29" i="6"/>
  <c r="I29" i="6" s="1"/>
  <c r="S28" i="6"/>
  <c r="E28" i="6"/>
  <c r="I28" i="6" s="1"/>
  <c r="S27" i="6"/>
  <c r="E27" i="6"/>
  <c r="E26" i="6"/>
  <c r="G19" i="6"/>
  <c r="I18" i="6"/>
  <c r="O18" i="6" s="1"/>
  <c r="I17" i="6"/>
  <c r="O17" i="6" s="1"/>
  <c r="I16" i="6"/>
  <c r="I15" i="6"/>
  <c r="O15" i="6" s="1"/>
  <c r="I14" i="6"/>
  <c r="O14" i="6" s="1"/>
  <c r="I13" i="6"/>
  <c r="I12" i="6"/>
  <c r="O12" i="6" s="1"/>
  <c r="A12" i="6"/>
  <c r="A13" i="6" s="1"/>
  <c r="A14" i="6" s="1"/>
  <c r="A15" i="6" s="1"/>
  <c r="A16" i="6" s="1"/>
  <c r="A17" i="6" s="1"/>
  <c r="A18" i="6" s="1"/>
  <c r="A19" i="6" s="1"/>
  <c r="A26" i="6" s="1"/>
  <c r="A27" i="6" s="1"/>
  <c r="A28" i="6" s="1"/>
  <c r="A29" i="6" s="1"/>
  <c r="A30" i="6" s="1"/>
  <c r="A31" i="6" s="1"/>
  <c r="A32" i="6" s="1"/>
  <c r="A33" i="6" s="1"/>
  <c r="A34" i="6" s="1"/>
  <c r="A36" i="6" s="1"/>
  <c r="A41" i="6" s="1"/>
  <c r="A42" i="6" s="1"/>
  <c r="A43" i="6" s="1"/>
  <c r="I11" i="6"/>
  <c r="O11" i="6" s="1"/>
  <c r="A4" i="6"/>
  <c r="U1" i="6"/>
  <c r="W19" i="76"/>
  <c r="V19" i="76"/>
  <c r="U19" i="76"/>
  <c r="T19" i="76"/>
  <c r="S19" i="76"/>
  <c r="R19" i="76"/>
  <c r="Q19" i="76"/>
  <c r="P19" i="76"/>
  <c r="O19" i="76"/>
  <c r="N19" i="76"/>
  <c r="M19" i="76"/>
  <c r="K19" i="76"/>
  <c r="J19" i="76"/>
  <c r="G35" i="97" s="1"/>
  <c r="I19" i="76"/>
  <c r="G34" i="97" s="1"/>
  <c r="H19" i="76"/>
  <c r="G33" i="97" s="1"/>
  <c r="F18" i="76"/>
  <c r="G21" i="75" s="1"/>
  <c r="I21" i="75" s="1"/>
  <c r="F17" i="76"/>
  <c r="F16" i="76"/>
  <c r="G19" i="75" s="1"/>
  <c r="I19" i="75" s="1"/>
  <c r="F13" i="76"/>
  <c r="G14" i="75" s="1"/>
  <c r="I14" i="75" s="1"/>
  <c r="A13" i="76"/>
  <c r="A14" i="76" s="1"/>
  <c r="F10" i="76"/>
  <c r="G11" i="75" s="1"/>
  <c r="I11" i="75" s="1"/>
  <c r="W7" i="76"/>
  <c r="V7" i="76"/>
  <c r="U7" i="76"/>
  <c r="S7" i="76"/>
  <c r="R7" i="76"/>
  <c r="Q7" i="76"/>
  <c r="P7" i="76"/>
  <c r="O7" i="76"/>
  <c r="N7" i="76"/>
  <c r="M7" i="76"/>
  <c r="L7" i="76"/>
  <c r="K7" i="76"/>
  <c r="J7" i="76"/>
  <c r="I7" i="76"/>
  <c r="H7" i="76"/>
  <c r="A4" i="76"/>
  <c r="N1" i="76"/>
  <c r="E22" i="75"/>
  <c r="E24" i="75" s="1"/>
  <c r="G20" i="75"/>
  <c r="I20" i="75" s="1"/>
  <c r="G15" i="75"/>
  <c r="I15" i="75" s="1"/>
  <c r="A14" i="75"/>
  <c r="A15" i="75" s="1"/>
  <c r="A16" i="75" s="1"/>
  <c r="A17" i="75" s="1"/>
  <c r="A18" i="75" s="1"/>
  <c r="A19" i="75" s="1"/>
  <c r="A20" i="75" s="1"/>
  <c r="A21" i="75" s="1"/>
  <c r="A22" i="75" s="1"/>
  <c r="A24" i="75" s="1"/>
  <c r="A4" i="75"/>
  <c r="I1" i="75"/>
  <c r="E32" i="73"/>
  <c r="G34" i="74" s="1"/>
  <c r="I34" i="74" s="1"/>
  <c r="E31" i="73"/>
  <c r="G33" i="74" s="1"/>
  <c r="I33" i="74" s="1"/>
  <c r="R26" i="73"/>
  <c r="Q26" i="73"/>
  <c r="P26" i="73"/>
  <c r="O26" i="73"/>
  <c r="N26" i="73"/>
  <c r="M26" i="73"/>
  <c r="L26" i="73"/>
  <c r="K26" i="73"/>
  <c r="J26" i="73"/>
  <c r="I26" i="73"/>
  <c r="I28" i="73" s="1"/>
  <c r="I34" i="73" s="1"/>
  <c r="I22" i="97" s="1"/>
  <c r="H26" i="73"/>
  <c r="H28" i="73" s="1"/>
  <c r="H34" i="73" s="1"/>
  <c r="I21" i="97" s="1"/>
  <c r="G26" i="73"/>
  <c r="E25" i="73"/>
  <c r="G27" i="74" s="1"/>
  <c r="I27" i="74" s="1"/>
  <c r="E24" i="73"/>
  <c r="G26" i="74" s="1"/>
  <c r="I26" i="74" s="1"/>
  <c r="E23" i="73"/>
  <c r="G25" i="74" s="1"/>
  <c r="E22" i="73"/>
  <c r="E21" i="73"/>
  <c r="G23" i="74" s="1"/>
  <c r="R18" i="73"/>
  <c r="Q18" i="73"/>
  <c r="P18" i="73"/>
  <c r="P28" i="73" s="1"/>
  <c r="P34" i="73" s="1"/>
  <c r="O18" i="73"/>
  <c r="N18" i="73"/>
  <c r="N28" i="73" s="1"/>
  <c r="N34" i="73" s="1"/>
  <c r="M18" i="73"/>
  <c r="M28" i="73" s="1"/>
  <c r="M34" i="73" s="1"/>
  <c r="L18" i="73"/>
  <c r="K18" i="73"/>
  <c r="K28" i="73" s="1"/>
  <c r="K34" i="73" s="1"/>
  <c r="I24" i="97" s="1"/>
  <c r="J18" i="73"/>
  <c r="J28" i="73" s="1"/>
  <c r="J34" i="73" s="1"/>
  <c r="I23" i="97" s="1"/>
  <c r="I18" i="73"/>
  <c r="H18" i="73"/>
  <c r="G18" i="73"/>
  <c r="E17" i="73"/>
  <c r="G19" i="74" s="1"/>
  <c r="I19" i="74" s="1"/>
  <c r="E16" i="73"/>
  <c r="G18" i="74" s="1"/>
  <c r="I18" i="74" s="1"/>
  <c r="E15" i="73"/>
  <c r="G17" i="74" s="1"/>
  <c r="I17" i="74" s="1"/>
  <c r="E14" i="73"/>
  <c r="E13" i="73"/>
  <c r="G15" i="74" s="1"/>
  <c r="I15" i="74" s="1"/>
  <c r="E12" i="73"/>
  <c r="G14" i="74" s="1"/>
  <c r="A12" i="73"/>
  <c r="A13" i="73" s="1"/>
  <c r="A14" i="73" s="1"/>
  <c r="A15" i="73" s="1"/>
  <c r="A16" i="73" s="1"/>
  <c r="A17" i="73" s="1"/>
  <c r="A18" i="73" s="1"/>
  <c r="A21" i="73" s="1"/>
  <c r="A22" i="73" s="1"/>
  <c r="A23" i="73" s="1"/>
  <c r="A24" i="73" s="1"/>
  <c r="A25" i="73" s="1"/>
  <c r="A26" i="73" s="1"/>
  <c r="A28" i="73" s="1"/>
  <c r="A31" i="73" s="1"/>
  <c r="A32" i="73" s="1"/>
  <c r="A34" i="73" s="1"/>
  <c r="E11" i="73"/>
  <c r="R7" i="73"/>
  <c r="Q7" i="73"/>
  <c r="P7" i="73"/>
  <c r="O7" i="73"/>
  <c r="N7" i="73"/>
  <c r="M7" i="73"/>
  <c r="L7" i="73"/>
  <c r="K7" i="73"/>
  <c r="J7" i="73"/>
  <c r="I7" i="73"/>
  <c r="H7" i="73"/>
  <c r="G7" i="73"/>
  <c r="A4" i="73"/>
  <c r="E28" i="74"/>
  <c r="I25" i="74"/>
  <c r="G24" i="74"/>
  <c r="I24" i="74" s="1"/>
  <c r="E20" i="74"/>
  <c r="E30" i="74" s="1"/>
  <c r="E36" i="74" s="1"/>
  <c r="G16" i="74"/>
  <c r="I16" i="74" s="1"/>
  <c r="A14" i="74"/>
  <c r="A15" i="74" s="1"/>
  <c r="A16" i="74" s="1"/>
  <c r="A17" i="74" s="1"/>
  <c r="A18" i="74" s="1"/>
  <c r="A19" i="74" s="1"/>
  <c r="A20" i="74" s="1"/>
  <c r="A23" i="74" s="1"/>
  <c r="A24" i="74" s="1"/>
  <c r="A25" i="74" s="1"/>
  <c r="A26" i="74" s="1"/>
  <c r="A27" i="74" s="1"/>
  <c r="A28" i="74" s="1"/>
  <c r="A30" i="74" s="1"/>
  <c r="A33" i="74" s="1"/>
  <c r="A34" i="74" s="1"/>
  <c r="A36" i="74" s="1"/>
  <c r="A4" i="74"/>
  <c r="I1" i="74"/>
  <c r="I27" i="2"/>
  <c r="I21" i="2"/>
  <c r="G19" i="2"/>
  <c r="G23" i="2" s="1"/>
  <c r="I17" i="2"/>
  <c r="E46" i="2" s="1"/>
  <c r="I15" i="2"/>
  <c r="E47" i="2" s="1"/>
  <c r="A13" i="2"/>
  <c r="A15" i="2" s="1"/>
  <c r="A17" i="2" s="1"/>
  <c r="A19" i="2" s="1"/>
  <c r="A21" i="2" s="1"/>
  <c r="A23" i="2" s="1"/>
  <c r="A25" i="2" s="1"/>
  <c r="A27" i="2" s="1"/>
  <c r="A29" i="2" s="1"/>
  <c r="A31" i="2" s="1"/>
  <c r="A33" i="2" s="1"/>
  <c r="A38" i="2" s="1"/>
  <c r="A40" i="2" s="1"/>
  <c r="A43" i="2" s="1"/>
  <c r="A44" i="2" s="1"/>
  <c r="A45" i="2" s="1"/>
  <c r="A46" i="2" s="1"/>
  <c r="A47" i="2" s="1"/>
  <c r="A48" i="2" s="1"/>
  <c r="A50" i="2" s="1"/>
  <c r="A51" i="2" s="1"/>
  <c r="A4" i="2"/>
  <c r="I1" i="2"/>
  <c r="C44" i="97"/>
  <c r="G43" i="97"/>
  <c r="C43" i="97"/>
  <c r="C42" i="97"/>
  <c r="G41" i="97"/>
  <c r="C41" i="97"/>
  <c r="C40" i="97"/>
  <c r="C39" i="97"/>
  <c r="C38" i="97"/>
  <c r="C37" i="97"/>
  <c r="C36" i="97"/>
  <c r="C35" i="97"/>
  <c r="C34" i="97"/>
  <c r="C33" i="97"/>
  <c r="E25" i="97"/>
  <c r="C25" i="97"/>
  <c r="E24" i="97"/>
  <c r="C24" i="97"/>
  <c r="E23" i="97"/>
  <c r="C23" i="97"/>
  <c r="E22" i="97"/>
  <c r="C22" i="97"/>
  <c r="E21" i="97"/>
  <c r="C21" i="97"/>
  <c r="E20" i="97"/>
  <c r="C20" i="97"/>
  <c r="A14" i="97"/>
  <c r="A15" i="97" s="1"/>
  <c r="A16" i="97" s="1"/>
  <c r="A17" i="97" s="1"/>
  <c r="A18" i="97" s="1"/>
  <c r="A20" i="97" s="1"/>
  <c r="A21" i="97" s="1"/>
  <c r="A22" i="97" s="1"/>
  <c r="A23" i="97" s="1"/>
  <c r="A24" i="97" s="1"/>
  <c r="A25" i="97" s="1"/>
  <c r="A3" i="97"/>
  <c r="M1" i="97"/>
  <c r="A28" i="1"/>
  <c r="I26" i="1"/>
  <c r="K26" i="1" s="1"/>
  <c r="A26" i="1"/>
  <c r="K2" i="1"/>
  <c r="U2" i="6" s="1"/>
  <c r="K1" i="1"/>
  <c r="G1" i="31" s="1"/>
  <c r="A1" i="1"/>
  <c r="A1" i="97" s="1"/>
  <c r="H80" i="29"/>
  <c r="I80" i="29" s="1"/>
  <c r="C78" i="29"/>
  <c r="H74" i="29"/>
  <c r="H75" i="29" s="1"/>
  <c r="I75" i="29" s="1"/>
  <c r="I73" i="29"/>
  <c r="L58" i="29"/>
  <c r="K58" i="29"/>
  <c r="A51" i="29"/>
  <c r="A50" i="29"/>
  <c r="A49" i="29"/>
  <c r="A48" i="29"/>
  <c r="I35" i="29"/>
  <c r="A34" i="29"/>
  <c r="E33" i="97" s="1"/>
  <c r="I20" i="29"/>
  <c r="I21" i="29" s="1"/>
  <c r="A19" i="29"/>
  <c r="L10" i="29"/>
  <c r="K11" i="29" s="1"/>
  <c r="N58" i="29" l="1"/>
  <c r="M2" i="97"/>
  <c r="N10" i="29"/>
  <c r="A15" i="76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7" i="56"/>
  <c r="A20" i="29"/>
  <c r="Q28" i="73"/>
  <c r="Q34" i="73" s="1"/>
  <c r="A1" i="31"/>
  <c r="A1" i="115"/>
  <c r="R28" i="73"/>
  <c r="R34" i="73" s="1"/>
  <c r="A1" i="75"/>
  <c r="O28" i="73"/>
  <c r="O34" i="73" s="1"/>
  <c r="I2" i="75"/>
  <c r="A1" i="150"/>
  <c r="E19" i="15"/>
  <c r="E21" i="15" s="1"/>
  <c r="E15" i="15"/>
  <c r="E17" i="15" s="1"/>
  <c r="E23" i="15" s="1"/>
  <c r="L15" i="76" s="1"/>
  <c r="A26" i="97"/>
  <c r="A27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A42" i="97" s="1"/>
  <c r="A43" i="97" s="1"/>
  <c r="A44" i="97" s="1"/>
  <c r="L28" i="73"/>
  <c r="L34" i="73" s="1"/>
  <c r="I25" i="97" s="1"/>
  <c r="E18" i="73"/>
  <c r="A24" i="31"/>
  <c r="A26" i="31" s="1"/>
  <c r="A28" i="31" s="1"/>
  <c r="A30" i="31" s="1"/>
  <c r="A35" i="31" s="1"/>
  <c r="A36" i="31" s="1"/>
  <c r="A37" i="31" s="1"/>
  <c r="C14" i="56"/>
  <c r="H20" i="76"/>
  <c r="T20" i="76"/>
  <c r="I20" i="76"/>
  <c r="C20" i="56"/>
  <c r="C9" i="56"/>
  <c r="V20" i="76"/>
  <c r="C10" i="56"/>
  <c r="W20" i="76"/>
  <c r="C12" i="56"/>
  <c r="G39" i="97"/>
  <c r="U20" i="76"/>
  <c r="G40" i="97"/>
  <c r="C8" i="56"/>
  <c r="I19" i="2"/>
  <c r="I23" i="2" s="1"/>
  <c r="G25" i="2"/>
  <c r="G38" i="97"/>
  <c r="G13" i="74"/>
  <c r="I13" i="74" s="1"/>
  <c r="K20" i="76"/>
  <c r="G36" i="97"/>
  <c r="J20" i="76"/>
  <c r="I22" i="29"/>
  <c r="A21" i="29"/>
  <c r="L59" i="29"/>
  <c r="K59" i="29"/>
  <c r="G44" i="97"/>
  <c r="E35" i="31"/>
  <c r="G12" i="1"/>
  <c r="G29" i="2"/>
  <c r="G31" i="2" s="1"/>
  <c r="G33" i="2" s="1"/>
  <c r="A35" i="29"/>
  <c r="I36" i="29"/>
  <c r="H76" i="29"/>
  <c r="E43" i="6"/>
  <c r="D24" i="56"/>
  <c r="G16" i="1"/>
  <c r="G20" i="1" s="1"/>
  <c r="I14" i="74"/>
  <c r="S20" i="76"/>
  <c r="G42" i="97"/>
  <c r="Q20" i="76"/>
  <c r="G28" i="73"/>
  <c r="G34" i="73" s="1"/>
  <c r="I20" i="97" s="1"/>
  <c r="I26" i="97" s="1"/>
  <c r="C17" i="56"/>
  <c r="R20" i="76"/>
  <c r="M20" i="76"/>
  <c r="A1" i="15"/>
  <c r="A1" i="76"/>
  <c r="A1" i="6"/>
  <c r="A1" i="114"/>
  <c r="O13" i="6"/>
  <c r="O16" i="6"/>
  <c r="A1" i="74"/>
  <c r="A1" i="73"/>
  <c r="G28" i="74"/>
  <c r="E34" i="6"/>
  <c r="C16" i="56"/>
  <c r="L11" i="29"/>
  <c r="N11" i="29" s="1"/>
  <c r="F11" i="29" s="1"/>
  <c r="I74" i="29"/>
  <c r="I2" i="2"/>
  <c r="N2" i="76"/>
  <c r="I2" i="74"/>
  <c r="I23" i="74"/>
  <c r="I28" i="74" s="1"/>
  <c r="N20" i="76"/>
  <c r="I19" i="6"/>
  <c r="Q16" i="6" s="1"/>
  <c r="U16" i="6" s="1"/>
  <c r="A1" i="91"/>
  <c r="A1" i="110"/>
  <c r="A1" i="20"/>
  <c r="A1" i="113"/>
  <c r="A1" i="116"/>
  <c r="A1" i="2"/>
  <c r="A1" i="127"/>
  <c r="A1" i="147"/>
  <c r="A1" i="190"/>
  <c r="O20" i="76"/>
  <c r="C13" i="56"/>
  <c r="E26" i="73"/>
  <c r="P20" i="76"/>
  <c r="C15" i="56"/>
  <c r="A1" i="112"/>
  <c r="N59" i="29" l="1"/>
  <c r="O10" i="29"/>
  <c r="F10" i="29"/>
  <c r="I20" i="74"/>
  <c r="I30" i="74" s="1"/>
  <c r="I36" i="74" s="1"/>
  <c r="E10" i="194" s="1"/>
  <c r="A45" i="97"/>
  <c r="A46" i="97" s="1"/>
  <c r="A48" i="97" s="1"/>
  <c r="A49" i="97" s="1"/>
  <c r="A50" i="97" s="1"/>
  <c r="A51" i="97" s="1"/>
  <c r="A52" i="97" s="1"/>
  <c r="A53" i="97" s="1"/>
  <c r="A54" i="97" s="1"/>
  <c r="A55" i="97" s="1"/>
  <c r="A56" i="97" s="1"/>
  <c r="A57" i="97" s="1"/>
  <c r="L19" i="76"/>
  <c r="F15" i="76"/>
  <c r="G16" i="75" s="1"/>
  <c r="I16" i="75" s="1"/>
  <c r="O19" i="6"/>
  <c r="E28" i="73"/>
  <c r="E34" i="73" s="1"/>
  <c r="I22" i="76"/>
  <c r="I21" i="76" s="1"/>
  <c r="W22" i="76"/>
  <c r="T22" i="76"/>
  <c r="T21" i="76" s="1"/>
  <c r="U22" i="76"/>
  <c r="U21" i="76" s="1"/>
  <c r="H22" i="76"/>
  <c r="H21" i="76" s="1"/>
  <c r="J22" i="76"/>
  <c r="V22" i="76"/>
  <c r="K22" i="76"/>
  <c r="G20" i="74"/>
  <c r="G30" i="74" s="1"/>
  <c r="G36" i="74" s="1"/>
  <c r="G50" i="6" s="1"/>
  <c r="G42" i="6"/>
  <c r="Q13" i="6"/>
  <c r="U13" i="6" s="1"/>
  <c r="Q11" i="6"/>
  <c r="I25" i="2"/>
  <c r="I29" i="2" s="1"/>
  <c r="E44" i="2" s="1"/>
  <c r="E45" i="2"/>
  <c r="G38" i="2"/>
  <c r="N22" i="76"/>
  <c r="N21" i="76" s="1"/>
  <c r="I31" i="97"/>
  <c r="F24" i="56"/>
  <c r="I24" i="56"/>
  <c r="S22" i="76"/>
  <c r="S21" i="76" s="1"/>
  <c r="R22" i="76"/>
  <c r="G41" i="6"/>
  <c r="K41" i="6" s="1"/>
  <c r="M41" i="6" s="1"/>
  <c r="G26" i="6" s="1"/>
  <c r="M22" i="76"/>
  <c r="M21" i="76" s="1"/>
  <c r="K60" i="29"/>
  <c r="L60" i="29"/>
  <c r="H77" i="29"/>
  <c r="I76" i="29"/>
  <c r="I23" i="29"/>
  <c r="A22" i="29"/>
  <c r="Q14" i="6"/>
  <c r="U14" i="6" s="1"/>
  <c r="Q12" i="6"/>
  <c r="U12" i="6" s="1"/>
  <c r="Q17" i="6"/>
  <c r="U17" i="6" s="1"/>
  <c r="Q18" i="6"/>
  <c r="U18" i="6" s="1"/>
  <c r="Q15" i="6"/>
  <c r="U15" i="6" s="1"/>
  <c r="I37" i="29"/>
  <c r="A36" i="29"/>
  <c r="K49" i="97"/>
  <c r="G22" i="1"/>
  <c r="P22" i="76"/>
  <c r="P21" i="76" s="1"/>
  <c r="L12" i="29"/>
  <c r="K12" i="29"/>
  <c r="A8" i="56"/>
  <c r="E34" i="97"/>
  <c r="O22" i="76"/>
  <c r="O21" i="76" s="1"/>
  <c r="I16" i="97"/>
  <c r="M14" i="1"/>
  <c r="N60" i="29" l="1"/>
  <c r="N12" i="29"/>
  <c r="F12" i="29" s="1"/>
  <c r="K42" i="6"/>
  <c r="M42" i="6" s="1"/>
  <c r="G27" i="6" s="1"/>
  <c r="I27" i="6" s="1"/>
  <c r="L20" i="76"/>
  <c r="G37" i="97"/>
  <c r="G45" i="97" s="1"/>
  <c r="C11" i="56"/>
  <c r="C23" i="56" s="1"/>
  <c r="F19" i="76"/>
  <c r="E12" i="194"/>
  <c r="E14" i="194" s="1"/>
  <c r="E16" i="194" s="1"/>
  <c r="U11" i="6"/>
  <c r="U19" i="6" s="1"/>
  <c r="G13" i="1" s="1"/>
  <c r="G15" i="1" s="1"/>
  <c r="G18" i="1" s="1"/>
  <c r="I31" i="2"/>
  <c r="E43" i="2" s="1"/>
  <c r="E48" i="2" s="1"/>
  <c r="E10" i="193"/>
  <c r="N23" i="76"/>
  <c r="N24" i="76" s="1"/>
  <c r="I23" i="76"/>
  <c r="O23" i="76"/>
  <c r="M23" i="76"/>
  <c r="M24" i="76" s="1"/>
  <c r="K21" i="76"/>
  <c r="K23" i="76" s="1"/>
  <c r="T23" i="76"/>
  <c r="S23" i="76"/>
  <c r="S24" i="76" s="1"/>
  <c r="U23" i="76"/>
  <c r="P23" i="76"/>
  <c r="V21" i="76"/>
  <c r="V23" i="76" s="1"/>
  <c r="H23" i="76"/>
  <c r="H25" i="76" s="1"/>
  <c r="J21" i="76"/>
  <c r="W21" i="76"/>
  <c r="W23" i="76" s="1"/>
  <c r="G43" i="6"/>
  <c r="G54" i="6"/>
  <c r="E36" i="31" s="1"/>
  <c r="E37" i="31" s="1"/>
  <c r="E16" i="31" s="1"/>
  <c r="I38" i="2"/>
  <c r="H78" i="29"/>
  <c r="I78" i="29" s="1"/>
  <c r="I77" i="29"/>
  <c r="L13" i="29"/>
  <c r="K13" i="29"/>
  <c r="Q19" i="6"/>
  <c r="A9" i="56"/>
  <c r="E35" i="97"/>
  <c r="I27" i="97"/>
  <c r="I12" i="1"/>
  <c r="E10" i="31"/>
  <c r="I24" i="29"/>
  <c r="A23" i="29"/>
  <c r="A37" i="29"/>
  <c r="I38" i="29"/>
  <c r="I33" i="2" l="1"/>
  <c r="L22" i="76"/>
  <c r="L21" i="76" s="1"/>
  <c r="L23" i="76" s="1"/>
  <c r="L24" i="76" s="1"/>
  <c r="F20" i="76"/>
  <c r="N25" i="76"/>
  <c r="N13" i="29"/>
  <c r="F13" i="29" s="1"/>
  <c r="K42" i="97"/>
  <c r="K34" i="97"/>
  <c r="K44" i="97"/>
  <c r="K36" i="97"/>
  <c r="I22" i="1"/>
  <c r="K41" i="97"/>
  <c r="K40" i="97"/>
  <c r="K37" i="97"/>
  <c r="K35" i="97"/>
  <c r="K43" i="97"/>
  <c r="W24" i="76"/>
  <c r="W25" i="76"/>
  <c r="K24" i="76"/>
  <c r="K25" i="76"/>
  <c r="V24" i="76"/>
  <c r="V25" i="76"/>
  <c r="O24" i="76"/>
  <c r="O25" i="76"/>
  <c r="I24" i="76"/>
  <c r="I25" i="76"/>
  <c r="T24" i="76"/>
  <c r="T25" i="76"/>
  <c r="J23" i="76"/>
  <c r="M25" i="76"/>
  <c r="M46" i="76" s="1"/>
  <c r="P24" i="76"/>
  <c r="P25" i="76"/>
  <c r="P46" i="76" s="1"/>
  <c r="L25" i="76"/>
  <c r="U24" i="76"/>
  <c r="U25" i="76"/>
  <c r="S25" i="76"/>
  <c r="I44" i="97" s="1"/>
  <c r="M44" i="97" s="1"/>
  <c r="H24" i="76"/>
  <c r="A10" i="56"/>
  <c r="E36" i="97"/>
  <c r="K12" i="1"/>
  <c r="G24" i="1"/>
  <c r="M13" i="1"/>
  <c r="D13" i="56"/>
  <c r="F13" i="56" s="1"/>
  <c r="I39" i="97"/>
  <c r="N46" i="76"/>
  <c r="D7" i="56"/>
  <c r="H46" i="76"/>
  <c r="I33" i="97"/>
  <c r="K14" i="29"/>
  <c r="L14" i="29"/>
  <c r="A24" i="29"/>
  <c r="I25" i="29"/>
  <c r="I39" i="29"/>
  <c r="A38" i="29"/>
  <c r="I38" i="97" l="1"/>
  <c r="K14" i="97"/>
  <c r="K33" i="97"/>
  <c r="M33" i="97" s="1"/>
  <c r="K39" i="97"/>
  <c r="M39" i="97" s="1"/>
  <c r="K38" i="97"/>
  <c r="M38" i="97" s="1"/>
  <c r="K48" i="97"/>
  <c r="K50" i="97" s="1"/>
  <c r="I41" i="97"/>
  <c r="M41" i="97" s="1"/>
  <c r="D15" i="56"/>
  <c r="F15" i="56" s="1"/>
  <c r="D18" i="56"/>
  <c r="F18" i="56" s="1"/>
  <c r="S46" i="76"/>
  <c r="D12" i="56"/>
  <c r="F12" i="56" s="1"/>
  <c r="D20" i="56"/>
  <c r="O46" i="76"/>
  <c r="I40" i="97"/>
  <c r="M40" i="97" s="1"/>
  <c r="D14" i="56"/>
  <c r="F14" i="56" s="1"/>
  <c r="L46" i="76"/>
  <c r="D11" i="56"/>
  <c r="F11" i="56" s="1"/>
  <c r="I37" i="97"/>
  <c r="M37" i="97" s="1"/>
  <c r="D10" i="56"/>
  <c r="F10" i="56" s="1"/>
  <c r="I36" i="97"/>
  <c r="M36" i="97" s="1"/>
  <c r="K46" i="76"/>
  <c r="J24" i="76"/>
  <c r="J25" i="76"/>
  <c r="D19" i="56"/>
  <c r="T46" i="76"/>
  <c r="I34" i="97"/>
  <c r="M34" i="97" s="1"/>
  <c r="I46" i="76"/>
  <c r="D8" i="56"/>
  <c r="F8" i="56" s="1"/>
  <c r="K51" i="97"/>
  <c r="L15" i="29"/>
  <c r="K15" i="29"/>
  <c r="N15" i="29" s="1"/>
  <c r="F15" i="29" s="1"/>
  <c r="E37" i="97"/>
  <c r="A11" i="56"/>
  <c r="A39" i="29"/>
  <c r="I40" i="29"/>
  <c r="F7" i="56"/>
  <c r="N14" i="29"/>
  <c r="F14" i="29" s="1"/>
  <c r="I26" i="29"/>
  <c r="M52" i="97" l="1"/>
  <c r="D9" i="56"/>
  <c r="I35" i="97"/>
  <c r="J46" i="76"/>
  <c r="E38" i="97"/>
  <c r="A12" i="56"/>
  <c r="I41" i="29"/>
  <c r="A40" i="29"/>
  <c r="L16" i="29"/>
  <c r="K16" i="29"/>
  <c r="I27" i="29"/>
  <c r="G28" i="1"/>
  <c r="M54" i="97"/>
  <c r="M35" i="97" l="1"/>
  <c r="F9" i="56"/>
  <c r="N16" i="29"/>
  <c r="F16" i="29" s="1"/>
  <c r="L19" i="29"/>
  <c r="K19" i="29"/>
  <c r="A41" i="29"/>
  <c r="I42" i="29"/>
  <c r="A13" i="56"/>
  <c r="E39" i="97"/>
  <c r="I28" i="29"/>
  <c r="A27" i="29"/>
  <c r="N19" i="29" l="1"/>
  <c r="F19" i="29" s="1"/>
  <c r="E40" i="97"/>
  <c r="A14" i="56"/>
  <c r="L20" i="29"/>
  <c r="K20" i="29"/>
  <c r="I43" i="29"/>
  <c r="A42" i="29"/>
  <c r="A28" i="29"/>
  <c r="I29" i="29"/>
  <c r="N20" i="29" l="1"/>
  <c r="F20" i="29" s="1"/>
  <c r="L21" i="29"/>
  <c r="K21" i="29"/>
  <c r="N21" i="29" s="1"/>
  <c r="F21" i="29" s="1"/>
  <c r="A15" i="56"/>
  <c r="E41" i="97"/>
  <c r="I30" i="29"/>
  <c r="A29" i="29"/>
  <c r="A43" i="29"/>
  <c r="I44" i="29"/>
  <c r="A30" i="29" l="1"/>
  <c r="I31" i="29"/>
  <c r="A31" i="29" s="1"/>
  <c r="E42" i="97"/>
  <c r="A16" i="56"/>
  <c r="L22" i="29"/>
  <c r="K22" i="29"/>
  <c r="I45" i="29"/>
  <c r="A44" i="29"/>
  <c r="E43" i="97" s="1"/>
  <c r="N22" i="29" l="1"/>
  <c r="F22" i="29" s="1"/>
  <c r="A45" i="29"/>
  <c r="E44" i="97" s="1"/>
  <c r="I46" i="29"/>
  <c r="L23" i="29"/>
  <c r="K23" i="29"/>
  <c r="K24" i="29" l="1"/>
  <c r="L24" i="29"/>
  <c r="N23" i="29"/>
  <c r="F23" i="29" s="1"/>
  <c r="I47" i="29"/>
  <c r="I52" i="29" l="1"/>
  <c r="A47" i="29"/>
  <c r="L25" i="29"/>
  <c r="K25" i="29"/>
  <c r="N24" i="29"/>
  <c r="F24" i="29" s="1"/>
  <c r="N25" i="29" l="1"/>
  <c r="F25" i="29" s="1"/>
  <c r="L26" i="29"/>
  <c r="K26" i="29"/>
  <c r="I53" i="29"/>
  <c r="A52" i="29"/>
  <c r="N26" i="29" l="1"/>
  <c r="F26" i="29" s="1"/>
  <c r="A53" i="29"/>
  <c r="I54" i="29"/>
  <c r="L27" i="29"/>
  <c r="K27" i="29"/>
  <c r="N27" i="29" l="1"/>
  <c r="F27" i="29" s="1"/>
  <c r="K28" i="29"/>
  <c r="L28" i="29"/>
  <c r="I55" i="29"/>
  <c r="A54" i="29"/>
  <c r="A17" i="56" s="1"/>
  <c r="A55" i="29" l="1"/>
  <c r="A18" i="56" s="1"/>
  <c r="I56" i="29"/>
  <c r="L29" i="29"/>
  <c r="K29" i="29"/>
  <c r="N28" i="29"/>
  <c r="F28" i="29" s="1"/>
  <c r="N29" i="29" l="1"/>
  <c r="F29" i="29" s="1"/>
  <c r="L30" i="29"/>
  <c r="K30" i="29"/>
  <c r="I57" i="29"/>
  <c r="A56" i="29"/>
  <c r="N30" i="29" l="1"/>
  <c r="F30" i="29" s="1"/>
  <c r="I58" i="29"/>
  <c r="A57" i="29"/>
  <c r="L34" i="29"/>
  <c r="K34" i="29"/>
  <c r="L31" i="29"/>
  <c r="K31" i="29"/>
  <c r="N34" i="29" l="1"/>
  <c r="F34" i="29" s="1"/>
  <c r="N31" i="29"/>
  <c r="K35" i="29"/>
  <c r="L35" i="29"/>
  <c r="A58" i="29"/>
  <c r="I59" i="29"/>
  <c r="I60" i="29" l="1"/>
  <c r="A59" i="29"/>
  <c r="L36" i="29"/>
  <c r="K36" i="29"/>
  <c r="N35" i="29"/>
  <c r="F35" i="29" s="1"/>
  <c r="N36" i="29" l="1"/>
  <c r="F36" i="29" s="1"/>
  <c r="L37" i="29"/>
  <c r="K37" i="29"/>
  <c r="I61" i="29"/>
  <c r="A60" i="29"/>
  <c r="N37" i="29" l="1"/>
  <c r="F37" i="29" s="1"/>
  <c r="A61" i="29"/>
  <c r="I62" i="29"/>
  <c r="I63" i="29" s="1"/>
  <c r="I64" i="29" s="1"/>
  <c r="I65" i="29" s="1"/>
  <c r="I66" i="29" s="1"/>
  <c r="I67" i="29" s="1"/>
  <c r="I68" i="29" s="1"/>
  <c r="I69" i="29" s="1"/>
  <c r="L38" i="29"/>
  <c r="K38" i="29"/>
  <c r="N38" i="29" s="1"/>
  <c r="F38" i="29" s="1"/>
  <c r="K39" i="29" l="1"/>
  <c r="L39" i="29"/>
  <c r="L40" i="29" l="1"/>
  <c r="K40" i="29"/>
  <c r="N40" i="29" s="1"/>
  <c r="F40" i="29" s="1"/>
  <c r="N39" i="29"/>
  <c r="F39" i="29" s="1"/>
  <c r="L41" i="29" l="1"/>
  <c r="K41" i="29"/>
  <c r="N41" i="29" s="1"/>
  <c r="F41" i="29" s="1"/>
  <c r="L42" i="29" l="1"/>
  <c r="K42" i="29"/>
  <c r="N42" i="29" s="1"/>
  <c r="F42" i="29" s="1"/>
  <c r="L43" i="29" l="1"/>
  <c r="K43" i="29"/>
  <c r="N43" i="29" s="1"/>
  <c r="F43" i="29" s="1"/>
  <c r="L44" i="29" l="1"/>
  <c r="K44" i="29"/>
  <c r="N44" i="29" l="1"/>
  <c r="F44" i="29" s="1"/>
  <c r="L45" i="29"/>
  <c r="K45" i="29"/>
  <c r="N45" i="29" l="1"/>
  <c r="F45" i="29" s="1"/>
  <c r="L46" i="29"/>
  <c r="K46" i="29"/>
  <c r="N46" i="29" l="1"/>
  <c r="F46" i="29" s="1"/>
  <c r="K47" i="29"/>
  <c r="L47" i="29"/>
  <c r="L48" i="29" l="1"/>
  <c r="K48" i="29"/>
  <c r="N47" i="29"/>
  <c r="F47" i="29" s="1"/>
  <c r="N48" i="29" l="1"/>
  <c r="F48" i="29" s="1"/>
  <c r="L49" i="29"/>
  <c r="K49" i="29"/>
  <c r="N49" i="29" l="1"/>
  <c r="F49" i="29" s="1"/>
  <c r="L50" i="29"/>
  <c r="K50" i="29"/>
  <c r="N50" i="29" l="1"/>
  <c r="F50" i="29" s="1"/>
  <c r="K51" i="29"/>
  <c r="L51" i="29"/>
  <c r="K52" i="29" l="1"/>
  <c r="L52" i="29"/>
  <c r="N51" i="29"/>
  <c r="F51" i="29" s="1"/>
  <c r="K53" i="29" l="1"/>
  <c r="L53" i="29"/>
  <c r="N52" i="29"/>
  <c r="F52" i="29" s="1"/>
  <c r="L54" i="29" l="1"/>
  <c r="K54" i="29"/>
  <c r="N53" i="29"/>
  <c r="F53" i="29" s="1"/>
  <c r="N54" i="29" l="1"/>
  <c r="F54" i="29" s="1"/>
  <c r="K55" i="29"/>
  <c r="L55" i="29"/>
  <c r="L56" i="29" l="1"/>
  <c r="K56" i="29"/>
  <c r="N55" i="29"/>
  <c r="F55" i="29" s="1"/>
  <c r="N56" i="29" l="1"/>
  <c r="F56" i="29" s="1"/>
  <c r="K57" i="29"/>
  <c r="L57" i="29"/>
  <c r="N57" i="29" l="1"/>
  <c r="F57" i="29" s="1"/>
  <c r="G34" i="6" l="1"/>
  <c r="I26" i="6"/>
  <c r="I34" i="6" l="1"/>
  <c r="Q26" i="6" s="1"/>
  <c r="E11" i="193" l="1"/>
  <c r="E12" i="193" s="1"/>
  <c r="E14" i="193" s="1"/>
  <c r="E16" i="193" s="1"/>
  <c r="E18" i="193" s="1"/>
  <c r="R21" i="76" s="1"/>
  <c r="R23" i="76" s="1"/>
  <c r="Q33" i="6"/>
  <c r="M33" i="6" s="1"/>
  <c r="Q28" i="6"/>
  <c r="M28" i="6" s="1"/>
  <c r="Q29" i="6"/>
  <c r="M29" i="6" s="1"/>
  <c r="M43" i="6"/>
  <c r="Q31" i="6"/>
  <c r="M31" i="6" s="1"/>
  <c r="Q30" i="6"/>
  <c r="M30" i="6" s="1"/>
  <c r="Q32" i="6"/>
  <c r="M32" i="6" s="1"/>
  <c r="Q27" i="6"/>
  <c r="M27" i="6" s="1"/>
  <c r="M26" i="6"/>
  <c r="R25" i="76" l="1"/>
  <c r="R24" i="76"/>
  <c r="I43" i="6"/>
  <c r="M34" i="6"/>
  <c r="O26" i="6"/>
  <c r="O31" i="6"/>
  <c r="U31" i="6"/>
  <c r="Q34" i="6"/>
  <c r="U26" i="6"/>
  <c r="U27" i="6"/>
  <c r="O27" i="6"/>
  <c r="O32" i="6"/>
  <c r="U32" i="6"/>
  <c r="O30" i="6"/>
  <c r="U30" i="6"/>
  <c r="O28" i="6"/>
  <c r="U28" i="6"/>
  <c r="U29" i="6"/>
  <c r="O29" i="6"/>
  <c r="O33" i="6"/>
  <c r="U33" i="6"/>
  <c r="R46" i="76" l="1"/>
  <c r="I43" i="97"/>
  <c r="M43" i="97" s="1"/>
  <c r="D17" i="56"/>
  <c r="F17" i="56" s="1"/>
  <c r="G55" i="6"/>
  <c r="E12" i="31" s="1"/>
  <c r="E14" i="31" s="1"/>
  <c r="E18" i="31" s="1"/>
  <c r="O34" i="6"/>
  <c r="U34" i="6"/>
  <c r="E22" i="31" l="1"/>
  <c r="I13" i="1"/>
  <c r="I15" i="1" s="1"/>
  <c r="K17" i="97"/>
  <c r="K18" i="97" s="1"/>
  <c r="K20" i="97" s="1"/>
  <c r="U36" i="6"/>
  <c r="K13" i="97" s="1"/>
  <c r="K15" i="97" s="1"/>
  <c r="M16" i="97" s="1"/>
  <c r="E24" i="31" l="1"/>
  <c r="E28" i="31" s="1"/>
  <c r="E30" i="31" s="1"/>
  <c r="Q21" i="76"/>
  <c r="Q22" i="76"/>
  <c r="F22" i="76" s="1"/>
  <c r="G18" i="75" s="1"/>
  <c r="I18" i="75" s="1"/>
  <c r="K25" i="97"/>
  <c r="M25" i="97" s="1"/>
  <c r="K23" i="97"/>
  <c r="K21" i="97"/>
  <c r="K22" i="97"/>
  <c r="M24" i="97"/>
  <c r="M20" i="97"/>
  <c r="K15" i="1"/>
  <c r="Q23" i="76" l="1"/>
  <c r="F21" i="76"/>
  <c r="G17" i="75" s="1"/>
  <c r="G22" i="75" s="1"/>
  <c r="M22" i="97"/>
  <c r="M21" i="97"/>
  <c r="M23" i="97"/>
  <c r="G24" i="75" l="1"/>
  <c r="I17" i="75"/>
  <c r="I22" i="75" s="1"/>
  <c r="I24" i="75" s="1"/>
  <c r="I16" i="1" s="1"/>
  <c r="I20" i="1" s="1"/>
  <c r="Q24" i="76"/>
  <c r="F24" i="76" s="1"/>
  <c r="Q25" i="76"/>
  <c r="F25" i="76" s="1"/>
  <c r="F23" i="76"/>
  <c r="I42" i="97" l="1"/>
  <c r="I45" i="97" s="1"/>
  <c r="I46" i="97" s="1"/>
  <c r="D16" i="56"/>
  <c r="Q46" i="76"/>
  <c r="K16" i="1"/>
  <c r="I18" i="1"/>
  <c r="K18" i="1" l="1"/>
  <c r="I24" i="1"/>
  <c r="F16" i="56"/>
  <c r="D23" i="56"/>
  <c r="M42" i="97"/>
  <c r="M53" i="97" s="1"/>
  <c r="M55" i="97" s="1"/>
  <c r="F23" i="56" l="1"/>
  <c r="D25" i="56"/>
  <c r="I23" i="56"/>
  <c r="I28" i="1"/>
  <c r="K28" i="1" s="1"/>
  <c r="K24" i="1"/>
  <c r="M56" i="97"/>
  <c r="M57" i="97" s="1"/>
  <c r="G50" i="2"/>
  <c r="G47" i="2" l="1"/>
  <c r="G44" i="2"/>
  <c r="G43" i="2"/>
  <c r="G45" i="2"/>
  <c r="G46" i="2"/>
  <c r="F25" i="56"/>
  <c r="D28" i="56"/>
  <c r="I25" i="56"/>
  <c r="G48" i="2" l="1"/>
  <c r="G51" i="2" s="1"/>
</calcChain>
</file>

<file path=xl/sharedStrings.xml><?xml version="1.0" encoding="utf-8"?>
<sst xmlns="http://schemas.openxmlformats.org/spreadsheetml/2006/main" count="1484" uniqueCount="603">
  <si>
    <t>Line</t>
  </si>
  <si>
    <t>No.</t>
  </si>
  <si>
    <t>Description</t>
  </si>
  <si>
    <t>Reference</t>
  </si>
  <si>
    <t>Cost</t>
  </si>
  <si>
    <t>Computation of Gross Revenue Conversion Factor</t>
  </si>
  <si>
    <t>Gross Revenue Conversion Factor</t>
  </si>
  <si>
    <t>Company</t>
  </si>
  <si>
    <t>Proposed</t>
  </si>
  <si>
    <t>(A)</t>
  </si>
  <si>
    <t>(B)</t>
  </si>
  <si>
    <t>Notes and Source</t>
  </si>
  <si>
    <t>Adjusted Rate Base</t>
  </si>
  <si>
    <t>As Adjusted</t>
  </si>
  <si>
    <t>Adjustments</t>
  </si>
  <si>
    <t xml:space="preserve"> </t>
  </si>
  <si>
    <t>Schedule B</t>
  </si>
  <si>
    <t>Page 1 of 2</t>
  </si>
  <si>
    <t>B-1</t>
  </si>
  <si>
    <t>B-2</t>
  </si>
  <si>
    <t>B-3</t>
  </si>
  <si>
    <t>B-4</t>
  </si>
  <si>
    <t>B-5</t>
  </si>
  <si>
    <t>B-6</t>
  </si>
  <si>
    <t>Computation of Increase in Gross Revenue Requirement</t>
  </si>
  <si>
    <t>Adjusted Net Operating Income</t>
  </si>
  <si>
    <t>(C)</t>
  </si>
  <si>
    <t>(D)</t>
  </si>
  <si>
    <t>(E)</t>
  </si>
  <si>
    <t>(F)</t>
  </si>
  <si>
    <t>Operating Revenues</t>
  </si>
  <si>
    <t>Net Operating Income</t>
  </si>
  <si>
    <t>Schedule C</t>
  </si>
  <si>
    <t>Total</t>
  </si>
  <si>
    <t>Amount</t>
  </si>
  <si>
    <t>Percent</t>
  </si>
  <si>
    <t>Rate</t>
  </si>
  <si>
    <t>Cost of Capital</t>
  </si>
  <si>
    <t>Schedule D</t>
  </si>
  <si>
    <t>Page 1 of 1</t>
  </si>
  <si>
    <t>PRE-TAX OPERATING EXPENSES</t>
  </si>
  <si>
    <t>PRE-TAX OPERATING INCOME</t>
  </si>
  <si>
    <t>TOTAL OPERATING EXPENSES</t>
  </si>
  <si>
    <t>OPERATING INCOME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</si>
  <si>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</si>
  <si>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</si>
  <si>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</si>
  <si>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</si>
  <si>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</si>
  <si>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</si>
  <si>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</si>
  <si>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</si>
  <si>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</si>
  <si>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</si>
  <si>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Schedule A</t>
  </si>
  <si>
    <t>Schedule A-1</t>
  </si>
  <si>
    <t>Summary of Rate Base Adjustments</t>
  </si>
  <si>
    <t>Page 2 of 2</t>
  </si>
  <si>
    <t>Summary of Net Operating Income Adjustments</t>
  </si>
  <si>
    <t>Schedule B-1</t>
  </si>
  <si>
    <t>A</t>
  </si>
  <si>
    <t>B</t>
  </si>
  <si>
    <t>Expense</t>
  </si>
  <si>
    <t>Difference</t>
  </si>
  <si>
    <t>Schedule</t>
  </si>
  <si>
    <t>Pages</t>
  </si>
  <si>
    <t>Revenue Requirement Summary Schedules</t>
  </si>
  <si>
    <t>Calculation of Revenue Deficiency (Sufficiency)</t>
  </si>
  <si>
    <t>A-1</t>
  </si>
  <si>
    <t>B.1</t>
  </si>
  <si>
    <t>C</t>
  </si>
  <si>
    <t>C.1</t>
  </si>
  <si>
    <t>D</t>
  </si>
  <si>
    <t>Capital Structure and Cost Rates</t>
  </si>
  <si>
    <t>Rate Base Adjustments</t>
  </si>
  <si>
    <t>Net Operating Income Adjustments</t>
  </si>
  <si>
    <t>C-11</t>
  </si>
  <si>
    <t>C-12</t>
  </si>
  <si>
    <t>C-13</t>
  </si>
  <si>
    <t>C-14</t>
  </si>
  <si>
    <t>C-15</t>
  </si>
  <si>
    <t>C-16</t>
  </si>
  <si>
    <t>(G)</t>
  </si>
  <si>
    <t>C-</t>
  </si>
  <si>
    <t>C-26</t>
  </si>
  <si>
    <t>Adjusted rate base</t>
  </si>
  <si>
    <t>Weighted cost of debt</t>
  </si>
  <si>
    <t>Synchronized interest deduction</t>
  </si>
  <si>
    <t>Line 1 x Line 2</t>
  </si>
  <si>
    <t>Difference (decreased) increased interest deduction</t>
  </si>
  <si>
    <t>Line 3 - Line 4</t>
  </si>
  <si>
    <t>Net Income</t>
  </si>
  <si>
    <t xml:space="preserve">Total Revenue Increase </t>
  </si>
  <si>
    <t>Increase (decrease) to income tax expense</t>
  </si>
  <si>
    <t>Line No.</t>
  </si>
  <si>
    <t>Adjustment</t>
  </si>
  <si>
    <t>Schedule C-1</t>
  </si>
  <si>
    <t>Increase</t>
  </si>
  <si>
    <t>(Decrease)</t>
  </si>
  <si>
    <t>Adj.</t>
  </si>
  <si>
    <t>Summary of Staff Adjustments to Net Operating Income</t>
  </si>
  <si>
    <t>Adjusted Net Operating Income per Staff</t>
  </si>
  <si>
    <t>Revised</t>
  </si>
  <si>
    <t>Yes</t>
  </si>
  <si>
    <t>Interest Synchronization</t>
  </si>
  <si>
    <t>Revenue</t>
  </si>
  <si>
    <t>Check total</t>
  </si>
  <si>
    <t>Schedule B.1</t>
  </si>
  <si>
    <t>Revenue or</t>
  </si>
  <si>
    <t>Total of Staff's Adjustments</t>
  </si>
  <si>
    <t>Pre-Tax</t>
  </si>
  <si>
    <t>Net Operating</t>
  </si>
  <si>
    <t>Income</t>
  </si>
  <si>
    <t>Total Pages, Including Content Listing</t>
  </si>
  <si>
    <t>Customer Deposits</t>
  </si>
  <si>
    <t>Total Rate Base</t>
  </si>
  <si>
    <t>(Thousands of Dollars)</t>
  </si>
  <si>
    <t>Schedule B-2</t>
  </si>
  <si>
    <t>Schedule B-3</t>
  </si>
  <si>
    <t>Schedule C-2</t>
  </si>
  <si>
    <t>Schedule C-3</t>
  </si>
  <si>
    <t>Schedule C-4</t>
  </si>
  <si>
    <t>Schedule C-5</t>
  </si>
  <si>
    <t>Adjusted</t>
  </si>
  <si>
    <t>Schedule C-7</t>
  </si>
  <si>
    <t>B-</t>
  </si>
  <si>
    <t>Federal Income Taxes</t>
  </si>
  <si>
    <t>State Income Taxes</t>
  </si>
  <si>
    <t>Factor</t>
  </si>
  <si>
    <t>Components of Revenue Requirement Increase ($000's)</t>
  </si>
  <si>
    <t xml:space="preserve">  </t>
  </si>
  <si>
    <t>Rate Base</t>
  </si>
  <si>
    <t>Uncollectibles</t>
  </si>
  <si>
    <t>Revenue Deficiency (Sufficiency)</t>
  </si>
  <si>
    <t>Schedule C-9</t>
  </si>
  <si>
    <t>No</t>
  </si>
  <si>
    <t>Adjusted Net Operating Income per APS</t>
  </si>
  <si>
    <t>Revenue Requirement Reconciliation</t>
  </si>
  <si>
    <t>Requirement</t>
  </si>
  <si>
    <t>GRCF</t>
  </si>
  <si>
    <t>Pre-tax return computed using Gross Revenue Conversion Factor</t>
  </si>
  <si>
    <t>Gross Revenue Conversion Factor Difference:</t>
  </si>
  <si>
    <t>Per Company</t>
  </si>
  <si>
    <t>Company adjusted NOI deficiency</t>
  </si>
  <si>
    <t>GRCF difference</t>
  </si>
  <si>
    <t>Rate of return difference</t>
  </si>
  <si>
    <t>Unidentified Difference</t>
  </si>
  <si>
    <t>Conversion</t>
  </si>
  <si>
    <t>Reconciled Revenue Requirement</t>
  </si>
  <si>
    <t>Equivalent</t>
  </si>
  <si>
    <t>Notes and Source:</t>
  </si>
  <si>
    <t>Confidential</t>
  </si>
  <si>
    <t>Exhibit Page No.</t>
  </si>
  <si>
    <t>Schedule C.1</t>
  </si>
  <si>
    <t>Begin</t>
  </si>
  <si>
    <t>End</t>
  </si>
  <si>
    <t>Range</t>
  </si>
  <si>
    <t>-</t>
  </si>
  <si>
    <t>Schedule B-4</t>
  </si>
  <si>
    <t>Schedule B-5</t>
  </si>
  <si>
    <t>Total Revenue Increase per Schedule A</t>
  </si>
  <si>
    <t>Line 4:</t>
  </si>
  <si>
    <t>See note below</t>
  </si>
  <si>
    <t>Schedule C-6</t>
  </si>
  <si>
    <t>Incentive Compensation Expense</t>
  </si>
  <si>
    <t>Schedule C-10</t>
  </si>
  <si>
    <t>Schedule C-8</t>
  </si>
  <si>
    <t>OPC</t>
  </si>
  <si>
    <t>Per</t>
  </si>
  <si>
    <t xml:space="preserve">Capital </t>
  </si>
  <si>
    <t>Per OPC</t>
  </si>
  <si>
    <t>Structure Per</t>
  </si>
  <si>
    <t xml:space="preserve">Rate Base </t>
  </si>
  <si>
    <t>Weighted</t>
  </si>
  <si>
    <t>Amounts</t>
  </si>
  <si>
    <t>Ratio</t>
  </si>
  <si>
    <t>Cost Rate</t>
  </si>
  <si>
    <t>(H)</t>
  </si>
  <si>
    <t>Long Term Debt</t>
  </si>
  <si>
    <t>Short Term Debt</t>
  </si>
  <si>
    <t>Investment Tax Credits</t>
  </si>
  <si>
    <t>Common Equity</t>
  </si>
  <si>
    <t>OPC Weighted Cost of Debt for Interest Synchronization</t>
  </si>
  <si>
    <t>Col. (B)</t>
  </si>
  <si>
    <t>workpaper calcs</t>
  </si>
  <si>
    <t>(C) = (B) - (A)</t>
  </si>
  <si>
    <t>Jurisdictional Adjusted Rate Base</t>
  </si>
  <si>
    <t>Exh. RCS-2, Sch. B-1</t>
  </si>
  <si>
    <t>Required Rate of Return</t>
  </si>
  <si>
    <t>Exh. RCS-2, Sch. D</t>
  </si>
  <si>
    <t>Required NOI</t>
  </si>
  <si>
    <t>RB</t>
  </si>
  <si>
    <t>Jurisdictional Income Required</t>
  </si>
  <si>
    <t>Jurisdictional Adj. Net Operating Income</t>
  </si>
  <si>
    <t>Exh. RCS-2, Sch. C-1</t>
  </si>
  <si>
    <t>Income Deficiency (Sufficiency)</t>
  </si>
  <si>
    <t>Earned Rate of Return</t>
  </si>
  <si>
    <t>Line 4 / Line 1</t>
  </si>
  <si>
    <t>Net Operating Income Multiplier</t>
  </si>
  <si>
    <t>Line 5 x Line 7</t>
  </si>
  <si>
    <t>Source/Notes:</t>
  </si>
  <si>
    <t>OPC GRCF</t>
  </si>
  <si>
    <t xml:space="preserve">OPC ROR  </t>
  </si>
  <si>
    <t>OPC ROR x GRCF</t>
  </si>
  <si>
    <t>Effect of OPC adjustments to Rate Base</t>
  </si>
  <si>
    <t>OPC Adjusted Original Cost Rate Base</t>
  </si>
  <si>
    <t>Effect of OPC Adjustments on NOI</t>
  </si>
  <si>
    <t>Total OPC Adjustments to Pre-Tax Income and to Operating Income</t>
  </si>
  <si>
    <t>OPC Adjusted Net Operating Income</t>
  </si>
  <si>
    <t>OPC REVENUE REQUIREMENT ADJUSTMENTS IDENTIFIED ABOVE</t>
  </si>
  <si>
    <t>OPC Revenue and Expense Adjs.</t>
  </si>
  <si>
    <t>by OPC</t>
  </si>
  <si>
    <t>OPC Adjustments</t>
  </si>
  <si>
    <t>Plant in Service</t>
  </si>
  <si>
    <t>Original Cost Rate Base per FPL's Filing</t>
  </si>
  <si>
    <t>Col. (B): RCS-2, Schedule C.1</t>
  </si>
  <si>
    <t>Revenue Requirement</t>
  </si>
  <si>
    <t>Regulatory Assessment Rate</t>
  </si>
  <si>
    <t>Bad Debt Rate</t>
  </si>
  <si>
    <t>Net Before Income Taxes</t>
  </si>
  <si>
    <t>State Income Tax Rate</t>
  </si>
  <si>
    <t>Net Before Federal Income Tax</t>
  </si>
  <si>
    <t>Federal Income Tax Rate</t>
  </si>
  <si>
    <t>Revenue Expansion Factor</t>
  </si>
  <si>
    <t>L1 - L2 - L3</t>
  </si>
  <si>
    <t>L4 x L5</t>
  </si>
  <si>
    <t>Federal Income Tax</t>
  </si>
  <si>
    <t>State Income Tax</t>
  </si>
  <si>
    <t>L4 -L6</t>
  </si>
  <si>
    <t>L7 x L8</t>
  </si>
  <si>
    <t>L7 - L9</t>
  </si>
  <si>
    <t>100% / L10</t>
  </si>
  <si>
    <t>Company requested Base Rate Revenue Increase</t>
  </si>
  <si>
    <t>Revenue Requirement Calculated</t>
  </si>
  <si>
    <t>Exhibit RCS-2, Schedule A, page 1, column B, line 8</t>
  </si>
  <si>
    <t>Exhibit RCS-2, Schedule A, page 1, column A, line 8</t>
  </si>
  <si>
    <t>Revenue Requirement Schedules</t>
  </si>
  <si>
    <t>Florida Public Utilities Company Consolidated Gas</t>
  </si>
  <si>
    <t>Docket No. 20220067-GU</t>
  </si>
  <si>
    <t>Projected Test Year Ended December 31, 2023</t>
  </si>
  <si>
    <t>Common Plant Allocated</t>
  </si>
  <si>
    <t>Acquisition Adjustment</t>
  </si>
  <si>
    <t>Completed Not Classified Plant</t>
  </si>
  <si>
    <t>Contruction Work in Process</t>
  </si>
  <si>
    <t>Goodwill</t>
  </si>
  <si>
    <t>Common Construction Work in Progress</t>
  </si>
  <si>
    <t>Utility Plant</t>
  </si>
  <si>
    <t>Deductions</t>
  </si>
  <si>
    <t>Accumulated Depreciation - Utility Plant</t>
  </si>
  <si>
    <t>Accumulated Depreciation - Common Plant</t>
  </si>
  <si>
    <t>Accumulated Depreciation - Acquisition Adjustment</t>
  </si>
  <si>
    <t>Retirement Work in Progress</t>
  </si>
  <si>
    <t>Customer Adv. For Const.</t>
  </si>
  <si>
    <t>Total Deductions</t>
  </si>
  <si>
    <t>Plant Net</t>
  </si>
  <si>
    <t>Allowance for Working Capital</t>
  </si>
  <si>
    <t>Balance Sheet Method</t>
  </si>
  <si>
    <t>Common Working Capital</t>
  </si>
  <si>
    <t>Col. (A):  Company MFR Schedule G-1, page 1 of 28</t>
  </si>
  <si>
    <t>Operating Revenue Deductions</t>
  </si>
  <si>
    <t>Operating &amp; Maintenance Expense</t>
  </si>
  <si>
    <t>Depreciation Expense</t>
  </si>
  <si>
    <t>Amortization Expense</t>
  </si>
  <si>
    <t>Taxes Other Than Income</t>
  </si>
  <si>
    <t>Total Operating Revenue Deductions</t>
  </si>
  <si>
    <t>by FPUC</t>
  </si>
  <si>
    <t>Per FPUC</t>
  </si>
  <si>
    <t>Depreciation &amp; Amortization Expense</t>
  </si>
  <si>
    <t>Income Taxes - Federal</t>
  </si>
  <si>
    <t>Income Taxes - State</t>
  </si>
  <si>
    <t>Deferred Taxes - Federal</t>
  </si>
  <si>
    <t>Deferred Taxes - State</t>
  </si>
  <si>
    <t xml:space="preserve">Col.(A):  Per Company amounts are from FPUC MFR Schedule G-2, page 1 of 31 </t>
  </si>
  <si>
    <t>Total Income Taxes</t>
  </si>
  <si>
    <t>Federal Income Tax Rate*</t>
  </si>
  <si>
    <t>Deferred Taxes</t>
  </si>
  <si>
    <t>Deferred Tax Common</t>
  </si>
  <si>
    <t>Regulatory Tax Liab.</t>
  </si>
  <si>
    <t>Regulatory Tax Liab. Common</t>
  </si>
  <si>
    <t>The per Company amounts are from MFR Schedule G-3, page 2 of 11</t>
  </si>
  <si>
    <t>FPUC Weighted Cost of Debt for Interest Synchronization</t>
  </si>
  <si>
    <t>Col. H, lines 2, 3 and 4</t>
  </si>
  <si>
    <t>Col. H, lines 11, 12 and 13</t>
  </si>
  <si>
    <t>Gross Receipts Tax Rate</t>
  </si>
  <si>
    <t>Exh. RCS-2, Sch. A-1</t>
  </si>
  <si>
    <t>GRIP Surcharge Revenue Embedded in Base Rates</t>
  </si>
  <si>
    <t>Total Revenue Requirement</t>
  </si>
  <si>
    <t>Total OPC Original Cost Rate Base Adjustments</t>
  </si>
  <si>
    <t>Net Operating Income per FPUC's Filing</t>
  </si>
  <si>
    <t>FPUC Adjusted Rate Base</t>
  </si>
  <si>
    <t>FPUC Weighted Cost of Debt</t>
  </si>
  <si>
    <t>Synchronized interest deduction per FPUC</t>
  </si>
  <si>
    <t>Synchronized interest deduction per FPUC's filing</t>
  </si>
  <si>
    <t>Federal Income Tax Expense</t>
  </si>
  <si>
    <t>Line 5 x Line 6</t>
  </si>
  <si>
    <t>Summary of Adjustments to Rate Base</t>
  </si>
  <si>
    <t>Stock-Based Compensation Expense</t>
  </si>
  <si>
    <t>Payroll Tax Expense</t>
  </si>
  <si>
    <t>Supplemental Executive Retirement Program (SERP) Expense</t>
  </si>
  <si>
    <t>Restricted Stock Units - FERC Account 870</t>
  </si>
  <si>
    <t>Restricted Stock Units - FERC Account 871</t>
  </si>
  <si>
    <t>Restricted Stock Units - FERC Account 885</t>
  </si>
  <si>
    <t>Restricted Stock Units - FERC Account 901</t>
  </si>
  <si>
    <t>Restricted Stock Units - FERC Account 920</t>
  </si>
  <si>
    <t>Restricted Stock Units - FERC Account 930</t>
  </si>
  <si>
    <t xml:space="preserve">Total Stock-Based Compensation </t>
  </si>
  <si>
    <t>OPC Adjustment to Incentive Compensation Expense</t>
  </si>
  <si>
    <t>Projected 2023 Incentive Compensation Expense Per FPUC</t>
  </si>
  <si>
    <t>Disallowance Percentage*</t>
  </si>
  <si>
    <t>A: Amount from the response to OPC ROG 42 and calculated below:</t>
  </si>
  <si>
    <t xml:space="preserve">* The 50% disallowance percentage was derived by combining the Earnings Per Share (25%) and Consolidated ROE (25%) </t>
  </si>
  <si>
    <t>OPC Adjustment to Miscellaneous Intangible Plant</t>
  </si>
  <si>
    <t>A: Amount from the response to OPC ROG 119</t>
  </si>
  <si>
    <t>OPC Adjustment to Remove SERP Expense</t>
  </si>
  <si>
    <t>A: Amount from the response to OPC ROG 46</t>
  </si>
  <si>
    <t>Combined State and Federal Income Tax Rate</t>
  </si>
  <si>
    <t>OPC Adjustment to Directors and Officers Liability Insurance</t>
  </si>
  <si>
    <t>Col. B:  Disallowance Calculation:</t>
  </si>
  <si>
    <t>Directors and Officers Liability Insurance - Per OPC</t>
  </si>
  <si>
    <t>Directors and Officers Liability Insurance - Per FPUC</t>
  </si>
  <si>
    <t>Disallowance Percentage</t>
  </si>
  <si>
    <t>Col. A: Amount from FPUC's response to OPC ROG 61</t>
  </si>
  <si>
    <t>Rent Expense</t>
  </si>
  <si>
    <t>Directors and Officers Liability Insurance Expense</t>
  </si>
  <si>
    <t>Directors and Officers Liability Insurance Expense in Working Capital</t>
  </si>
  <si>
    <t>Directors and Officers Liability Insurance in Working Capital - Per FPUC</t>
  </si>
  <si>
    <t>Directors and Officers Liability Insurance in Working Capital - Per OPC</t>
  </si>
  <si>
    <t>^ Ratio of Equity and Debt Components</t>
  </si>
  <si>
    <t>Equity/LTD</t>
  </si>
  <si>
    <t>Ratio Per FPUC</t>
  </si>
  <si>
    <t>Ratio Per OPC</t>
  </si>
  <si>
    <t>OPC Adjustment</t>
  </si>
  <si>
    <t>to Capital Structure</t>
  </si>
  <si>
    <t>Column (D): OPC rate base adjustments are from Schedule B</t>
  </si>
  <si>
    <t>OPC RB Adjs</t>
  </si>
  <si>
    <t>Column (C):  Capitalization Ratio per OPC sponsored by OPC Witness David Garrett</t>
  </si>
  <si>
    <t>Cap. Structure</t>
  </si>
  <si>
    <t>Adjustments to</t>
  </si>
  <si>
    <t>(a)</t>
  </si>
  <si>
    <t>(b)</t>
  </si>
  <si>
    <t>(c )</t>
  </si>
  <si>
    <t>Column (G):  Lines 11 - 17 based on per-FPUC Cost rates.  Return on Equity on line 10 sponsored by OPC witness David Garrett</t>
  </si>
  <si>
    <t>Percentage</t>
  </si>
  <si>
    <t>(d) = (c - b)</t>
  </si>
  <si>
    <t>(e) = (a x d)</t>
  </si>
  <si>
    <t>OPC Adjustment to Depreciation Expense</t>
  </si>
  <si>
    <t xml:space="preserve">OPC Adjustment to Accumulated Depreciation </t>
  </si>
  <si>
    <t>OPC Adjustment to Rent Expense</t>
  </si>
  <si>
    <t>A: Amount from OPC ROG 113</t>
  </si>
  <si>
    <t>OPC Adjustment to Remove Lobbying Costs</t>
  </si>
  <si>
    <t xml:space="preserve">American Gas Foundation </t>
  </si>
  <si>
    <t>Associated Gas Distributors of Florida</t>
  </si>
  <si>
    <t xml:space="preserve">American Gas Association </t>
  </si>
  <si>
    <t>Lobbying Costs</t>
  </si>
  <si>
    <t>Schedule C-11</t>
  </si>
  <si>
    <t>OPC Adjustment to Remove Costs for Company Sponsored Events</t>
  </si>
  <si>
    <t>A: Amount from FPUC's response to OPC ROG 101</t>
  </si>
  <si>
    <t>Company Sponsored Events</t>
  </si>
  <si>
    <t>Combined Effective Tax Rate*</t>
  </si>
  <si>
    <t>*Per MFR Schedule G-6, page 4 of 4</t>
  </si>
  <si>
    <t>Federal Taxable Income</t>
  </si>
  <si>
    <t>Decrease to State Income Tax Expense</t>
  </si>
  <si>
    <t>L5 + L7</t>
  </si>
  <si>
    <t>L8 x L9</t>
  </si>
  <si>
    <t>Line 7 + Line 10</t>
  </si>
  <si>
    <t xml:space="preserve">Unamortized Rate Case Expense </t>
  </si>
  <si>
    <t>OPC Adjustment to Remove Stock-Based Compensation Expense</t>
  </si>
  <si>
    <t>Adjustment to FICA Social Security</t>
  </si>
  <si>
    <t>FICA Medicare Rate</t>
  </si>
  <si>
    <t>Adjustment to FICA Medicare</t>
  </si>
  <si>
    <t>Total Adjustment to Payroll Tax Expense</t>
  </si>
  <si>
    <t>FICA Social Security Rate</t>
  </si>
  <si>
    <t>Adjustment to Incentive and Stock-Based Compensation Expense</t>
  </si>
  <si>
    <t>L6 + L9</t>
  </si>
  <si>
    <t>Miscellaneous Intangible Plant</t>
  </si>
  <si>
    <t>Schedule C-12</t>
  </si>
  <si>
    <t xml:space="preserve">Parent Company Debt Adjustment </t>
  </si>
  <si>
    <t>Sch. B</t>
  </si>
  <si>
    <t>Common Equity Ratio</t>
  </si>
  <si>
    <t>Sch. D</t>
  </si>
  <si>
    <t>Rate Base Financed by Common Equity</t>
  </si>
  <si>
    <t>L1 x L2</t>
  </si>
  <si>
    <t>Parent Company Debt Ratio</t>
  </si>
  <si>
    <t>[1]</t>
  </si>
  <si>
    <t>Rate Base for Parent Company Debt Interest</t>
  </si>
  <si>
    <t>L3 x L4</t>
  </si>
  <si>
    <t>Parent Company Cost of Debt</t>
  </si>
  <si>
    <t>Interest Deduction</t>
  </si>
  <si>
    <t>L5 x L6</t>
  </si>
  <si>
    <t>Federal Income Tax Expense Decrease</t>
  </si>
  <si>
    <t xml:space="preserve">[1] This information was provided by OPC witness David Garrett and is based on Value Line </t>
  </si>
  <si>
    <t>FPUC</t>
  </si>
  <si>
    <t xml:space="preserve">Line </t>
  </si>
  <si>
    <t>Account</t>
  </si>
  <si>
    <t>Number</t>
  </si>
  <si>
    <t>Beg.  Balance</t>
  </si>
  <si>
    <t>13 Month</t>
  </si>
  <si>
    <t>Average</t>
  </si>
  <si>
    <t>301</t>
  </si>
  <si>
    <t>ORGANIZATION</t>
  </si>
  <si>
    <t>302</t>
  </si>
  <si>
    <t>FRANCHISES &amp; CONSENTS</t>
  </si>
  <si>
    <t>303</t>
  </si>
  <si>
    <t>MISC INTAGIBLE PLANT</t>
  </si>
  <si>
    <t>305</t>
  </si>
  <si>
    <t>STRUCTURES &amp; IMPROVEMENTS</t>
  </si>
  <si>
    <t>374</t>
  </si>
  <si>
    <t>LAND &amp; LAND RIGHTS</t>
  </si>
  <si>
    <t>375</t>
  </si>
  <si>
    <t>MAINS - PLASTICS</t>
  </si>
  <si>
    <t>MAINS - STEEL</t>
  </si>
  <si>
    <t>376G</t>
  </si>
  <si>
    <t>MAINS - GRIP</t>
  </si>
  <si>
    <t>378</t>
  </si>
  <si>
    <t>MEAS &amp; REG STATION EQUIP-GEN</t>
  </si>
  <si>
    <t>379</t>
  </si>
  <si>
    <t>MEAS &amp; REG STATION EQUIP-GATE</t>
  </si>
  <si>
    <t>SERVICES - PLASTIC</t>
  </si>
  <si>
    <t>SERVICES - OTHER</t>
  </si>
  <si>
    <t>380G</t>
  </si>
  <si>
    <t>SERVICES - GRIP</t>
  </si>
  <si>
    <t>381</t>
  </si>
  <si>
    <t>METERS</t>
  </si>
  <si>
    <t>METERS - AMR EQUIPMENT</t>
  </si>
  <si>
    <t>382</t>
  </si>
  <si>
    <t>METER &amp; REGULATOR INST.</t>
  </si>
  <si>
    <t>METER INSTALLATIONS - MTU/DCU</t>
  </si>
  <si>
    <t>383</t>
  </si>
  <si>
    <t>HOUSE REGULATORS</t>
  </si>
  <si>
    <t>384</t>
  </si>
  <si>
    <t>HOUSE REG-INST</t>
  </si>
  <si>
    <t>385</t>
  </si>
  <si>
    <t>IND MEAS &amp; REG STAT EQUIP</t>
  </si>
  <si>
    <t>387</t>
  </si>
  <si>
    <t>OTHER EQUIPMENT</t>
  </si>
  <si>
    <t>389</t>
  </si>
  <si>
    <t>390</t>
  </si>
  <si>
    <t>3910</t>
  </si>
  <si>
    <t>OFFICE FURN &amp; EQUIPMENT</t>
  </si>
  <si>
    <t>3911</t>
  </si>
  <si>
    <t>COMPUTER AND PERIPHERY</t>
  </si>
  <si>
    <t>3912</t>
  </si>
  <si>
    <t>COMPUTER HARDWARE</t>
  </si>
  <si>
    <t>FURNITURE AND FIXTURES</t>
  </si>
  <si>
    <t>SYSTEM SOFTWARE</t>
  </si>
  <si>
    <t>TRANSPORTATION EQUIPMENT</t>
  </si>
  <si>
    <t>AUTOS &amp; TRUCKS (UP TO 1/2 TON)</t>
  </si>
  <si>
    <t>AUTOS &amp; TRUCKS</t>
  </si>
  <si>
    <t>TRANSPORTATION - OTHER</t>
  </si>
  <si>
    <t>393</t>
  </si>
  <si>
    <t>STORES EQUIP</t>
  </si>
  <si>
    <t>394</t>
  </si>
  <si>
    <t>TOOLS, SHOP, GARAGE EQUIP</t>
  </si>
  <si>
    <t>396</t>
  </si>
  <si>
    <t>POWER OPERATED EQUIPMENT</t>
  </si>
  <si>
    <t>397</t>
  </si>
  <si>
    <t>COMMUNICATION EQUIPMENT</t>
  </si>
  <si>
    <t>398</t>
  </si>
  <si>
    <t>MISC EQUIP</t>
  </si>
  <si>
    <t>Total Plant in Service</t>
  </si>
  <si>
    <t>(I)</t>
  </si>
  <si>
    <t>(J)</t>
  </si>
  <si>
    <t>(K)</t>
  </si>
  <si>
    <t>(L)</t>
  </si>
  <si>
    <t>(M)</t>
  </si>
  <si>
    <t>(N)</t>
  </si>
  <si>
    <t>Depreciation</t>
  </si>
  <si>
    <t xml:space="preserve">Rates </t>
  </si>
  <si>
    <t>Total Depreciation Expense</t>
  </si>
  <si>
    <t>Total Depreciation &amp; Amortization Expense</t>
  </si>
  <si>
    <t>Remove Portion of Vehicle Depreciation Capitalized</t>
  </si>
  <si>
    <t>Total Expensed Depreciation &amp; Amortization Expense</t>
  </si>
  <si>
    <t>Common</t>
  </si>
  <si>
    <t xml:space="preserve">Depreciation </t>
  </si>
  <si>
    <t>Page 1 of 5</t>
  </si>
  <si>
    <t>Page 2 of 5</t>
  </si>
  <si>
    <t>Page 3 of 5</t>
  </si>
  <si>
    <t>Page 4 of 5</t>
  </si>
  <si>
    <t>Page 5 of 5</t>
  </si>
  <si>
    <t>Expensed Depreciation and Amortization Expense</t>
  </si>
  <si>
    <t>Total Depreciation and Amortization Expense Including Common</t>
  </si>
  <si>
    <t>Total Depreciation and Amortization Expense</t>
  </si>
  <si>
    <t>Less FPUC Adjustments:</t>
  </si>
  <si>
    <t>Non-Utility Depreciation Expense</t>
  </si>
  <si>
    <t>Area Extension Program Amortization</t>
  </si>
  <si>
    <t xml:space="preserve">Flex Related Depreciation </t>
  </si>
  <si>
    <t xml:space="preserve">Special Contract Depreciation </t>
  </si>
  <si>
    <t>Environmental Amortization Included in the Rider</t>
  </si>
  <si>
    <t>Total FPUC Adjustments to Depreciation Expense</t>
  </si>
  <si>
    <t>Projected Test Year Depreciation Expense</t>
  </si>
  <si>
    <t>The amounts above are from Schedule G-2 Consolidated (page 23 of 31) from FPUC's filing</t>
  </si>
  <si>
    <t>The amounts above are from Schedule G-1 Consolidated (page 10 of 28) from FPUC's filing</t>
  </si>
  <si>
    <t>L7 + L14</t>
  </si>
  <si>
    <t>Col. A, lines 1-7 from Schedule G-2 Consolidated (page 23 of 31) from FPUC's filing</t>
  </si>
  <si>
    <t>Col. A, lines 9-14 from Schedule G-2 Consolidated (page 2 of 31) from FPUC's filing</t>
  </si>
  <si>
    <t>Col. B, line 1 sponsored by OPC witness David Garrett (see page 3)</t>
  </si>
  <si>
    <t>The amounts above reflect the differences between the amounts shown on pages 3 and 4</t>
  </si>
  <si>
    <t>Total Expensed Depreciation Expense Including Common per FPUC</t>
  </si>
  <si>
    <t>Total Expensed Depreciation Expense Including Common Per OPC</t>
  </si>
  <si>
    <t>Adjustment to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</si>
  <si>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</si>
  <si>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</si>
  <si>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</si>
  <si>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</si>
  <si>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</si>
  <si>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</si>
  <si>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</si>
  <si>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</si>
  <si>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</si>
  <si>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</si>
  <si>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</si>
  <si>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</si>
  <si>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Cumulative</t>
  </si>
  <si>
    <t>Divide by 13 Months</t>
  </si>
  <si>
    <t>A: See Schedule C-1, page 5 and the calculation below:</t>
  </si>
  <si>
    <t>Schedule B-6</t>
  </si>
  <si>
    <t>Accumulated Depreciation - Area Expansion Program</t>
  </si>
  <si>
    <t>OPC Adjustment to Accumulated Depreciation Related to the Area Expansion Program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</si>
  <si>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</si>
  <si>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</si>
  <si>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</si>
  <si>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</si>
  <si>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</si>
  <si>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</si>
  <si>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</si>
  <si>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</si>
  <si>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</si>
  <si>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</si>
  <si>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</si>
  <si>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</si>
  <si>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December 2021</t>
  </si>
  <si>
    <t xml:space="preserve">Monthly </t>
  </si>
  <si>
    <t>Amortization</t>
  </si>
  <si>
    <t>December 2022 through December 2023 Total</t>
  </si>
  <si>
    <t>13-Month Average Accumulated Amortization Related to the Merger of FPUC with Chesapeake Utilities Corporation</t>
  </si>
  <si>
    <t>A: Amount from Schedule B-6 Consolidated, Page 3 of 3 from FPUC's filing</t>
  </si>
  <si>
    <t>Acquisition Adjustment Related to the Merger of FPUC with Chesapeake Utilities Corporation</t>
  </si>
  <si>
    <t>Amortization Period - Years</t>
  </si>
  <si>
    <t xml:space="preserve">Annual Amortization </t>
  </si>
  <si>
    <t>Monthly Amortization Amount</t>
  </si>
  <si>
    <t xml:space="preserve">Net Adjustment to Rate Base </t>
  </si>
  <si>
    <t>Amortization Period - Months</t>
  </si>
  <si>
    <t>Adjustment to Accumulated Amortization Related to the Merger of FPUC with Chesapeake Utilities Corporation</t>
  </si>
  <si>
    <t>Adjustment to Remove Acquisition Adjustment Related to the Merger of FPUC with Chesapeake Utilities Corporation</t>
  </si>
  <si>
    <t>B: Accumulated Amortization amount calculated below using information from Schedule B-6 Consolidated, page 3 of 3</t>
  </si>
  <si>
    <t>Accumulated Depreciation - New Depreciation Rates</t>
  </si>
  <si>
    <t>Depreciation Expense - New Depreciation Rates</t>
  </si>
  <si>
    <t>A: Amount from the response to Staff ROG 7(b)</t>
  </si>
  <si>
    <t>A: Amount from the responses to OPC ROG 54 and OPC ROG 138 and calculated below:</t>
  </si>
  <si>
    <t>OPC ROG 54</t>
  </si>
  <si>
    <t>OPC ROG 138</t>
  </si>
  <si>
    <t>Projected 2023 Invoice #2</t>
  </si>
  <si>
    <t>Projected 2023 Invoice #1</t>
  </si>
  <si>
    <t>OPC Adjustment to Remove Unamortized Rate Case Expense from Rate Base</t>
  </si>
  <si>
    <t>A: Amount calculated below using information from the response to OPC ROG 139:</t>
  </si>
  <si>
    <t>One-half of total projected rate case expense of $3,743,911 from original filing</t>
  </si>
  <si>
    <t>One-half of total corrected rate case expense of $3,427,574 from MFR Sch. C-13</t>
  </si>
  <si>
    <t>OPC ROG 139</t>
  </si>
  <si>
    <t>L3 - L2</t>
  </si>
  <si>
    <t>Total amount of rate case expense to be removed from working capital</t>
  </si>
  <si>
    <t>Capital Structure</t>
  </si>
  <si>
    <t>Specific</t>
  </si>
  <si>
    <t>Pro Rata to</t>
  </si>
  <si>
    <t>Consolidated Tax Rate</t>
  </si>
  <si>
    <t>[1] Amounts from MFR Schedule C-26</t>
  </si>
  <si>
    <t>Amortizaton Expense Related to FPUC Merger Acquisition Adjustment</t>
  </si>
  <si>
    <t xml:space="preserve">Description </t>
  </si>
  <si>
    <t>Remove Amortization Expense Related to FPUC Merger Acquisition Adustment</t>
  </si>
  <si>
    <t>A: Amount from Schedule G-2 FPUC, page 24 of 31 from FPUC's filing</t>
  </si>
  <si>
    <t>Depreciation and Amortization  Expense</t>
  </si>
  <si>
    <t>L4 + L5</t>
  </si>
  <si>
    <t>MFR Sch. G-1, page 5</t>
  </si>
  <si>
    <t>FPUC Merger Acquisition Adjustment</t>
  </si>
  <si>
    <t>Col. (A):  MFR Schedule G-5 Consolidated</t>
  </si>
  <si>
    <t>Col. (A): FPUC Schedule G-4 Consolidated</t>
  </si>
  <si>
    <t xml:space="preserve">Difference representing the Company's correction </t>
  </si>
  <si>
    <t>Depreciation Expense - New Depreciation Rates - Plant in Service</t>
  </si>
  <si>
    <t>Depreciation Expense - Company Proposed Depreciation Rates</t>
  </si>
  <si>
    <t>Depreciation Expense - New Depreciation Rates Proposed by OPC</t>
  </si>
  <si>
    <t>The Depreciation Rates in Column A above are sponsored by OPC witness David Garrett</t>
  </si>
  <si>
    <t>Depreciation Expense - New Depreciation Rates - Differences Between Company and OPC Calculated Depreciation Expense</t>
  </si>
  <si>
    <t xml:space="preserve">categories from the Chesapeake Utilities Corporation 2021 Incentive Performance Plan that provided in response to OPC ROG 38. </t>
  </si>
  <si>
    <t>A: Amounts from the response to OPC ROG 120</t>
  </si>
  <si>
    <t>B: Stock-Based Compensation paid to the Board of Directors per the response to OPC ROG 43</t>
  </si>
  <si>
    <t>Note A</t>
  </si>
  <si>
    <t>OPC Adjustments to Incentive and Stock-Based Compensation Expense</t>
  </si>
  <si>
    <t>Parent Company Debt Interest Deduction</t>
  </si>
  <si>
    <t>Calculated Reduction to Federal Income Tax Expense</t>
  </si>
  <si>
    <t>[2]</t>
  </si>
  <si>
    <t>[2]: MFR Schedule G-2 Consolidated, page 29 of 31</t>
  </si>
  <si>
    <t>CFG</t>
  </si>
  <si>
    <t>Indiantown</t>
  </si>
  <si>
    <t>Meade</t>
  </si>
  <si>
    <t>Parent Company Weighted Cost of Debt</t>
  </si>
  <si>
    <t>Adjustment to 2023 Test Year Income Tax Expense Reflected in Company's Filing for Parent Company Debt Adjustment</t>
  </si>
  <si>
    <t>A: The 6.20% represents the Social Security portion (OASDI)  and the 1.45% represents the Medicare portion of payroll tax rates</t>
  </si>
  <si>
    <t>The amounts below were calculated on MFR Schedule C-26</t>
  </si>
  <si>
    <t>Col. (B):</t>
  </si>
  <si>
    <t>See Schedule B.1</t>
  </si>
  <si>
    <t>Accompanying the Supplemental Testimony of Ralph C. Smith</t>
  </si>
  <si>
    <t>Revised/</t>
  </si>
  <si>
    <t>New</t>
  </si>
  <si>
    <t>Exhibit RCS-2R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</si>
</sst>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0000"/>
    <numFmt numFmtId="166" formatCode="0.0000"/>
    <numFmt numFmtId="167" formatCode="0.000%"/>
    <numFmt numFmtId="168" formatCode="0.00000%"/>
    <numFmt numFmtId="169" formatCode="_(* #,##0.0000_);_(* \(#,##0.0000\);_(* &quot;-&quot;??_);_(@_)"/>
    <numFmt numFmtId="170" formatCode="_(* #,##0.000000000000_);_(* \(#,##0.000000000000\);_(* &quot;-&quot;??_);_(@_)"/>
    <numFmt numFmtId="171" formatCode="0.00000"/>
    <numFmt numFmtId="172" formatCode="_(* #,##0.000_);_(* \(#,##0.000\);_(* &quot;-&quot;??_);_(@_)"/>
    <numFmt numFmtId="173" formatCode="0.000000%"/>
    <numFmt numFmtId="174" formatCode="0.000000000000%"/>
    <numFmt numFmtId="175" formatCode="_(* #,##0.00000_);_(* \(#,##0.00000\);_(* &quot;-&quot;??_);_(@_)"/>
    <numFmt numFmtId="176" formatCode="0.0000%"/>
    <numFmt numFmtId="177" formatCode="[$-409]mmm\-yy;@"/>
  </numFmts>
  <fonts count="14">
    <font>
      <sz val="10"/>
      <name val="Arial"/>
    </font>
    <font>
      <sz val="10"/>
      <color theme="1"/>
      <name val="Times New Roman"/>
      <family val="2"/>
    </font>
    <font>
      <sz val="10"/>
      <name val="Arial"/>
      <family val="2"/>
    </font>
    <font>
      <sz val="7"/>
      <name val="Small Fonts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 Unicode MS"/>
      <family val="2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</cellStyleXfs>
  <cellXfs count="20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5" fillId="0" borderId="0" xfId="0" applyNumberFormat="1" applyFont="1"/>
    <xf numFmtId="44" fontId="5" fillId="0" borderId="0" xfId="2" applyFont="1"/>
    <xf numFmtId="164" fontId="5" fillId="0" borderId="0" xfId="2" applyNumberFormat="1" applyFont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6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5"/>
    </xf>
    <xf numFmtId="0" fontId="5" fillId="0" borderId="0" xfId="0" applyFont="1" applyAlignment="1">
      <alignment horizontal="left" indent="14"/>
    </xf>
    <xf numFmtId="0" fontId="5" fillId="0" borderId="0" xfId="0" applyFont="1" applyAlignment="1">
      <alignment horizontal="left" indent="13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64" fontId="5" fillId="0" borderId="5" xfId="2" applyNumberFormat="1" applyFont="1" applyBorder="1"/>
    <xf numFmtId="164" fontId="5" fillId="0" borderId="0" xfId="2" applyNumberFormat="1" applyFont="1" applyBorder="1"/>
    <xf numFmtId="164" fontId="5" fillId="0" borderId="4" xfId="2" applyNumberFormat="1" applyFont="1" applyBorder="1"/>
    <xf numFmtId="164" fontId="5" fillId="0" borderId="6" xfId="2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indent="5"/>
    </xf>
    <xf numFmtId="164" fontId="5" fillId="0" borderId="7" xfId="2" applyNumberFormat="1" applyFont="1" applyBorder="1"/>
    <xf numFmtId="164" fontId="5" fillId="0" borderId="0" xfId="2" applyNumberFormat="1" applyFont="1" applyAlignment="1">
      <alignment horizontal="center"/>
    </xf>
    <xf numFmtId="10" fontId="5" fillId="0" borderId="0" xfId="4" applyNumberFormat="1" applyFont="1"/>
    <xf numFmtId="10" fontId="5" fillId="0" borderId="4" xfId="0" applyNumberFormat="1" applyFont="1" applyBorder="1"/>
    <xf numFmtId="167" fontId="5" fillId="0" borderId="0" xfId="4" applyNumberFormat="1" applyFont="1"/>
    <xf numFmtId="10" fontId="5" fillId="0" borderId="0" xfId="0" applyNumberFormat="1" applyFont="1"/>
    <xf numFmtId="0" fontId="5" fillId="0" borderId="4" xfId="0" applyFont="1" applyBorder="1" applyAlignment="1">
      <alignment horizontal="left"/>
    </xf>
    <xf numFmtId="10" fontId="5" fillId="0" borderId="4" xfId="4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indent="10"/>
    </xf>
    <xf numFmtId="0" fontId="5" fillId="0" borderId="0" xfId="0" applyFont="1" applyAlignment="1">
      <alignment horizontal="left" indent="4"/>
    </xf>
    <xf numFmtId="0" fontId="5" fillId="0" borderId="0" xfId="0" applyFont="1" applyAlignment="1">
      <alignment horizontal="left" indent="3"/>
    </xf>
    <xf numFmtId="0" fontId="5" fillId="0" borderId="6" xfId="0" applyFont="1" applyBorder="1" applyAlignment="1">
      <alignment horizontal="center"/>
    </xf>
    <xf numFmtId="10" fontId="5" fillId="0" borderId="5" xfId="0" applyNumberFormat="1" applyFont="1" applyBorder="1"/>
    <xf numFmtId="9" fontId="5" fillId="0" borderId="0" xfId="0" applyNumberFormat="1" applyFont="1"/>
    <xf numFmtId="10" fontId="5" fillId="0" borderId="7" xfId="4" applyNumberFormat="1" applyFont="1" applyBorder="1"/>
    <xf numFmtId="0" fontId="5" fillId="0" borderId="0" xfId="0" applyFont="1" applyAlignment="1">
      <alignment horizontal="left" indent="12"/>
    </xf>
    <xf numFmtId="0" fontId="5" fillId="0" borderId="0" xfId="0" applyFont="1" applyAlignment="1">
      <alignment horizontal="left" indent="11"/>
    </xf>
    <xf numFmtId="0" fontId="5" fillId="0" borderId="4" xfId="0" applyFont="1" applyBorder="1" applyAlignment="1">
      <alignment horizontal="center" wrapText="1"/>
    </xf>
    <xf numFmtId="0" fontId="5" fillId="0" borderId="0" xfId="3" applyFont="1" applyAlignment="1">
      <alignment vertical="center"/>
    </xf>
    <xf numFmtId="0" fontId="5" fillId="0" borderId="0" xfId="0" applyFont="1" applyAlignment="1">
      <alignment horizontal="left"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indent="7"/>
    </xf>
    <xf numFmtId="0" fontId="5" fillId="0" borderId="0" xfId="3" applyFont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38" fontId="5" fillId="0" borderId="0" xfId="3" applyNumberFormat="1" applyFont="1" applyAlignment="1">
      <alignment vertical="center"/>
    </xf>
    <xf numFmtId="0" fontId="5" fillId="0" borderId="0" xfId="3" quotePrefix="1" applyFont="1" applyAlignment="1">
      <alignment horizontal="left" vertical="center"/>
    </xf>
    <xf numFmtId="165" fontId="5" fillId="0" borderId="0" xfId="0" applyNumberFormat="1" applyFont="1"/>
    <xf numFmtId="170" fontId="5" fillId="0" borderId="0" xfId="1" applyNumberFormat="1" applyFont="1"/>
    <xf numFmtId="166" fontId="5" fillId="0" borderId="0" xfId="0" applyNumberFormat="1" applyFont="1"/>
    <xf numFmtId="164" fontId="5" fillId="0" borderId="3" xfId="0" applyNumberFormat="1" applyFont="1" applyBorder="1"/>
    <xf numFmtId="164" fontId="5" fillId="0" borderId="3" xfId="2" applyNumberFormat="1" applyFont="1" applyBorder="1"/>
    <xf numFmtId="0" fontId="4" fillId="0" borderId="2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4" fillId="0" borderId="9" xfId="0" applyFont="1" applyBorder="1"/>
    <xf numFmtId="164" fontId="5" fillId="0" borderId="0" xfId="2" applyNumberFormat="1" applyFont="1" applyBorder="1" applyAlignment="1">
      <alignment horizontal="center"/>
    </xf>
    <xf numFmtId="10" fontId="5" fillId="0" borderId="0" xfId="4" applyNumberFormat="1" applyFont="1" applyAlignment="1">
      <alignment horizontal="center"/>
    </xf>
    <xf numFmtId="10" fontId="5" fillId="0" borderId="0" xfId="4" applyNumberFormat="1" applyFont="1" applyBorder="1"/>
    <xf numFmtId="169" fontId="5" fillId="0" borderId="0" xfId="1" applyNumberFormat="1" applyFont="1" applyBorder="1"/>
    <xf numFmtId="164" fontId="5" fillId="0" borderId="4" xfId="2" applyNumberFormat="1" applyFont="1" applyBorder="1" applyAlignment="1">
      <alignment horizontal="center"/>
    </xf>
    <xf numFmtId="164" fontId="5" fillId="0" borderId="0" xfId="2" applyNumberFormat="1" applyFont="1" applyFill="1"/>
    <xf numFmtId="0" fontId="5" fillId="0" borderId="4" xfId="3" applyFont="1" applyBorder="1" applyAlignment="1">
      <alignment horizontal="left" vertical="center"/>
    </xf>
    <xf numFmtId="167" fontId="5" fillId="0" borderId="0" xfId="4" applyNumberFormat="1" applyFont="1" applyBorder="1"/>
    <xf numFmtId="167" fontId="5" fillId="0" borderId="0" xfId="0" applyNumberFormat="1" applyFont="1"/>
    <xf numFmtId="168" fontId="5" fillId="0" borderId="0" xfId="4" applyNumberFormat="1" applyFont="1" applyBorder="1"/>
    <xf numFmtId="171" fontId="5" fillId="0" borderId="0" xfId="0" applyNumberFormat="1" applyFont="1" applyAlignment="1">
      <alignment horizontal="center"/>
    </xf>
    <xf numFmtId="172" fontId="5" fillId="0" borderId="0" xfId="1" applyNumberFormat="1" applyFont="1" applyBorder="1"/>
    <xf numFmtId="164" fontId="5" fillId="0" borderId="0" xfId="0" applyNumberFormat="1" applyFont="1" applyAlignment="1">
      <alignment horizontal="center"/>
    </xf>
    <xf numFmtId="171" fontId="5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173" fontId="5" fillId="0" borderId="0" xfId="4" applyNumberFormat="1" applyFont="1" applyBorder="1" applyAlignment="1">
      <alignment horizontal="center"/>
    </xf>
    <xf numFmtId="42" fontId="5" fillId="0" borderId="0" xfId="0" applyNumberFormat="1" applyFont="1"/>
    <xf numFmtId="0" fontId="5" fillId="0" borderId="8" xfId="0" applyFont="1" applyBorder="1" applyAlignment="1">
      <alignment horizontal="center"/>
    </xf>
    <xf numFmtId="41" fontId="5" fillId="0" borderId="0" xfId="0" applyNumberFormat="1" applyFont="1"/>
    <xf numFmtId="41" fontId="5" fillId="0" borderId="0" xfId="2" applyNumberFormat="1" applyFont="1"/>
    <xf numFmtId="164" fontId="5" fillId="0" borderId="0" xfId="2" applyNumberFormat="1" applyFont="1" applyFill="1" applyAlignment="1">
      <alignment horizontal="center"/>
    </xf>
    <xf numFmtId="164" fontId="5" fillId="0" borderId="7" xfId="2" applyNumberFormat="1" applyFont="1" applyFill="1" applyBorder="1"/>
    <xf numFmtId="0" fontId="5" fillId="0" borderId="0" xfId="0" applyFont="1" applyAlignment="1">
      <alignment horizontal="center" wrapText="1"/>
    </xf>
    <xf numFmtId="164" fontId="5" fillId="0" borderId="5" xfId="2" applyNumberFormat="1" applyFont="1" applyFill="1" applyBorder="1"/>
    <xf numFmtId="164" fontId="5" fillId="0" borderId="0" xfId="2" applyNumberFormat="1" applyFont="1" applyFill="1" applyBorder="1"/>
    <xf numFmtId="164" fontId="5" fillId="0" borderId="6" xfId="2" applyNumberFormat="1" applyFont="1" applyFill="1" applyBorder="1"/>
    <xf numFmtId="0" fontId="5" fillId="0" borderId="0" xfId="3" applyFont="1" applyAlignment="1">
      <alignment horizontal="left" vertical="center"/>
    </xf>
    <xf numFmtId="42" fontId="5" fillId="0" borderId="11" xfId="0" applyNumberFormat="1" applyFont="1" applyBorder="1"/>
    <xf numFmtId="0" fontId="9" fillId="0" borderId="0" xfId="0" applyFont="1"/>
    <xf numFmtId="10" fontId="5" fillId="0" borderId="0" xfId="2" applyNumberFormat="1" applyFont="1" applyBorder="1"/>
    <xf numFmtId="0" fontId="5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/>
    </xf>
    <xf numFmtId="164" fontId="5" fillId="0" borderId="4" xfId="2" applyNumberFormat="1" applyFont="1" applyBorder="1" applyAlignment="1">
      <alignment horizontal="center" wrapText="1"/>
    </xf>
    <xf numFmtId="164" fontId="5" fillId="0" borderId="12" xfId="0" applyNumberFormat="1" applyFont="1" applyBorder="1" applyAlignment="1">
      <alignment horizontal="center"/>
    </xf>
    <xf numFmtId="0" fontId="5" fillId="0" borderId="0" xfId="0" quotePrefix="1" applyFont="1"/>
    <xf numFmtId="0" fontId="5" fillId="0" borderId="1" xfId="0" applyFont="1" applyBorder="1" applyAlignment="1">
      <alignment wrapText="1"/>
    </xf>
    <xf numFmtId="164" fontId="5" fillId="0" borderId="15" xfId="2" applyNumberFormat="1" applyFont="1" applyBorder="1"/>
    <xf numFmtId="44" fontId="5" fillId="0" borderId="11" xfId="2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0" xfId="0" applyFont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5" fillId="0" borderId="11" xfId="2" applyNumberFormat="1" applyFont="1" applyBorder="1"/>
    <xf numFmtId="37" fontId="5" fillId="0" borderId="4" xfId="0" applyNumberFormat="1" applyFont="1" applyBorder="1" applyAlignment="1">
      <alignment horizontal="center" wrapText="1"/>
    </xf>
    <xf numFmtId="41" fontId="5" fillId="0" borderId="11" xfId="0" applyNumberFormat="1" applyFont="1" applyBorder="1"/>
    <xf numFmtId="0" fontId="5" fillId="0" borderId="10" xfId="0" applyFont="1" applyBorder="1" applyAlignment="1">
      <alignment horizontal="center" vertical="top"/>
    </xf>
    <xf numFmtId="164" fontId="5" fillId="0" borderId="0" xfId="2" applyNumberFormat="1" applyFont="1" applyAlignment="1">
      <alignment horizontal="left"/>
    </xf>
    <xf numFmtId="0" fontId="8" fillId="0" borderId="0" xfId="0" applyFont="1"/>
    <xf numFmtId="0" fontId="5" fillId="0" borderId="17" xfId="0" applyFont="1" applyBorder="1"/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5" fillId="0" borderId="16" xfId="0" applyFont="1" applyBorder="1" applyAlignment="1">
      <alignment horizontal="center"/>
    </xf>
    <xf numFmtId="0" fontId="8" fillId="0" borderId="8" xfId="0" applyFont="1" applyBorder="1"/>
    <xf numFmtId="0" fontId="5" fillId="0" borderId="8" xfId="0" applyFont="1" applyBorder="1"/>
    <xf numFmtId="43" fontId="5" fillId="0" borderId="0" xfId="0" applyNumberFormat="1" applyFont="1"/>
    <xf numFmtId="44" fontId="5" fillId="0" borderId="0" xfId="2" applyFont="1" applyAlignment="1">
      <alignment horizontal="center"/>
    </xf>
    <xf numFmtId="44" fontId="5" fillId="0" borderId="0" xfId="2" applyFont="1" applyBorder="1" applyAlignment="1">
      <alignment horizontal="center"/>
    </xf>
    <xf numFmtId="174" fontId="5" fillId="0" borderId="0" xfId="4" applyNumberFormat="1" applyFont="1"/>
    <xf numFmtId="174" fontId="5" fillId="0" borderId="0" xfId="0" applyNumberFormat="1" applyFont="1"/>
    <xf numFmtId="175" fontId="5" fillId="0" borderId="4" xfId="1" applyNumberFormat="1" applyFont="1" applyBorder="1"/>
    <xf numFmtId="44" fontId="5" fillId="0" borderId="4" xfId="2" applyFont="1" applyBorder="1"/>
    <xf numFmtId="44" fontId="5" fillId="0" borderId="0" xfId="2" applyFont="1" applyBorder="1"/>
    <xf numFmtId="43" fontId="5" fillId="0" borderId="0" xfId="1" applyFont="1"/>
    <xf numFmtId="175" fontId="5" fillId="0" borderId="0" xfId="1" applyNumberFormat="1" applyFont="1" applyFill="1" applyBorder="1" applyAlignment="1">
      <alignment horizontal="right" vertical="center"/>
    </xf>
    <xf numFmtId="38" fontId="5" fillId="0" borderId="0" xfId="3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164" fontId="5" fillId="0" borderId="4" xfId="2" applyNumberFormat="1" applyFont="1" applyFill="1" applyBorder="1"/>
    <xf numFmtId="0" fontId="5" fillId="0" borderId="0" xfId="0" applyFont="1" applyAlignment="1">
      <alignment horizontal="left" indent="2"/>
    </xf>
    <xf numFmtId="164" fontId="5" fillId="0" borderId="13" xfId="2" applyNumberFormat="1" applyFont="1" applyBorder="1"/>
    <xf numFmtId="164" fontId="5" fillId="0" borderId="13" xfId="2" applyNumberFormat="1" applyFont="1" applyFill="1" applyBorder="1"/>
    <xf numFmtId="176" fontId="5" fillId="0" borderId="0" xfId="4" applyNumberFormat="1" applyFont="1" applyAlignment="1">
      <alignment horizontal="right" vertical="center"/>
    </xf>
    <xf numFmtId="176" fontId="5" fillId="0" borderId="0" xfId="4" applyNumberFormat="1" applyFont="1" applyAlignment="1">
      <alignment horizontal="right"/>
    </xf>
    <xf numFmtId="176" fontId="13" fillId="0" borderId="0" xfId="4" applyNumberFormat="1" applyFont="1" applyFill="1"/>
    <xf numFmtId="176" fontId="5" fillId="0" borderId="4" xfId="4" applyNumberFormat="1" applyFont="1" applyFill="1" applyBorder="1" applyAlignment="1">
      <alignment horizontal="right"/>
    </xf>
    <xf numFmtId="176" fontId="5" fillId="0" borderId="0" xfId="4" applyNumberFormat="1" applyFont="1" applyFill="1" applyBorder="1" applyAlignment="1">
      <alignment horizontal="right" vertical="center"/>
    </xf>
    <xf numFmtId="176" fontId="5" fillId="0" borderId="0" xfId="4" applyNumberFormat="1" applyFont="1"/>
    <xf numFmtId="176" fontId="5" fillId="0" borderId="0" xfId="4" applyNumberFormat="1" applyFont="1" applyAlignment="1">
      <alignment horizontal="center" vertical="center"/>
    </xf>
    <xf numFmtId="176" fontId="5" fillId="0" borderId="4" xfId="4" applyNumberFormat="1" applyFont="1" applyFill="1" applyBorder="1" applyAlignment="1">
      <alignment horizontal="right" vertical="center"/>
    </xf>
    <xf numFmtId="176" fontId="5" fillId="0" borderId="0" xfId="4" applyNumberFormat="1" applyFont="1" applyBorder="1" applyAlignment="1">
      <alignment horizontal="center" vertical="center"/>
    </xf>
    <xf numFmtId="176" fontId="5" fillId="0" borderId="0" xfId="4" applyNumberFormat="1" applyFont="1" applyBorder="1" applyAlignment="1">
      <alignment horizontal="right" vertical="center"/>
    </xf>
    <xf numFmtId="176" fontId="5" fillId="0" borderId="15" xfId="4" applyNumberFormat="1" applyFont="1" applyBorder="1"/>
    <xf numFmtId="176" fontId="5" fillId="0" borderId="15" xfId="4" applyNumberFormat="1" applyFont="1" applyFill="1" applyBorder="1" applyAlignment="1">
      <alignment horizontal="right" vertical="center"/>
    </xf>
    <xf numFmtId="169" fontId="5" fillId="0" borderId="11" xfId="1" applyNumberFormat="1" applyFont="1" applyBorder="1"/>
    <xf numFmtId="169" fontId="5" fillId="0" borderId="0" xfId="0" applyNumberFormat="1" applyFont="1"/>
    <xf numFmtId="9" fontId="10" fillId="0" borderId="0" xfId="4" applyFont="1"/>
    <xf numFmtId="10" fontId="10" fillId="0" borderId="0" xfId="4" applyNumberFormat="1" applyFont="1"/>
    <xf numFmtId="164" fontId="10" fillId="0" borderId="0" xfId="2" applyNumberFormat="1" applyFont="1"/>
    <xf numFmtId="164" fontId="10" fillId="0" borderId="5" xfId="2" applyNumberFormat="1" applyFont="1" applyBorder="1"/>
    <xf numFmtId="164" fontId="10" fillId="0" borderId="11" xfId="2" applyNumberFormat="1" applyFont="1" applyBorder="1"/>
    <xf numFmtId="0" fontId="10" fillId="0" borderId="0" xfId="0" applyFont="1" applyAlignment="1">
      <alignment horizontal="left" indent="1"/>
    </xf>
    <xf numFmtId="164" fontId="5" fillId="0" borderId="5" xfId="2" applyNumberFormat="1" applyFont="1" applyBorder="1" applyAlignment="1">
      <alignment horizontal="center"/>
    </xf>
    <xf numFmtId="41" fontId="5" fillId="0" borderId="0" xfId="2" applyNumberFormat="1" applyFont="1" applyBorder="1"/>
    <xf numFmtId="9" fontId="5" fillId="0" borderId="0" xfId="4" applyFont="1"/>
    <xf numFmtId="10" fontId="5" fillId="0" borderId="5" xfId="4" applyNumberFormat="1" applyFont="1" applyBorder="1"/>
    <xf numFmtId="164" fontId="5" fillId="0" borderId="11" xfId="0" applyNumberFormat="1" applyFont="1" applyBorder="1"/>
    <xf numFmtId="44" fontId="5" fillId="0" borderId="0" xfId="0" applyNumberFormat="1" applyFont="1"/>
    <xf numFmtId="10" fontId="5" fillId="0" borderId="11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0" fontId="5" fillId="0" borderId="4" xfId="4" applyNumberFormat="1" applyFont="1" applyFill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0" xfId="4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20" xfId="0" quotePrefix="1" applyFont="1" applyBorder="1" applyAlignment="1">
      <alignment horizontal="center"/>
    </xf>
    <xf numFmtId="10" fontId="5" fillId="0" borderId="0" xfId="4" applyNumberFormat="1" applyFont="1" applyFill="1"/>
    <xf numFmtId="164" fontId="5" fillId="0" borderId="5" xfId="0" applyNumberFormat="1" applyFont="1" applyBorder="1"/>
    <xf numFmtId="177" fontId="5" fillId="0" borderId="4" xfId="0" applyNumberFormat="1" applyFont="1" applyBorder="1" applyAlignment="1">
      <alignment horizontal="center"/>
    </xf>
    <xf numFmtId="177" fontId="5" fillId="0" borderId="0" xfId="0" applyNumberFormat="1" applyFont="1" applyAlignment="1">
      <alignment horizontal="center"/>
    </xf>
    <xf numFmtId="164" fontId="5" fillId="0" borderId="4" xfId="0" applyNumberFormat="1" applyFont="1" applyBorder="1"/>
    <xf numFmtId="164" fontId="5" fillId="0" borderId="14" xfId="2" applyNumberFormat="1" applyFont="1" applyBorder="1" applyAlignment="1">
      <alignment horizontal="center"/>
    </xf>
    <xf numFmtId="164" fontId="5" fillId="0" borderId="9" xfId="2" applyNumberFormat="1" applyFont="1" applyBorder="1"/>
    <xf numFmtId="9" fontId="5" fillId="0" borderId="4" xfId="4" applyFont="1" applyBorder="1"/>
    <xf numFmtId="167" fontId="5" fillId="0" borderId="4" xfId="4" applyNumberFormat="1" applyFont="1" applyBorder="1"/>
    <xf numFmtId="164" fontId="5" fillId="0" borderId="20" xfId="2" applyNumberFormat="1" applyFont="1" applyFill="1" applyBorder="1" applyAlignment="1">
      <alignment horizontal="center"/>
    </xf>
    <xf numFmtId="164" fontId="5" fillId="0" borderId="16" xfId="2" applyNumberFormat="1" applyFont="1" applyFill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67" fontId="5" fillId="0" borderId="4" xfId="0" applyNumberFormat="1" applyFont="1" applyBorder="1"/>
    <xf numFmtId="164" fontId="5" fillId="0" borderId="15" xfId="0" applyNumberFormat="1" applyFont="1" applyBorder="1"/>
    <xf numFmtId="44" fontId="5" fillId="0" borderId="5" xfId="2" applyFont="1" applyBorder="1"/>
    <xf numFmtId="10" fontId="5" fillId="0" borderId="0" xfId="4" applyNumberFormat="1" applyFont="1" applyFill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0" fontId="5" fillId="0" borderId="11" xfId="4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19">
    <cellStyle name="Comma" xfId="1" builtinId="3"/>
    <cellStyle name="Comma 10" xfId="10"/>
    <cellStyle name="Comma 178" xfId="16"/>
    <cellStyle name="Comma 2" xfId="13"/>
    <cellStyle name="Comma 2 2" xfId="14"/>
    <cellStyle name="Comma 3" xfId="17"/>
    <cellStyle name="Comma 4" xfId="11"/>
    <cellStyle name="Currency" xfId="2" builtinId="4"/>
    <cellStyle name="Currency 10" xfId="9"/>
    <cellStyle name="Normal" xfId="0" builtinId="0"/>
    <cellStyle name="Normal 10" xfId="18"/>
    <cellStyle name="Normal 14 2" xfId="5"/>
    <cellStyle name="Normal 2" xfId="6"/>
    <cellStyle name="Normal 3" xfId="7"/>
    <cellStyle name="Normal 349" xfId="15"/>
    <cellStyle name="Normal 4" xfId="8"/>
    <cellStyle name="Normal_C-P3" xfId="3"/>
    <cellStyle name="Percent" xfId="4" builtinId="5"/>
    <cellStyle name="Percent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ask List"/>
      <sheetName val="Input"/>
      <sheetName val="Consol Input"/>
      <sheetName val="Ad Hoc Assump Extract"/>
      <sheetName val="Assumptions"/>
      <sheetName val="BudgetYr1"/>
      <sheetName val="SummaryYr1"/>
      <sheetName val="BudgetYr2"/>
      <sheetName val="SummaryYr2"/>
      <sheetName val="BudgetYr3"/>
      <sheetName val="SummaryYr3"/>
      <sheetName val="BudgetYr4"/>
      <sheetName val="BudgetYr5"/>
      <sheetName val="SummaryYr4"/>
      <sheetName val="Hyp_Upload"/>
      <sheetName val="Hyp_Upload_Cap Cr CC"/>
      <sheetName val="SmartView Pre - Optional"/>
      <sheetName val="SmartView Upload"/>
      <sheetName val="SmartView Upload (2)"/>
      <sheetName val="SmartView Post - Optional"/>
      <sheetName val="Outer Yr Data"/>
      <sheetName val="Pensacola"/>
      <sheetName val="Alton"/>
      <sheetName val="CC - Upld Summary"/>
      <sheetName val="Sheet1"/>
      <sheetName val="headcount"/>
      <sheetName val="LbrSum"/>
      <sheetName val="Export"/>
      <sheetName val="Labor"/>
      <sheetName val="LaborYr2"/>
      <sheetName val="LaborYr3"/>
      <sheetName val="LaborYr4"/>
      <sheetName val="LaborYr5"/>
      <sheetName val="LaborYr6"/>
      <sheetName val="BU List"/>
      <sheetName val="HDcnt Not Used"/>
      <sheetName val="Pmts corrected"/>
      <sheetName val="Business units"/>
      <sheetName val="00-040 Book-to-Tax Rec"/>
      <sheetName val="06-020 Accounting Method Change"/>
      <sheetName val="Config"/>
      <sheetName val="10-110 §704(b) Assets"/>
      <sheetName val="10-020 Capital Accounts"/>
      <sheetName val="10-120 §704(c) Calc-Trad"/>
      <sheetName val="00-030 Summary Sheet"/>
      <sheetName val="07-040 Club Dues"/>
      <sheetName val="14-030 Cost Depletion"/>
      <sheetName val="10-050 Cumulative M-1 Schedule"/>
      <sheetName val="04-020 Compensation Adjustments"/>
      <sheetName val="10-025 Cum Tax Capital Roll"/>
      <sheetName val="10-030 Debt"/>
      <sheetName val="04-050 Deferred Revenue"/>
      <sheetName val="10-140 Debt Financed Distrib"/>
      <sheetName val="05-020 E&amp;P"/>
      <sheetName val="05-010 Equity"/>
      <sheetName val="03-030 Fixed Assets"/>
      <sheetName val="15-010 Foreclosure Property"/>
      <sheetName val="00-020 General"/>
      <sheetName val="15-020 Gross Income Test"/>
      <sheetName val="03-051 Gains and Losses Detail"/>
      <sheetName val="10-090 Guaranteed Payments"/>
      <sheetName val="14-050 Intangible Drilling Cost"/>
      <sheetName val="03-090 Intangibles-Detail"/>
      <sheetName val="03-080 Intangibles-Summary"/>
      <sheetName val="06-010 Installment Sale"/>
      <sheetName val="01-020 Journal Entries"/>
      <sheetName val="04-040 LIFO Reserve"/>
      <sheetName val="03-070 Like-kind Exchange"/>
      <sheetName val="03-060 Leased Property Inclusio"/>
      <sheetName val="00-032 M-3, Part II Detail"/>
      <sheetName val="01-010 Trial Balance"/>
      <sheetName val="07-020 Meals and Entertainment"/>
      <sheetName val="10-040 Minimum Gain Analysis"/>
      <sheetName val="07-090 Nondeductible Travel"/>
      <sheetName val="14-010 Oil &amp; Gas Properties"/>
      <sheetName val="07-030 Officers' Life"/>
      <sheetName val="04-010 Other Accruals"/>
      <sheetName val="01-040 Rental Real Estate 8825"/>
      <sheetName val="03-010 Prepaid Expenses"/>
      <sheetName val="07-050 Penalties"/>
      <sheetName val="07-060 Political and Lobbying"/>
      <sheetName val="03-020 Pass-through Entities"/>
      <sheetName val="15-030 Prohibited Transactions"/>
      <sheetName val="04-060 Rents"/>
      <sheetName val="04-030 Reserves-Asset Adjustmnt"/>
      <sheetName val="01-042 Rental Flow-up"/>
      <sheetName val="00-021 Self Assure"/>
      <sheetName val="03-050 Sale Business Property"/>
      <sheetName val="10-010 Schedule K"/>
      <sheetName val="14-040 Statutory Depletion"/>
      <sheetName val="10-101 §754 Step-up Carryover"/>
      <sheetName val="10-100 §754 Step-up"/>
      <sheetName val="10-130 §704(c) Summary"/>
      <sheetName val="07-080 Tax-exempt Interest"/>
      <sheetName val="07-010 UNICAP"/>
      <sheetName val="14-020 Well Depreciation UOP"/>
      <sheetName val="Lookups"/>
      <sheetName val="Hyperion Current Depr"/>
      <sheetName val="TPACT"/>
      <sheetName val="General"/>
      <sheetName val="Valuation"/>
      <sheetName val="NEI"/>
      <sheetName val="Etown SERP"/>
      <sheetName val="Etown Directors"/>
      <sheetName val="Customize Your Invoice"/>
      <sheetName val="Etown_SERP"/>
      <sheetName val="Etown_Directors"/>
      <sheetName val="Customize_Your_Invoice"/>
      <sheetName val="CA"/>
      <sheetName val="C LTV"/>
      <sheetName val="Scenario_Import"/>
      <sheetName val="Data"/>
      <sheetName val="NEI-NEW"/>
      <sheetName val="NEI (Abernathy)"/>
      <sheetName val="Sheet2"/>
      <sheetName val="IO"/>
      <sheetName val="NEI_(Abernathy)"/>
      <sheetName val="Projection"/>
      <sheetName val="Formulas"/>
      <sheetName val="NEI Actives_GAM94 gl"/>
      <sheetName val="NEW"/>
      <sheetName val="Op Revenue"/>
      <sheetName val="Summary"/>
      <sheetName val="OLD"/>
      <sheetName val="Payments"/>
      <sheetName val="Input1"/>
      <sheetName val="General Assumptions"/>
      <sheetName val="FLC"/>
      <sheetName val="Output"/>
      <sheetName val="Casualty Data"/>
      <sheetName val="subcatlist"/>
      <sheetName val="CONTROL"/>
      <sheetName val="All Co's"/>
      <sheetName val="ValSummary"/>
      <sheetName val="Casualty_Data"/>
      <sheetName val="CF"/>
      <sheetName val="BS"/>
      <sheetName val="CostCentersEPI"/>
      <sheetName val="TB-EPI"/>
      <sheetName val="RecItemList"/>
      <sheetName val="STF17.1 added=&gt;RR Model"/>
      <sheetName val="StaffAnalysis"/>
      <sheetName val="APS"/>
      <sheetName val="Dismantlement APS2%"/>
      <sheetName val="0 fut infl"/>
      <sheetName val="Infl to 2015"/>
      <sheetName val="APSIncr"/>
      <sheetName val="&lt;=LA Calcs"/>
      <sheetName val="Input Data"/>
      <sheetName val="Parameters"/>
      <sheetName val="Two-Part Rates"/>
      <sheetName val="Two-Part Accruals"/>
      <sheetName val="VGRL Rates"/>
      <sheetName val="VGRL Accruals"/>
      <sheetName val="VGWL Rates"/>
      <sheetName val="VGWL Accruals"/>
      <sheetName val="Reserves"/>
      <sheetName val="Two-Part Reserves"/>
      <sheetName val="Net Salvage"/>
      <sheetName val="Fut. Net Sal."/>
      <sheetName val="Dismantlement"/>
      <sheetName val="RCS-2 Contents"/>
      <sheetName val="SchA-1"/>
      <sheetName val="SchB-1p1"/>
      <sheetName val="SchB-1p2"/>
      <sheetName val="SchB2"/>
      <sheetName val="B2p2"/>
      <sheetName val="SchC1p1"/>
      <sheetName val="SchC1p2"/>
      <sheetName val="SchC-2"/>
      <sheetName val="C-3"/>
      <sheetName val="SchC-4"/>
      <sheetName val="SchC-5"/>
      <sheetName val="C-6"/>
      <sheetName val="c-7"/>
      <sheetName val="SchD"/>
      <sheetName val="Ep1"/>
      <sheetName val="Ep2"/>
      <sheetName val="Ep3"/>
      <sheetName val="Fp1"/>
      <sheetName val="Fp2"/>
      <sheetName val="Fp3"/>
      <sheetName val="RCS-3 Contents"/>
      <sheetName val="23-SchA-1"/>
      <sheetName val="23 -SchB-1p1"/>
      <sheetName val="23-SchB1p2"/>
      <sheetName val="23-SchB-2"/>
      <sheetName val="23-SchC-1p1"/>
      <sheetName val="23-SchC1p2"/>
      <sheetName val="23-SchC-2"/>
      <sheetName val="23 C-3"/>
      <sheetName val="23 C-4"/>
      <sheetName val="23-SchC-5"/>
      <sheetName val="23 C-6"/>
      <sheetName val="23 C-7"/>
      <sheetName val="18-D"/>
      <sheetName val="23 Ep1"/>
      <sheetName val="23 Ep2"/>
      <sheetName val="23 Ep3"/>
      <sheetName val="23 Fp1"/>
      <sheetName val="23 Fp2"/>
      <sheetName val="23 Fp3"/>
      <sheetName val="RCS-4 Contents"/>
      <sheetName val="19-SchA-1"/>
      <sheetName val="19-SchB-1p1"/>
      <sheetName val="19-SchC-1p1"/>
      <sheetName val="19-SchC2_int sync"/>
      <sheetName val="19-D"/>
      <sheetName val="2 Summary Adjustment"/>
      <sheetName val="3 Peer Group Comp"/>
      <sheetName val="4 Rate Comp - Weighted Avg"/>
      <sheetName val="5 Depr Rate Dev - Weighted Avg"/>
      <sheetName val="6 Acct. 267"/>
      <sheetName val="Schedule 1"/>
      <sheetName val="Controls"/>
      <sheetName val="Reserve"/>
      <sheetName val="Comparison Schedule"/>
      <sheetName val="Deprate"/>
      <sheetName val="Existing Rates"/>
      <sheetName val="General Info"/>
      <sheetName val="Deprate 2004"/>
      <sheetName val="Controls - Electric"/>
      <sheetName val="Reserve - Electric"/>
      <sheetName val="Controls - Common"/>
      <sheetName val="Reserve - Common"/>
      <sheetName val="Deprate - Common"/>
      <sheetName val="Index"/>
      <sheetName val="Cover Page"/>
      <sheetName val="Rev Req"/>
      <sheetName val="B 1"/>
      <sheetName val="B  2"/>
      <sheetName val="RB Adj"/>
      <sheetName val="E CWC"/>
      <sheetName val="F 1"/>
      <sheetName val="H  1"/>
      <sheetName val="H   2"/>
      <sheetName val="H Adj"/>
      <sheetName val="I 1 Depreciation"/>
      <sheetName val="J 1"/>
      <sheetName val="J 2 Revised Rate"/>
      <sheetName val="J 3"/>
      <sheetName val="J 4"/>
      <sheetName val="Not Filed Summary"/>
      <sheetName val="Not Filed Equity Method Inc Tax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D8" t="str">
            <v>GA0002</v>
          </cell>
        </row>
      </sheetData>
      <sheetData sheetId="5">
        <row r="2">
          <cell r="AS2" t="str">
            <v>Working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A2" t="str">
            <v>Business Unit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>
        <row r="5">
          <cell r="B5" t="str">
            <v>S&amp;U-Q</v>
          </cell>
        </row>
      </sheetData>
      <sheetData sheetId="100" refreshError="1"/>
      <sheetData sheetId="101" refreshError="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>
        <row r="2">
          <cell r="K2">
            <v>1</v>
          </cell>
        </row>
      </sheetData>
      <sheetData sheetId="113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/>
      <sheetData sheetId="122" refreshError="1"/>
      <sheetData sheetId="123" refreshError="1"/>
      <sheetData sheetId="124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>
        <row r="11">
          <cell r="U11">
            <v>8.4660478855693055E-2</v>
          </cell>
        </row>
      </sheetData>
      <sheetData sheetId="145"/>
      <sheetData sheetId="146"/>
      <sheetData sheetId="147"/>
      <sheetData sheetId="148"/>
      <sheetData sheetId="149">
        <row r="3">
          <cell r="A3">
            <v>2016</v>
          </cell>
          <cell r="D3">
            <v>0</v>
          </cell>
        </row>
        <row r="4">
          <cell r="D4">
            <v>0</v>
          </cell>
        </row>
        <row r="6">
          <cell r="D6" t="str">
            <v>Plant Investment</v>
          </cell>
        </row>
        <row r="7">
          <cell r="D7">
            <v>42369</v>
          </cell>
        </row>
        <row r="8">
          <cell r="D8" t="str">
            <v>Plant Balance</v>
          </cell>
        </row>
        <row r="9">
          <cell r="D9" t="str">
            <v>B</v>
          </cell>
        </row>
        <row r="12">
          <cell r="D12">
            <v>169959507</v>
          </cell>
        </row>
        <row r="13">
          <cell r="D13">
            <v>1156581620</v>
          </cell>
        </row>
        <row r="14">
          <cell r="D14">
            <v>212294514</v>
          </cell>
        </row>
        <row r="15">
          <cell r="D15">
            <v>127147100</v>
          </cell>
        </row>
        <row r="16">
          <cell r="D16">
            <v>95057632</v>
          </cell>
        </row>
        <row r="17">
          <cell r="D17">
            <v>1761040373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800303960</v>
          </cell>
        </row>
        <row r="21">
          <cell r="D21">
            <v>1177440897</v>
          </cell>
        </row>
        <row r="22">
          <cell r="D22">
            <v>378902614</v>
          </cell>
        </row>
        <row r="23">
          <cell r="D23">
            <v>286941496</v>
          </cell>
        </row>
        <row r="24">
          <cell r="D24">
            <v>190865034</v>
          </cell>
        </row>
        <row r="25">
          <cell r="D25">
            <v>2834454001</v>
          </cell>
        </row>
        <row r="26">
          <cell r="D26">
            <v>0</v>
          </cell>
        </row>
        <row r="28">
          <cell r="D28">
            <v>115260761</v>
          </cell>
        </row>
        <row r="29">
          <cell r="D29">
            <v>55221287</v>
          </cell>
        </row>
        <row r="30">
          <cell r="D30">
            <v>652662488</v>
          </cell>
        </row>
        <row r="31">
          <cell r="D31">
            <v>1295258389</v>
          </cell>
        </row>
        <row r="32">
          <cell r="D32">
            <v>209397328</v>
          </cell>
        </row>
        <row r="33">
          <cell r="D33">
            <v>27345147</v>
          </cell>
        </row>
        <row r="34">
          <cell r="D34">
            <v>2355145400</v>
          </cell>
        </row>
        <row r="36">
          <cell r="D36">
            <v>0</v>
          </cell>
        </row>
        <row r="37">
          <cell r="D37">
            <v>151995</v>
          </cell>
        </row>
        <row r="38">
          <cell r="D38">
            <v>122007490</v>
          </cell>
        </row>
        <row r="39">
          <cell r="D39">
            <v>1329316</v>
          </cell>
        </row>
        <row r="40">
          <cell r="D40">
            <v>1370085</v>
          </cell>
        </row>
        <row r="41">
          <cell r="D41">
            <v>1947677</v>
          </cell>
        </row>
        <row r="42">
          <cell r="D42">
            <v>126806563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82271151</v>
          </cell>
        </row>
        <row r="46">
          <cell r="D46">
            <v>494771283</v>
          </cell>
        </row>
        <row r="47">
          <cell r="D47">
            <v>2123630</v>
          </cell>
        </row>
        <row r="48">
          <cell r="D48">
            <v>332284839</v>
          </cell>
        </row>
        <row r="49">
          <cell r="D49">
            <v>260823751</v>
          </cell>
        </row>
        <row r="50">
          <cell r="D50">
            <v>355117540</v>
          </cell>
        </row>
        <row r="51">
          <cell r="D51">
            <v>685513670</v>
          </cell>
        </row>
        <row r="52">
          <cell r="D52">
            <v>1646381070</v>
          </cell>
        </row>
        <row r="53">
          <cell r="D53">
            <v>833275690</v>
          </cell>
        </row>
        <row r="54">
          <cell r="D54">
            <v>375644741</v>
          </cell>
        </row>
        <row r="55">
          <cell r="D55">
            <v>17142724</v>
          </cell>
        </row>
        <row r="56">
          <cell r="D56">
            <v>274220605</v>
          </cell>
        </row>
        <row r="57">
          <cell r="D57">
            <v>43510997</v>
          </cell>
        </row>
        <row r="58">
          <cell r="D58">
            <v>74601787</v>
          </cell>
        </row>
        <row r="59">
          <cell r="D59">
            <v>5477683478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179729946</v>
          </cell>
        </row>
        <row r="64">
          <cell r="D64">
            <v>169141944</v>
          </cell>
        </row>
        <row r="65">
          <cell r="D65">
            <v>251017440</v>
          </cell>
        </row>
        <row r="66">
          <cell r="D66">
            <v>599889330</v>
          </cell>
        </row>
        <row r="68">
          <cell r="D68">
            <v>0</v>
          </cell>
        </row>
        <row r="69">
          <cell r="D69">
            <v>59067179</v>
          </cell>
        </row>
        <row r="70">
          <cell r="D70">
            <v>242516</v>
          </cell>
        </row>
        <row r="71">
          <cell r="D71">
            <v>37140670</v>
          </cell>
        </row>
        <row r="72">
          <cell r="D72">
            <v>810563</v>
          </cell>
        </row>
        <row r="73">
          <cell r="D73">
            <v>17446236</v>
          </cell>
        </row>
        <row r="74">
          <cell r="D74">
            <v>114707164</v>
          </cell>
        </row>
        <row r="75">
          <cell r="D75">
            <v>0</v>
          </cell>
        </row>
        <row r="76">
          <cell r="D76">
            <v>714596494</v>
          </cell>
        </row>
        <row r="77">
          <cell r="D77">
            <v>0</v>
          </cell>
        </row>
        <row r="78">
          <cell r="D78">
            <v>13269726309</v>
          </cell>
        </row>
        <row r="79">
          <cell r="D79">
            <v>0</v>
          </cell>
        </row>
        <row r="80">
          <cell r="D80">
            <v>0</v>
          </cell>
        </row>
        <row r="82">
          <cell r="D82">
            <v>77737991</v>
          </cell>
        </row>
        <row r="83">
          <cell r="D83">
            <v>378495272</v>
          </cell>
        </row>
        <row r="84">
          <cell r="D84">
            <v>86113816</v>
          </cell>
        </row>
        <row r="85">
          <cell r="D85">
            <v>52313534</v>
          </cell>
        </row>
        <row r="86">
          <cell r="D86">
            <v>23835993</v>
          </cell>
        </row>
        <row r="87">
          <cell r="D87">
            <v>618496606</v>
          </cell>
        </row>
        <row r="90">
          <cell r="D90">
            <v>4743207</v>
          </cell>
        </row>
        <row r="91">
          <cell r="D91">
            <v>80244501</v>
          </cell>
        </row>
        <row r="92">
          <cell r="D92">
            <v>27503716</v>
          </cell>
        </row>
        <row r="93">
          <cell r="D93">
            <v>9492908</v>
          </cell>
        </row>
        <row r="94">
          <cell r="D94">
            <v>2926476</v>
          </cell>
        </row>
        <row r="95">
          <cell r="D95">
            <v>124910808</v>
          </cell>
        </row>
        <row r="98">
          <cell r="D98">
            <v>13288725</v>
          </cell>
        </row>
        <row r="99">
          <cell r="D99">
            <v>238165292</v>
          </cell>
        </row>
        <row r="100">
          <cell r="D100">
            <v>56834120</v>
          </cell>
        </row>
        <row r="101">
          <cell r="D101">
            <v>34832937</v>
          </cell>
        </row>
        <row r="102">
          <cell r="D102">
            <v>6842283</v>
          </cell>
        </row>
        <row r="103">
          <cell r="D103">
            <v>349963357</v>
          </cell>
        </row>
        <row r="106">
          <cell r="D106">
            <v>59706059</v>
          </cell>
        </row>
        <row r="107">
          <cell r="D107">
            <v>60085479</v>
          </cell>
        </row>
        <row r="108">
          <cell r="D108">
            <v>1775980</v>
          </cell>
        </row>
        <row r="109">
          <cell r="D109">
            <v>7987689</v>
          </cell>
        </row>
        <row r="110">
          <cell r="D110">
            <v>14067234</v>
          </cell>
        </row>
        <row r="111">
          <cell r="D111">
            <v>143622441</v>
          </cell>
        </row>
        <row r="112">
          <cell r="D112">
            <v>0</v>
          </cell>
        </row>
        <row r="114">
          <cell r="D114">
            <v>54567232</v>
          </cell>
        </row>
        <row r="115">
          <cell r="D115">
            <v>581513168</v>
          </cell>
        </row>
        <row r="116">
          <cell r="D116">
            <v>83827121</v>
          </cell>
        </row>
        <row r="117">
          <cell r="D117">
            <v>47577191</v>
          </cell>
        </row>
        <row r="118">
          <cell r="D118">
            <v>44955256</v>
          </cell>
        </row>
        <row r="119">
          <cell r="D119">
            <v>812439968</v>
          </cell>
        </row>
        <row r="122">
          <cell r="D122">
            <v>38507966</v>
          </cell>
        </row>
        <row r="123">
          <cell r="D123">
            <v>546025397</v>
          </cell>
        </row>
        <row r="124">
          <cell r="D124">
            <v>80391368</v>
          </cell>
        </row>
        <row r="125">
          <cell r="D125">
            <v>35325258</v>
          </cell>
        </row>
        <row r="126">
          <cell r="D126">
            <v>32289311</v>
          </cell>
        </row>
        <row r="127">
          <cell r="D127">
            <v>732539300</v>
          </cell>
        </row>
        <row r="130">
          <cell r="D130">
            <v>16059266</v>
          </cell>
        </row>
        <row r="131">
          <cell r="D131">
            <v>35487771</v>
          </cell>
        </row>
        <row r="132">
          <cell r="D132">
            <v>3435753</v>
          </cell>
        </row>
        <row r="133">
          <cell r="D133">
            <v>12251933</v>
          </cell>
        </row>
        <row r="134">
          <cell r="D134">
            <v>12665945</v>
          </cell>
        </row>
        <row r="135">
          <cell r="D135">
            <v>79900668</v>
          </cell>
        </row>
        <row r="138">
          <cell r="D138">
            <v>32849766</v>
          </cell>
        </row>
        <row r="139">
          <cell r="D139">
            <v>171354162</v>
          </cell>
        </row>
        <row r="140">
          <cell r="D140">
            <v>25206593</v>
          </cell>
        </row>
        <row r="141">
          <cell r="D141">
            <v>22361468</v>
          </cell>
        </row>
        <row r="142">
          <cell r="D142">
            <v>19203553</v>
          </cell>
        </row>
        <row r="143">
          <cell r="D143">
            <v>270975542</v>
          </cell>
        </row>
        <row r="144">
          <cell r="D144">
            <v>0</v>
          </cell>
        </row>
        <row r="146">
          <cell r="D146">
            <v>4804518</v>
          </cell>
        </row>
        <row r="147">
          <cell r="D147">
            <v>25219018</v>
          </cell>
        </row>
        <row r="148">
          <cell r="D148">
            <v>17146984</v>
          </cell>
        </row>
        <row r="149">
          <cell r="D149">
            <v>4894907</v>
          </cell>
        </row>
        <row r="150">
          <cell r="D150">
            <v>7062830</v>
          </cell>
        </row>
        <row r="151">
          <cell r="D151">
            <v>59128257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800303960</v>
          </cell>
        </row>
        <row r="156">
          <cell r="D156">
            <v>1177440897</v>
          </cell>
        </row>
        <row r="157">
          <cell r="D157">
            <v>378902614</v>
          </cell>
        </row>
        <row r="158">
          <cell r="D158">
            <v>286941496</v>
          </cell>
        </row>
        <row r="159">
          <cell r="D159">
            <v>190865034</v>
          </cell>
        </row>
        <row r="160">
          <cell r="D160">
            <v>2834454001</v>
          </cell>
        </row>
        <row r="163">
          <cell r="D163">
            <v>160238922</v>
          </cell>
        </row>
        <row r="164">
          <cell r="D164">
            <v>464794795</v>
          </cell>
        </row>
        <row r="165">
          <cell r="D165">
            <v>133635855</v>
          </cell>
        </row>
        <row r="166">
          <cell r="D166">
            <v>117924193</v>
          </cell>
        </row>
        <row r="167">
          <cell r="D167">
            <v>31243002</v>
          </cell>
        </row>
        <row r="168">
          <cell r="D168">
            <v>907836767</v>
          </cell>
        </row>
        <row r="171">
          <cell r="D171">
            <v>92055736</v>
          </cell>
        </row>
        <row r="172">
          <cell r="D172">
            <v>249302485</v>
          </cell>
        </row>
        <row r="173">
          <cell r="D173">
            <v>87999272</v>
          </cell>
        </row>
        <row r="174">
          <cell r="D174">
            <v>47992891</v>
          </cell>
        </row>
        <row r="175">
          <cell r="D175">
            <v>27285762</v>
          </cell>
        </row>
        <row r="176">
          <cell r="D176">
            <v>504636146</v>
          </cell>
        </row>
        <row r="179">
          <cell r="D179">
            <v>165218693</v>
          </cell>
        </row>
        <row r="180">
          <cell r="D180">
            <v>427193012</v>
          </cell>
        </row>
        <row r="181">
          <cell r="D181">
            <v>152558297</v>
          </cell>
        </row>
        <row r="182">
          <cell r="D182">
            <v>94317583</v>
          </cell>
        </row>
        <row r="183">
          <cell r="D183">
            <v>28965542</v>
          </cell>
        </row>
        <row r="184">
          <cell r="D184">
            <v>868253127</v>
          </cell>
        </row>
        <row r="187">
          <cell r="D187">
            <v>210244404</v>
          </cell>
        </row>
        <row r="188">
          <cell r="D188">
            <v>561290</v>
          </cell>
        </row>
        <row r="189">
          <cell r="D189">
            <v>217756</v>
          </cell>
        </row>
        <row r="190">
          <cell r="D190">
            <v>0</v>
          </cell>
        </row>
        <row r="191">
          <cell r="D191">
            <v>165219</v>
          </cell>
        </row>
        <row r="192">
          <cell r="D192">
            <v>211188669</v>
          </cell>
        </row>
        <row r="193">
          <cell r="D193">
            <v>0</v>
          </cell>
        </row>
        <row r="195">
          <cell r="D195">
            <v>172546205</v>
          </cell>
        </row>
        <row r="196">
          <cell r="D196">
            <v>35589315</v>
          </cell>
        </row>
        <row r="197">
          <cell r="D197">
            <v>4491434</v>
          </cell>
        </row>
        <row r="198">
          <cell r="D198">
            <v>26706829</v>
          </cell>
        </row>
        <row r="199">
          <cell r="D199">
            <v>103205509</v>
          </cell>
        </row>
        <row r="200">
          <cell r="D200">
            <v>342539292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103952</v>
          </cell>
        </row>
        <row r="205">
          <cell r="D205">
            <v>137759</v>
          </cell>
        </row>
        <row r="206">
          <cell r="D206">
            <v>3721569</v>
          </cell>
        </row>
        <row r="207">
          <cell r="D207">
            <v>971924</v>
          </cell>
        </row>
        <row r="208">
          <cell r="D208">
            <v>403765</v>
          </cell>
        </row>
        <row r="209">
          <cell r="D209">
            <v>33564</v>
          </cell>
        </row>
        <row r="210">
          <cell r="D210">
            <v>5372533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1953223</v>
          </cell>
        </row>
        <row r="214">
          <cell r="D214">
            <v>1107461</v>
          </cell>
        </row>
        <row r="215">
          <cell r="D215">
            <v>21989611</v>
          </cell>
        </row>
        <row r="216">
          <cell r="D216">
            <v>14737836</v>
          </cell>
        </row>
        <row r="217">
          <cell r="D217">
            <v>4017658</v>
          </cell>
        </row>
        <row r="218">
          <cell r="D218">
            <v>990572</v>
          </cell>
        </row>
        <row r="219">
          <cell r="D219">
            <v>44796361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23674859</v>
          </cell>
        </row>
        <row r="223">
          <cell r="D223">
            <v>11611849</v>
          </cell>
        </row>
        <row r="224">
          <cell r="D224">
            <v>132566124</v>
          </cell>
        </row>
        <row r="225">
          <cell r="D225">
            <v>336601568</v>
          </cell>
        </row>
        <row r="226">
          <cell r="D226">
            <v>23778511</v>
          </cell>
        </row>
        <row r="227">
          <cell r="D227">
            <v>6538111</v>
          </cell>
        </row>
        <row r="228">
          <cell r="D228">
            <v>534771022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3173028</v>
          </cell>
        </row>
        <row r="232">
          <cell r="D232">
            <v>1642488</v>
          </cell>
        </row>
        <row r="233">
          <cell r="D233">
            <v>17905173</v>
          </cell>
        </row>
        <row r="234">
          <cell r="D234">
            <v>32384680</v>
          </cell>
        </row>
        <row r="235">
          <cell r="D235">
            <v>3384270</v>
          </cell>
        </row>
        <row r="236">
          <cell r="D236">
            <v>892062</v>
          </cell>
        </row>
        <row r="237">
          <cell r="D237">
            <v>59381701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3173028</v>
          </cell>
        </row>
        <row r="241">
          <cell r="D241">
            <v>1642488</v>
          </cell>
        </row>
        <row r="242">
          <cell r="D242">
            <v>15965868</v>
          </cell>
        </row>
        <row r="243">
          <cell r="D243">
            <v>4666538</v>
          </cell>
        </row>
        <row r="244">
          <cell r="D244">
            <v>3261717</v>
          </cell>
        </row>
        <row r="245">
          <cell r="D245">
            <v>892062</v>
          </cell>
        </row>
        <row r="246">
          <cell r="D246">
            <v>29601701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1939305</v>
          </cell>
        </row>
        <row r="252">
          <cell r="D252">
            <v>27718142</v>
          </cell>
        </row>
        <row r="253">
          <cell r="D253">
            <v>122553</v>
          </cell>
        </row>
        <row r="254">
          <cell r="D254">
            <v>0</v>
          </cell>
        </row>
        <row r="255">
          <cell r="D255">
            <v>29780000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32510020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587836565</v>
          </cell>
        </row>
        <row r="262">
          <cell r="D262">
            <v>105145520</v>
          </cell>
        </row>
        <row r="263">
          <cell r="D263">
            <v>1557654</v>
          </cell>
        </row>
        <row r="264">
          <cell r="D264">
            <v>727049759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527889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77719075</v>
          </cell>
        </row>
        <row r="271">
          <cell r="D271">
            <v>6511775</v>
          </cell>
        </row>
        <row r="272">
          <cell r="D272">
            <v>216504</v>
          </cell>
        </row>
        <row r="273">
          <cell r="D273">
            <v>84975243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1813500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61593054</v>
          </cell>
        </row>
        <row r="280">
          <cell r="D280">
            <v>15418050</v>
          </cell>
        </row>
        <row r="281">
          <cell r="D281">
            <v>262641</v>
          </cell>
        </row>
        <row r="282">
          <cell r="D282">
            <v>79087245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1572235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25365040</v>
          </cell>
        </row>
        <row r="289">
          <cell r="D289">
            <v>3579659</v>
          </cell>
        </row>
        <row r="290">
          <cell r="D290">
            <v>293963</v>
          </cell>
        </row>
        <row r="291">
          <cell r="D291">
            <v>30810897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10906684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105443248</v>
          </cell>
        </row>
        <row r="298">
          <cell r="D298">
            <v>20815540</v>
          </cell>
        </row>
        <row r="299">
          <cell r="D299">
            <v>57708</v>
          </cell>
        </row>
        <row r="300">
          <cell r="D300">
            <v>137223180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5018097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89246612</v>
          </cell>
        </row>
        <row r="307">
          <cell r="D307">
            <v>11096944</v>
          </cell>
        </row>
        <row r="308">
          <cell r="D308">
            <v>21142</v>
          </cell>
        </row>
        <row r="309">
          <cell r="D309">
            <v>105382795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6915232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93250197</v>
          </cell>
        </row>
        <row r="316">
          <cell r="D316">
            <v>22556482</v>
          </cell>
        </row>
        <row r="317">
          <cell r="D317">
            <v>206389</v>
          </cell>
        </row>
        <row r="318">
          <cell r="D318">
            <v>122928300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325971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10113649</v>
          </cell>
        </row>
        <row r="325">
          <cell r="D325">
            <v>3606980</v>
          </cell>
        </row>
        <row r="326">
          <cell r="D326">
            <v>0</v>
          </cell>
        </row>
        <row r="327">
          <cell r="D327">
            <v>14046600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1566281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24574551</v>
          </cell>
        </row>
        <row r="334">
          <cell r="D334">
            <v>1330175</v>
          </cell>
        </row>
        <row r="335">
          <cell r="D335">
            <v>377821</v>
          </cell>
        </row>
        <row r="336">
          <cell r="D336">
            <v>27848828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1582181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51531113</v>
          </cell>
        </row>
        <row r="343">
          <cell r="D343">
            <v>7714968</v>
          </cell>
        </row>
        <row r="344">
          <cell r="D344">
            <v>0</v>
          </cell>
        </row>
        <row r="345">
          <cell r="D345">
            <v>60828262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2281950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49000026</v>
          </cell>
        </row>
        <row r="352">
          <cell r="D352">
            <v>12514947</v>
          </cell>
        </row>
        <row r="353">
          <cell r="D353">
            <v>121486</v>
          </cell>
        </row>
        <row r="354">
          <cell r="D354">
            <v>63918409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13336561</v>
          </cell>
        </row>
        <row r="358">
          <cell r="D358">
            <v>4629010</v>
          </cell>
        </row>
        <row r="359">
          <cell r="D359">
            <v>232679199</v>
          </cell>
        </row>
        <row r="360">
          <cell r="D360">
            <v>11764416</v>
          </cell>
        </row>
        <row r="361">
          <cell r="D361">
            <v>27604244</v>
          </cell>
        </row>
        <row r="362">
          <cell r="D362">
            <v>2565605</v>
          </cell>
        </row>
        <row r="363">
          <cell r="D363">
            <v>292579035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34253399</v>
          </cell>
        </row>
        <row r="367">
          <cell r="D367">
            <v>30662633</v>
          </cell>
        </row>
        <row r="368">
          <cell r="D368">
            <v>165023932</v>
          </cell>
        </row>
        <row r="369">
          <cell r="D369">
            <v>300789550</v>
          </cell>
        </row>
        <row r="370">
          <cell r="D370">
            <v>40508678</v>
          </cell>
        </row>
        <row r="371">
          <cell r="D371">
            <v>12626027</v>
          </cell>
        </row>
        <row r="372">
          <cell r="D372">
            <v>583864219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963966</v>
          </cell>
        </row>
        <row r="376">
          <cell r="D376">
            <v>24667947</v>
          </cell>
        </row>
        <row r="377">
          <cell r="D377">
            <v>0</v>
          </cell>
        </row>
        <row r="378">
          <cell r="D378">
            <v>103127942</v>
          </cell>
        </row>
        <row r="379">
          <cell r="D379">
            <v>25144330</v>
          </cell>
        </row>
        <row r="380">
          <cell r="D380">
            <v>6536270</v>
          </cell>
        </row>
        <row r="381">
          <cell r="D381">
            <v>160440455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4683180</v>
          </cell>
        </row>
        <row r="385">
          <cell r="D385">
            <v>4135109</v>
          </cell>
        </row>
        <row r="386">
          <cell r="D386">
            <v>49464010</v>
          </cell>
        </row>
        <row r="387">
          <cell r="D387">
            <v>23653858</v>
          </cell>
        </row>
        <row r="388">
          <cell r="D388">
            <v>453669</v>
          </cell>
        </row>
        <row r="389">
          <cell r="D389">
            <v>709405</v>
          </cell>
        </row>
        <row r="390">
          <cell r="D390">
            <v>83099231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11935671</v>
          </cell>
        </row>
        <row r="394">
          <cell r="D394">
            <v>0</v>
          </cell>
        </row>
        <row r="395">
          <cell r="D395">
            <v>92946762</v>
          </cell>
        </row>
        <row r="396">
          <cell r="D396">
            <v>163209028</v>
          </cell>
        </row>
        <row r="397">
          <cell r="D397">
            <v>13138590</v>
          </cell>
        </row>
        <row r="398">
          <cell r="D398">
            <v>4353879</v>
          </cell>
        </row>
        <row r="399">
          <cell r="D399">
            <v>285583930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4040996</v>
          </cell>
        </row>
        <row r="403">
          <cell r="D403">
            <v>1859577</v>
          </cell>
        </row>
        <row r="404">
          <cell r="D404">
            <v>22613160</v>
          </cell>
        </row>
        <row r="405">
          <cell r="D405">
            <v>10798722</v>
          </cell>
        </row>
        <row r="406">
          <cell r="D406">
            <v>1772089</v>
          </cell>
        </row>
        <row r="407">
          <cell r="D407">
            <v>1026473</v>
          </cell>
        </row>
        <row r="408">
          <cell r="D408">
            <v>42111017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12629586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12629586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6255719</v>
          </cell>
        </row>
        <row r="421">
          <cell r="D421">
            <v>5430087</v>
          </cell>
        </row>
        <row r="422">
          <cell r="D422">
            <v>78776880</v>
          </cell>
        </row>
        <row r="423">
          <cell r="D423">
            <v>10171850</v>
          </cell>
        </row>
        <row r="424">
          <cell r="D424">
            <v>4554682</v>
          </cell>
        </row>
        <row r="425">
          <cell r="D425">
            <v>2141552</v>
          </cell>
        </row>
        <row r="426">
          <cell r="D426">
            <v>107330770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5185290</v>
          </cell>
        </row>
        <row r="430">
          <cell r="D430">
            <v>3934860</v>
          </cell>
        </row>
        <row r="431">
          <cell r="D431">
            <v>11077145</v>
          </cell>
        </row>
        <row r="432">
          <cell r="D432">
            <v>10058652</v>
          </cell>
        </row>
        <row r="433">
          <cell r="D433">
            <v>3737069</v>
          </cell>
        </row>
        <row r="434">
          <cell r="D434">
            <v>1328508</v>
          </cell>
        </row>
        <row r="435">
          <cell r="D435">
            <v>35321524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1070429</v>
          </cell>
        </row>
        <row r="439">
          <cell r="D439">
            <v>1495227</v>
          </cell>
        </row>
        <row r="440">
          <cell r="D440">
            <v>67699735</v>
          </cell>
        </row>
        <row r="441">
          <cell r="D441">
            <v>113198</v>
          </cell>
        </row>
        <row r="442">
          <cell r="D442">
            <v>817613</v>
          </cell>
        </row>
        <row r="443">
          <cell r="D443">
            <v>813044</v>
          </cell>
        </row>
        <row r="444">
          <cell r="D444">
            <v>72009246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3281242</v>
          </cell>
        </row>
        <row r="449">
          <cell r="D449">
            <v>23245599</v>
          </cell>
        </row>
        <row r="450">
          <cell r="D450">
            <v>3370100</v>
          </cell>
        </row>
        <row r="451">
          <cell r="D451">
            <v>1005189</v>
          </cell>
        </row>
        <row r="452">
          <cell r="D452">
            <v>0</v>
          </cell>
        </row>
        <row r="453">
          <cell r="D453">
            <v>3501177</v>
          </cell>
        </row>
        <row r="454">
          <cell r="D454">
            <v>57274841</v>
          </cell>
        </row>
        <row r="455">
          <cell r="D455">
            <v>46281774</v>
          </cell>
        </row>
        <row r="456">
          <cell r="D456">
            <v>0</v>
          </cell>
        </row>
        <row r="457">
          <cell r="D457">
            <v>9811574</v>
          </cell>
        </row>
        <row r="458">
          <cell r="D458">
            <v>3156826</v>
          </cell>
        </row>
        <row r="459">
          <cell r="D459">
            <v>71743679</v>
          </cell>
        </row>
        <row r="460">
          <cell r="D460">
            <v>35071788</v>
          </cell>
        </row>
        <row r="461">
          <cell r="D461">
            <v>539278032</v>
          </cell>
        </row>
        <row r="462">
          <cell r="D462">
            <v>97394107</v>
          </cell>
        </row>
        <row r="463">
          <cell r="D463">
            <v>233581272</v>
          </cell>
        </row>
        <row r="464">
          <cell r="D464">
            <v>310988632</v>
          </cell>
        </row>
        <row r="465">
          <cell r="D465">
            <v>17840805</v>
          </cell>
        </row>
        <row r="466">
          <cell r="D466">
            <v>26917912</v>
          </cell>
        </row>
        <row r="467">
          <cell r="D467">
            <v>36977902</v>
          </cell>
        </row>
        <row r="468">
          <cell r="D468">
            <v>435292</v>
          </cell>
        </row>
        <row r="469">
          <cell r="D469">
            <v>10628612</v>
          </cell>
        </row>
        <row r="470">
          <cell r="D470">
            <v>24608808</v>
          </cell>
        </row>
        <row r="471">
          <cell r="D471">
            <v>0</v>
          </cell>
        </row>
        <row r="472">
          <cell r="D472">
            <v>5387309</v>
          </cell>
        </row>
        <row r="473">
          <cell r="D473">
            <v>1735976</v>
          </cell>
        </row>
        <row r="474">
          <cell r="D474">
            <v>1563518448</v>
          </cell>
        </row>
        <row r="475">
          <cell r="D475">
            <v>0</v>
          </cell>
        </row>
        <row r="476">
          <cell r="D476">
            <v>13269726309</v>
          </cell>
        </row>
        <row r="477">
          <cell r="D477">
            <v>14833244757</v>
          </cell>
        </row>
        <row r="478">
          <cell r="D478">
            <v>0</v>
          </cell>
        </row>
        <row r="479">
          <cell r="D479">
            <v>11381939769</v>
          </cell>
        </row>
        <row r="480">
          <cell r="D480">
            <v>3451304988</v>
          </cell>
        </row>
        <row r="482">
          <cell r="D482" t="str">
            <v>Plant</v>
          </cell>
        </row>
        <row r="483">
          <cell r="D483" t="str">
            <v xml:space="preserve">Study </v>
          </cell>
        </row>
        <row r="484">
          <cell r="D484">
            <v>26526841</v>
          </cell>
        </row>
        <row r="485">
          <cell r="D485">
            <v>1767151638</v>
          </cell>
        </row>
        <row r="486">
          <cell r="D486">
            <v>2941511793</v>
          </cell>
        </row>
        <row r="487">
          <cell r="D487">
            <v>9811574</v>
          </cell>
        </row>
        <row r="488">
          <cell r="D488">
            <v>2358302226</v>
          </cell>
        </row>
        <row r="489">
          <cell r="D489">
            <v>1459622790</v>
          </cell>
        </row>
        <row r="490">
          <cell r="D490">
            <v>5515096672</v>
          </cell>
        </row>
        <row r="491">
          <cell r="D491">
            <v>755221223</v>
          </cell>
        </row>
        <row r="492">
          <cell r="D492">
            <v>14833244757</v>
          </cell>
        </row>
        <row r="494">
          <cell r="D494" t="str">
            <v>Reserves</v>
          </cell>
        </row>
        <row r="495">
          <cell r="D495" t="str">
            <v xml:space="preserve">Study </v>
          </cell>
        </row>
        <row r="496">
          <cell r="D496">
            <v>15145089.739999996</v>
          </cell>
        </row>
        <row r="497">
          <cell r="D497">
            <v>1097246165.78</v>
          </cell>
        </row>
        <row r="498">
          <cell r="D498">
            <v>1563037116.24</v>
          </cell>
        </row>
        <row r="499">
          <cell r="D499">
            <v>9933571.3100000005</v>
          </cell>
        </row>
        <row r="500">
          <cell r="D500">
            <v>563697309.33999991</v>
          </cell>
        </row>
        <row r="501">
          <cell r="D501">
            <v>484125046.23999995</v>
          </cell>
        </row>
        <row r="502">
          <cell r="D502">
            <v>1527629078.8299997</v>
          </cell>
        </row>
        <row r="503">
          <cell r="D503">
            <v>239990870.51999998</v>
          </cell>
        </row>
        <row r="504">
          <cell r="D504">
            <v>5500804248</v>
          </cell>
        </row>
      </sheetData>
      <sheetData sheetId="150">
        <row r="37">
          <cell r="BN37">
            <v>2.67</v>
          </cell>
        </row>
      </sheetData>
      <sheetData sheetId="151"/>
      <sheetData sheetId="152"/>
      <sheetData sheetId="153">
        <row r="3">
          <cell r="A3" t="str">
            <v xml:space="preserve">   Current:     VG Procedure / RL Technique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>
        <row r="26">
          <cell r="H26">
            <v>121979607.94679999</v>
          </cell>
        </row>
      </sheetData>
      <sheetData sheetId="161"/>
      <sheetData sheetId="162"/>
      <sheetData sheetId="163"/>
      <sheetData sheetId="164">
        <row r="29">
          <cell r="M29">
            <v>0</v>
          </cell>
        </row>
      </sheetData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>
        <row r="14">
          <cell r="S14">
            <v>1.1326187863096335E-2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11">
          <cell r="X11">
            <v>409.91071428571428</v>
          </cell>
        </row>
      </sheetData>
      <sheetData sheetId="213"/>
      <sheetData sheetId="214">
        <row r="218">
          <cell r="X218">
            <v>78485832.176015988</v>
          </cell>
        </row>
      </sheetData>
      <sheetData sheetId="215"/>
      <sheetData sheetId="216">
        <row r="5">
          <cell r="A5">
            <v>303</v>
          </cell>
        </row>
      </sheetData>
      <sheetData sheetId="217"/>
      <sheetData sheetId="218">
        <row r="1">
          <cell r="A1" t="str">
            <v xml:space="preserve"> ACCT  GROUP        </v>
          </cell>
        </row>
      </sheetData>
      <sheetData sheetId="219">
        <row r="1">
          <cell r="B1" t="str">
            <v>SIERRA PACIFIC POWER COMPANY</v>
          </cell>
        </row>
      </sheetData>
      <sheetData sheetId="220">
        <row r="4">
          <cell r="A4">
            <v>310.10000000000002</v>
          </cell>
        </row>
      </sheetData>
      <sheetData sheetId="221">
        <row r="1">
          <cell r="A1" t="str">
            <v xml:space="preserve"> ACCT  GROUP        </v>
          </cell>
        </row>
      </sheetData>
      <sheetData sheetId="222">
        <row r="5">
          <cell r="A5">
            <v>301</v>
          </cell>
        </row>
      </sheetData>
      <sheetData sheetId="223">
        <row r="5">
          <cell r="A5">
            <v>301</v>
          </cell>
        </row>
      </sheetData>
      <sheetData sheetId="224">
        <row r="3">
          <cell r="A3">
            <v>303</v>
          </cell>
        </row>
      </sheetData>
      <sheetData sheetId="225">
        <row r="3">
          <cell r="A3">
            <v>303</v>
          </cell>
        </row>
      </sheetData>
      <sheetData sheetId="226">
        <row r="1">
          <cell r="A1" t="str">
            <v xml:space="preserve"> ACCT  GROUP        </v>
          </cell>
        </row>
      </sheetData>
      <sheetData sheetId="227">
        <row r="3">
          <cell r="B3">
            <v>0</v>
          </cell>
        </row>
      </sheetData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81"/>
  <sheetViews>
    <sheetView zoomScaleNormal="100" workbookViewId="0">
      <selection activeCell="H5" sqref="H5"/>
    </sheetView>
  </sheetViews>
  <sheetFormatPr defaultRowHeight="12.75"/>
  <cols>
    <col min="1" max="1" width="9.140625" style="2"/>
    <col min="2" max="2" width="71.85546875" style="2" customWidth="1"/>
    <col min="3" max="4" width="9.140625" style="2"/>
    <col min="5" max="5" width="13.140625" style="2" customWidth="1"/>
    <col min="6" max="6" width="9.140625" style="2"/>
    <col min="7" max="7" width="14.7109375" style="2" customWidth="1"/>
    <col min="8" max="10" width="9.140625" style="2"/>
    <col min="11" max="11" width="11.28515625" style="2" customWidth="1"/>
    <col min="12" max="21" width="9.140625" style="2"/>
    <col min="22" max="22" width="13.140625" style="2" bestFit="1" customWidth="1"/>
    <col min="23" max="16384" width="9.140625" style="2"/>
  </cols>
  <sheetData>
    <row r="1" spans="1:24" ht="18.75">
      <c r="A1" s="202" t="s">
        <v>237</v>
      </c>
      <c r="B1" s="202"/>
      <c r="C1" s="202"/>
      <c r="D1" s="202"/>
      <c r="E1" s="202"/>
      <c r="F1" s="202"/>
    </row>
    <row r="2" spans="1:24" ht="18.75">
      <c r="A2" s="202" t="s">
        <v>238</v>
      </c>
      <c r="B2" s="202"/>
      <c r="C2" s="202"/>
      <c r="D2" s="202"/>
      <c r="E2" s="202"/>
      <c r="F2" s="202"/>
    </row>
    <row r="3" spans="1:24" ht="18.75">
      <c r="A3" s="202" t="s">
        <v>602</v>
      </c>
      <c r="B3" s="202"/>
      <c r="C3" s="202"/>
      <c r="D3" s="202"/>
      <c r="E3" s="202"/>
      <c r="F3" s="202"/>
    </row>
    <row r="4" spans="1:24" ht="18.75">
      <c r="A4" s="202" t="s">
        <v>236</v>
      </c>
      <c r="B4" s="202"/>
      <c r="C4" s="202"/>
      <c r="D4" s="202"/>
      <c r="E4" s="202"/>
      <c r="F4" s="202"/>
    </row>
    <row r="5" spans="1:24" ht="18.75">
      <c r="A5" s="203" t="s">
        <v>599</v>
      </c>
      <c r="B5" s="203"/>
      <c r="C5" s="203"/>
      <c r="D5" s="203"/>
      <c r="E5" s="203"/>
      <c r="F5" s="203"/>
    </row>
    <row r="6" spans="1:24" ht="12.75" customHeight="1">
      <c r="F6" s="106"/>
    </row>
    <row r="7" spans="1:24">
      <c r="A7" s="204" t="s">
        <v>64</v>
      </c>
      <c r="B7" s="204" t="s">
        <v>2</v>
      </c>
      <c r="C7" s="204" t="s">
        <v>65</v>
      </c>
      <c r="D7" s="199" t="s">
        <v>600</v>
      </c>
      <c r="E7" s="204" t="s">
        <v>151</v>
      </c>
      <c r="F7" s="206" t="s">
        <v>152</v>
      </c>
    </row>
    <row r="8" spans="1:24">
      <c r="A8" s="205"/>
      <c r="B8" s="205"/>
      <c r="C8" s="205"/>
      <c r="D8" s="200" t="s">
        <v>601</v>
      </c>
      <c r="E8" s="205"/>
      <c r="F8" s="207"/>
      <c r="K8" s="2" t="s">
        <v>154</v>
      </c>
      <c r="L8" s="2" t="s">
        <v>155</v>
      </c>
      <c r="N8" s="2" t="s">
        <v>156</v>
      </c>
      <c r="X8" s="65"/>
    </row>
    <row r="9" spans="1:24">
      <c r="A9" s="8"/>
      <c r="B9" s="14" t="s">
        <v>66</v>
      </c>
      <c r="C9" s="8"/>
      <c r="D9" s="8"/>
      <c r="E9" s="8"/>
      <c r="F9" s="8"/>
      <c r="K9" s="20">
        <v>1</v>
      </c>
      <c r="M9" s="110" t="s">
        <v>157</v>
      </c>
    </row>
    <row r="10" spans="1:24">
      <c r="A10" s="7" t="s">
        <v>60</v>
      </c>
      <c r="B10" s="8" t="s">
        <v>67</v>
      </c>
      <c r="C10" s="7">
        <v>2</v>
      </c>
      <c r="D10" s="7" t="s">
        <v>102</v>
      </c>
      <c r="E10" s="7" t="s">
        <v>135</v>
      </c>
      <c r="F10" s="7" t="str">
        <f>N10</f>
        <v>2-3</v>
      </c>
      <c r="K10" s="20">
        <v>2</v>
      </c>
      <c r="L10" s="2">
        <f>K9+C10</f>
        <v>3</v>
      </c>
      <c r="M10" s="110" t="s">
        <v>157</v>
      </c>
      <c r="N10" s="20" t="str">
        <f t="shared" ref="N10:N16" si="0">IF(K10=L10,L10,K10&amp;M10&amp;L10)</f>
        <v>2-3</v>
      </c>
      <c r="O10" s="2" t="str">
        <f>N10</f>
        <v>2-3</v>
      </c>
    </row>
    <row r="11" spans="1:24">
      <c r="A11" s="7" t="s">
        <v>68</v>
      </c>
      <c r="B11" s="8" t="s">
        <v>6</v>
      </c>
      <c r="C11" s="7">
        <v>1</v>
      </c>
      <c r="D11" s="7" t="s">
        <v>102</v>
      </c>
      <c r="E11" s="105" t="s">
        <v>135</v>
      </c>
      <c r="F11" s="7">
        <f t="shared" ref="F11:F16" si="1">N11</f>
        <v>4</v>
      </c>
      <c r="G11" s="92"/>
      <c r="K11" s="20">
        <f t="shared" ref="K11:K16" si="2">L10+1</f>
        <v>4</v>
      </c>
      <c r="L11" s="2">
        <f t="shared" ref="L11:L16" si="3">L10+C11</f>
        <v>4</v>
      </c>
      <c r="M11" s="110" t="s">
        <v>157</v>
      </c>
      <c r="N11" s="20">
        <f t="shared" si="0"/>
        <v>4</v>
      </c>
    </row>
    <row r="12" spans="1:24">
      <c r="A12" s="7" t="s">
        <v>61</v>
      </c>
      <c r="B12" s="8" t="s">
        <v>12</v>
      </c>
      <c r="C12" s="7">
        <v>1</v>
      </c>
      <c r="D12" s="7" t="s">
        <v>102</v>
      </c>
      <c r="E12" s="7" t="s">
        <v>135</v>
      </c>
      <c r="F12" s="7">
        <f t="shared" si="1"/>
        <v>5</v>
      </c>
      <c r="K12" s="20">
        <f t="shared" si="2"/>
        <v>5</v>
      </c>
      <c r="L12" s="2">
        <f t="shared" si="3"/>
        <v>5</v>
      </c>
      <c r="M12" s="110" t="s">
        <v>157</v>
      </c>
      <c r="N12" s="20">
        <f t="shared" si="0"/>
        <v>5</v>
      </c>
    </row>
    <row r="13" spans="1:24">
      <c r="A13" s="7" t="s">
        <v>69</v>
      </c>
      <c r="B13" s="8" t="s">
        <v>295</v>
      </c>
      <c r="C13" s="7">
        <v>1</v>
      </c>
      <c r="D13" s="7" t="s">
        <v>102</v>
      </c>
      <c r="E13" s="7" t="s">
        <v>135</v>
      </c>
      <c r="F13" s="7">
        <f t="shared" si="1"/>
        <v>6</v>
      </c>
      <c r="G13" s="20"/>
      <c r="K13" s="20">
        <f t="shared" si="2"/>
        <v>6</v>
      </c>
      <c r="L13" s="2">
        <f t="shared" si="3"/>
        <v>6</v>
      </c>
      <c r="M13" s="110" t="s">
        <v>157</v>
      </c>
      <c r="N13" s="20">
        <f t="shared" si="0"/>
        <v>6</v>
      </c>
    </row>
    <row r="14" spans="1:24">
      <c r="A14" s="7" t="s">
        <v>70</v>
      </c>
      <c r="B14" s="8" t="s">
        <v>25</v>
      </c>
      <c r="C14" s="7">
        <v>1</v>
      </c>
      <c r="D14" s="7" t="s">
        <v>102</v>
      </c>
      <c r="E14" s="7" t="s">
        <v>135</v>
      </c>
      <c r="F14" s="7">
        <f t="shared" si="1"/>
        <v>7</v>
      </c>
      <c r="K14" s="20">
        <f t="shared" si="2"/>
        <v>7</v>
      </c>
      <c r="L14" s="2">
        <f t="shared" si="3"/>
        <v>7</v>
      </c>
      <c r="M14" s="110" t="s">
        <v>157</v>
      </c>
      <c r="N14" s="20">
        <f t="shared" si="0"/>
        <v>7</v>
      </c>
    </row>
    <row r="15" spans="1:24">
      <c r="A15" s="7" t="s">
        <v>71</v>
      </c>
      <c r="B15" s="8" t="s">
        <v>58</v>
      </c>
      <c r="C15" s="7">
        <v>2</v>
      </c>
      <c r="D15" s="7" t="s">
        <v>102</v>
      </c>
      <c r="E15" s="7" t="s">
        <v>135</v>
      </c>
      <c r="F15" s="7" t="str">
        <f t="shared" si="1"/>
        <v>8-9</v>
      </c>
      <c r="K15" s="20">
        <f t="shared" si="2"/>
        <v>8</v>
      </c>
      <c r="L15" s="2">
        <f t="shared" si="3"/>
        <v>9</v>
      </c>
      <c r="M15" s="110" t="s">
        <v>157</v>
      </c>
      <c r="N15" s="20" t="str">
        <f t="shared" si="0"/>
        <v>8-9</v>
      </c>
    </row>
    <row r="16" spans="1:24">
      <c r="A16" s="7" t="s">
        <v>72</v>
      </c>
      <c r="B16" s="8" t="s">
        <v>73</v>
      </c>
      <c r="C16" s="7">
        <v>1</v>
      </c>
      <c r="D16" s="7" t="s">
        <v>102</v>
      </c>
      <c r="E16" s="7" t="s">
        <v>135</v>
      </c>
      <c r="F16" s="7">
        <f t="shared" si="1"/>
        <v>10</v>
      </c>
      <c r="K16" s="20">
        <f t="shared" si="2"/>
        <v>10</v>
      </c>
      <c r="L16" s="2">
        <f t="shared" si="3"/>
        <v>10</v>
      </c>
      <c r="M16" s="110" t="s">
        <v>157</v>
      </c>
      <c r="N16" s="20">
        <f t="shared" si="0"/>
        <v>10</v>
      </c>
    </row>
    <row r="17" spans="1:14">
      <c r="A17" s="7"/>
      <c r="B17" s="8"/>
      <c r="C17" s="7"/>
      <c r="D17" s="7"/>
      <c r="E17" s="7"/>
      <c r="F17" s="107"/>
      <c r="K17" s="20"/>
      <c r="N17" s="20"/>
    </row>
    <row r="18" spans="1:14">
      <c r="A18" s="8"/>
      <c r="B18" s="14" t="s">
        <v>74</v>
      </c>
      <c r="C18" s="8"/>
      <c r="D18" s="8"/>
      <c r="E18" s="8"/>
      <c r="F18" s="107"/>
      <c r="K18" s="20"/>
      <c r="N18" s="20"/>
    </row>
    <row r="19" spans="1:14">
      <c r="A19" s="7" t="str">
        <f>H19&amp;I19</f>
        <v>B-1</v>
      </c>
      <c r="B19" s="8" t="str">
        <f>'B-1'!A2</f>
        <v>Miscellaneous Intangible Plant</v>
      </c>
      <c r="C19" s="7">
        <v>1</v>
      </c>
      <c r="D19" s="7"/>
      <c r="E19" s="7" t="s">
        <v>135</v>
      </c>
      <c r="F19" s="7">
        <f t="shared" ref="F19:F27" si="4">N19</f>
        <v>11</v>
      </c>
      <c r="H19" s="2" t="s">
        <v>125</v>
      </c>
      <c r="I19" s="2">
        <v>1</v>
      </c>
      <c r="K19" s="20">
        <f>L16+1</f>
        <v>11</v>
      </c>
      <c r="L19" s="2">
        <f>L16+C19</f>
        <v>11</v>
      </c>
      <c r="M19" s="110" t="s">
        <v>157</v>
      </c>
      <c r="N19" s="20">
        <f t="shared" ref="N19:N25" si="5">IF(K19=L19,L19,K19&amp;M19&amp;L19)</f>
        <v>11</v>
      </c>
    </row>
    <row r="20" spans="1:14">
      <c r="A20" s="7" t="str">
        <f t="shared" ref="A20:A31" si="6">H20&amp;I20</f>
        <v>B-2</v>
      </c>
      <c r="B20" s="8" t="str">
        <f>'B-2'!A2</f>
        <v>Directors and Officers Liability Insurance Expense in Working Capital</v>
      </c>
      <c r="C20" s="7">
        <v>1</v>
      </c>
      <c r="D20" s="7"/>
      <c r="E20" s="7" t="s">
        <v>135</v>
      </c>
      <c r="F20" s="7">
        <f t="shared" si="4"/>
        <v>12</v>
      </c>
      <c r="H20" s="2" t="s">
        <v>125</v>
      </c>
      <c r="I20" s="2">
        <f>I19+1</f>
        <v>2</v>
      </c>
      <c r="K20" s="20">
        <f t="shared" ref="K20:K25" si="7">L19+1</f>
        <v>12</v>
      </c>
      <c r="L20" s="2">
        <f t="shared" ref="L20:L31" si="8">L19+C20</f>
        <v>12</v>
      </c>
      <c r="M20" s="110" t="s">
        <v>157</v>
      </c>
      <c r="N20" s="20">
        <f t="shared" si="5"/>
        <v>12</v>
      </c>
    </row>
    <row r="21" spans="1:14">
      <c r="A21" s="7" t="str">
        <f t="shared" si="6"/>
        <v>B-3</v>
      </c>
      <c r="B21" s="8" t="str">
        <f>'B-3'!A2</f>
        <v>Accumulated Depreciation - New Depreciation Rates</v>
      </c>
      <c r="C21" s="7">
        <v>1</v>
      </c>
      <c r="D21" s="7" t="s">
        <v>102</v>
      </c>
      <c r="E21" s="7" t="s">
        <v>135</v>
      </c>
      <c r="F21" s="7">
        <f t="shared" si="4"/>
        <v>13</v>
      </c>
      <c r="H21" s="2" t="s">
        <v>125</v>
      </c>
      <c r="I21" s="2">
        <f t="shared" ref="I21:I22" si="9">I20+1</f>
        <v>3</v>
      </c>
      <c r="K21" s="20">
        <f t="shared" si="7"/>
        <v>13</v>
      </c>
      <c r="L21" s="2">
        <f t="shared" si="8"/>
        <v>13</v>
      </c>
      <c r="M21" s="110" t="s">
        <v>157</v>
      </c>
      <c r="N21" s="20">
        <f t="shared" si="5"/>
        <v>13</v>
      </c>
    </row>
    <row r="22" spans="1:14">
      <c r="A22" s="7" t="str">
        <f t="shared" si="6"/>
        <v>B-4</v>
      </c>
      <c r="B22" s="8" t="str">
        <f>'B-4'!A2</f>
        <v xml:space="preserve">Unamortized Rate Case Expense </v>
      </c>
      <c r="C22" s="7">
        <v>1</v>
      </c>
      <c r="D22" s="7"/>
      <c r="E22" s="7" t="s">
        <v>135</v>
      </c>
      <c r="F22" s="7">
        <f t="shared" si="4"/>
        <v>14</v>
      </c>
      <c r="H22" s="2" t="s">
        <v>125</v>
      </c>
      <c r="I22" s="2">
        <f t="shared" si="9"/>
        <v>4</v>
      </c>
      <c r="K22" s="20">
        <f t="shared" si="7"/>
        <v>14</v>
      </c>
      <c r="L22" s="2">
        <f t="shared" si="8"/>
        <v>14</v>
      </c>
      <c r="M22" s="110" t="s">
        <v>157</v>
      </c>
      <c r="N22" s="20">
        <f t="shared" si="5"/>
        <v>14</v>
      </c>
    </row>
    <row r="23" spans="1:14">
      <c r="A23" s="7" t="str">
        <f t="shared" si="6"/>
        <v>B-5</v>
      </c>
      <c r="B23" s="8" t="str">
        <f>'B-5'!A2</f>
        <v>Accumulated Depreciation - Area Expansion Program</v>
      </c>
      <c r="C23" s="7">
        <v>1</v>
      </c>
      <c r="D23" s="7"/>
      <c r="E23" s="7" t="s">
        <v>135</v>
      </c>
      <c r="F23" s="7">
        <f>N23</f>
        <v>15</v>
      </c>
      <c r="H23" s="2" t="s">
        <v>125</v>
      </c>
      <c r="I23" s="2">
        <f>I22+1</f>
        <v>5</v>
      </c>
      <c r="K23" s="20">
        <f>L22+1</f>
        <v>15</v>
      </c>
      <c r="L23" s="2">
        <f t="shared" si="8"/>
        <v>15</v>
      </c>
      <c r="M23" s="110"/>
      <c r="N23" s="20">
        <f t="shared" si="5"/>
        <v>15</v>
      </c>
    </row>
    <row r="24" spans="1:14">
      <c r="A24" s="7" t="str">
        <f t="shared" si="6"/>
        <v>B-6</v>
      </c>
      <c r="B24" s="8" t="str">
        <f>'B-6'!A2</f>
        <v>FPUC Merger Acquisition Adjustment</v>
      </c>
      <c r="C24" s="7">
        <v>1</v>
      </c>
      <c r="D24" s="7"/>
      <c r="E24" s="7" t="s">
        <v>135</v>
      </c>
      <c r="F24" s="7">
        <f t="shared" si="4"/>
        <v>16</v>
      </c>
      <c r="H24" s="2" t="s">
        <v>125</v>
      </c>
      <c r="I24" s="2">
        <f>I23+1</f>
        <v>6</v>
      </c>
      <c r="K24" s="20">
        <f>L23+1</f>
        <v>16</v>
      </c>
      <c r="L24" s="2">
        <f t="shared" si="8"/>
        <v>16</v>
      </c>
      <c r="M24" s="110" t="s">
        <v>157</v>
      </c>
      <c r="N24" s="20">
        <f t="shared" si="5"/>
        <v>16</v>
      </c>
    </row>
    <row r="25" spans="1:14" ht="14.25" hidden="1" customHeight="1">
      <c r="A25" s="7"/>
      <c r="B25" s="8"/>
      <c r="C25" s="7"/>
      <c r="D25" s="7"/>
      <c r="E25" s="7" t="s">
        <v>135</v>
      </c>
      <c r="F25" s="7" t="str">
        <f t="shared" si="4"/>
        <v>17-16</v>
      </c>
      <c r="H25" s="2" t="s">
        <v>125</v>
      </c>
      <c r="I25" s="2">
        <f t="shared" ref="I25:I31" si="10">I24+1</f>
        <v>7</v>
      </c>
      <c r="K25" s="20">
        <f t="shared" si="7"/>
        <v>17</v>
      </c>
      <c r="L25" s="2">
        <f t="shared" si="8"/>
        <v>16</v>
      </c>
      <c r="M25" s="110" t="s">
        <v>157</v>
      </c>
      <c r="N25" s="20" t="str">
        <f t="shared" si="5"/>
        <v>17-16</v>
      </c>
    </row>
    <row r="26" spans="1:14" ht="15.75" hidden="1" customHeight="1">
      <c r="A26" s="7"/>
      <c r="C26" s="7"/>
      <c r="D26" s="7"/>
      <c r="E26" s="7" t="s">
        <v>135</v>
      </c>
      <c r="F26" s="7" t="str">
        <f t="shared" ref="F26" si="11">N26</f>
        <v>17-16</v>
      </c>
      <c r="H26" s="2" t="s">
        <v>125</v>
      </c>
      <c r="I26" s="2">
        <f t="shared" si="10"/>
        <v>8</v>
      </c>
      <c r="K26" s="20">
        <f t="shared" ref="K26:K27" si="12">L25+1</f>
        <v>17</v>
      </c>
      <c r="L26" s="2">
        <f t="shared" si="8"/>
        <v>16</v>
      </c>
      <c r="M26" s="110" t="s">
        <v>157</v>
      </c>
      <c r="N26" s="20" t="str">
        <f t="shared" ref="N26:N27" si="13">IF(K26=L26,L26,K26&amp;M26&amp;L26)</f>
        <v>17-16</v>
      </c>
    </row>
    <row r="27" spans="1:14" ht="14.25" hidden="1" customHeight="1">
      <c r="A27" s="7" t="str">
        <f t="shared" si="6"/>
        <v>B-9</v>
      </c>
      <c r="B27" s="8"/>
      <c r="C27" s="7"/>
      <c r="D27" s="7"/>
      <c r="E27" s="7" t="s">
        <v>135</v>
      </c>
      <c r="F27" s="7" t="str">
        <f t="shared" si="4"/>
        <v>17-16</v>
      </c>
      <c r="H27" s="2" t="s">
        <v>125</v>
      </c>
      <c r="I27" s="2">
        <f t="shared" si="10"/>
        <v>9</v>
      </c>
      <c r="K27" s="20">
        <f t="shared" si="12"/>
        <v>17</v>
      </c>
      <c r="L27" s="2">
        <f t="shared" si="8"/>
        <v>16</v>
      </c>
      <c r="M27" s="110" t="s">
        <v>157</v>
      </c>
      <c r="N27" s="20" t="str">
        <f t="shared" si="13"/>
        <v>17-16</v>
      </c>
    </row>
    <row r="28" spans="1:14" ht="17.25" hidden="1" customHeight="1">
      <c r="A28" s="7" t="str">
        <f t="shared" ref="A28" si="14">H28&amp;I28</f>
        <v>B-10</v>
      </c>
      <c r="B28" s="8"/>
      <c r="C28" s="7"/>
      <c r="D28" s="7"/>
      <c r="E28" s="7" t="s">
        <v>135</v>
      </c>
      <c r="F28" s="7" t="str">
        <f t="shared" ref="F28" si="15">N28</f>
        <v>17-16</v>
      </c>
      <c r="H28" s="2" t="s">
        <v>125</v>
      </c>
      <c r="I28" s="2">
        <f t="shared" si="10"/>
        <v>10</v>
      </c>
      <c r="K28" s="20">
        <f t="shared" ref="K28:K29" si="16">L27+1</f>
        <v>17</v>
      </c>
      <c r="L28" s="2">
        <f t="shared" si="8"/>
        <v>16</v>
      </c>
      <c r="M28" s="110" t="s">
        <v>157</v>
      </c>
      <c r="N28" s="20" t="str">
        <f t="shared" ref="N28:N29" si="17">IF(K28=L28,L28,K28&amp;M28&amp;L28)</f>
        <v>17-16</v>
      </c>
    </row>
    <row r="29" spans="1:14" ht="17.25" hidden="1" customHeight="1">
      <c r="A29" s="7" t="str">
        <f t="shared" si="6"/>
        <v>B-11</v>
      </c>
      <c r="C29" s="7"/>
      <c r="D29" s="7"/>
      <c r="E29" s="7" t="s">
        <v>135</v>
      </c>
      <c r="F29" s="7" t="str">
        <f t="shared" ref="F29" si="18">N29</f>
        <v>17-16</v>
      </c>
      <c r="H29" s="2" t="s">
        <v>125</v>
      </c>
      <c r="I29" s="2">
        <f t="shared" si="10"/>
        <v>11</v>
      </c>
      <c r="K29" s="20">
        <f t="shared" si="16"/>
        <v>17</v>
      </c>
      <c r="L29" s="2">
        <f t="shared" si="8"/>
        <v>16</v>
      </c>
      <c r="M29" s="110" t="s">
        <v>157</v>
      </c>
      <c r="N29" s="20" t="str">
        <f t="shared" si="17"/>
        <v>17-16</v>
      </c>
    </row>
    <row r="30" spans="1:14" ht="15" hidden="1" customHeight="1">
      <c r="A30" s="7" t="str">
        <f t="shared" si="6"/>
        <v>B-12</v>
      </c>
      <c r="B30" s="8"/>
      <c r="C30" s="7"/>
      <c r="D30" s="7"/>
      <c r="E30" s="7" t="s">
        <v>135</v>
      </c>
      <c r="F30" s="7" t="str">
        <f t="shared" ref="F30" si="19">N30</f>
        <v>17-16</v>
      </c>
      <c r="H30" s="2" t="s">
        <v>125</v>
      </c>
      <c r="I30" s="2">
        <f t="shared" si="10"/>
        <v>12</v>
      </c>
      <c r="K30" s="20">
        <f t="shared" ref="K30" si="20">L29+1</f>
        <v>17</v>
      </c>
      <c r="L30" s="2">
        <f t="shared" si="8"/>
        <v>16</v>
      </c>
      <c r="M30" s="110" t="s">
        <v>157</v>
      </c>
      <c r="N30" s="20" t="str">
        <f t="shared" ref="N30" si="21">IF(K30=L30,L30,K30&amp;M30&amp;L30)</f>
        <v>17-16</v>
      </c>
    </row>
    <row r="31" spans="1:14" ht="13.5" hidden="1" customHeight="1">
      <c r="A31" s="7" t="str">
        <f t="shared" si="6"/>
        <v>B-13</v>
      </c>
      <c r="B31" s="8"/>
      <c r="C31" s="7"/>
      <c r="D31" s="7"/>
      <c r="E31" s="7" t="s">
        <v>135</v>
      </c>
      <c r="F31" s="7"/>
      <c r="H31" s="2" t="s">
        <v>125</v>
      </c>
      <c r="I31" s="2">
        <f t="shared" si="10"/>
        <v>13</v>
      </c>
      <c r="K31" s="20">
        <f t="shared" ref="K31" si="22">L30+1</f>
        <v>17</v>
      </c>
      <c r="L31" s="2">
        <f t="shared" si="8"/>
        <v>16</v>
      </c>
      <c r="M31" s="110" t="s">
        <v>157</v>
      </c>
      <c r="N31" s="20" t="str">
        <f t="shared" ref="N31" si="23">IF(K31=L31,L31,K31&amp;M31&amp;L31)</f>
        <v>17-16</v>
      </c>
    </row>
    <row r="32" spans="1:14">
      <c r="A32" s="7"/>
      <c r="B32" s="8"/>
      <c r="C32" s="7"/>
      <c r="D32" s="7"/>
      <c r="E32" s="7"/>
      <c r="F32" s="107"/>
      <c r="K32" s="20"/>
      <c r="M32" s="110"/>
      <c r="N32" s="20"/>
    </row>
    <row r="33" spans="1:14">
      <c r="A33" s="8"/>
      <c r="B33" s="14" t="s">
        <v>75</v>
      </c>
      <c r="C33" s="8"/>
      <c r="D33" s="8"/>
      <c r="E33" s="8"/>
      <c r="F33" s="107"/>
      <c r="K33" s="20"/>
      <c r="N33" s="20"/>
    </row>
    <row r="34" spans="1:14">
      <c r="A34" s="7" t="str">
        <f t="shared" ref="A34:A61" si="24">H34&amp;I34</f>
        <v>C-1</v>
      </c>
      <c r="B34" s="8" t="str">
        <f>'C-1'!A2</f>
        <v>Depreciation Expense - New Depreciation Rates</v>
      </c>
      <c r="C34" s="7">
        <v>5</v>
      </c>
      <c r="D34" s="7" t="s">
        <v>102</v>
      </c>
      <c r="E34" s="7" t="s">
        <v>135</v>
      </c>
      <c r="F34" s="7" t="str">
        <f t="shared" ref="F34:F57" si="25">N34</f>
        <v>17-21</v>
      </c>
      <c r="H34" s="2" t="s">
        <v>83</v>
      </c>
      <c r="I34" s="2">
        <v>1</v>
      </c>
      <c r="K34" s="20">
        <f>L30+1</f>
        <v>17</v>
      </c>
      <c r="L34" s="2">
        <f>L30+C34</f>
        <v>21</v>
      </c>
      <c r="M34" s="110" t="s">
        <v>157</v>
      </c>
      <c r="N34" s="20" t="str">
        <f t="shared" ref="N34" si="26">IF(K34=L34,L34,K34&amp;M34&amp;L34)</f>
        <v>17-21</v>
      </c>
    </row>
    <row r="35" spans="1:14">
      <c r="A35" s="7" t="str">
        <f t="shared" si="24"/>
        <v>C-2</v>
      </c>
      <c r="B35" s="8" t="str">
        <f>'C-2'!A2</f>
        <v>Amortizaton Expense Related to FPUC Merger Acquisition Adjustment</v>
      </c>
      <c r="C35" s="7">
        <v>1</v>
      </c>
      <c r="D35" s="7"/>
      <c r="E35" s="7" t="s">
        <v>135</v>
      </c>
      <c r="F35" s="7">
        <f t="shared" si="25"/>
        <v>22</v>
      </c>
      <c r="H35" s="2" t="s">
        <v>83</v>
      </c>
      <c r="I35" s="2">
        <f>I34+1</f>
        <v>2</v>
      </c>
      <c r="K35" s="20">
        <f t="shared" ref="K35:K60" si="27">L34+1</f>
        <v>22</v>
      </c>
      <c r="L35" s="2">
        <f t="shared" ref="L35:L57" si="28">L34+C35</f>
        <v>22</v>
      </c>
      <c r="M35" s="110" t="s">
        <v>157</v>
      </c>
      <c r="N35" s="20">
        <f t="shared" ref="N35:N60" si="29">IF(K35=L35,L35,K35&amp;M35&amp;L35)</f>
        <v>22</v>
      </c>
    </row>
    <row r="36" spans="1:14">
      <c r="A36" s="7" t="str">
        <f t="shared" si="24"/>
        <v>C-3</v>
      </c>
      <c r="B36" s="8" t="str">
        <f>'C-3'!A2</f>
        <v>Incentive Compensation Expense</v>
      </c>
      <c r="C36" s="7">
        <v>1</v>
      </c>
      <c r="D36" s="7"/>
      <c r="E36" s="7" t="s">
        <v>135</v>
      </c>
      <c r="F36" s="7">
        <f t="shared" si="25"/>
        <v>23</v>
      </c>
      <c r="H36" s="2" t="s">
        <v>83</v>
      </c>
      <c r="I36" s="2">
        <f t="shared" ref="I36:I69" si="30">I35+1</f>
        <v>3</v>
      </c>
      <c r="K36" s="20">
        <f t="shared" si="27"/>
        <v>23</v>
      </c>
      <c r="L36" s="2">
        <f t="shared" si="28"/>
        <v>23</v>
      </c>
      <c r="M36" s="110" t="s">
        <v>157</v>
      </c>
      <c r="N36" s="20">
        <f t="shared" si="29"/>
        <v>23</v>
      </c>
    </row>
    <row r="37" spans="1:14">
      <c r="A37" s="7" t="str">
        <f t="shared" si="24"/>
        <v>C-4</v>
      </c>
      <c r="B37" s="8" t="str">
        <f>'C-4'!A2</f>
        <v>Stock-Based Compensation Expense</v>
      </c>
      <c r="C37" s="7">
        <v>1</v>
      </c>
      <c r="D37" s="7"/>
      <c r="E37" s="7" t="s">
        <v>135</v>
      </c>
      <c r="F37" s="7">
        <f t="shared" si="25"/>
        <v>24</v>
      </c>
      <c r="H37" s="2" t="s">
        <v>83</v>
      </c>
      <c r="I37" s="2">
        <f t="shared" si="30"/>
        <v>4</v>
      </c>
      <c r="K37" s="20">
        <f t="shared" si="27"/>
        <v>24</v>
      </c>
      <c r="L37" s="2">
        <f t="shared" si="28"/>
        <v>24</v>
      </c>
      <c r="M37" s="110" t="s">
        <v>157</v>
      </c>
      <c r="N37" s="20">
        <f t="shared" si="29"/>
        <v>24</v>
      </c>
    </row>
    <row r="38" spans="1:14">
      <c r="A38" s="7" t="str">
        <f t="shared" si="24"/>
        <v>C-5</v>
      </c>
      <c r="B38" s="8" t="str">
        <f>'C-5'!A2</f>
        <v>Payroll Tax Expense</v>
      </c>
      <c r="C38" s="7">
        <v>1</v>
      </c>
      <c r="D38" s="7"/>
      <c r="E38" s="7" t="s">
        <v>135</v>
      </c>
      <c r="F38" s="7">
        <f t="shared" si="25"/>
        <v>25</v>
      </c>
      <c r="H38" s="2" t="s">
        <v>83</v>
      </c>
      <c r="I38" s="2">
        <f t="shared" si="30"/>
        <v>5</v>
      </c>
      <c r="K38" s="20">
        <f t="shared" si="27"/>
        <v>25</v>
      </c>
      <c r="L38" s="2">
        <f t="shared" si="28"/>
        <v>25</v>
      </c>
      <c r="M38" s="110" t="s">
        <v>157</v>
      </c>
      <c r="N38" s="20">
        <f t="shared" si="29"/>
        <v>25</v>
      </c>
    </row>
    <row r="39" spans="1:14">
      <c r="A39" s="7" t="str">
        <f t="shared" si="24"/>
        <v>C-6</v>
      </c>
      <c r="B39" s="8" t="str">
        <f>'C-6'!A2</f>
        <v>Supplemental Executive Retirement Program (SERP) Expense</v>
      </c>
      <c r="C39" s="7">
        <v>1</v>
      </c>
      <c r="D39" s="7"/>
      <c r="E39" s="7" t="s">
        <v>135</v>
      </c>
      <c r="F39" s="7">
        <f t="shared" si="25"/>
        <v>26</v>
      </c>
      <c r="H39" s="2" t="s">
        <v>83</v>
      </c>
      <c r="I39" s="2">
        <f t="shared" si="30"/>
        <v>6</v>
      </c>
      <c r="K39" s="20">
        <f t="shared" si="27"/>
        <v>26</v>
      </c>
      <c r="L39" s="2">
        <f t="shared" si="28"/>
        <v>26</v>
      </c>
      <c r="M39" s="110" t="s">
        <v>157</v>
      </c>
      <c r="N39" s="20">
        <f t="shared" si="29"/>
        <v>26</v>
      </c>
    </row>
    <row r="40" spans="1:14">
      <c r="A40" s="7" t="str">
        <f t="shared" si="24"/>
        <v>C-7</v>
      </c>
      <c r="B40" s="2" t="str">
        <f>'C-7'!A2</f>
        <v>Directors and Officers Liability Insurance Expense</v>
      </c>
      <c r="C40" s="7">
        <v>1</v>
      </c>
      <c r="D40" s="7"/>
      <c r="E40" s="7" t="s">
        <v>135</v>
      </c>
      <c r="F40" s="7">
        <f t="shared" si="25"/>
        <v>27</v>
      </c>
      <c r="H40" s="2" t="s">
        <v>83</v>
      </c>
      <c r="I40" s="2">
        <f t="shared" si="30"/>
        <v>7</v>
      </c>
      <c r="K40" s="20">
        <f t="shared" si="27"/>
        <v>27</v>
      </c>
      <c r="L40" s="2">
        <f t="shared" si="28"/>
        <v>27</v>
      </c>
      <c r="M40" s="110" t="s">
        <v>157</v>
      </c>
      <c r="N40" s="20">
        <f t="shared" si="29"/>
        <v>27</v>
      </c>
    </row>
    <row r="41" spans="1:14">
      <c r="A41" s="7" t="str">
        <f t="shared" si="24"/>
        <v>C-8</v>
      </c>
      <c r="B41" s="8" t="str">
        <f>'C-8'!A2</f>
        <v>Rent Expense</v>
      </c>
      <c r="C41" s="7">
        <v>1</v>
      </c>
      <c r="D41" s="7"/>
      <c r="E41" s="7" t="s">
        <v>135</v>
      </c>
      <c r="F41" s="7">
        <f t="shared" si="25"/>
        <v>28</v>
      </c>
      <c r="H41" s="2" t="s">
        <v>83</v>
      </c>
      <c r="I41" s="2">
        <f t="shared" si="30"/>
        <v>8</v>
      </c>
      <c r="K41" s="20">
        <f t="shared" si="27"/>
        <v>28</v>
      </c>
      <c r="L41" s="2">
        <f t="shared" si="28"/>
        <v>28</v>
      </c>
      <c r="M41" s="110" t="s">
        <v>157</v>
      </c>
      <c r="N41" s="20">
        <f t="shared" si="29"/>
        <v>28</v>
      </c>
    </row>
    <row r="42" spans="1:14">
      <c r="A42" s="105" t="str">
        <f t="shared" si="24"/>
        <v>C-9</v>
      </c>
      <c r="B42" s="8" t="str">
        <f>'C-9'!A2</f>
        <v>Lobbying Costs</v>
      </c>
      <c r="C42" s="7">
        <v>1</v>
      </c>
      <c r="D42" s="7"/>
      <c r="E42" s="7" t="s">
        <v>135</v>
      </c>
      <c r="F42" s="7">
        <f t="shared" si="25"/>
        <v>29</v>
      </c>
      <c r="H42" s="2" t="s">
        <v>83</v>
      </c>
      <c r="I42" s="2">
        <f t="shared" si="30"/>
        <v>9</v>
      </c>
      <c r="K42" s="20">
        <f t="shared" si="27"/>
        <v>29</v>
      </c>
      <c r="L42" s="2">
        <f t="shared" si="28"/>
        <v>29</v>
      </c>
      <c r="M42" s="110" t="s">
        <v>157</v>
      </c>
      <c r="N42" s="20">
        <f t="shared" si="29"/>
        <v>29</v>
      </c>
    </row>
    <row r="43" spans="1:14">
      <c r="A43" s="105" t="str">
        <f t="shared" si="24"/>
        <v>C-10</v>
      </c>
      <c r="B43" s="8" t="s">
        <v>104</v>
      </c>
      <c r="C43" s="7">
        <v>1</v>
      </c>
      <c r="D43" s="7" t="s">
        <v>102</v>
      </c>
      <c r="E43" s="7" t="s">
        <v>135</v>
      </c>
      <c r="F43" s="7">
        <f t="shared" si="25"/>
        <v>30</v>
      </c>
      <c r="H43" s="2" t="s">
        <v>83</v>
      </c>
      <c r="I43" s="2">
        <f t="shared" si="30"/>
        <v>10</v>
      </c>
      <c r="K43" s="20">
        <f t="shared" si="27"/>
        <v>30</v>
      </c>
      <c r="L43" s="2">
        <f t="shared" si="28"/>
        <v>30</v>
      </c>
      <c r="M43" s="110" t="s">
        <v>157</v>
      </c>
      <c r="N43" s="20">
        <f t="shared" si="29"/>
        <v>30</v>
      </c>
    </row>
    <row r="44" spans="1:14">
      <c r="A44" s="105" t="str">
        <f t="shared" si="24"/>
        <v>C-11</v>
      </c>
      <c r="B44" s="8" t="str">
        <f>'C-11'!A2</f>
        <v xml:space="preserve">Parent Company Debt Adjustment </v>
      </c>
      <c r="C44" s="7">
        <v>2</v>
      </c>
      <c r="D44" s="20" t="s">
        <v>102</v>
      </c>
      <c r="E44" s="7" t="s">
        <v>135</v>
      </c>
      <c r="F44" s="7" t="str">
        <f t="shared" ref="F44" si="31">N44</f>
        <v>31-32</v>
      </c>
      <c r="H44" s="2" t="s">
        <v>83</v>
      </c>
      <c r="I44" s="2">
        <f t="shared" si="30"/>
        <v>11</v>
      </c>
      <c r="K44" s="20">
        <f t="shared" ref="K44:K46" si="32">L43+1</f>
        <v>31</v>
      </c>
      <c r="L44" s="2">
        <f t="shared" si="28"/>
        <v>32</v>
      </c>
      <c r="M44" s="110" t="s">
        <v>157</v>
      </c>
      <c r="N44" s="20" t="str">
        <f t="shared" ref="N44:N46" si="33">IF(K44=L44,L44,K44&amp;M44&amp;L44)</f>
        <v>31-32</v>
      </c>
    </row>
    <row r="45" spans="1:14">
      <c r="A45" s="105" t="str">
        <f t="shared" si="24"/>
        <v>C-12</v>
      </c>
      <c r="B45" s="111" t="str">
        <f>'C-12'!A2</f>
        <v>Company Sponsored Events</v>
      </c>
      <c r="C45" s="7">
        <v>1</v>
      </c>
      <c r="D45" s="7"/>
      <c r="E45" s="7" t="s">
        <v>135</v>
      </c>
      <c r="F45" s="7">
        <f t="shared" ref="F45" si="34">N45</f>
        <v>33</v>
      </c>
      <c r="H45" s="2" t="s">
        <v>83</v>
      </c>
      <c r="I45" s="2">
        <f t="shared" si="30"/>
        <v>12</v>
      </c>
      <c r="K45" s="20">
        <f t="shared" si="32"/>
        <v>33</v>
      </c>
      <c r="L45" s="2">
        <f t="shared" si="28"/>
        <v>33</v>
      </c>
      <c r="M45" s="110" t="s">
        <v>157</v>
      </c>
      <c r="N45" s="20">
        <f t="shared" si="33"/>
        <v>33</v>
      </c>
    </row>
    <row r="46" spans="1:14" ht="12" hidden="1" customHeight="1">
      <c r="A46" s="105"/>
      <c r="B46" s="8"/>
      <c r="C46" s="7"/>
      <c r="D46" s="7"/>
      <c r="E46" s="7" t="s">
        <v>135</v>
      </c>
      <c r="F46" s="7" t="str">
        <f t="shared" ref="F46:F53" si="35">N46</f>
        <v>34-33</v>
      </c>
      <c r="H46" s="2" t="s">
        <v>83</v>
      </c>
      <c r="I46" s="2">
        <f t="shared" si="30"/>
        <v>13</v>
      </c>
      <c r="K46" s="20">
        <f t="shared" si="32"/>
        <v>34</v>
      </c>
      <c r="L46" s="2">
        <f t="shared" si="28"/>
        <v>33</v>
      </c>
      <c r="M46" s="110" t="s">
        <v>157</v>
      </c>
      <c r="N46" s="20" t="str">
        <f t="shared" si="33"/>
        <v>34-33</v>
      </c>
    </row>
    <row r="47" spans="1:14" hidden="1">
      <c r="A47" s="105" t="str">
        <f t="shared" si="24"/>
        <v>C-14</v>
      </c>
      <c r="B47" s="8"/>
      <c r="C47" s="7"/>
      <c r="D47" s="7"/>
      <c r="E47" s="7" t="s">
        <v>135</v>
      </c>
      <c r="F47" s="7" t="str">
        <f t="shared" si="35"/>
        <v>34-33</v>
      </c>
      <c r="H47" s="2" t="s">
        <v>83</v>
      </c>
      <c r="I47" s="2">
        <f t="shared" si="30"/>
        <v>14</v>
      </c>
      <c r="K47" s="20">
        <f t="shared" ref="K47" si="36">L46+1</f>
        <v>34</v>
      </c>
      <c r="L47" s="2">
        <f t="shared" si="28"/>
        <v>33</v>
      </c>
      <c r="M47" s="110" t="s">
        <v>157</v>
      </c>
      <c r="N47" s="20" t="str">
        <f t="shared" ref="N47" si="37">IF(K47=L47,L47,K47&amp;M47&amp;L47)</f>
        <v>34-33</v>
      </c>
    </row>
    <row r="48" spans="1:14" hidden="1">
      <c r="A48" s="122" t="str">
        <f t="shared" si="24"/>
        <v>C-14.1</v>
      </c>
      <c r="B48" s="111"/>
      <c r="C48" s="7"/>
      <c r="D48" s="7"/>
      <c r="E48" s="7" t="s">
        <v>135</v>
      </c>
      <c r="F48" s="7" t="str">
        <f t="shared" ref="F48:F51" si="38">N48</f>
        <v>34-33</v>
      </c>
      <c r="H48" s="2" t="s">
        <v>83</v>
      </c>
      <c r="I48" s="2">
        <v>14.1</v>
      </c>
      <c r="K48" s="20">
        <f t="shared" ref="K48:K51" si="39">L47+1</f>
        <v>34</v>
      </c>
      <c r="L48" s="2">
        <f t="shared" si="28"/>
        <v>33</v>
      </c>
      <c r="M48" s="110" t="s">
        <v>157</v>
      </c>
      <c r="N48" s="20" t="str">
        <f t="shared" ref="N48:N51" si="40">IF(K48=L48,L48,K48&amp;M48&amp;L48)</f>
        <v>34-33</v>
      </c>
    </row>
    <row r="49" spans="1:14" hidden="1">
      <c r="A49" s="122" t="str">
        <f t="shared" si="24"/>
        <v>C-14.2</v>
      </c>
      <c r="B49" s="111"/>
      <c r="C49" s="7"/>
      <c r="D49" s="7"/>
      <c r="E49" s="7" t="s">
        <v>135</v>
      </c>
      <c r="F49" s="7" t="str">
        <f t="shared" si="38"/>
        <v>34-33</v>
      </c>
      <c r="H49" s="2" t="s">
        <v>83</v>
      </c>
      <c r="I49" s="2">
        <v>14.2</v>
      </c>
      <c r="K49" s="20">
        <f t="shared" si="39"/>
        <v>34</v>
      </c>
      <c r="L49" s="2">
        <f t="shared" si="28"/>
        <v>33</v>
      </c>
      <c r="M49" s="110" t="s">
        <v>157</v>
      </c>
      <c r="N49" s="20" t="str">
        <f t="shared" si="40"/>
        <v>34-33</v>
      </c>
    </row>
    <row r="50" spans="1:14" hidden="1">
      <c r="A50" s="105" t="str">
        <f t="shared" si="24"/>
        <v>C-14.3</v>
      </c>
      <c r="B50" s="8"/>
      <c r="C50" s="7"/>
      <c r="D50" s="7"/>
      <c r="E50" s="7" t="s">
        <v>135</v>
      </c>
      <c r="F50" s="7" t="str">
        <f t="shared" si="38"/>
        <v>34-33</v>
      </c>
      <c r="H50" s="2" t="s">
        <v>83</v>
      </c>
      <c r="I50" s="2">
        <v>14.3</v>
      </c>
      <c r="K50" s="20">
        <f t="shared" si="39"/>
        <v>34</v>
      </c>
      <c r="L50" s="2">
        <f t="shared" si="28"/>
        <v>33</v>
      </c>
      <c r="M50" s="110" t="s">
        <v>157</v>
      </c>
      <c r="N50" s="20" t="str">
        <f t="shared" si="40"/>
        <v>34-33</v>
      </c>
    </row>
    <row r="51" spans="1:14" hidden="1">
      <c r="A51" s="105" t="str">
        <f t="shared" si="24"/>
        <v>C-14.4</v>
      </c>
      <c r="B51" s="8"/>
      <c r="C51" s="7"/>
      <c r="D51" s="7"/>
      <c r="E51" s="7" t="s">
        <v>135</v>
      </c>
      <c r="F51" s="7" t="str">
        <f t="shared" si="38"/>
        <v>34-33</v>
      </c>
      <c r="H51" s="2" t="s">
        <v>83</v>
      </c>
      <c r="I51" s="2">
        <v>14.4</v>
      </c>
      <c r="K51" s="20">
        <f t="shared" si="39"/>
        <v>34</v>
      </c>
      <c r="L51" s="2">
        <f t="shared" si="28"/>
        <v>33</v>
      </c>
      <c r="M51" s="110" t="s">
        <v>157</v>
      </c>
      <c r="N51" s="20" t="str">
        <f t="shared" si="40"/>
        <v>34-33</v>
      </c>
    </row>
    <row r="52" spans="1:14" hidden="1">
      <c r="A52" s="105" t="str">
        <f t="shared" si="24"/>
        <v>C-15</v>
      </c>
      <c r="B52" s="8"/>
      <c r="C52" s="7"/>
      <c r="D52" s="7"/>
      <c r="E52" s="7" t="s">
        <v>135</v>
      </c>
      <c r="F52" s="7" t="str">
        <f t="shared" si="35"/>
        <v>34-33</v>
      </c>
      <c r="H52" s="2" t="s">
        <v>83</v>
      </c>
      <c r="I52" s="2">
        <f>I47+1</f>
        <v>15</v>
      </c>
      <c r="K52" s="20">
        <f t="shared" ref="K52:K53" si="41">L51+1</f>
        <v>34</v>
      </c>
      <c r="L52" s="2">
        <f t="shared" si="28"/>
        <v>33</v>
      </c>
      <c r="M52" s="110" t="s">
        <v>157</v>
      </c>
      <c r="N52" s="20" t="str">
        <f t="shared" ref="N52:N53" si="42">IF(K52=L52,L52,K52&amp;M52&amp;L52)</f>
        <v>34-33</v>
      </c>
    </row>
    <row r="53" spans="1:14" hidden="1">
      <c r="A53" s="105" t="str">
        <f t="shared" si="24"/>
        <v>C-16</v>
      </c>
      <c r="B53" s="8"/>
      <c r="C53" s="7"/>
      <c r="D53" s="7"/>
      <c r="E53" s="7" t="s">
        <v>135</v>
      </c>
      <c r="F53" s="7" t="str">
        <f t="shared" si="35"/>
        <v>34-33</v>
      </c>
      <c r="H53" s="2" t="s">
        <v>83</v>
      </c>
      <c r="I53" s="2">
        <f t="shared" si="30"/>
        <v>16</v>
      </c>
      <c r="K53" s="20">
        <f t="shared" si="41"/>
        <v>34</v>
      </c>
      <c r="L53" s="2">
        <f t="shared" si="28"/>
        <v>33</v>
      </c>
      <c r="M53" s="110" t="s">
        <v>157</v>
      </c>
      <c r="N53" s="20" t="str">
        <f t="shared" si="42"/>
        <v>34-33</v>
      </c>
    </row>
    <row r="54" spans="1:14" hidden="1">
      <c r="A54" s="105" t="str">
        <f t="shared" si="24"/>
        <v>C-17</v>
      </c>
      <c r="B54" s="8"/>
      <c r="C54" s="7">
        <v>1</v>
      </c>
      <c r="D54" s="7"/>
      <c r="E54" s="7" t="s">
        <v>135</v>
      </c>
      <c r="F54" s="7">
        <f t="shared" si="25"/>
        <v>34</v>
      </c>
      <c r="H54" s="2" t="s">
        <v>83</v>
      </c>
      <c r="I54" s="2">
        <f t="shared" si="30"/>
        <v>17</v>
      </c>
      <c r="K54" s="20">
        <f t="shared" ref="K54:K57" si="43">L53+1</f>
        <v>34</v>
      </c>
      <c r="L54" s="2">
        <f t="shared" si="28"/>
        <v>34</v>
      </c>
      <c r="M54" s="110" t="s">
        <v>157</v>
      </c>
      <c r="N54" s="20">
        <f t="shared" ref="N54:N57" si="44">IF(K54=L54,L54,K54&amp;M54&amp;L54)</f>
        <v>34</v>
      </c>
    </row>
    <row r="55" spans="1:14" hidden="1">
      <c r="A55" s="105" t="str">
        <f t="shared" si="24"/>
        <v>C-18</v>
      </c>
      <c r="B55" s="8"/>
      <c r="C55" s="7"/>
      <c r="D55" s="7"/>
      <c r="E55" s="7"/>
      <c r="F55" s="7" t="str">
        <f t="shared" si="25"/>
        <v>35-34</v>
      </c>
      <c r="H55" s="2" t="s">
        <v>83</v>
      </c>
      <c r="I55" s="2">
        <f t="shared" si="30"/>
        <v>18</v>
      </c>
      <c r="K55" s="20">
        <f t="shared" si="43"/>
        <v>35</v>
      </c>
      <c r="L55" s="2">
        <f t="shared" si="28"/>
        <v>34</v>
      </c>
      <c r="M55" s="110" t="s">
        <v>157</v>
      </c>
      <c r="N55" s="20" t="str">
        <f t="shared" si="44"/>
        <v>35-34</v>
      </c>
    </row>
    <row r="56" spans="1:14" hidden="1">
      <c r="A56" s="105" t="str">
        <f t="shared" si="24"/>
        <v>C-19</v>
      </c>
      <c r="B56" s="8"/>
      <c r="C56" s="7"/>
      <c r="D56" s="7"/>
      <c r="E56" s="7"/>
      <c r="F56" s="7" t="str">
        <f t="shared" si="25"/>
        <v>35-34</v>
      </c>
      <c r="H56" s="2" t="s">
        <v>83</v>
      </c>
      <c r="I56" s="2">
        <f t="shared" si="30"/>
        <v>19</v>
      </c>
      <c r="K56" s="20">
        <f t="shared" si="43"/>
        <v>35</v>
      </c>
      <c r="L56" s="2">
        <f t="shared" si="28"/>
        <v>34</v>
      </c>
      <c r="M56" s="110" t="s">
        <v>157</v>
      </c>
      <c r="N56" s="20" t="str">
        <f t="shared" si="44"/>
        <v>35-34</v>
      </c>
    </row>
    <row r="57" spans="1:14" hidden="1">
      <c r="A57" s="105" t="str">
        <f t="shared" si="24"/>
        <v>C-20</v>
      </c>
      <c r="B57" s="8"/>
      <c r="C57" s="7"/>
      <c r="D57" s="7"/>
      <c r="E57" s="7"/>
      <c r="F57" s="7" t="str">
        <f t="shared" si="25"/>
        <v>35-34</v>
      </c>
      <c r="H57" s="2" t="s">
        <v>83</v>
      </c>
      <c r="I57" s="2">
        <f t="shared" si="30"/>
        <v>20</v>
      </c>
      <c r="K57" s="20">
        <f t="shared" si="43"/>
        <v>35</v>
      </c>
      <c r="L57" s="2">
        <f t="shared" si="28"/>
        <v>34</v>
      </c>
      <c r="M57" s="110" t="s">
        <v>157</v>
      </c>
      <c r="N57" s="20" t="str">
        <f t="shared" si="44"/>
        <v>35-34</v>
      </c>
    </row>
    <row r="58" spans="1:14" hidden="1">
      <c r="A58" s="7" t="str">
        <f t="shared" si="24"/>
        <v>C-21</v>
      </c>
      <c r="B58" s="8"/>
      <c r="C58" s="7"/>
      <c r="D58" s="7"/>
      <c r="E58" s="7" t="s">
        <v>135</v>
      </c>
      <c r="F58" s="7"/>
      <c r="H58" s="2" t="s">
        <v>83</v>
      </c>
      <c r="I58" s="2">
        <f t="shared" si="30"/>
        <v>21</v>
      </c>
      <c r="K58" s="20" t="e">
        <f>#REF!+1</f>
        <v>#REF!</v>
      </c>
      <c r="L58" s="2" t="e">
        <f>#REF!+C58</f>
        <v>#REF!</v>
      </c>
      <c r="M58" s="110" t="s">
        <v>157</v>
      </c>
      <c r="N58" s="20" t="e">
        <f t="shared" si="29"/>
        <v>#REF!</v>
      </c>
    </row>
    <row r="59" spans="1:14" hidden="1">
      <c r="A59" s="7" t="str">
        <f t="shared" si="24"/>
        <v>C-22</v>
      </c>
      <c r="B59" s="8"/>
      <c r="C59" s="7"/>
      <c r="D59" s="7"/>
      <c r="E59" s="7"/>
      <c r="F59" s="7"/>
      <c r="H59" s="2" t="s">
        <v>83</v>
      </c>
      <c r="I59" s="2">
        <f t="shared" si="30"/>
        <v>22</v>
      </c>
      <c r="K59" s="20" t="e">
        <f t="shared" si="27"/>
        <v>#REF!</v>
      </c>
      <c r="L59" s="2" t="e">
        <f>L58+C59</f>
        <v>#REF!</v>
      </c>
      <c r="M59" s="110" t="s">
        <v>157</v>
      </c>
      <c r="N59" s="20" t="e">
        <f t="shared" si="29"/>
        <v>#REF!</v>
      </c>
    </row>
    <row r="60" spans="1:14" hidden="1">
      <c r="A60" s="7" t="str">
        <f t="shared" si="24"/>
        <v>C-23</v>
      </c>
      <c r="B60" s="8"/>
      <c r="C60" s="7"/>
      <c r="D60" s="7"/>
      <c r="E60" s="7"/>
      <c r="F60" s="7"/>
      <c r="H60" s="2" t="s">
        <v>83</v>
      </c>
      <c r="I60" s="2">
        <f t="shared" si="30"/>
        <v>23</v>
      </c>
      <c r="K60" s="20" t="e">
        <f t="shared" si="27"/>
        <v>#REF!</v>
      </c>
      <c r="L60" s="2" t="e">
        <f>L59+C60</f>
        <v>#REF!</v>
      </c>
      <c r="M60" s="110" t="s">
        <v>157</v>
      </c>
      <c r="N60" s="20" t="e">
        <f t="shared" si="29"/>
        <v>#REF!</v>
      </c>
    </row>
    <row r="61" spans="1:14" hidden="1">
      <c r="A61" s="7" t="str">
        <f t="shared" si="24"/>
        <v>24</v>
      </c>
      <c r="B61" s="8"/>
      <c r="C61" s="7"/>
      <c r="D61" s="7"/>
      <c r="E61" s="7"/>
      <c r="F61" s="107"/>
      <c r="I61" s="2">
        <f t="shared" si="30"/>
        <v>24</v>
      </c>
    </row>
    <row r="62" spans="1:14" hidden="1">
      <c r="A62" s="7"/>
      <c r="B62" s="8"/>
      <c r="C62" s="7"/>
      <c r="D62" s="7"/>
      <c r="E62" s="7"/>
      <c r="F62" s="107"/>
      <c r="I62" s="2">
        <f t="shared" si="30"/>
        <v>25</v>
      </c>
    </row>
    <row r="63" spans="1:14" hidden="1">
      <c r="A63" s="7"/>
      <c r="B63" s="8"/>
      <c r="C63" s="7"/>
      <c r="D63" s="7"/>
      <c r="E63" s="7"/>
      <c r="F63" s="107"/>
      <c r="I63" s="2">
        <f t="shared" si="30"/>
        <v>26</v>
      </c>
    </row>
    <row r="64" spans="1:14" hidden="1">
      <c r="A64" s="7"/>
      <c r="B64" s="8"/>
      <c r="C64" s="7"/>
      <c r="D64" s="7"/>
      <c r="E64" s="7"/>
      <c r="F64" s="107"/>
      <c r="I64" s="2">
        <f t="shared" si="30"/>
        <v>27</v>
      </c>
    </row>
    <row r="65" spans="1:9" hidden="1">
      <c r="A65" s="7"/>
      <c r="B65" s="8"/>
      <c r="C65" s="7"/>
      <c r="D65" s="7"/>
      <c r="E65" s="7"/>
      <c r="F65" s="107"/>
      <c r="I65" s="2">
        <f t="shared" si="30"/>
        <v>28</v>
      </c>
    </row>
    <row r="66" spans="1:9" hidden="1">
      <c r="A66" s="7"/>
      <c r="B66" s="8"/>
      <c r="C66" s="7"/>
      <c r="D66" s="7"/>
      <c r="E66" s="7"/>
      <c r="F66" s="107"/>
      <c r="I66" s="2">
        <f t="shared" si="30"/>
        <v>29</v>
      </c>
    </row>
    <row r="67" spans="1:9" hidden="1">
      <c r="A67" s="7"/>
      <c r="B67" s="8"/>
      <c r="C67" s="7"/>
      <c r="D67" s="7"/>
      <c r="E67" s="7"/>
      <c r="F67" s="107"/>
      <c r="I67" s="2">
        <f t="shared" si="30"/>
        <v>30</v>
      </c>
    </row>
    <row r="68" spans="1:9" hidden="1">
      <c r="A68" s="7"/>
      <c r="B68" s="8"/>
      <c r="C68" s="7"/>
      <c r="D68" s="7"/>
      <c r="E68" s="7"/>
      <c r="F68" s="107"/>
      <c r="I68" s="2">
        <f t="shared" si="30"/>
        <v>31</v>
      </c>
    </row>
    <row r="69" spans="1:9" hidden="1">
      <c r="A69" s="7"/>
      <c r="B69" s="8"/>
      <c r="C69" s="7"/>
      <c r="D69" s="7"/>
      <c r="E69" s="7"/>
      <c r="F69" s="107"/>
      <c r="I69" s="2">
        <f t="shared" si="30"/>
        <v>32</v>
      </c>
    </row>
    <row r="70" spans="1:9">
      <c r="A70" s="7"/>
      <c r="B70" s="8"/>
      <c r="C70" s="7"/>
      <c r="D70" s="7"/>
      <c r="E70" s="7"/>
      <c r="F70" s="107"/>
    </row>
    <row r="71" spans="1:9">
      <c r="A71" s="7"/>
      <c r="B71" s="19" t="s">
        <v>113</v>
      </c>
      <c r="C71" s="7">
        <f>SUM(C9:C60)</f>
        <v>33</v>
      </c>
      <c r="D71" s="7"/>
      <c r="E71" s="7"/>
      <c r="F71" s="107"/>
    </row>
    <row r="72" spans="1:9" hidden="1">
      <c r="A72" s="7"/>
      <c r="B72" s="8"/>
      <c r="C72" s="7"/>
      <c r="D72" s="20"/>
      <c r="E72" s="20"/>
    </row>
    <row r="73" spans="1:9" hidden="1">
      <c r="A73" s="7"/>
      <c r="B73" s="8"/>
      <c r="C73" s="7"/>
      <c r="D73" s="20"/>
      <c r="E73" s="20"/>
      <c r="G73" s="2" t="s">
        <v>83</v>
      </c>
      <c r="H73" s="2">
        <v>19</v>
      </c>
      <c r="I73" s="2" t="str">
        <f>G73&amp;H73</f>
        <v>C-19</v>
      </c>
    </row>
    <row r="74" spans="1:9" hidden="1">
      <c r="A74" s="7"/>
      <c r="B74" s="8"/>
      <c r="C74" s="7"/>
      <c r="D74" s="20"/>
      <c r="E74" s="20"/>
      <c r="G74" s="2" t="s">
        <v>83</v>
      </c>
      <c r="H74" s="2">
        <f>H73+1</f>
        <v>20</v>
      </c>
      <c r="I74" s="2" t="str">
        <f>G74&amp;H74</f>
        <v>C-20</v>
      </c>
    </row>
    <row r="75" spans="1:9" hidden="1">
      <c r="A75" s="7"/>
      <c r="B75" s="8"/>
      <c r="C75" s="7"/>
      <c r="D75" s="20"/>
      <c r="E75" s="20"/>
      <c r="G75" s="2" t="s">
        <v>83</v>
      </c>
      <c r="H75" s="2">
        <f t="shared" ref="H75:H80" si="45">H74+1</f>
        <v>21</v>
      </c>
      <c r="I75" s="2" t="str">
        <f t="shared" ref="I75:I80" si="46">G75&amp;H75</f>
        <v>C-21</v>
      </c>
    </row>
    <row r="76" spans="1:9" hidden="1">
      <c r="A76" s="7"/>
      <c r="B76" s="8"/>
      <c r="C76" s="7"/>
      <c r="D76" s="20"/>
      <c r="E76" s="20"/>
      <c r="G76" s="2" t="s">
        <v>83</v>
      </c>
      <c r="H76" s="2">
        <f t="shared" si="45"/>
        <v>22</v>
      </c>
      <c r="I76" s="2" t="str">
        <f t="shared" si="46"/>
        <v>C-22</v>
      </c>
    </row>
    <row r="77" spans="1:9" hidden="1">
      <c r="A77" s="7"/>
      <c r="B77" s="8"/>
      <c r="C77" s="7"/>
      <c r="D77" s="20"/>
      <c r="E77" s="20"/>
      <c r="G77" s="2" t="s">
        <v>83</v>
      </c>
      <c r="H77" s="2">
        <f t="shared" si="45"/>
        <v>23</v>
      </c>
      <c r="I77" s="2" t="str">
        <f t="shared" si="46"/>
        <v>C-23</v>
      </c>
    </row>
    <row r="78" spans="1:9" ht="0.75" customHeight="1">
      <c r="A78" s="3"/>
      <c r="B78" s="4"/>
      <c r="C78" s="3">
        <f>SUM(C9:C55)</f>
        <v>33</v>
      </c>
      <c r="D78" s="20"/>
      <c r="E78" s="20"/>
      <c r="G78" s="2" t="s">
        <v>83</v>
      </c>
      <c r="H78" s="2">
        <f t="shared" si="45"/>
        <v>24</v>
      </c>
      <c r="I78" s="2" t="str">
        <f t="shared" si="46"/>
        <v>C-24</v>
      </c>
    </row>
    <row r="79" spans="1:9" ht="12.75" customHeight="1">
      <c r="A79" s="20"/>
      <c r="C79" s="20"/>
      <c r="D79" s="20"/>
      <c r="E79" s="20"/>
    </row>
    <row r="80" spans="1:9" ht="14.25" hidden="1" customHeight="1">
      <c r="A80" s="20" t="s">
        <v>84</v>
      </c>
      <c r="C80" s="20"/>
      <c r="D80" s="20"/>
      <c r="E80" s="20"/>
      <c r="G80" s="2" t="s">
        <v>83</v>
      </c>
      <c r="H80" s="2">
        <f t="shared" si="45"/>
        <v>1</v>
      </c>
      <c r="I80" s="2" t="str">
        <f t="shared" si="46"/>
        <v>C-1</v>
      </c>
    </row>
    <row r="81" ht="14.25" customHeight="1"/>
  </sheetData>
  <mergeCells count="10">
    <mergeCell ref="A7:A8"/>
    <mergeCell ref="B7:B8"/>
    <mergeCell ref="C7:C8"/>
    <mergeCell ref="E7:E8"/>
    <mergeCell ref="F7:F8"/>
    <mergeCell ref="A1:F1"/>
    <mergeCell ref="A2:F2"/>
    <mergeCell ref="A3:F3"/>
    <mergeCell ref="A4:F4"/>
    <mergeCell ref="A5:F5"/>
  </mergeCells>
  <pageMargins left="0.7" right="0.7" top="0.75" bottom="0.75" header="0.3" footer="0.3"/>
  <pageSetup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zoomScaleSheetLayoutView="100" workbookViewId="0">
      <selection activeCell="H5" sqref="H5"/>
    </sheetView>
  </sheetViews>
  <sheetFormatPr defaultRowHeight="12.75"/>
  <cols>
    <col min="1" max="1" width="5.140625" style="2" customWidth="1"/>
    <col min="2" max="2" width="0.7109375" style="2" customWidth="1"/>
    <col min="3" max="3" width="46.5703125" style="2" customWidth="1"/>
    <col min="4" max="4" width="0.85546875" style="2" customWidth="1"/>
    <col min="5" max="5" width="11.5703125" style="2" customWidth="1"/>
    <col min="6" max="6" width="1" style="2" customWidth="1"/>
    <col min="7" max="7" width="10.85546875" style="2" customWidth="1"/>
    <col min="8" max="16384" width="9.140625" style="2"/>
  </cols>
  <sheetData>
    <row r="1" spans="1:7">
      <c r="A1" s="2" t="str">
        <f>A!A1</f>
        <v>Florida Public Utilities Company Consolidated Gas</v>
      </c>
      <c r="C1" s="21"/>
      <c r="D1" s="22"/>
      <c r="G1" s="33" t="str">
        <f>Contents!A2</f>
        <v>Docket No. 20220067-GU</v>
      </c>
    </row>
    <row r="2" spans="1:7">
      <c r="A2" s="2" t="s">
        <v>374</v>
      </c>
      <c r="C2" s="21"/>
      <c r="D2" s="22"/>
      <c r="G2" s="33" t="str">
        <f>Contents!A3</f>
        <v>Exhibit RCS-2R</v>
      </c>
    </row>
    <row r="3" spans="1:7">
      <c r="C3" s="24"/>
      <c r="D3" s="23"/>
      <c r="G3" s="33" t="s">
        <v>59</v>
      </c>
    </row>
    <row r="4" spans="1:7">
      <c r="A4" s="23" t="str">
        <f>A!A4</f>
        <v>Projected Test Year Ended December 31, 2023</v>
      </c>
      <c r="C4" s="25"/>
      <c r="G4" s="33" t="s">
        <v>39</v>
      </c>
    </row>
    <row r="5" spans="1:7">
      <c r="C5" s="26"/>
      <c r="D5" s="23"/>
    </row>
    <row r="7" spans="1:7">
      <c r="A7" s="20" t="s">
        <v>0</v>
      </c>
    </row>
    <row r="8" spans="1:7">
      <c r="A8" s="27" t="s">
        <v>1</v>
      </c>
      <c r="C8" s="28" t="s">
        <v>2</v>
      </c>
      <c r="E8" s="27" t="s">
        <v>34</v>
      </c>
      <c r="F8" s="20"/>
      <c r="G8" s="27" t="s">
        <v>3</v>
      </c>
    </row>
    <row r="9" spans="1:7">
      <c r="A9" s="20"/>
      <c r="E9" s="20" t="s">
        <v>9</v>
      </c>
    </row>
    <row r="10" spans="1:7">
      <c r="A10" s="20"/>
    </row>
    <row r="11" spans="1:7" ht="13.5" thickBot="1">
      <c r="A11" s="20">
        <v>1</v>
      </c>
      <c r="C11" s="2" t="s">
        <v>311</v>
      </c>
      <c r="E11" s="170">
        <v>-85839</v>
      </c>
      <c r="G11" s="20" t="s">
        <v>60</v>
      </c>
    </row>
    <row r="12" spans="1:7" ht="13.5" thickTop="1"/>
    <row r="18" spans="1:7">
      <c r="A18" s="28" t="s">
        <v>150</v>
      </c>
      <c r="B18" s="28"/>
      <c r="C18" s="28"/>
      <c r="D18" s="28"/>
      <c r="E18" s="28"/>
      <c r="F18" s="28"/>
      <c r="G18" s="28"/>
    </row>
    <row r="19" spans="1:7">
      <c r="A19" s="2" t="s">
        <v>312</v>
      </c>
    </row>
    <row r="20" spans="1:7">
      <c r="G20" s="16"/>
    </row>
    <row r="37" spans="3:3" hidden="1">
      <c r="C37" s="2">
        <v>1</v>
      </c>
    </row>
    <row r="38" spans="3:3" hidden="1"/>
    <row r="39" spans="3:3" hidden="1"/>
    <row r="40" spans="3:3" hidden="1"/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>
      <selection activeCell="H5" sqref="H5"/>
    </sheetView>
  </sheetViews>
  <sheetFormatPr defaultRowHeight="12.75"/>
  <cols>
    <col min="1" max="1" width="4" style="2" customWidth="1"/>
    <col min="2" max="2" width="1.5703125" style="2" customWidth="1"/>
    <col min="3" max="3" width="60.85546875" style="2" bestFit="1" customWidth="1"/>
    <col min="4" max="4" width="1" style="2" customWidth="1"/>
    <col min="5" max="5" width="14.7109375" style="2" customWidth="1"/>
    <col min="6" max="6" width="1.28515625" style="2" customWidth="1"/>
    <col min="7" max="7" width="14.7109375" style="2" customWidth="1"/>
    <col min="8" max="8" width="1" style="2" customWidth="1"/>
    <col min="9" max="9" width="11.7109375" style="2" customWidth="1"/>
    <col min="10" max="16384" width="9.140625" style="2"/>
  </cols>
  <sheetData>
    <row r="1" spans="1:9">
      <c r="A1" s="2" t="str">
        <f>A!A1</f>
        <v>Florida Public Utilities Company Consolidated Gas</v>
      </c>
      <c r="I1" s="33" t="str">
        <f>Contents!A2</f>
        <v>Docket No. 20220067-GU</v>
      </c>
    </row>
    <row r="2" spans="1:9">
      <c r="A2" s="2" t="s">
        <v>324</v>
      </c>
      <c r="I2" s="33" t="str">
        <f>Contents!A3</f>
        <v>Exhibit RCS-2R</v>
      </c>
    </row>
    <row r="3" spans="1:9">
      <c r="I3" s="33" t="s">
        <v>117</v>
      </c>
    </row>
    <row r="4" spans="1:9">
      <c r="A4" s="2" t="str">
        <f>A!A4</f>
        <v>Projected Test Year Ended December 31, 2023</v>
      </c>
      <c r="I4" s="33" t="s">
        <v>39</v>
      </c>
    </row>
    <row r="8" spans="1:9">
      <c r="A8" s="20" t="s">
        <v>0</v>
      </c>
      <c r="D8" s="20"/>
      <c r="E8" s="20"/>
      <c r="F8" s="20"/>
      <c r="G8" s="20"/>
      <c r="H8" s="20"/>
      <c r="I8" s="20" t="s">
        <v>167</v>
      </c>
    </row>
    <row r="9" spans="1:9">
      <c r="A9" s="27" t="s">
        <v>1</v>
      </c>
      <c r="C9" s="28" t="s">
        <v>2</v>
      </c>
      <c r="D9" s="20"/>
      <c r="E9" s="27" t="s">
        <v>266</v>
      </c>
      <c r="F9" s="20"/>
      <c r="G9" s="27" t="s">
        <v>170</v>
      </c>
      <c r="H9" s="20"/>
      <c r="I9" s="27" t="s">
        <v>95</v>
      </c>
    </row>
    <row r="10" spans="1:9">
      <c r="E10" s="20" t="s">
        <v>9</v>
      </c>
      <c r="F10" s="20"/>
      <c r="G10" s="20" t="s">
        <v>10</v>
      </c>
      <c r="H10" s="20"/>
      <c r="I10" s="20" t="s">
        <v>26</v>
      </c>
    </row>
    <row r="11" spans="1:9">
      <c r="A11" s="20"/>
    </row>
    <row r="12" spans="1:9" ht="13.5" thickBot="1">
      <c r="A12" s="20">
        <v>1</v>
      </c>
      <c r="C12" s="2" t="s">
        <v>316</v>
      </c>
      <c r="E12" s="29">
        <v>36098</v>
      </c>
      <c r="F12" s="18"/>
      <c r="G12" s="29">
        <f>E22</f>
        <v>18049</v>
      </c>
      <c r="H12" s="18"/>
      <c r="I12" s="29">
        <f>G12-E12</f>
        <v>-18049</v>
      </c>
    </row>
    <row r="13" spans="1:9" ht="13.5" thickTop="1"/>
    <row r="17" spans="1:9">
      <c r="A17" s="28" t="s">
        <v>11</v>
      </c>
      <c r="B17" s="28"/>
      <c r="C17" s="28"/>
      <c r="D17" s="28"/>
      <c r="E17" s="28"/>
      <c r="F17" s="28"/>
      <c r="G17" s="28"/>
      <c r="H17" s="28"/>
      <c r="I17" s="28"/>
    </row>
    <row r="18" spans="1:9">
      <c r="A18" s="2" t="s">
        <v>321</v>
      </c>
    </row>
    <row r="19" spans="1:9">
      <c r="A19" s="2" t="s">
        <v>317</v>
      </c>
    </row>
    <row r="20" spans="1:9">
      <c r="C20" s="147" t="s">
        <v>325</v>
      </c>
      <c r="E20" s="16">
        <f>E12</f>
        <v>36098</v>
      </c>
    </row>
    <row r="21" spans="1:9">
      <c r="C21" s="147" t="s">
        <v>320</v>
      </c>
      <c r="E21" s="172">
        <v>0.5</v>
      </c>
    </row>
    <row r="22" spans="1:9" ht="13.5" thickBot="1">
      <c r="C22" s="147" t="s">
        <v>326</v>
      </c>
      <c r="E22" s="174">
        <f>E20*E21</f>
        <v>18049</v>
      </c>
    </row>
    <row r="23" spans="1:9" ht="13.5" thickTop="1"/>
    <row r="52" spans="3:3" hidden="1">
      <c r="C52" s="2">
        <v>1</v>
      </c>
    </row>
    <row r="53" spans="3:3" hidden="1"/>
    <row r="54" spans="3:3" hidden="1"/>
    <row r="55" spans="3:3" hidden="1"/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workbookViewId="0">
      <selection activeCell="H5" sqref="H5"/>
    </sheetView>
  </sheetViews>
  <sheetFormatPr defaultRowHeight="12.75"/>
  <cols>
    <col min="1" max="1" width="3.5703125" style="2" customWidth="1"/>
    <col min="2" max="2" width="1.42578125" style="2" customWidth="1"/>
    <col min="3" max="3" width="48.28515625" style="2" customWidth="1"/>
    <col min="4" max="4" width="1.28515625" style="2" customWidth="1"/>
    <col min="5" max="5" width="11.85546875" style="2" customWidth="1"/>
    <col min="6" max="6" width="1.5703125" style="2" customWidth="1"/>
    <col min="7" max="7" width="12.140625" style="2" customWidth="1"/>
    <col min="8" max="16384" width="9.140625" style="2"/>
  </cols>
  <sheetData>
    <row r="1" spans="1:7">
      <c r="A1" s="2" t="str">
        <f>A!A1</f>
        <v>Florida Public Utilities Company Consolidated Gas</v>
      </c>
      <c r="C1" s="21"/>
      <c r="D1" s="22"/>
      <c r="E1" s="23"/>
      <c r="F1" s="23"/>
      <c r="G1" s="33" t="str">
        <f>Contents!A2</f>
        <v>Docket No. 20220067-GU</v>
      </c>
    </row>
    <row r="2" spans="1:7">
      <c r="A2" s="2" t="s">
        <v>545</v>
      </c>
      <c r="C2" s="24"/>
      <c r="D2" s="23"/>
      <c r="E2" s="20"/>
      <c r="F2" s="20"/>
      <c r="G2" s="33" t="str">
        <f>Contents!A3</f>
        <v>Exhibit RCS-2R</v>
      </c>
    </row>
    <row r="3" spans="1:7">
      <c r="C3" s="25"/>
      <c r="G3" s="33" t="s">
        <v>118</v>
      </c>
    </row>
    <row r="4" spans="1:7">
      <c r="A4" s="23" t="str">
        <f>A!A4</f>
        <v>Projected Test Year Ended December 31, 2023</v>
      </c>
      <c r="C4" s="26"/>
      <c r="D4" s="23"/>
      <c r="G4" s="33" t="s">
        <v>39</v>
      </c>
    </row>
    <row r="5" spans="1:7">
      <c r="G5" s="33" t="s">
        <v>102</v>
      </c>
    </row>
    <row r="6" spans="1:7">
      <c r="E6" s="20"/>
      <c r="F6" s="20"/>
    </row>
    <row r="7" spans="1:7">
      <c r="A7" s="2" t="s">
        <v>0</v>
      </c>
    </row>
    <row r="8" spans="1:7">
      <c r="A8" s="28" t="s">
        <v>1</v>
      </c>
      <c r="C8" s="28" t="s">
        <v>2</v>
      </c>
      <c r="E8" s="27" t="s">
        <v>34</v>
      </c>
      <c r="F8" s="20"/>
      <c r="G8" s="27" t="s">
        <v>3</v>
      </c>
    </row>
    <row r="9" spans="1:7">
      <c r="E9" s="20" t="s">
        <v>9</v>
      </c>
    </row>
    <row r="11" spans="1:7" ht="13.5" thickBot="1">
      <c r="A11" s="20">
        <v>1</v>
      </c>
      <c r="C11" s="2" t="s">
        <v>346</v>
      </c>
      <c r="E11" s="29">
        <f>-G33</f>
        <v>870377.54287004494</v>
      </c>
      <c r="G11" s="20" t="s">
        <v>60</v>
      </c>
    </row>
    <row r="12" spans="1:7" ht="13.5" thickTop="1"/>
    <row r="15" spans="1:7">
      <c r="A15" s="28" t="s">
        <v>150</v>
      </c>
      <c r="B15" s="28"/>
      <c r="C15" s="28"/>
      <c r="D15" s="28"/>
      <c r="E15" s="28"/>
      <c r="F15" s="28"/>
      <c r="G15" s="28"/>
    </row>
    <row r="16" spans="1:7">
      <c r="A16" s="2" t="s">
        <v>514</v>
      </c>
    </row>
    <row r="17" spans="1:7">
      <c r="G17" s="20" t="s">
        <v>512</v>
      </c>
    </row>
    <row r="18" spans="1:7">
      <c r="C18" s="28" t="s">
        <v>2</v>
      </c>
      <c r="E18" s="27" t="s">
        <v>34</v>
      </c>
      <c r="G18" s="27" t="s">
        <v>34</v>
      </c>
    </row>
    <row r="19" spans="1:7">
      <c r="A19" s="20">
        <f>A11+1</f>
        <v>2</v>
      </c>
      <c r="C19" s="110" t="s">
        <v>500</v>
      </c>
      <c r="E19" s="18"/>
      <c r="F19" s="18"/>
      <c r="G19" s="18"/>
    </row>
    <row r="20" spans="1:7">
      <c r="A20" s="20">
        <f>A19+1</f>
        <v>3</v>
      </c>
      <c r="C20" s="110" t="s">
        <v>501</v>
      </c>
      <c r="E20" s="18">
        <f>'C-1 P5'!E49</f>
        <v>-169286.48677182265</v>
      </c>
      <c r="F20" s="18"/>
      <c r="G20" s="18">
        <f>E20</f>
        <v>-169286.48677182265</v>
      </c>
    </row>
    <row r="21" spans="1:7">
      <c r="A21" s="20">
        <f>A20+1</f>
        <v>4</v>
      </c>
      <c r="C21" s="110" t="s">
        <v>502</v>
      </c>
      <c r="E21" s="18">
        <f>'C-1 P5'!F49</f>
        <v>-169548.40536396761</v>
      </c>
      <c r="F21" s="18"/>
      <c r="G21" s="18">
        <f>G20+E21</f>
        <v>-338834.89213579026</v>
      </c>
    </row>
    <row r="22" spans="1:7">
      <c r="A22" s="20">
        <f t="shared" ref="A22:A33" si="0">A21+1</f>
        <v>5</v>
      </c>
      <c r="C22" s="110" t="s">
        <v>503</v>
      </c>
      <c r="E22" s="18">
        <f>'C-1 P5'!G49</f>
        <v>-169866.51874161657</v>
      </c>
      <c r="F22" s="18"/>
      <c r="G22" s="18">
        <f>G21+E22</f>
        <v>-508701.41087740683</v>
      </c>
    </row>
    <row r="23" spans="1:7">
      <c r="A23" s="20">
        <f t="shared" si="0"/>
        <v>6</v>
      </c>
      <c r="C23" s="110" t="s">
        <v>504</v>
      </c>
      <c r="E23" s="18">
        <f>'C-1 P5'!H49</f>
        <v>-170354.19397827747</v>
      </c>
      <c r="F23" s="18"/>
      <c r="G23" s="18">
        <f t="shared" ref="G23:G30" si="1">G22+E23</f>
        <v>-679055.60485568433</v>
      </c>
    </row>
    <row r="24" spans="1:7">
      <c r="A24" s="20">
        <f t="shared" si="0"/>
        <v>7</v>
      </c>
      <c r="C24" s="110" t="s">
        <v>505</v>
      </c>
      <c r="E24" s="18">
        <f>'C-1 P5'!I49</f>
        <v>-170841.86971493842</v>
      </c>
      <c r="F24" s="18"/>
      <c r="G24" s="18">
        <f t="shared" si="1"/>
        <v>-849897.47457062278</v>
      </c>
    </row>
    <row r="25" spans="1:7">
      <c r="A25" s="20">
        <f t="shared" si="0"/>
        <v>8</v>
      </c>
      <c r="C25" s="110" t="s">
        <v>506</v>
      </c>
      <c r="E25" s="18">
        <f>'C-1 P5'!J49</f>
        <v>-171329.30220159935</v>
      </c>
      <c r="F25" s="18"/>
      <c r="G25" s="18">
        <f t="shared" si="1"/>
        <v>-1021226.7767722221</v>
      </c>
    </row>
    <row r="26" spans="1:7">
      <c r="A26" s="20">
        <f t="shared" si="0"/>
        <v>9</v>
      </c>
      <c r="C26" s="110" t="s">
        <v>507</v>
      </c>
      <c r="E26" s="18">
        <f>'C-1 P5'!K49</f>
        <v>-175017.69027626433</v>
      </c>
      <c r="F26" s="18"/>
      <c r="G26" s="18">
        <f t="shared" si="1"/>
        <v>-1196244.4670484865</v>
      </c>
    </row>
    <row r="27" spans="1:7">
      <c r="A27" s="20">
        <f t="shared" si="0"/>
        <v>10</v>
      </c>
      <c r="C27" s="110" t="s">
        <v>508</v>
      </c>
      <c r="E27" s="18">
        <f>'C-1 P5'!L49</f>
        <v>-175561.80489259589</v>
      </c>
      <c r="F27" s="18"/>
      <c r="G27" s="18">
        <f t="shared" si="1"/>
        <v>-1371806.2719410823</v>
      </c>
    </row>
    <row r="28" spans="1:7">
      <c r="A28" s="20">
        <f t="shared" si="0"/>
        <v>11</v>
      </c>
      <c r="C28" s="110" t="s">
        <v>509</v>
      </c>
      <c r="E28" s="18">
        <f>'C-1 P5'!M49</f>
        <v>-177052.5660089275</v>
      </c>
      <c r="F28" s="18"/>
      <c r="G28" s="18">
        <f t="shared" si="1"/>
        <v>-1548858.8379500099</v>
      </c>
    </row>
    <row r="29" spans="1:7">
      <c r="A29" s="20">
        <f t="shared" si="0"/>
        <v>12</v>
      </c>
      <c r="C29" s="110" t="s">
        <v>510</v>
      </c>
      <c r="E29" s="18">
        <f>'C-1 P5'!N49</f>
        <v>-177596.68012525912</v>
      </c>
      <c r="F29" s="18"/>
      <c r="G29" s="18">
        <f t="shared" si="1"/>
        <v>-1726455.5180752689</v>
      </c>
    </row>
    <row r="30" spans="1:7">
      <c r="A30" s="20">
        <f t="shared" si="0"/>
        <v>13</v>
      </c>
      <c r="C30" s="110" t="s">
        <v>511</v>
      </c>
      <c r="E30" s="31">
        <f>'C-1 P5'!O49</f>
        <v>-178084.79823692006</v>
      </c>
      <c r="F30" s="18"/>
      <c r="G30" s="31">
        <f t="shared" si="1"/>
        <v>-1904540.316312189</v>
      </c>
    </row>
    <row r="31" spans="1:7" ht="13.5" thickBot="1">
      <c r="A31" s="20">
        <f t="shared" si="0"/>
        <v>14</v>
      </c>
      <c r="C31" s="2" t="s">
        <v>33</v>
      </c>
      <c r="E31" s="119">
        <f>SUM(E19:E30)</f>
        <v>-1904540.316312189</v>
      </c>
      <c r="F31" s="18"/>
      <c r="G31" s="18">
        <f>SUM(G20:G30)</f>
        <v>-11314908.057310585</v>
      </c>
    </row>
    <row r="32" spans="1:7" ht="13.5" thickTop="1">
      <c r="A32" s="20">
        <f t="shared" si="0"/>
        <v>15</v>
      </c>
      <c r="C32" s="2" t="s">
        <v>513</v>
      </c>
      <c r="G32" s="2">
        <v>13</v>
      </c>
    </row>
    <row r="33" spans="1:7" ht="13.5" thickBot="1">
      <c r="A33" s="20">
        <f t="shared" si="0"/>
        <v>16</v>
      </c>
      <c r="C33" s="2" t="s">
        <v>346</v>
      </c>
      <c r="G33" s="174">
        <f>G31/G32</f>
        <v>-870377.54287004494</v>
      </c>
    </row>
    <row r="34" spans="1:7" ht="13.5" thickTop="1"/>
    <row r="35" spans="1:7" hidden="1">
      <c r="C35" s="2">
        <v>1</v>
      </c>
    </row>
    <row r="36" spans="1:7" hidden="1"/>
    <row r="37" spans="1:7" hidden="1"/>
    <row r="38" spans="1:7" hidden="1"/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zoomScaleNormal="100" zoomScaleSheetLayoutView="100" workbookViewId="0">
      <selection activeCell="H5" sqref="H5"/>
    </sheetView>
  </sheetViews>
  <sheetFormatPr defaultRowHeight="12.75"/>
  <cols>
    <col min="1" max="1" width="4.28515625" style="2" customWidth="1"/>
    <col min="2" max="2" width="0.7109375" style="2" customWidth="1"/>
    <col min="3" max="3" width="60.7109375" style="2" bestFit="1" customWidth="1"/>
    <col min="4" max="4" width="0.85546875" style="2" customWidth="1"/>
    <col min="5" max="5" width="13.42578125" style="2" customWidth="1"/>
    <col min="6" max="6" width="1.5703125" style="2" customWidth="1"/>
    <col min="7" max="7" width="17.42578125" style="2" customWidth="1"/>
    <col min="8" max="16384" width="9.140625" style="2"/>
  </cols>
  <sheetData>
    <row r="1" spans="1:7">
      <c r="A1" s="2" t="str">
        <f>A!A1</f>
        <v>Florida Public Utilities Company Consolidated Gas</v>
      </c>
      <c r="C1" s="21"/>
      <c r="D1" s="22"/>
      <c r="E1" s="23"/>
      <c r="F1" s="23"/>
      <c r="G1" s="33" t="str">
        <f>Contents!A2</f>
        <v>Docket No. 20220067-GU</v>
      </c>
    </row>
    <row r="2" spans="1:7">
      <c r="A2" s="2" t="s">
        <v>365</v>
      </c>
      <c r="C2" s="24"/>
      <c r="D2" s="23"/>
      <c r="E2" s="20"/>
      <c r="F2" s="20"/>
      <c r="G2" s="33" t="str">
        <f>Contents!A3</f>
        <v>Exhibit RCS-2R</v>
      </c>
    </row>
    <row r="3" spans="1:7">
      <c r="C3" s="25"/>
      <c r="G3" s="33" t="s">
        <v>158</v>
      </c>
    </row>
    <row r="4" spans="1:7">
      <c r="A4" s="23" t="str">
        <f>A!A4</f>
        <v>Projected Test Year Ended December 31, 2023</v>
      </c>
      <c r="C4" s="26"/>
      <c r="D4" s="23"/>
      <c r="G4" s="33" t="s">
        <v>39</v>
      </c>
    </row>
    <row r="6" spans="1:7">
      <c r="A6" s="20" t="s">
        <v>0</v>
      </c>
    </row>
    <row r="7" spans="1:7">
      <c r="A7" s="27" t="s">
        <v>1</v>
      </c>
      <c r="C7" s="28" t="s">
        <v>2</v>
      </c>
      <c r="E7" s="27" t="s">
        <v>34</v>
      </c>
      <c r="F7" s="20"/>
      <c r="G7" s="27" t="s">
        <v>3</v>
      </c>
    </row>
    <row r="8" spans="1:7">
      <c r="A8" s="20"/>
      <c r="E8" s="20" t="s">
        <v>9</v>
      </c>
    </row>
    <row r="9" spans="1:7">
      <c r="A9" s="20"/>
    </row>
    <row r="10" spans="1:7" ht="13.5" thickBot="1">
      <c r="A10" s="20">
        <v>1</v>
      </c>
      <c r="C10" s="2" t="s">
        <v>553</v>
      </c>
      <c r="E10" s="29">
        <f>E24</f>
        <v>-1871955.5</v>
      </c>
      <c r="G10" s="20" t="s">
        <v>60</v>
      </c>
    </row>
    <row r="11" spans="1:7" ht="13.5" thickTop="1">
      <c r="A11" s="20"/>
    </row>
    <row r="14" spans="1:7">
      <c r="A14" s="28" t="s">
        <v>150</v>
      </c>
      <c r="B14" s="28"/>
      <c r="C14" s="28"/>
      <c r="D14" s="28"/>
      <c r="E14" s="28"/>
      <c r="F14" s="28"/>
      <c r="G14" s="28"/>
    </row>
    <row r="15" spans="1:7">
      <c r="A15" s="2" t="s">
        <v>554</v>
      </c>
    </row>
    <row r="17" spans="1:7">
      <c r="C17" s="28" t="s">
        <v>2</v>
      </c>
      <c r="E17" s="27" t="s">
        <v>34</v>
      </c>
      <c r="G17" s="27" t="s">
        <v>3</v>
      </c>
    </row>
    <row r="18" spans="1:7">
      <c r="A18" s="20">
        <f>A10+1</f>
        <v>2</v>
      </c>
      <c r="C18" s="2" t="s">
        <v>555</v>
      </c>
      <c r="E18" s="18">
        <f>3743911/2</f>
        <v>1871955.5</v>
      </c>
      <c r="G18" s="20" t="s">
        <v>571</v>
      </c>
    </row>
    <row r="19" spans="1:7">
      <c r="A19" s="20">
        <f>A18+1</f>
        <v>3</v>
      </c>
      <c r="C19" s="2" t="s">
        <v>556</v>
      </c>
      <c r="E19" s="31">
        <f>3427574/2</f>
        <v>1713787</v>
      </c>
      <c r="G19" s="20" t="s">
        <v>557</v>
      </c>
    </row>
    <row r="20" spans="1:7" ht="13.5" thickBot="1">
      <c r="A20" s="20">
        <f>A19+1</f>
        <v>4</v>
      </c>
      <c r="C20" s="2" t="s">
        <v>575</v>
      </c>
      <c r="E20" s="119">
        <f>E19-E18</f>
        <v>-158168.5</v>
      </c>
      <c r="G20" s="20" t="s">
        <v>558</v>
      </c>
    </row>
    <row r="21" spans="1:7" ht="13.5" thickTop="1">
      <c r="A21" s="20"/>
      <c r="E21" s="18"/>
    </row>
    <row r="22" spans="1:7">
      <c r="A22" s="20">
        <f>A20+1</f>
        <v>5</v>
      </c>
      <c r="C22" s="2" t="s">
        <v>556</v>
      </c>
      <c r="E22" s="187">
        <f>-E19</f>
        <v>-1713787</v>
      </c>
      <c r="G22" s="20" t="s">
        <v>557</v>
      </c>
    </row>
    <row r="23" spans="1:7">
      <c r="A23" s="20"/>
    </row>
    <row r="24" spans="1:7" ht="13.5" thickBot="1">
      <c r="A24" s="20">
        <f>A22+1</f>
        <v>6</v>
      </c>
      <c r="C24" s="2" t="s">
        <v>559</v>
      </c>
      <c r="E24" s="184">
        <f>E20+E22</f>
        <v>-1871955.5</v>
      </c>
      <c r="G24" s="20" t="s">
        <v>570</v>
      </c>
    </row>
    <row r="25" spans="1:7" ht="13.5" thickTop="1"/>
    <row r="34" spans="3:3" hidden="1">
      <c r="C34" s="2">
        <v>1</v>
      </c>
    </row>
    <row r="35" spans="3:3" hidden="1"/>
    <row r="36" spans="3:3" hidden="1"/>
    <row r="37" spans="3:3" hidden="1"/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workbookViewId="0">
      <selection activeCell="H5" sqref="H5"/>
    </sheetView>
  </sheetViews>
  <sheetFormatPr defaultRowHeight="12.75"/>
  <cols>
    <col min="1" max="1" width="6.140625" style="2" customWidth="1"/>
    <col min="2" max="2" width="1.28515625" style="2" customWidth="1"/>
    <col min="3" max="3" width="68.7109375" style="2" bestFit="1" customWidth="1"/>
    <col min="4" max="4" width="1.140625" style="2" customWidth="1"/>
    <col min="5" max="5" width="10.42578125" style="2" customWidth="1"/>
    <col min="6" max="6" width="1.28515625" style="2" customWidth="1"/>
    <col min="7" max="16384" width="9.140625" style="2"/>
  </cols>
  <sheetData>
    <row r="1" spans="1:7">
      <c r="A1" s="2" t="str">
        <f>Contents!A1</f>
        <v>Florida Public Utilities Company Consolidated Gas</v>
      </c>
      <c r="G1" s="33" t="str">
        <f>Contents!A2</f>
        <v>Docket No. 20220067-GU</v>
      </c>
    </row>
    <row r="2" spans="1:7">
      <c r="A2" s="2" t="s">
        <v>516</v>
      </c>
      <c r="G2" s="33" t="str">
        <f>Contents!A3</f>
        <v>Exhibit RCS-2R</v>
      </c>
    </row>
    <row r="3" spans="1:7">
      <c r="G3" s="33" t="s">
        <v>159</v>
      </c>
    </row>
    <row r="4" spans="1:7">
      <c r="A4" s="2" t="str">
        <f>A!A4</f>
        <v>Projected Test Year Ended December 31, 2023</v>
      </c>
      <c r="G4" s="33" t="s">
        <v>39</v>
      </c>
    </row>
    <row r="6" spans="1:7">
      <c r="A6" s="20" t="s">
        <v>0</v>
      </c>
    </row>
    <row r="7" spans="1:7">
      <c r="A7" s="27" t="s">
        <v>1</v>
      </c>
      <c r="C7" s="28" t="s">
        <v>2</v>
      </c>
      <c r="E7" s="27" t="s">
        <v>34</v>
      </c>
      <c r="F7" s="20"/>
      <c r="G7" s="27" t="s">
        <v>3</v>
      </c>
    </row>
    <row r="8" spans="1:7">
      <c r="A8" s="20"/>
      <c r="E8" s="20" t="s">
        <v>9</v>
      </c>
    </row>
    <row r="9" spans="1:7">
      <c r="A9" s="20"/>
      <c r="G9" s="20"/>
    </row>
    <row r="10" spans="1:7" ht="13.5" thickBot="1">
      <c r="A10" s="20">
        <v>1</v>
      </c>
      <c r="C10" s="2" t="s">
        <v>517</v>
      </c>
      <c r="E10" s="29">
        <v>-85698</v>
      </c>
      <c r="G10" s="20" t="s">
        <v>60</v>
      </c>
    </row>
    <row r="11" spans="1:7" ht="13.5" thickTop="1">
      <c r="A11" s="20"/>
      <c r="G11" s="20"/>
    </row>
    <row r="12" spans="1:7">
      <c r="A12" s="20"/>
    </row>
    <row r="15" spans="1:7">
      <c r="A15" s="28" t="s">
        <v>11</v>
      </c>
      <c r="B15" s="28"/>
      <c r="C15" s="28"/>
      <c r="D15" s="28"/>
      <c r="E15" s="28"/>
      <c r="F15" s="28"/>
      <c r="G15" s="28"/>
    </row>
    <row r="16" spans="1:7">
      <c r="A16" s="2" t="s">
        <v>547</v>
      </c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zoomScaleSheetLayoutView="100" workbookViewId="0">
      <selection activeCell="H5" sqref="H5"/>
    </sheetView>
  </sheetViews>
  <sheetFormatPr defaultRowHeight="12.75"/>
  <cols>
    <col min="1" max="1" width="4.5703125" style="2" customWidth="1"/>
    <col min="2" max="2" width="0.7109375" style="2" customWidth="1"/>
    <col min="3" max="3" width="95.28515625" style="2" customWidth="1"/>
    <col min="4" max="4" width="0.85546875" style="2" customWidth="1"/>
    <col min="5" max="5" width="13.140625" style="2" customWidth="1"/>
    <col min="6" max="6" width="1" style="2" customWidth="1"/>
    <col min="7" max="7" width="12.140625" style="2" customWidth="1"/>
    <col min="8" max="8" width="2.42578125" style="2" customWidth="1"/>
    <col min="9" max="10" width="9.140625" style="2"/>
    <col min="11" max="13" width="13.5703125" style="2" bestFit="1" customWidth="1"/>
    <col min="14" max="16384" width="9.140625" style="2"/>
  </cols>
  <sheetData>
    <row r="1" spans="1:7">
      <c r="A1" s="2" t="str">
        <f>A!A1</f>
        <v>Florida Public Utilities Company Consolidated Gas</v>
      </c>
      <c r="C1" s="21"/>
      <c r="D1" s="22"/>
      <c r="E1" s="23"/>
      <c r="F1" s="23"/>
      <c r="G1" s="33" t="str">
        <f>Contents!A2</f>
        <v>Docket No. 20220067-GU</v>
      </c>
    </row>
    <row r="2" spans="1:7">
      <c r="A2" s="2" t="s">
        <v>572</v>
      </c>
      <c r="C2" s="24"/>
      <c r="D2" s="23"/>
      <c r="E2" s="20"/>
      <c r="F2" s="20"/>
      <c r="G2" s="33" t="str">
        <f>Contents!A3</f>
        <v>Exhibit RCS-2R</v>
      </c>
    </row>
    <row r="3" spans="1:7">
      <c r="C3" s="25"/>
      <c r="G3" s="33" t="s">
        <v>515</v>
      </c>
    </row>
    <row r="4" spans="1:7">
      <c r="A4" s="23" t="str">
        <f>A!A4</f>
        <v>Projected Test Year Ended December 31, 2023</v>
      </c>
      <c r="C4" s="26"/>
      <c r="D4" s="23"/>
      <c r="G4" s="33" t="s">
        <v>39</v>
      </c>
    </row>
    <row r="6" spans="1:7">
      <c r="A6" s="2" t="s">
        <v>0</v>
      </c>
      <c r="E6" s="20"/>
      <c r="F6" s="20"/>
      <c r="G6" s="20"/>
    </row>
    <row r="7" spans="1:7">
      <c r="A7" s="28" t="s">
        <v>1</v>
      </c>
      <c r="C7" s="28" t="s">
        <v>2</v>
      </c>
      <c r="E7" s="27" t="s">
        <v>34</v>
      </c>
      <c r="F7" s="20"/>
      <c r="G7" s="27" t="s">
        <v>3</v>
      </c>
    </row>
    <row r="8" spans="1:7">
      <c r="E8" s="20" t="s">
        <v>9</v>
      </c>
      <c r="F8" s="20"/>
    </row>
    <row r="10" spans="1:7" ht="13.5" thickBot="1">
      <c r="A10" s="20">
        <v>1</v>
      </c>
      <c r="C10" s="2" t="s">
        <v>543</v>
      </c>
      <c r="E10" s="29">
        <v>-34192493</v>
      </c>
      <c r="G10" s="20" t="s">
        <v>60</v>
      </c>
    </row>
    <row r="11" spans="1:7" ht="13.5" thickTop="1">
      <c r="A11" s="20"/>
    </row>
    <row r="12" spans="1:7" ht="13.5" thickBot="1">
      <c r="A12" s="20">
        <f>A10+1</f>
        <v>2</v>
      </c>
      <c r="C12" s="2" t="s">
        <v>542</v>
      </c>
      <c r="E12" s="184">
        <f>-E61</f>
        <v>15576577.100000013</v>
      </c>
      <c r="G12" s="20" t="s">
        <v>61</v>
      </c>
    </row>
    <row r="13" spans="1:7" ht="13.5" thickTop="1">
      <c r="A13" s="20"/>
    </row>
    <row r="14" spans="1:7" ht="13.5" thickBot="1">
      <c r="A14" s="20">
        <f>A12+1</f>
        <v>3</v>
      </c>
      <c r="C14" s="2" t="s">
        <v>540</v>
      </c>
      <c r="E14" s="184">
        <f>E10+E12</f>
        <v>-18615915.899999987</v>
      </c>
    </row>
    <row r="15" spans="1:7" ht="13.5" thickTop="1"/>
    <row r="16" spans="1:7">
      <c r="A16" s="28" t="s">
        <v>150</v>
      </c>
      <c r="B16" s="28"/>
      <c r="C16" s="28"/>
      <c r="D16" s="28"/>
      <c r="E16" s="28"/>
      <c r="F16" s="28"/>
      <c r="G16" s="28"/>
    </row>
    <row r="17" spans="1:13">
      <c r="A17" s="2" t="s">
        <v>535</v>
      </c>
    </row>
    <row r="18" spans="1:13">
      <c r="A18" s="2" t="s">
        <v>544</v>
      </c>
      <c r="G18" s="20"/>
    </row>
    <row r="19" spans="1:13">
      <c r="G19" s="20"/>
    </row>
    <row r="20" spans="1:13">
      <c r="C20" s="28" t="s">
        <v>2</v>
      </c>
      <c r="E20" s="27" t="s">
        <v>34</v>
      </c>
      <c r="G20" s="20"/>
    </row>
    <row r="21" spans="1:13">
      <c r="A21" s="20">
        <f>A14+1</f>
        <v>4</v>
      </c>
      <c r="C21" s="2" t="s">
        <v>536</v>
      </c>
      <c r="E21" s="16">
        <f>-E10</f>
        <v>34192493</v>
      </c>
      <c r="G21" s="20"/>
    </row>
    <row r="22" spans="1:13">
      <c r="A22" s="20">
        <f>A21+1</f>
        <v>5</v>
      </c>
      <c r="C22" s="2" t="s">
        <v>537</v>
      </c>
      <c r="E22" s="28">
        <v>30</v>
      </c>
      <c r="G22" s="20"/>
    </row>
    <row r="23" spans="1:13">
      <c r="A23" s="20">
        <f>A22+1</f>
        <v>6</v>
      </c>
      <c r="C23" s="2" t="s">
        <v>538</v>
      </c>
      <c r="E23" s="16">
        <f>E21/E22</f>
        <v>1139749.7666666666</v>
      </c>
      <c r="G23" s="20"/>
    </row>
    <row r="24" spans="1:13">
      <c r="A24" s="20">
        <f>A23+1</f>
        <v>7</v>
      </c>
      <c r="C24" s="2" t="s">
        <v>541</v>
      </c>
      <c r="E24" s="28">
        <v>12</v>
      </c>
      <c r="G24" s="20"/>
    </row>
    <row r="25" spans="1:13" ht="13.5" thickBot="1">
      <c r="A25" s="20">
        <f>A24+1</f>
        <v>8</v>
      </c>
      <c r="C25" s="2" t="s">
        <v>539</v>
      </c>
      <c r="E25" s="174">
        <f>E23/E24</f>
        <v>94979.147222222222</v>
      </c>
      <c r="G25" s="20"/>
    </row>
    <row r="26" spans="1:13" ht="13.5" thickTop="1">
      <c r="A26" s="20"/>
      <c r="E26" s="16"/>
      <c r="G26" s="20"/>
    </row>
    <row r="27" spans="1:13">
      <c r="A27" s="20"/>
      <c r="G27" s="20" t="s">
        <v>531</v>
      </c>
    </row>
    <row r="28" spans="1:13">
      <c r="A28" s="20"/>
      <c r="C28" s="28" t="s">
        <v>2</v>
      </c>
      <c r="E28" s="27" t="s">
        <v>34</v>
      </c>
      <c r="G28" s="27" t="s">
        <v>532</v>
      </c>
    </row>
    <row r="29" spans="1:13">
      <c r="A29" s="20"/>
      <c r="E29" s="20"/>
      <c r="G29" s="20"/>
    </row>
    <row r="30" spans="1:13">
      <c r="A30" s="20">
        <f>A25+1</f>
        <v>9</v>
      </c>
      <c r="C30" s="110" t="s">
        <v>530</v>
      </c>
      <c r="E30" s="72">
        <v>-13866952.450000001</v>
      </c>
      <c r="F30" s="18"/>
      <c r="G30" s="72">
        <f>E25</f>
        <v>94979.147222222222</v>
      </c>
    </row>
    <row r="31" spans="1:13">
      <c r="A31" s="20">
        <f>A30+1</f>
        <v>10</v>
      </c>
      <c r="C31" s="110" t="s">
        <v>518</v>
      </c>
      <c r="E31" s="72">
        <f t="shared" ref="E31:E54" si="0">E30-G30</f>
        <v>-13961931.597222224</v>
      </c>
      <c r="F31" s="18"/>
      <c r="G31" s="72">
        <f>G30</f>
        <v>94979.147222222222</v>
      </c>
    </row>
    <row r="32" spans="1:13">
      <c r="A32" s="20">
        <f t="shared" ref="A32:A61" si="1">A31+1</f>
        <v>11</v>
      </c>
      <c r="C32" s="110" t="s">
        <v>519</v>
      </c>
      <c r="E32" s="72">
        <f t="shared" si="0"/>
        <v>-14056910.744444447</v>
      </c>
      <c r="F32" s="18"/>
      <c r="G32" s="72">
        <f t="shared" ref="G32:G54" si="2">G31</f>
        <v>94979.147222222222</v>
      </c>
      <c r="K32" s="18"/>
      <c r="L32" s="18"/>
      <c r="M32" s="18"/>
    </row>
    <row r="33" spans="1:13">
      <c r="A33" s="20">
        <f t="shared" si="1"/>
        <v>12</v>
      </c>
      <c r="C33" s="110" t="s">
        <v>520</v>
      </c>
      <c r="E33" s="72">
        <f t="shared" si="0"/>
        <v>-14151889.891666669</v>
      </c>
      <c r="F33" s="18"/>
      <c r="G33" s="72">
        <f t="shared" si="2"/>
        <v>94979.147222222222</v>
      </c>
      <c r="K33" s="18"/>
      <c r="L33" s="18"/>
      <c r="M33" s="18"/>
    </row>
    <row r="34" spans="1:13">
      <c r="A34" s="20">
        <f t="shared" si="1"/>
        <v>13</v>
      </c>
      <c r="C34" s="110" t="s">
        <v>521</v>
      </c>
      <c r="E34" s="72">
        <f t="shared" si="0"/>
        <v>-14246869.038888892</v>
      </c>
      <c r="F34" s="18"/>
      <c r="G34" s="72">
        <f t="shared" si="2"/>
        <v>94979.147222222222</v>
      </c>
      <c r="K34" s="16"/>
    </row>
    <row r="35" spans="1:13">
      <c r="A35" s="20">
        <f t="shared" si="1"/>
        <v>14</v>
      </c>
      <c r="C35" s="110" t="s">
        <v>522</v>
      </c>
      <c r="E35" s="72">
        <f t="shared" si="0"/>
        <v>-14341848.186111115</v>
      </c>
      <c r="F35" s="18"/>
      <c r="G35" s="72">
        <f t="shared" si="2"/>
        <v>94979.147222222222</v>
      </c>
      <c r="K35" s="16"/>
    </row>
    <row r="36" spans="1:13">
      <c r="A36" s="20">
        <f t="shared" si="1"/>
        <v>15</v>
      </c>
      <c r="C36" s="110" t="s">
        <v>523</v>
      </c>
      <c r="E36" s="72">
        <f t="shared" si="0"/>
        <v>-14436827.333333338</v>
      </c>
      <c r="F36" s="18"/>
      <c r="G36" s="72">
        <f t="shared" si="2"/>
        <v>94979.147222222222</v>
      </c>
      <c r="K36" s="16"/>
    </row>
    <row r="37" spans="1:13">
      <c r="A37" s="20">
        <f t="shared" si="1"/>
        <v>16</v>
      </c>
      <c r="C37" s="110" t="s">
        <v>524</v>
      </c>
      <c r="E37" s="72">
        <f t="shared" si="0"/>
        <v>-14531806.48055556</v>
      </c>
      <c r="F37" s="18"/>
      <c r="G37" s="72">
        <f t="shared" si="2"/>
        <v>94979.147222222222</v>
      </c>
    </row>
    <row r="38" spans="1:13">
      <c r="A38" s="20">
        <f t="shared" si="1"/>
        <v>17</v>
      </c>
      <c r="C38" s="110" t="s">
        <v>525</v>
      </c>
      <c r="E38" s="72">
        <f t="shared" si="0"/>
        <v>-14626785.627777783</v>
      </c>
      <c r="F38" s="18"/>
      <c r="G38" s="72">
        <f t="shared" si="2"/>
        <v>94979.147222222222</v>
      </c>
    </row>
    <row r="39" spans="1:13">
      <c r="A39" s="20">
        <f t="shared" si="1"/>
        <v>18</v>
      </c>
      <c r="C39" s="110" t="s">
        <v>526</v>
      </c>
      <c r="E39" s="72">
        <f t="shared" si="0"/>
        <v>-14721764.775000006</v>
      </c>
      <c r="F39" s="18"/>
      <c r="G39" s="72">
        <f t="shared" si="2"/>
        <v>94979.147222222222</v>
      </c>
    </row>
    <row r="40" spans="1:13">
      <c r="A40" s="20">
        <f t="shared" si="1"/>
        <v>19</v>
      </c>
      <c r="C40" s="110" t="s">
        <v>527</v>
      </c>
      <c r="E40" s="72">
        <f t="shared" si="0"/>
        <v>-14816743.922222229</v>
      </c>
      <c r="F40" s="18"/>
      <c r="G40" s="72">
        <f t="shared" si="2"/>
        <v>94979.147222222222</v>
      </c>
    </row>
    <row r="41" spans="1:13">
      <c r="A41" s="20">
        <f t="shared" si="1"/>
        <v>20</v>
      </c>
      <c r="C41" s="110" t="s">
        <v>528</v>
      </c>
      <c r="E41" s="72">
        <f t="shared" si="0"/>
        <v>-14911723.069444451</v>
      </c>
      <c r="F41" s="18"/>
      <c r="G41" s="72">
        <f t="shared" si="2"/>
        <v>94979.147222222222</v>
      </c>
    </row>
    <row r="42" spans="1:13">
      <c r="A42" s="20">
        <f t="shared" si="1"/>
        <v>21</v>
      </c>
      <c r="C42" s="110" t="s">
        <v>529</v>
      </c>
      <c r="E42" s="188">
        <f t="shared" si="0"/>
        <v>-15006702.216666674</v>
      </c>
      <c r="F42" s="18"/>
      <c r="G42" s="72">
        <f t="shared" si="2"/>
        <v>94979.147222222222</v>
      </c>
    </row>
    <row r="43" spans="1:13">
      <c r="A43" s="20">
        <f t="shared" si="1"/>
        <v>22</v>
      </c>
      <c r="C43" s="110" t="s">
        <v>500</v>
      </c>
      <c r="E43" s="189">
        <f t="shared" si="0"/>
        <v>-15101681.363888897</v>
      </c>
      <c r="F43" s="18"/>
      <c r="G43" s="72">
        <f t="shared" si="2"/>
        <v>94979.147222222222</v>
      </c>
    </row>
    <row r="44" spans="1:13">
      <c r="A44" s="20">
        <f t="shared" si="1"/>
        <v>23</v>
      </c>
      <c r="C44" s="110" t="s">
        <v>501</v>
      </c>
      <c r="E44" s="189">
        <f t="shared" si="0"/>
        <v>-15196660.51111112</v>
      </c>
      <c r="F44" s="18"/>
      <c r="G44" s="72">
        <f t="shared" si="2"/>
        <v>94979.147222222222</v>
      </c>
    </row>
    <row r="45" spans="1:13">
      <c r="A45" s="20">
        <f t="shared" si="1"/>
        <v>24</v>
      </c>
      <c r="C45" s="110" t="s">
        <v>502</v>
      </c>
      <c r="E45" s="189">
        <f t="shared" si="0"/>
        <v>-15291639.658333343</v>
      </c>
      <c r="F45" s="18"/>
      <c r="G45" s="72">
        <f t="shared" si="2"/>
        <v>94979.147222222222</v>
      </c>
    </row>
    <row r="46" spans="1:13">
      <c r="A46" s="20">
        <f t="shared" si="1"/>
        <v>25</v>
      </c>
      <c r="C46" s="110" t="s">
        <v>503</v>
      </c>
      <c r="E46" s="189">
        <f t="shared" si="0"/>
        <v>-15386618.805555565</v>
      </c>
      <c r="F46" s="18"/>
      <c r="G46" s="72">
        <f t="shared" si="2"/>
        <v>94979.147222222222</v>
      </c>
    </row>
    <row r="47" spans="1:13">
      <c r="A47" s="20">
        <f t="shared" si="1"/>
        <v>26</v>
      </c>
      <c r="C47" s="110" t="s">
        <v>504</v>
      </c>
      <c r="E47" s="189">
        <f t="shared" si="0"/>
        <v>-15481597.952777788</v>
      </c>
      <c r="F47" s="18"/>
      <c r="G47" s="72">
        <f t="shared" si="2"/>
        <v>94979.147222222222</v>
      </c>
    </row>
    <row r="48" spans="1:13">
      <c r="A48" s="20">
        <f t="shared" si="1"/>
        <v>27</v>
      </c>
      <c r="C48" s="110" t="s">
        <v>505</v>
      </c>
      <c r="E48" s="189">
        <f t="shared" si="0"/>
        <v>-15576577.100000011</v>
      </c>
      <c r="F48" s="18"/>
      <c r="G48" s="72">
        <f t="shared" si="2"/>
        <v>94979.147222222222</v>
      </c>
    </row>
    <row r="49" spans="1:7">
      <c r="A49" s="20">
        <f t="shared" si="1"/>
        <v>28</v>
      </c>
      <c r="C49" s="110" t="s">
        <v>506</v>
      </c>
      <c r="E49" s="189">
        <f t="shared" si="0"/>
        <v>-15671556.247222234</v>
      </c>
      <c r="F49" s="18"/>
      <c r="G49" s="72">
        <f t="shared" si="2"/>
        <v>94979.147222222222</v>
      </c>
    </row>
    <row r="50" spans="1:7">
      <c r="A50" s="20">
        <f t="shared" si="1"/>
        <v>29</v>
      </c>
      <c r="C50" s="110" t="s">
        <v>507</v>
      </c>
      <c r="E50" s="189">
        <f t="shared" si="0"/>
        <v>-15766535.394444456</v>
      </c>
      <c r="F50" s="18"/>
      <c r="G50" s="72">
        <f t="shared" si="2"/>
        <v>94979.147222222222</v>
      </c>
    </row>
    <row r="51" spans="1:7">
      <c r="A51" s="20">
        <f t="shared" si="1"/>
        <v>30</v>
      </c>
      <c r="C51" s="110" t="s">
        <v>508</v>
      </c>
      <c r="E51" s="189">
        <f t="shared" si="0"/>
        <v>-15861514.541666679</v>
      </c>
      <c r="F51" s="18"/>
      <c r="G51" s="72">
        <f t="shared" si="2"/>
        <v>94979.147222222222</v>
      </c>
    </row>
    <row r="52" spans="1:7">
      <c r="A52" s="20">
        <f t="shared" si="1"/>
        <v>31</v>
      </c>
      <c r="C52" s="110" t="s">
        <v>509</v>
      </c>
      <c r="E52" s="189">
        <f t="shared" si="0"/>
        <v>-15956493.688888902</v>
      </c>
      <c r="F52" s="18"/>
      <c r="G52" s="72">
        <f t="shared" si="2"/>
        <v>94979.147222222222</v>
      </c>
    </row>
    <row r="53" spans="1:7">
      <c r="A53" s="20">
        <f t="shared" si="1"/>
        <v>32</v>
      </c>
      <c r="C53" s="110" t="s">
        <v>510</v>
      </c>
      <c r="E53" s="189">
        <f t="shared" si="0"/>
        <v>-16051472.836111125</v>
      </c>
      <c r="F53" s="18"/>
      <c r="G53" s="72">
        <f t="shared" si="2"/>
        <v>94979.147222222222</v>
      </c>
    </row>
    <row r="54" spans="1:7">
      <c r="A54" s="20">
        <f t="shared" si="1"/>
        <v>33</v>
      </c>
      <c r="C54" s="110" t="s">
        <v>511</v>
      </c>
      <c r="E54" s="67">
        <f t="shared" si="0"/>
        <v>-16146451.983333347</v>
      </c>
      <c r="F54" s="18"/>
      <c r="G54" s="72">
        <f t="shared" si="2"/>
        <v>94979.147222222222</v>
      </c>
    </row>
    <row r="55" spans="1:7">
      <c r="A55" s="20">
        <f t="shared" si="1"/>
        <v>34</v>
      </c>
      <c r="C55" s="2" t="s">
        <v>533</v>
      </c>
      <c r="E55" s="112">
        <f>SUM(E42:E54)</f>
        <v>-202495502.30000016</v>
      </c>
      <c r="F55" s="18"/>
      <c r="G55" s="30"/>
    </row>
    <row r="56" spans="1:7">
      <c r="A56" s="20">
        <f t="shared" si="1"/>
        <v>35</v>
      </c>
      <c r="C56" s="2" t="s">
        <v>513</v>
      </c>
      <c r="E56" s="2">
        <v>13</v>
      </c>
    </row>
    <row r="57" spans="1:7" ht="13.5" hidden="1" thickBot="1">
      <c r="A57" s="20">
        <f t="shared" si="1"/>
        <v>36</v>
      </c>
      <c r="C57" s="2" t="s">
        <v>346</v>
      </c>
      <c r="G57" s="174" t="e">
        <f>G55/G56</f>
        <v>#DIV/0!</v>
      </c>
    </row>
    <row r="58" spans="1:7" hidden="1">
      <c r="A58" s="20">
        <f t="shared" si="1"/>
        <v>37</v>
      </c>
    </row>
    <row r="59" spans="1:7" hidden="1">
      <c r="A59" s="20">
        <f t="shared" si="1"/>
        <v>38</v>
      </c>
    </row>
    <row r="60" spans="1:7" hidden="1">
      <c r="A60" s="20">
        <f t="shared" si="1"/>
        <v>39</v>
      </c>
    </row>
    <row r="61" spans="1:7" ht="13.5" thickBot="1">
      <c r="A61" s="20">
        <f t="shared" si="1"/>
        <v>40</v>
      </c>
      <c r="C61" s="2" t="s">
        <v>534</v>
      </c>
      <c r="E61" s="174">
        <f>E55/E56</f>
        <v>-15576577.100000013</v>
      </c>
    </row>
    <row r="62" spans="1:7" ht="13.5" thickTop="1"/>
    <row r="63" spans="1:7">
      <c r="E63" s="16"/>
    </row>
  </sheetData>
  <pageMargins left="0.7" right="0.7" top="0.75" bottom="0.75" header="0.3" footer="0.3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Normal="100" workbookViewId="0">
      <selection activeCell="H5" sqref="H5"/>
    </sheetView>
  </sheetViews>
  <sheetFormatPr defaultRowHeight="12.75"/>
  <cols>
    <col min="1" max="1" width="4" style="2" customWidth="1"/>
    <col min="2" max="2" width="0.7109375" style="2" customWidth="1"/>
    <col min="3" max="3" width="59" style="2" bestFit="1" customWidth="1"/>
    <col min="4" max="4" width="1" style="2" customWidth="1"/>
    <col min="5" max="5" width="12" style="2" bestFit="1" customWidth="1"/>
    <col min="6" max="6" width="1.140625" style="2" customWidth="1"/>
    <col min="7" max="7" width="11.28515625" style="2" customWidth="1"/>
    <col min="8" max="8" width="1.42578125" style="2" customWidth="1"/>
    <col min="9" max="9" width="11.28515625" style="2" bestFit="1" customWidth="1"/>
    <col min="10" max="10" width="1" style="2" customWidth="1"/>
    <col min="11" max="11" width="11.28515625" style="2" customWidth="1"/>
    <col min="12" max="12" width="1" style="2" customWidth="1"/>
    <col min="13" max="14" width="9.140625" style="2"/>
    <col min="15" max="15" width="9.28515625" style="2" bestFit="1" customWidth="1"/>
    <col min="16" max="16" width="10.85546875" style="2" bestFit="1" customWidth="1"/>
    <col min="17" max="17" width="9.28515625" style="2" bestFit="1" customWidth="1"/>
    <col min="18" max="16384" width="9.140625" style="2"/>
  </cols>
  <sheetData>
    <row r="1" spans="1:13">
      <c r="A1" s="2" t="str">
        <f>A!$A$1</f>
        <v>Florida Public Utilities Company Consolidated Gas</v>
      </c>
      <c r="I1" s="33"/>
      <c r="K1" s="33" t="str">
        <f>Contents!A2</f>
        <v>Docket No. 20220067-GU</v>
      </c>
    </row>
    <row r="2" spans="1:13">
      <c r="A2" s="2" t="s">
        <v>546</v>
      </c>
      <c r="I2" s="33"/>
      <c r="K2" s="33" t="str">
        <f>Contents!A3</f>
        <v>Exhibit RCS-2R</v>
      </c>
    </row>
    <row r="3" spans="1:13">
      <c r="I3" s="33"/>
      <c r="K3" s="33" t="s">
        <v>96</v>
      </c>
    </row>
    <row r="4" spans="1:13">
      <c r="A4" s="23" t="str">
        <f>A!A4</f>
        <v>Projected Test Year Ended December 31, 2023</v>
      </c>
      <c r="I4" s="33"/>
      <c r="K4" s="33" t="s">
        <v>474</v>
      </c>
    </row>
    <row r="5" spans="1:13">
      <c r="A5" s="2" t="s">
        <v>116</v>
      </c>
      <c r="K5" s="33" t="s">
        <v>102</v>
      </c>
    </row>
    <row r="6" spans="1:13">
      <c r="E6" s="20"/>
      <c r="F6" s="20"/>
      <c r="G6" s="20"/>
      <c r="H6" s="20"/>
      <c r="I6" s="20"/>
      <c r="K6" s="20"/>
    </row>
    <row r="7" spans="1:13">
      <c r="A7" s="20" t="s">
        <v>0</v>
      </c>
      <c r="E7" s="20" t="s">
        <v>168</v>
      </c>
      <c r="F7" s="20"/>
      <c r="G7" s="20" t="s">
        <v>168</v>
      </c>
      <c r="H7" s="20"/>
      <c r="I7" s="20" t="s">
        <v>167</v>
      </c>
      <c r="J7" s="20"/>
      <c r="K7" s="20"/>
      <c r="L7" s="20"/>
      <c r="M7" s="20"/>
    </row>
    <row r="8" spans="1:13">
      <c r="A8" s="27" t="s">
        <v>1</v>
      </c>
      <c r="C8" s="28" t="s">
        <v>2</v>
      </c>
      <c r="E8" s="27" t="s">
        <v>391</v>
      </c>
      <c r="F8" s="20"/>
      <c r="G8" s="27" t="s">
        <v>167</v>
      </c>
      <c r="H8" s="20"/>
      <c r="I8" s="27" t="s">
        <v>95</v>
      </c>
      <c r="J8" s="20"/>
      <c r="K8" s="27" t="s">
        <v>3</v>
      </c>
      <c r="L8" s="20"/>
      <c r="M8" s="20"/>
    </row>
    <row r="9" spans="1:13">
      <c r="C9" s="103"/>
      <c r="E9" s="20" t="s">
        <v>9</v>
      </c>
      <c r="F9" s="20"/>
      <c r="G9" s="20" t="s">
        <v>10</v>
      </c>
      <c r="H9" s="20"/>
      <c r="I9" s="20" t="s">
        <v>26</v>
      </c>
      <c r="J9" s="20"/>
      <c r="K9" s="20"/>
    </row>
    <row r="10" spans="1:13">
      <c r="C10" s="103"/>
      <c r="E10" s="20"/>
      <c r="F10" s="20"/>
      <c r="G10" s="20"/>
      <c r="H10" s="20"/>
      <c r="I10" s="20"/>
      <c r="J10" s="20"/>
      <c r="K10" s="20"/>
    </row>
    <row r="11" spans="1:13">
      <c r="A11" s="20">
        <v>1</v>
      </c>
      <c r="C11" s="2" t="s">
        <v>261</v>
      </c>
      <c r="E11" s="30">
        <f>'C-3 P3'!Q49</f>
        <v>14561212.744878782</v>
      </c>
      <c r="F11" s="30"/>
      <c r="G11" s="30">
        <f>'C-1 P4'!Q49</f>
        <v>12487591.419433918</v>
      </c>
      <c r="H11" s="30"/>
      <c r="I11" s="30">
        <f>G11-E11</f>
        <v>-2073621.3254448641</v>
      </c>
      <c r="J11" s="50"/>
      <c r="K11" s="20"/>
    </row>
    <row r="12" spans="1:13">
      <c r="A12" s="20">
        <f>A11+1</f>
        <v>2</v>
      </c>
      <c r="C12" s="2" t="s">
        <v>262</v>
      </c>
      <c r="E12" s="31">
        <f>'C-3 P3'!Q50</f>
        <v>2474839.9835180002</v>
      </c>
      <c r="F12" s="18"/>
      <c r="G12" s="31">
        <f>E12</f>
        <v>2474839.9835180002</v>
      </c>
      <c r="H12" s="18"/>
      <c r="I12" s="31">
        <f>G12-E12</f>
        <v>0</v>
      </c>
      <c r="J12" s="50"/>
      <c r="K12" s="20"/>
    </row>
    <row r="13" spans="1:13">
      <c r="A13" s="20">
        <f t="shared" ref="A13:A24" si="0">A12+1</f>
        <v>3</v>
      </c>
      <c r="C13" s="2" t="s">
        <v>481</v>
      </c>
      <c r="E13" s="30">
        <f>E11+E12</f>
        <v>17036052.728396781</v>
      </c>
      <c r="F13" s="18"/>
      <c r="G13" s="30">
        <f>G11+G12</f>
        <v>14962431.402951919</v>
      </c>
      <c r="H13" s="18"/>
      <c r="I13" s="30">
        <f>I11+I12</f>
        <v>-2073621.3254448641</v>
      </c>
      <c r="J13" s="50"/>
      <c r="K13" s="20"/>
    </row>
    <row r="14" spans="1:13">
      <c r="A14" s="20">
        <f t="shared" si="0"/>
        <v>4</v>
      </c>
      <c r="C14" s="2" t="s">
        <v>470</v>
      </c>
      <c r="E14" s="31">
        <f>'C-3 P3'!Q52</f>
        <v>-153208.92354320403</v>
      </c>
      <c r="F14" s="50"/>
      <c r="G14" s="31">
        <f>E14</f>
        <v>-153208.92354320403</v>
      </c>
      <c r="H14" s="18"/>
      <c r="I14" s="31">
        <f>G14-E14</f>
        <v>0</v>
      </c>
      <c r="J14" s="50"/>
      <c r="K14" s="20"/>
    </row>
    <row r="15" spans="1:13">
      <c r="A15" s="20">
        <f t="shared" si="0"/>
        <v>5</v>
      </c>
      <c r="C15" s="23" t="s">
        <v>479</v>
      </c>
      <c r="E15" s="16">
        <f>E13+E14</f>
        <v>16882843.804853577</v>
      </c>
      <c r="F15" s="50"/>
      <c r="G15" s="16">
        <f>G13+G14</f>
        <v>14809222.479408715</v>
      </c>
      <c r="H15" s="18"/>
      <c r="I15" s="16">
        <f>I13+I14</f>
        <v>-2073621.3254448641</v>
      </c>
      <c r="J15" s="50"/>
      <c r="K15" s="20"/>
    </row>
    <row r="16" spans="1:13">
      <c r="A16" s="20">
        <f t="shared" si="0"/>
        <v>6</v>
      </c>
      <c r="C16" s="2" t="s">
        <v>472</v>
      </c>
      <c r="E16" s="31">
        <f>'C-3 P3'!Q54</f>
        <v>760865.82011142757</v>
      </c>
      <c r="F16" s="50"/>
      <c r="G16" s="18">
        <f>E16</f>
        <v>760865.82011142757</v>
      </c>
      <c r="H16" s="18"/>
      <c r="I16" s="30">
        <f>G16-E16</f>
        <v>0</v>
      </c>
      <c r="J16" s="50"/>
      <c r="K16" s="20"/>
    </row>
    <row r="17" spans="1:11" ht="13.5" thickBot="1">
      <c r="A17" s="20">
        <f t="shared" si="0"/>
        <v>7</v>
      </c>
      <c r="C17" s="2" t="s">
        <v>480</v>
      </c>
      <c r="E17" s="174">
        <f>E15+E16</f>
        <v>17643709.624965005</v>
      </c>
      <c r="F17" s="50"/>
      <c r="G17" s="174">
        <f>G15+G16</f>
        <v>15570088.299520142</v>
      </c>
      <c r="H17" s="18"/>
      <c r="I17" s="174">
        <f>I15+I16</f>
        <v>-2073621.3254448641</v>
      </c>
      <c r="J17" s="50"/>
    </row>
    <row r="18" spans="1:11" ht="13.5" thickTop="1">
      <c r="A18" s="20">
        <f t="shared" si="0"/>
        <v>8</v>
      </c>
      <c r="C18" s="2" t="s">
        <v>482</v>
      </c>
      <c r="E18" s="50"/>
      <c r="F18" s="50"/>
      <c r="G18" s="18"/>
      <c r="H18" s="18"/>
      <c r="I18" s="18"/>
      <c r="J18" s="50"/>
    </row>
    <row r="19" spans="1:11">
      <c r="A19" s="20">
        <f t="shared" si="0"/>
        <v>9</v>
      </c>
      <c r="C19" s="22" t="s">
        <v>483</v>
      </c>
      <c r="E19" s="18">
        <v>-173088</v>
      </c>
      <c r="F19" s="50"/>
      <c r="G19" s="18">
        <f>E19</f>
        <v>-173088</v>
      </c>
      <c r="H19" s="18"/>
      <c r="I19" s="30">
        <f t="shared" ref="I19:I23" si="1">G19-E19</f>
        <v>0</v>
      </c>
      <c r="J19" s="50"/>
      <c r="K19" s="20"/>
    </row>
    <row r="20" spans="1:11">
      <c r="A20" s="20">
        <f t="shared" si="0"/>
        <v>10</v>
      </c>
      <c r="C20" s="22" t="s">
        <v>484</v>
      </c>
      <c r="E20" s="18">
        <v>-331868</v>
      </c>
      <c r="F20" s="50"/>
      <c r="G20" s="18">
        <f>E20</f>
        <v>-331868</v>
      </c>
      <c r="H20" s="18"/>
      <c r="I20" s="30">
        <f t="shared" si="1"/>
        <v>0</v>
      </c>
      <c r="J20" s="50"/>
      <c r="K20" s="20"/>
    </row>
    <row r="21" spans="1:11">
      <c r="A21" s="20">
        <f t="shared" si="0"/>
        <v>11</v>
      </c>
      <c r="C21" s="22" t="s">
        <v>485</v>
      </c>
      <c r="E21" s="18">
        <v>-55790</v>
      </c>
      <c r="F21" s="50"/>
      <c r="G21" s="18">
        <f>E21</f>
        <v>-55790</v>
      </c>
      <c r="H21" s="18"/>
      <c r="I21" s="30">
        <f t="shared" si="1"/>
        <v>0</v>
      </c>
      <c r="J21" s="50"/>
      <c r="K21" s="20"/>
    </row>
    <row r="22" spans="1:11">
      <c r="A22" s="20">
        <f t="shared" si="0"/>
        <v>12</v>
      </c>
      <c r="C22" s="22" t="s">
        <v>486</v>
      </c>
      <c r="E22" s="18">
        <v>-309954</v>
      </c>
      <c r="F22" s="50"/>
      <c r="G22" s="18">
        <f>E22</f>
        <v>-309954</v>
      </c>
      <c r="H22" s="18"/>
      <c r="I22" s="30">
        <f t="shared" si="1"/>
        <v>0</v>
      </c>
      <c r="J22" s="50"/>
      <c r="K22" s="20"/>
    </row>
    <row r="23" spans="1:11">
      <c r="A23" s="20">
        <f t="shared" si="0"/>
        <v>13</v>
      </c>
      <c r="C23" s="22" t="s">
        <v>487</v>
      </c>
      <c r="E23" s="18">
        <v>-456348</v>
      </c>
      <c r="F23" s="50"/>
      <c r="G23" s="18">
        <f>E23</f>
        <v>-456348</v>
      </c>
      <c r="H23" s="18"/>
      <c r="I23" s="30">
        <f t="shared" si="1"/>
        <v>0</v>
      </c>
      <c r="J23" s="50"/>
      <c r="K23" s="20"/>
    </row>
    <row r="24" spans="1:11" ht="13.5" thickBot="1">
      <c r="A24" s="20">
        <f t="shared" si="0"/>
        <v>14</v>
      </c>
      <c r="C24" s="2" t="s">
        <v>488</v>
      </c>
      <c r="E24" s="174">
        <f>SUM(E19:E23)</f>
        <v>-1327048</v>
      </c>
      <c r="F24" s="50"/>
      <c r="G24" s="174">
        <f>SUM(G19:G23)</f>
        <v>-1327048</v>
      </c>
      <c r="H24" s="18"/>
      <c r="I24" s="174">
        <f>SUM(I19:I23)</f>
        <v>0</v>
      </c>
      <c r="J24" s="50"/>
      <c r="K24" s="20"/>
    </row>
    <row r="25" spans="1:11" ht="13.5" thickTop="1">
      <c r="A25" s="20"/>
      <c r="E25" s="16"/>
      <c r="F25" s="50"/>
      <c r="G25" s="18"/>
      <c r="H25" s="18"/>
      <c r="I25" s="18"/>
      <c r="J25" s="50"/>
    </row>
    <row r="26" spans="1:11" ht="13.5" thickBot="1">
      <c r="A26" s="20">
        <f>A24+1</f>
        <v>15</v>
      </c>
      <c r="C26" s="2" t="s">
        <v>489</v>
      </c>
      <c r="E26" s="184">
        <f>E17+E24</f>
        <v>16316661.624965005</v>
      </c>
      <c r="F26" s="50"/>
      <c r="G26" s="184">
        <f>G17+G24</f>
        <v>14243040.299520142</v>
      </c>
      <c r="H26" s="18"/>
      <c r="I26" s="184">
        <f>I17+I24</f>
        <v>-2073621.3254448641</v>
      </c>
      <c r="J26" s="50"/>
      <c r="K26" s="20" t="s">
        <v>492</v>
      </c>
    </row>
    <row r="27" spans="1:11" ht="13.5" thickTop="1">
      <c r="E27" s="50"/>
      <c r="F27" s="50"/>
      <c r="G27" s="50"/>
      <c r="H27" s="50"/>
      <c r="I27" s="50"/>
      <c r="J27" s="50"/>
    </row>
    <row r="28" spans="1:11">
      <c r="A28" s="28" t="s">
        <v>11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>
      <c r="A29" s="2" t="s">
        <v>493</v>
      </c>
    </row>
    <row r="30" spans="1:11">
      <c r="A30" s="2" t="s">
        <v>494</v>
      </c>
    </row>
    <row r="31" spans="1:11">
      <c r="A31" s="2" t="s">
        <v>495</v>
      </c>
    </row>
    <row r="54" spans="3:3" hidden="1">
      <c r="C54" s="2">
        <v>1</v>
      </c>
    </row>
    <row r="55" spans="3:3" hidden="1"/>
    <row r="56" spans="3:3" hidden="1"/>
    <row r="57" spans="3:3" hidden="1"/>
  </sheetData>
  <pageMargins left="0.7" right="0.7" top="0.75" bottom="0.44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>
      <selection activeCell="H5" sqref="H5"/>
    </sheetView>
  </sheetViews>
  <sheetFormatPr defaultRowHeight="12.75"/>
  <cols>
    <col min="1" max="1" width="5" style="2" customWidth="1"/>
    <col min="2" max="2" width="8.5703125" style="20" customWidth="1"/>
    <col min="3" max="3" width="34" style="2" customWidth="1"/>
    <col min="4" max="16" width="13.85546875" style="2" bestFit="1" customWidth="1"/>
    <col min="17" max="17" width="12.42578125" style="2" customWidth="1"/>
    <col min="18" max="16384" width="9.140625" style="2"/>
  </cols>
  <sheetData>
    <row r="1" spans="1:17">
      <c r="A1" s="2" t="str">
        <f>Contents!A1</f>
        <v>Florida Public Utilities Company Consolidated Gas</v>
      </c>
      <c r="Q1" s="33" t="str">
        <f>Contents!A2</f>
        <v>Docket No. 20220067-GU</v>
      </c>
    </row>
    <row r="2" spans="1:17">
      <c r="A2" s="2" t="s">
        <v>576</v>
      </c>
      <c r="Q2" s="33" t="str">
        <f>Contents!A3</f>
        <v>Exhibit RCS-2R</v>
      </c>
    </row>
    <row r="3" spans="1:17">
      <c r="Q3" s="33" t="s">
        <v>96</v>
      </c>
    </row>
    <row r="4" spans="1:17">
      <c r="A4" s="2" t="str">
        <f>A!A4</f>
        <v>Projected Test Year Ended December 31, 2023</v>
      </c>
      <c r="Q4" s="33" t="s">
        <v>475</v>
      </c>
    </row>
    <row r="5" spans="1:17">
      <c r="Q5" s="33" t="s">
        <v>102</v>
      </c>
    </row>
    <row r="6" spans="1:17">
      <c r="Q6" s="33"/>
    </row>
    <row r="7" spans="1:17">
      <c r="A7" s="20" t="s">
        <v>392</v>
      </c>
      <c r="B7" s="20" t="s">
        <v>393</v>
      </c>
      <c r="D7" s="20" t="s">
        <v>395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 t="s">
        <v>396</v>
      </c>
    </row>
    <row r="8" spans="1:17">
      <c r="A8" s="27" t="s">
        <v>1</v>
      </c>
      <c r="B8" s="27" t="s">
        <v>394</v>
      </c>
      <c r="C8" s="28" t="s">
        <v>2</v>
      </c>
      <c r="D8" s="185">
        <v>44896</v>
      </c>
      <c r="E8" s="185">
        <v>44927</v>
      </c>
      <c r="F8" s="185">
        <v>44958</v>
      </c>
      <c r="G8" s="185">
        <v>44986</v>
      </c>
      <c r="H8" s="185">
        <v>45017</v>
      </c>
      <c r="I8" s="185">
        <v>45047</v>
      </c>
      <c r="J8" s="185">
        <v>45078</v>
      </c>
      <c r="K8" s="185">
        <v>45108</v>
      </c>
      <c r="L8" s="185">
        <v>45139</v>
      </c>
      <c r="M8" s="185">
        <v>45170</v>
      </c>
      <c r="N8" s="185">
        <v>45200</v>
      </c>
      <c r="O8" s="185">
        <v>45231</v>
      </c>
      <c r="P8" s="185">
        <v>45261</v>
      </c>
      <c r="Q8" s="27" t="s">
        <v>397</v>
      </c>
    </row>
    <row r="9" spans="1:17">
      <c r="A9" s="20"/>
      <c r="C9" s="1" t="s">
        <v>213</v>
      </c>
      <c r="D9" s="186" t="s">
        <v>9</v>
      </c>
      <c r="E9" s="186" t="s">
        <v>10</v>
      </c>
      <c r="F9" s="20" t="s">
        <v>26</v>
      </c>
      <c r="G9" s="186" t="s">
        <v>27</v>
      </c>
      <c r="H9" s="186" t="s">
        <v>28</v>
      </c>
      <c r="I9" s="186" t="s">
        <v>29</v>
      </c>
      <c r="J9" s="186" t="s">
        <v>82</v>
      </c>
      <c r="K9" s="186" t="s">
        <v>177</v>
      </c>
      <c r="L9" s="186" t="s">
        <v>460</v>
      </c>
      <c r="M9" s="186" t="s">
        <v>461</v>
      </c>
      <c r="N9" s="186" t="s">
        <v>462</v>
      </c>
      <c r="O9" s="186" t="s">
        <v>463</v>
      </c>
      <c r="P9" s="186" t="s">
        <v>464</v>
      </c>
      <c r="Q9" s="20" t="s">
        <v>465</v>
      </c>
    </row>
    <row r="10" spans="1:17">
      <c r="A10" s="20">
        <v>1</v>
      </c>
      <c r="B10" s="20" t="s">
        <v>398</v>
      </c>
      <c r="C10" s="2" t="s">
        <v>399</v>
      </c>
      <c r="D10" s="18">
        <v>23328.06</v>
      </c>
      <c r="E10" s="18">
        <v>23328.06</v>
      </c>
      <c r="F10" s="18">
        <v>23328.06</v>
      </c>
      <c r="G10" s="18">
        <v>23328.06</v>
      </c>
      <c r="H10" s="18">
        <v>23328.06</v>
      </c>
      <c r="I10" s="18">
        <v>23328.06</v>
      </c>
      <c r="J10" s="18">
        <v>23328.06</v>
      </c>
      <c r="K10" s="18">
        <v>23328.06</v>
      </c>
      <c r="L10" s="18">
        <v>23328.06</v>
      </c>
      <c r="M10" s="18">
        <v>23328.06</v>
      </c>
      <c r="N10" s="18">
        <v>23328.06</v>
      </c>
      <c r="O10" s="18">
        <v>23328.06</v>
      </c>
      <c r="P10" s="18">
        <v>23328.06</v>
      </c>
      <c r="Q10" s="16">
        <f>SUM(D10:P10)/13</f>
        <v>23328.06</v>
      </c>
    </row>
    <row r="11" spans="1:17">
      <c r="A11" s="20">
        <f>A10+1</f>
        <v>2</v>
      </c>
      <c r="B11" s="20" t="s">
        <v>400</v>
      </c>
      <c r="C11" s="2" t="s">
        <v>401</v>
      </c>
      <c r="D11" s="18">
        <v>14132.29</v>
      </c>
      <c r="E11" s="18">
        <v>14132.29</v>
      </c>
      <c r="F11" s="18">
        <v>14132.29</v>
      </c>
      <c r="G11" s="18">
        <v>14132.29</v>
      </c>
      <c r="H11" s="18">
        <v>14132.29</v>
      </c>
      <c r="I11" s="18">
        <v>14132.29</v>
      </c>
      <c r="J11" s="18">
        <v>14132.29</v>
      </c>
      <c r="K11" s="18">
        <v>14132.29</v>
      </c>
      <c r="L11" s="18">
        <v>14132.29</v>
      </c>
      <c r="M11" s="18">
        <v>14132.29</v>
      </c>
      <c r="N11" s="18">
        <v>14132.29</v>
      </c>
      <c r="O11" s="18">
        <v>14132.29</v>
      </c>
      <c r="P11" s="18">
        <v>14132.29</v>
      </c>
      <c r="Q11" s="16">
        <f t="shared" ref="Q11:Q47" si="0">SUM(D11:P11)/13</f>
        <v>14132.290000000006</v>
      </c>
    </row>
    <row r="12" spans="1:17">
      <c r="A12" s="20">
        <f t="shared" ref="A12:A48" si="1">A11+1</f>
        <v>3</v>
      </c>
      <c r="B12" s="20" t="s">
        <v>402</v>
      </c>
      <c r="C12" s="2" t="s">
        <v>403</v>
      </c>
      <c r="D12" s="18">
        <v>213641.38</v>
      </c>
      <c r="E12" s="18">
        <v>213641.38</v>
      </c>
      <c r="F12" s="18">
        <v>213641.38</v>
      </c>
      <c r="G12" s="18">
        <v>213641.38</v>
      </c>
      <c r="H12" s="18">
        <v>213641.38</v>
      </c>
      <c r="I12" s="18">
        <v>213641.38</v>
      </c>
      <c r="J12" s="18">
        <v>213641.38</v>
      </c>
      <c r="K12" s="18">
        <v>213641.38</v>
      </c>
      <c r="L12" s="18">
        <v>213641.38</v>
      </c>
      <c r="M12" s="18">
        <v>213641.38</v>
      </c>
      <c r="N12" s="18">
        <v>213641.38</v>
      </c>
      <c r="O12" s="18">
        <v>213641.38</v>
      </c>
      <c r="P12" s="18">
        <v>213641.38</v>
      </c>
      <c r="Q12" s="16">
        <f t="shared" si="0"/>
        <v>213641.37999999992</v>
      </c>
    </row>
    <row r="13" spans="1:17">
      <c r="A13" s="20">
        <f t="shared" si="1"/>
        <v>4</v>
      </c>
      <c r="B13" s="20" t="s">
        <v>404</v>
      </c>
      <c r="C13" s="2" t="s">
        <v>405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6">
        <f t="shared" si="0"/>
        <v>0</v>
      </c>
    </row>
    <row r="14" spans="1:17">
      <c r="A14" s="20">
        <f t="shared" si="1"/>
        <v>5</v>
      </c>
      <c r="B14" s="20" t="s">
        <v>406</v>
      </c>
      <c r="C14" s="2" t="s">
        <v>407</v>
      </c>
      <c r="D14" s="18">
        <v>410208.13</v>
      </c>
      <c r="E14" s="18">
        <v>410208.13</v>
      </c>
      <c r="F14" s="18">
        <v>410208.13</v>
      </c>
      <c r="G14" s="18">
        <v>410208.13</v>
      </c>
      <c r="H14" s="18">
        <v>410208.13</v>
      </c>
      <c r="I14" s="18">
        <v>410208.13</v>
      </c>
      <c r="J14" s="18">
        <v>410208.13</v>
      </c>
      <c r="K14" s="18">
        <v>410208.13</v>
      </c>
      <c r="L14" s="18">
        <v>410208.13</v>
      </c>
      <c r="M14" s="18">
        <v>410208.13</v>
      </c>
      <c r="N14" s="18">
        <v>410208.13</v>
      </c>
      <c r="O14" s="18">
        <v>410208.13</v>
      </c>
      <c r="P14" s="18">
        <v>410208.13</v>
      </c>
      <c r="Q14" s="16">
        <f t="shared" si="0"/>
        <v>410208.12999999995</v>
      </c>
    </row>
    <row r="15" spans="1:17">
      <c r="A15" s="20">
        <f t="shared" si="1"/>
        <v>6</v>
      </c>
      <c r="B15" s="20" t="s">
        <v>408</v>
      </c>
      <c r="C15" s="2" t="s">
        <v>405</v>
      </c>
      <c r="D15" s="18">
        <v>1583957.63</v>
      </c>
      <c r="E15" s="18">
        <v>1583957.63</v>
      </c>
      <c r="F15" s="18">
        <v>1583957.63</v>
      </c>
      <c r="G15" s="18">
        <v>1583957.63</v>
      </c>
      <c r="H15" s="18">
        <v>1583957.63</v>
      </c>
      <c r="I15" s="18">
        <v>1583957.63</v>
      </c>
      <c r="J15" s="18">
        <v>1583957.63</v>
      </c>
      <c r="K15" s="18">
        <v>1583957.63</v>
      </c>
      <c r="L15" s="18">
        <v>1583957.63</v>
      </c>
      <c r="M15" s="18">
        <v>1583957.63</v>
      </c>
      <c r="N15" s="18">
        <v>1583957.63</v>
      </c>
      <c r="O15" s="18">
        <v>1583957.63</v>
      </c>
      <c r="P15" s="18">
        <v>1583957.63</v>
      </c>
      <c r="Q15" s="16">
        <f t="shared" si="0"/>
        <v>1583957.6299999994</v>
      </c>
    </row>
    <row r="16" spans="1:17">
      <c r="A16" s="20">
        <f t="shared" si="1"/>
        <v>7</v>
      </c>
      <c r="B16" s="20">
        <v>3761</v>
      </c>
      <c r="C16" s="2" t="s">
        <v>409</v>
      </c>
      <c r="D16" s="18">
        <v>124731730.24000004</v>
      </c>
      <c r="E16" s="18">
        <v>124941149.26000002</v>
      </c>
      <c r="F16" s="18">
        <v>125202518.70000003</v>
      </c>
      <c r="G16" s="18">
        <v>125515835.58000004</v>
      </c>
      <c r="H16" s="18">
        <v>125985000.72000004</v>
      </c>
      <c r="I16" s="18">
        <v>126454165.86000004</v>
      </c>
      <c r="J16" s="18">
        <v>126923331.00000003</v>
      </c>
      <c r="K16" s="18">
        <v>127444445.58000004</v>
      </c>
      <c r="L16" s="18">
        <v>127965560.16000004</v>
      </c>
      <c r="M16" s="18">
        <v>130379968.74000004</v>
      </c>
      <c r="N16" s="18">
        <v>130901083.32000004</v>
      </c>
      <c r="O16" s="18">
        <v>131371134.21000005</v>
      </c>
      <c r="P16" s="18">
        <v>134356101.45000005</v>
      </c>
      <c r="Q16" s="16">
        <f t="shared" si="0"/>
        <v>127859386.52461542</v>
      </c>
    </row>
    <row r="17" spans="1:17">
      <c r="A17" s="20">
        <f t="shared" si="1"/>
        <v>8</v>
      </c>
      <c r="B17" s="20">
        <v>3762</v>
      </c>
      <c r="C17" s="2" t="s">
        <v>410</v>
      </c>
      <c r="D17" s="18">
        <v>61824218.899999991</v>
      </c>
      <c r="E17" s="18">
        <v>61824218.899999991</v>
      </c>
      <c r="F17" s="18">
        <v>61824218.899999991</v>
      </c>
      <c r="G17" s="18">
        <v>61821305.899999991</v>
      </c>
      <c r="H17" s="18">
        <v>61821305.899999991</v>
      </c>
      <c r="I17" s="18">
        <v>61821305.899999991</v>
      </c>
      <c r="J17" s="18">
        <v>61818392.899999991</v>
      </c>
      <c r="K17" s="18">
        <v>61818392.899999991</v>
      </c>
      <c r="L17" s="18">
        <v>61818392.899999991</v>
      </c>
      <c r="M17" s="18">
        <v>61818392.899999991</v>
      </c>
      <c r="N17" s="18">
        <v>61818392.899999991</v>
      </c>
      <c r="O17" s="18">
        <v>61818392.899999991</v>
      </c>
      <c r="P17" s="18">
        <v>61818392.899999991</v>
      </c>
      <c r="Q17" s="16">
        <f t="shared" si="0"/>
        <v>61820409.592307679</v>
      </c>
    </row>
    <row r="18" spans="1:17">
      <c r="A18" s="20">
        <f t="shared" si="1"/>
        <v>9</v>
      </c>
      <c r="B18" s="20" t="s">
        <v>411</v>
      </c>
      <c r="C18" s="2" t="s">
        <v>412</v>
      </c>
      <c r="D18" s="18">
        <v>146892672.63</v>
      </c>
      <c r="E18" s="18">
        <v>146892672.63</v>
      </c>
      <c r="F18" s="18">
        <v>146892672.63</v>
      </c>
      <c r="G18" s="18">
        <v>146892672.63</v>
      </c>
      <c r="H18" s="18">
        <v>146892672.63</v>
      </c>
      <c r="I18" s="18">
        <v>146892672.63</v>
      </c>
      <c r="J18" s="18">
        <v>146892672.63</v>
      </c>
      <c r="K18" s="18">
        <v>146892672.63</v>
      </c>
      <c r="L18" s="18">
        <v>146892672.63</v>
      </c>
      <c r="M18" s="18">
        <v>146892672.63</v>
      </c>
      <c r="N18" s="18">
        <v>146892672.63</v>
      </c>
      <c r="O18" s="18">
        <v>146892672.63</v>
      </c>
      <c r="P18" s="18">
        <v>146892672.63</v>
      </c>
      <c r="Q18" s="16">
        <f t="shared" si="0"/>
        <v>146892672.63000005</v>
      </c>
    </row>
    <row r="19" spans="1:17">
      <c r="A19" s="20">
        <f t="shared" si="1"/>
        <v>10</v>
      </c>
      <c r="B19" s="20" t="s">
        <v>413</v>
      </c>
      <c r="C19" s="2" t="s">
        <v>414</v>
      </c>
      <c r="D19" s="18">
        <v>6904633.0699999994</v>
      </c>
      <c r="E19" s="18">
        <v>6962444.0900000008</v>
      </c>
      <c r="F19" s="18">
        <v>7039525.4500000002</v>
      </c>
      <c r="G19" s="18">
        <v>7135877.1399999997</v>
      </c>
      <c r="H19" s="18">
        <v>7290039.8500000006</v>
      </c>
      <c r="I19" s="18">
        <v>7444202.5599999996</v>
      </c>
      <c r="J19" s="18">
        <v>7598365.2700000005</v>
      </c>
      <c r="K19" s="18">
        <v>7771798.3200000012</v>
      </c>
      <c r="L19" s="18">
        <v>7945231.3700000001</v>
      </c>
      <c r="M19" s="18">
        <v>8118664.4200000009</v>
      </c>
      <c r="N19" s="18">
        <v>8292097.4700000016</v>
      </c>
      <c r="O19" s="18">
        <v>8446260.1800000016</v>
      </c>
      <c r="P19" s="18">
        <v>8831666.9600000009</v>
      </c>
      <c r="Q19" s="16">
        <f t="shared" si="0"/>
        <v>7675446.6269230777</v>
      </c>
    </row>
    <row r="20" spans="1:17">
      <c r="A20" s="20">
        <f t="shared" si="1"/>
        <v>11</v>
      </c>
      <c r="B20" s="20" t="s">
        <v>415</v>
      </c>
      <c r="C20" s="2" t="s">
        <v>416</v>
      </c>
      <c r="D20" s="18">
        <v>14066853.17</v>
      </c>
      <c r="E20" s="18">
        <v>14066853.17</v>
      </c>
      <c r="F20" s="18">
        <v>14066853.17</v>
      </c>
      <c r="G20" s="18">
        <v>14066853.17</v>
      </c>
      <c r="H20" s="18">
        <v>14066853.17</v>
      </c>
      <c r="I20" s="18">
        <v>14066853.17</v>
      </c>
      <c r="J20" s="18">
        <v>14066853.17</v>
      </c>
      <c r="K20" s="18">
        <v>14066853.17</v>
      </c>
      <c r="L20" s="18">
        <v>14066853.17</v>
      </c>
      <c r="M20" s="18">
        <v>14066853.17</v>
      </c>
      <c r="N20" s="18">
        <v>14066853.17</v>
      </c>
      <c r="O20" s="18">
        <v>14066853.17</v>
      </c>
      <c r="P20" s="18">
        <v>14766853.17</v>
      </c>
      <c r="Q20" s="16">
        <f t="shared" si="0"/>
        <v>14120699.32384615</v>
      </c>
    </row>
    <row r="21" spans="1:17">
      <c r="A21" s="20">
        <f t="shared" si="1"/>
        <v>12</v>
      </c>
      <c r="B21" s="20">
        <v>3801</v>
      </c>
      <c r="C21" s="2" t="s">
        <v>417</v>
      </c>
      <c r="D21" s="18">
        <v>69790553.664648429</v>
      </c>
      <c r="E21" s="18">
        <v>69894086.46233806</v>
      </c>
      <c r="F21" s="18">
        <v>70031534.733514115</v>
      </c>
      <c r="G21" s="18">
        <v>70202898.712904483</v>
      </c>
      <c r="H21" s="18">
        <v>70476008.347481981</v>
      </c>
      <c r="I21" s="18">
        <v>70749118.099423438</v>
      </c>
      <c r="J21" s="18">
        <v>71022227.734000936</v>
      </c>
      <c r="K21" s="18">
        <v>71329252.076792747</v>
      </c>
      <c r="L21" s="18">
        <v>71636276.302220628</v>
      </c>
      <c r="M21" s="18">
        <v>71943300.645012423</v>
      </c>
      <c r="N21" s="18">
        <v>72250324.870440289</v>
      </c>
      <c r="O21" s="18">
        <v>72523434.622381732</v>
      </c>
      <c r="P21" s="18">
        <v>73203528.347163588</v>
      </c>
      <c r="Q21" s="16">
        <f t="shared" si="0"/>
        <v>71157888.047563285</v>
      </c>
    </row>
    <row r="22" spans="1:17">
      <c r="A22" s="20">
        <f t="shared" si="1"/>
        <v>13</v>
      </c>
      <c r="B22" s="20">
        <v>3802</v>
      </c>
      <c r="C22" s="2" t="s">
        <v>418</v>
      </c>
      <c r="D22" s="18">
        <v>1323717.2200000002</v>
      </c>
      <c r="E22" s="18">
        <v>1323717.2200000002</v>
      </c>
      <c r="F22" s="18">
        <v>1323717.2200000002</v>
      </c>
      <c r="G22" s="18">
        <v>1323717.2200000002</v>
      </c>
      <c r="H22" s="18">
        <v>1323717.2200000002</v>
      </c>
      <c r="I22" s="18">
        <v>1323717.2200000002</v>
      </c>
      <c r="J22" s="18">
        <v>1323717.2200000002</v>
      </c>
      <c r="K22" s="18">
        <v>1323717.2200000002</v>
      </c>
      <c r="L22" s="18">
        <v>1323717.2200000002</v>
      </c>
      <c r="M22" s="18">
        <v>1323717.2200000002</v>
      </c>
      <c r="N22" s="18">
        <v>1323717.2200000002</v>
      </c>
      <c r="O22" s="18">
        <v>1323717.2200000002</v>
      </c>
      <c r="P22" s="18">
        <v>1323717.2200000002</v>
      </c>
      <c r="Q22" s="16">
        <f t="shared" si="0"/>
        <v>1323717.2200000004</v>
      </c>
    </row>
    <row r="23" spans="1:17">
      <c r="A23" s="20">
        <f t="shared" si="1"/>
        <v>14</v>
      </c>
      <c r="B23" s="20" t="s">
        <v>419</v>
      </c>
      <c r="C23" s="2" t="s">
        <v>420</v>
      </c>
      <c r="D23" s="18">
        <v>48993830.740000002</v>
      </c>
      <c r="E23" s="18">
        <v>48993830.740000002</v>
      </c>
      <c r="F23" s="18">
        <v>48993830.740000002</v>
      </c>
      <c r="G23" s="18">
        <v>48993830.740000002</v>
      </c>
      <c r="H23" s="18">
        <v>48993830.740000002</v>
      </c>
      <c r="I23" s="18">
        <v>48993830.740000002</v>
      </c>
      <c r="J23" s="18">
        <v>48993830.740000002</v>
      </c>
      <c r="K23" s="18">
        <v>48993830.740000002</v>
      </c>
      <c r="L23" s="18">
        <v>48993830.740000002</v>
      </c>
      <c r="M23" s="18">
        <v>48993830.740000002</v>
      </c>
      <c r="N23" s="18">
        <v>48993830.740000002</v>
      </c>
      <c r="O23" s="18">
        <v>48993830.740000002</v>
      </c>
      <c r="P23" s="18">
        <v>48993830.740000002</v>
      </c>
      <c r="Q23" s="16">
        <f t="shared" si="0"/>
        <v>48993830.740000002</v>
      </c>
    </row>
    <row r="24" spans="1:17">
      <c r="A24" s="20">
        <f t="shared" si="1"/>
        <v>15</v>
      </c>
      <c r="B24" s="20" t="s">
        <v>421</v>
      </c>
      <c r="C24" s="2" t="s">
        <v>422</v>
      </c>
      <c r="D24" s="18">
        <v>23268058.298593197</v>
      </c>
      <c r="E24" s="18">
        <v>23296888.573651418</v>
      </c>
      <c r="F24" s="18">
        <v>23335269.078109119</v>
      </c>
      <c r="G24" s="18">
        <v>23383198.8119663</v>
      </c>
      <c r="H24" s="18">
        <v>23459777.234021917</v>
      </c>
      <c r="I24" s="18">
        <v>23536355.656077527</v>
      </c>
      <c r="J24" s="18">
        <v>23612934.07813314</v>
      </c>
      <c r="K24" s="18">
        <v>23699062.729588233</v>
      </c>
      <c r="L24" s="18">
        <v>23785191.381043326</v>
      </c>
      <c r="M24" s="18">
        <v>23871320.032498416</v>
      </c>
      <c r="N24" s="18">
        <v>23957448.683953505</v>
      </c>
      <c r="O24" s="18">
        <v>24034027.106009122</v>
      </c>
      <c r="P24" s="18">
        <v>24225203.280858468</v>
      </c>
      <c r="Q24" s="16">
        <f t="shared" si="0"/>
        <v>23651133.457269512</v>
      </c>
    </row>
    <row r="25" spans="1:17">
      <c r="A25" s="20">
        <f t="shared" si="1"/>
        <v>16</v>
      </c>
      <c r="B25" s="20">
        <v>3811</v>
      </c>
      <c r="C25" s="2" t="s">
        <v>423</v>
      </c>
      <c r="D25" s="18">
        <v>2236535.5</v>
      </c>
      <c r="E25" s="18">
        <v>2236535.5</v>
      </c>
      <c r="F25" s="18">
        <v>2236535.5</v>
      </c>
      <c r="G25" s="18">
        <v>2236535.5</v>
      </c>
      <c r="H25" s="18">
        <v>2236535.5</v>
      </c>
      <c r="I25" s="18">
        <v>2236535.5</v>
      </c>
      <c r="J25" s="18">
        <v>2236535.5</v>
      </c>
      <c r="K25" s="18">
        <v>2236535.5</v>
      </c>
      <c r="L25" s="18">
        <v>2236535.5</v>
      </c>
      <c r="M25" s="18">
        <v>2236535.5</v>
      </c>
      <c r="N25" s="18">
        <v>2236535.5</v>
      </c>
      <c r="O25" s="18">
        <v>2236535.5</v>
      </c>
      <c r="P25" s="18">
        <v>2236535.5</v>
      </c>
      <c r="Q25" s="16">
        <f t="shared" si="0"/>
        <v>2236535.5</v>
      </c>
    </row>
    <row r="26" spans="1:17">
      <c r="A26" s="20">
        <f t="shared" si="1"/>
        <v>17</v>
      </c>
      <c r="B26" s="20" t="s">
        <v>424</v>
      </c>
      <c r="C26" s="2" t="s">
        <v>425</v>
      </c>
      <c r="D26" s="18">
        <v>18239922.777495284</v>
      </c>
      <c r="E26" s="18">
        <v>18250872.602592628</v>
      </c>
      <c r="F26" s="18">
        <v>18263990.025650188</v>
      </c>
      <c r="G26" s="18">
        <v>18279275.04666796</v>
      </c>
      <c r="H26" s="18">
        <v>18301062.861566361</v>
      </c>
      <c r="I26" s="18">
        <v>18322850.676464763</v>
      </c>
      <c r="J26" s="18">
        <v>18344638.491363164</v>
      </c>
      <c r="K26" s="18">
        <v>18368593.904221781</v>
      </c>
      <c r="L26" s="18">
        <v>18392549.31708039</v>
      </c>
      <c r="M26" s="18">
        <v>18416504.729939006</v>
      </c>
      <c r="N26" s="18">
        <v>18440460.142797619</v>
      </c>
      <c r="O26" s="18">
        <v>18462247.957696021</v>
      </c>
      <c r="P26" s="18">
        <v>18510046.948116954</v>
      </c>
      <c r="Q26" s="16">
        <f t="shared" si="0"/>
        <v>18353308.883204009</v>
      </c>
    </row>
    <row r="27" spans="1:17">
      <c r="A27" s="20">
        <f t="shared" si="1"/>
        <v>18</v>
      </c>
      <c r="B27" s="20">
        <v>3821</v>
      </c>
      <c r="C27" s="2" t="s">
        <v>426</v>
      </c>
      <c r="D27" s="18">
        <v>593040.09</v>
      </c>
      <c r="E27" s="18">
        <v>593040.09</v>
      </c>
      <c r="F27" s="18">
        <v>593040.09</v>
      </c>
      <c r="G27" s="18">
        <v>593040.09</v>
      </c>
      <c r="H27" s="18">
        <v>593040.09</v>
      </c>
      <c r="I27" s="18">
        <v>593040.09</v>
      </c>
      <c r="J27" s="18">
        <v>593040.09</v>
      </c>
      <c r="K27" s="18">
        <v>593040.09</v>
      </c>
      <c r="L27" s="18">
        <v>593040.09</v>
      </c>
      <c r="M27" s="18">
        <v>593040.09</v>
      </c>
      <c r="N27" s="18">
        <v>593040.09</v>
      </c>
      <c r="O27" s="18">
        <v>593040.09</v>
      </c>
      <c r="P27" s="18">
        <v>593040.09</v>
      </c>
      <c r="Q27" s="16">
        <f t="shared" si="0"/>
        <v>593040.09</v>
      </c>
    </row>
    <row r="28" spans="1:17">
      <c r="A28" s="20">
        <f t="shared" si="1"/>
        <v>19</v>
      </c>
      <c r="B28" s="20" t="s">
        <v>427</v>
      </c>
      <c r="C28" s="2" t="s">
        <v>428</v>
      </c>
      <c r="D28" s="18">
        <v>6859108.3780732369</v>
      </c>
      <c r="E28" s="18">
        <v>6866161.039208441</v>
      </c>
      <c r="F28" s="18">
        <v>6874663.060239803</v>
      </c>
      <c r="G28" s="18">
        <v>6884613.4411673229</v>
      </c>
      <c r="H28" s="18">
        <v>6898910.9017833155</v>
      </c>
      <c r="I28" s="18">
        <v>6913208.3623993089</v>
      </c>
      <c r="J28" s="18">
        <v>6927505.8230153015</v>
      </c>
      <c r="K28" s="18">
        <v>6943251.6435274528</v>
      </c>
      <c r="L28" s="18">
        <v>6958997.464039606</v>
      </c>
      <c r="M28" s="18">
        <v>6974743.2845517565</v>
      </c>
      <c r="N28" s="18">
        <v>6990489.1050639087</v>
      </c>
      <c r="O28" s="18">
        <v>7004786.5656799013</v>
      </c>
      <c r="P28" s="18">
        <v>7036470.3450497892</v>
      </c>
      <c r="Q28" s="16">
        <f t="shared" si="0"/>
        <v>6933300.7241383977</v>
      </c>
    </row>
    <row r="29" spans="1:17">
      <c r="A29" s="20">
        <f t="shared" si="1"/>
        <v>20</v>
      </c>
      <c r="B29" s="20" t="s">
        <v>429</v>
      </c>
      <c r="C29" s="2" t="s">
        <v>430</v>
      </c>
      <c r="D29" s="18">
        <v>1081398.8997216804</v>
      </c>
      <c r="E29" s="18">
        <v>1082615.5469547184</v>
      </c>
      <c r="F29" s="18">
        <v>1084073.0384055576</v>
      </c>
      <c r="G29" s="18">
        <v>1085771.3740741981</v>
      </c>
      <c r="H29" s="18">
        <v>1088192.2423962413</v>
      </c>
      <c r="I29" s="18">
        <v>1090613.1107182845</v>
      </c>
      <c r="J29" s="18">
        <v>1093033.9790403275</v>
      </c>
      <c r="K29" s="18">
        <v>1095695.6915801719</v>
      </c>
      <c r="L29" s="18">
        <v>1098357.4041200164</v>
      </c>
      <c r="M29" s="18">
        <v>1101019.1166598604</v>
      </c>
      <c r="N29" s="18">
        <v>1103680.8291997048</v>
      </c>
      <c r="O29" s="18">
        <v>1106101.697521748</v>
      </c>
      <c r="P29" s="18">
        <v>1111412.6964574032</v>
      </c>
      <c r="Q29" s="16">
        <f t="shared" si="0"/>
        <v>1093997.355911532</v>
      </c>
    </row>
    <row r="30" spans="1:17">
      <c r="A30" s="20">
        <f t="shared" si="1"/>
        <v>21</v>
      </c>
      <c r="B30" s="20" t="s">
        <v>431</v>
      </c>
      <c r="C30" s="2" t="s">
        <v>432</v>
      </c>
      <c r="D30" s="18">
        <v>2535302.8200000003</v>
      </c>
      <c r="E30" s="18">
        <v>2535302.8200000003</v>
      </c>
      <c r="F30" s="18">
        <v>2535302.8200000003</v>
      </c>
      <c r="G30" s="18">
        <v>2535302.8200000003</v>
      </c>
      <c r="H30" s="18">
        <v>2535302.8200000003</v>
      </c>
      <c r="I30" s="18">
        <v>2535302.8200000003</v>
      </c>
      <c r="J30" s="18">
        <v>2535302.8200000003</v>
      </c>
      <c r="K30" s="18">
        <v>2535302.8200000003</v>
      </c>
      <c r="L30" s="18">
        <v>2535302.8200000003</v>
      </c>
      <c r="M30" s="18">
        <v>2535302.8200000003</v>
      </c>
      <c r="N30" s="18">
        <v>2535302.8200000003</v>
      </c>
      <c r="O30" s="18">
        <v>2535302.8200000003</v>
      </c>
      <c r="P30" s="18">
        <v>2535302.8200000003</v>
      </c>
      <c r="Q30" s="16">
        <f t="shared" si="0"/>
        <v>2535302.8200000003</v>
      </c>
    </row>
    <row r="31" spans="1:17">
      <c r="A31" s="20">
        <f t="shared" si="1"/>
        <v>22</v>
      </c>
      <c r="B31" s="20" t="s">
        <v>433</v>
      </c>
      <c r="C31" s="2" t="s">
        <v>434</v>
      </c>
      <c r="D31" s="18">
        <v>4179402.2399999998</v>
      </c>
      <c r="E31" s="18">
        <v>4209954.24</v>
      </c>
      <c r="F31" s="18">
        <v>4250690.24</v>
      </c>
      <c r="G31" s="18">
        <v>4301610.24</v>
      </c>
      <c r="H31" s="18">
        <v>4383082.24</v>
      </c>
      <c r="I31" s="18">
        <v>4464554.24</v>
      </c>
      <c r="J31" s="18">
        <v>4546026.24</v>
      </c>
      <c r="K31" s="18">
        <v>4637682.24</v>
      </c>
      <c r="L31" s="18">
        <v>4729338.24</v>
      </c>
      <c r="M31" s="18">
        <v>4820994.24</v>
      </c>
      <c r="N31" s="18">
        <v>4912650.2400000002</v>
      </c>
      <c r="O31" s="18">
        <v>4994122.24</v>
      </c>
      <c r="P31" s="18">
        <v>5197802.24</v>
      </c>
      <c r="Q31" s="16">
        <f t="shared" si="0"/>
        <v>4586762.2400000012</v>
      </c>
    </row>
    <row r="32" spans="1:17">
      <c r="A32" s="20">
        <f t="shared" si="1"/>
        <v>23</v>
      </c>
      <c r="B32" s="20" t="s">
        <v>435</v>
      </c>
      <c r="C32" s="2" t="s">
        <v>407</v>
      </c>
      <c r="D32" s="18">
        <v>1287184.53</v>
      </c>
      <c r="E32" s="18">
        <v>1292884.53</v>
      </c>
      <c r="F32" s="18">
        <v>1300484.53</v>
      </c>
      <c r="G32" s="18">
        <v>1309984.53</v>
      </c>
      <c r="H32" s="18">
        <v>1325184.53</v>
      </c>
      <c r="I32" s="18">
        <v>1340384.53</v>
      </c>
      <c r="J32" s="18">
        <v>1355584.53</v>
      </c>
      <c r="K32" s="18">
        <v>1372684.53</v>
      </c>
      <c r="L32" s="18">
        <v>1389784.53</v>
      </c>
      <c r="M32" s="18">
        <v>1406884.53</v>
      </c>
      <c r="N32" s="18">
        <v>1423984.53</v>
      </c>
      <c r="O32" s="18">
        <v>1439184.53</v>
      </c>
      <c r="P32" s="18">
        <v>1477184.53</v>
      </c>
      <c r="Q32" s="16">
        <f t="shared" si="0"/>
        <v>1363184.5299999998</v>
      </c>
    </row>
    <row r="33" spans="1:18">
      <c r="A33" s="20">
        <f t="shared" si="1"/>
        <v>24</v>
      </c>
      <c r="B33" s="20" t="s">
        <v>436</v>
      </c>
      <c r="C33" s="2" t="s">
        <v>405</v>
      </c>
      <c r="D33" s="18">
        <v>6207059.6400000006</v>
      </c>
      <c r="E33" s="18">
        <v>6207059.6400000006</v>
      </c>
      <c r="F33" s="18">
        <v>6207059.6400000006</v>
      </c>
      <c r="G33" s="18">
        <v>6207059.6400000006</v>
      </c>
      <c r="H33" s="18">
        <v>6207059.6400000006</v>
      </c>
      <c r="I33" s="18">
        <v>6207059.6400000006</v>
      </c>
      <c r="J33" s="18">
        <v>6207059.6400000006</v>
      </c>
      <c r="K33" s="18">
        <v>6207059.6400000006</v>
      </c>
      <c r="L33" s="18">
        <v>6207059.6400000006</v>
      </c>
      <c r="M33" s="18">
        <v>6207059.6400000006</v>
      </c>
      <c r="N33" s="18">
        <v>6207059.6400000006</v>
      </c>
      <c r="O33" s="18">
        <v>6207059.6400000006</v>
      </c>
      <c r="P33" s="18">
        <v>6207059.6400000006</v>
      </c>
      <c r="Q33" s="16">
        <f t="shared" si="0"/>
        <v>6207059.6400000006</v>
      </c>
    </row>
    <row r="34" spans="1:18">
      <c r="A34" s="20">
        <f t="shared" si="1"/>
        <v>25</v>
      </c>
      <c r="B34" s="20" t="s">
        <v>437</v>
      </c>
      <c r="C34" s="2" t="s">
        <v>438</v>
      </c>
      <c r="D34" s="18">
        <v>2214956.35</v>
      </c>
      <c r="E34" s="18">
        <v>2218256.35</v>
      </c>
      <c r="F34" s="18">
        <v>2222656.35</v>
      </c>
      <c r="G34" s="18">
        <v>2228156.35</v>
      </c>
      <c r="H34" s="18">
        <v>2236956.35</v>
      </c>
      <c r="I34" s="18">
        <v>2245756.35</v>
      </c>
      <c r="J34" s="18">
        <v>2254556.35</v>
      </c>
      <c r="K34" s="18">
        <v>2264456.35</v>
      </c>
      <c r="L34" s="18">
        <v>2274356.35</v>
      </c>
      <c r="M34" s="18">
        <v>2284256.35</v>
      </c>
      <c r="N34" s="18">
        <v>2294156.35</v>
      </c>
      <c r="O34" s="18">
        <v>2302956.35</v>
      </c>
      <c r="P34" s="18">
        <v>2324956.35</v>
      </c>
      <c r="Q34" s="16">
        <f t="shared" si="0"/>
        <v>2258956.3500000006</v>
      </c>
    </row>
    <row r="35" spans="1:18">
      <c r="A35" s="20">
        <f t="shared" si="1"/>
        <v>26</v>
      </c>
      <c r="B35" s="20" t="s">
        <v>439</v>
      </c>
      <c r="C35" s="2" t="s">
        <v>440</v>
      </c>
      <c r="D35" s="18">
        <v>143043.96</v>
      </c>
      <c r="E35" s="18">
        <v>146051.46</v>
      </c>
      <c r="F35" s="18">
        <v>150061.46000000002</v>
      </c>
      <c r="G35" s="18">
        <v>155073.96000000002</v>
      </c>
      <c r="H35" s="18">
        <v>163093.96000000002</v>
      </c>
      <c r="I35" s="18">
        <v>171113.96000000002</v>
      </c>
      <c r="J35" s="18">
        <v>179133.96000000002</v>
      </c>
      <c r="K35" s="18">
        <v>188156.46000000002</v>
      </c>
      <c r="L35" s="18">
        <v>197178.96000000002</v>
      </c>
      <c r="M35" s="18">
        <v>206201.46000000002</v>
      </c>
      <c r="N35" s="18">
        <v>215223.96000000002</v>
      </c>
      <c r="O35" s="18">
        <v>223243.96000000002</v>
      </c>
      <c r="P35" s="18">
        <v>243293.96000000002</v>
      </c>
      <c r="Q35" s="16">
        <f t="shared" si="0"/>
        <v>183143.96</v>
      </c>
    </row>
    <row r="36" spans="1:18">
      <c r="A36" s="20">
        <f t="shared" si="1"/>
        <v>27</v>
      </c>
      <c r="B36" s="20" t="s">
        <v>441</v>
      </c>
      <c r="C36" s="2" t="s">
        <v>442</v>
      </c>
      <c r="D36" s="18">
        <v>118964.04999999999</v>
      </c>
      <c r="E36" s="18">
        <v>118964.04999999999</v>
      </c>
      <c r="F36" s="18">
        <v>118964.04999999999</v>
      </c>
      <c r="G36" s="18">
        <v>118964.04999999999</v>
      </c>
      <c r="H36" s="18">
        <v>118964.04999999999</v>
      </c>
      <c r="I36" s="18">
        <v>118964.04999999999</v>
      </c>
      <c r="J36" s="18">
        <v>118964.04999999999</v>
      </c>
      <c r="K36" s="18">
        <v>118964.04999999999</v>
      </c>
      <c r="L36" s="18">
        <v>118964.04999999999</v>
      </c>
      <c r="M36" s="18">
        <v>118964.04999999999</v>
      </c>
      <c r="N36" s="18">
        <v>118964.04999999999</v>
      </c>
      <c r="O36" s="18">
        <v>118964.04999999999</v>
      </c>
      <c r="P36" s="18">
        <v>80636.100000000006</v>
      </c>
      <c r="Q36" s="16">
        <f t="shared" si="0"/>
        <v>116015.74615384618</v>
      </c>
    </row>
    <row r="37" spans="1:18">
      <c r="A37" s="20">
        <f t="shared" si="1"/>
        <v>28</v>
      </c>
      <c r="B37" s="20">
        <v>3913</v>
      </c>
      <c r="C37" s="2" t="s">
        <v>443</v>
      </c>
      <c r="D37" s="18">
        <v>292255.69999999995</v>
      </c>
      <c r="E37" s="18">
        <v>292255.69999999995</v>
      </c>
      <c r="F37" s="18">
        <v>292255.69999999995</v>
      </c>
      <c r="G37" s="18">
        <v>292255.69999999995</v>
      </c>
      <c r="H37" s="18">
        <v>292255.69999999995</v>
      </c>
      <c r="I37" s="18">
        <v>292255.69999999995</v>
      </c>
      <c r="J37" s="18">
        <v>292255.69999999995</v>
      </c>
      <c r="K37" s="18">
        <v>292255.69999999995</v>
      </c>
      <c r="L37" s="18">
        <v>292255.69999999995</v>
      </c>
      <c r="M37" s="18">
        <v>292255.69999999995</v>
      </c>
      <c r="N37" s="18">
        <v>292255.69999999995</v>
      </c>
      <c r="O37" s="18">
        <v>292255.69999999995</v>
      </c>
      <c r="P37" s="18">
        <v>292255.69999999995</v>
      </c>
      <c r="Q37" s="16">
        <f t="shared" si="0"/>
        <v>292255.70000000007</v>
      </c>
    </row>
    <row r="38" spans="1:18">
      <c r="A38" s="20">
        <f t="shared" si="1"/>
        <v>29</v>
      </c>
      <c r="B38" s="20">
        <v>3914</v>
      </c>
      <c r="C38" s="2" t="s">
        <v>444</v>
      </c>
      <c r="D38" s="18">
        <v>6340315.7500000009</v>
      </c>
      <c r="E38" s="18">
        <v>6341050.7500000009</v>
      </c>
      <c r="F38" s="18">
        <v>6342030.7500000009</v>
      </c>
      <c r="G38" s="18">
        <v>6343255.7500000009</v>
      </c>
      <c r="H38" s="18">
        <v>6345215.7500000009</v>
      </c>
      <c r="I38" s="18">
        <v>6347175.7500000009</v>
      </c>
      <c r="J38" s="18">
        <v>6349135.7500000009</v>
      </c>
      <c r="K38" s="18">
        <v>6351340.7500000009</v>
      </c>
      <c r="L38" s="18">
        <v>6353545.7500000009</v>
      </c>
      <c r="M38" s="18">
        <v>6355750.7500000009</v>
      </c>
      <c r="N38" s="18">
        <v>6357955.7500000009</v>
      </c>
      <c r="O38" s="18">
        <v>6359915.7500000009</v>
      </c>
      <c r="P38" s="18">
        <v>5617542.6000000006</v>
      </c>
      <c r="Q38" s="16">
        <f t="shared" si="0"/>
        <v>6292633.2000000011</v>
      </c>
    </row>
    <row r="39" spans="1:18">
      <c r="A39" s="20">
        <f t="shared" si="1"/>
        <v>30</v>
      </c>
      <c r="B39" s="20">
        <v>392</v>
      </c>
      <c r="C39" s="2" t="s">
        <v>445</v>
      </c>
      <c r="D39" s="18">
        <v>86066.93</v>
      </c>
      <c r="E39" s="18">
        <v>86066.93</v>
      </c>
      <c r="F39" s="18">
        <v>86066.93</v>
      </c>
      <c r="G39" s="18">
        <v>86066.93</v>
      </c>
      <c r="H39" s="18">
        <v>86066.93</v>
      </c>
      <c r="I39" s="18">
        <v>86066.93</v>
      </c>
      <c r="J39" s="18">
        <v>86066.93</v>
      </c>
      <c r="K39" s="18">
        <v>86066.93</v>
      </c>
      <c r="L39" s="18">
        <v>86066.93</v>
      </c>
      <c r="M39" s="18">
        <v>86066.93</v>
      </c>
      <c r="N39" s="18">
        <v>86066.93</v>
      </c>
      <c r="O39" s="18">
        <v>86066.93</v>
      </c>
      <c r="P39" s="18">
        <v>86066.93</v>
      </c>
      <c r="Q39" s="16">
        <f t="shared" si="0"/>
        <v>86066.929999999964</v>
      </c>
    </row>
    <row r="40" spans="1:18">
      <c r="A40" s="20">
        <f t="shared" si="1"/>
        <v>31</v>
      </c>
      <c r="B40" s="20">
        <v>3921</v>
      </c>
      <c r="C40" s="2" t="s">
        <v>446</v>
      </c>
      <c r="D40" s="18">
        <v>312078.78000000003</v>
      </c>
      <c r="E40" s="18">
        <v>312078.78000000003</v>
      </c>
      <c r="F40" s="18">
        <v>312078.78000000003</v>
      </c>
      <c r="G40" s="18">
        <v>312078.78000000003</v>
      </c>
      <c r="H40" s="18">
        <v>312078.78000000003</v>
      </c>
      <c r="I40" s="18">
        <v>312078.78000000003</v>
      </c>
      <c r="J40" s="18">
        <v>312078.78000000003</v>
      </c>
      <c r="K40" s="18">
        <v>546078.78</v>
      </c>
      <c r="L40" s="18">
        <v>546078.78</v>
      </c>
      <c r="M40" s="18">
        <v>546078.78</v>
      </c>
      <c r="N40" s="18">
        <v>546078.78</v>
      </c>
      <c r="O40" s="18">
        <v>546078.78</v>
      </c>
      <c r="P40" s="18">
        <v>546078.78</v>
      </c>
      <c r="Q40" s="16">
        <f t="shared" si="0"/>
        <v>420078.78000000014</v>
      </c>
    </row>
    <row r="41" spans="1:18">
      <c r="A41" s="20">
        <f t="shared" si="1"/>
        <v>32</v>
      </c>
      <c r="B41" s="20">
        <v>3922</v>
      </c>
      <c r="C41" s="2" t="s">
        <v>447</v>
      </c>
      <c r="D41" s="18">
        <v>5536400.4199999999</v>
      </c>
      <c r="E41" s="18">
        <v>5536400.4199999999</v>
      </c>
      <c r="F41" s="18">
        <v>5536400.4199999999</v>
      </c>
      <c r="G41" s="18">
        <v>5536400.4199999999</v>
      </c>
      <c r="H41" s="18">
        <v>5536400.4199999999</v>
      </c>
      <c r="I41" s="18">
        <v>5536400.4199999999</v>
      </c>
      <c r="J41" s="18">
        <v>5536400.4199999999</v>
      </c>
      <c r="K41" s="18">
        <v>5950531.9199999999</v>
      </c>
      <c r="L41" s="18">
        <v>5950531.9199999999</v>
      </c>
      <c r="M41" s="18">
        <v>5950531.9199999999</v>
      </c>
      <c r="N41" s="18">
        <v>5950531.9199999999</v>
      </c>
      <c r="O41" s="18">
        <v>5950531.9199999999</v>
      </c>
      <c r="P41" s="18">
        <v>5950531.9199999999</v>
      </c>
      <c r="Q41" s="16">
        <f t="shared" si="0"/>
        <v>5727538.0353846159</v>
      </c>
    </row>
    <row r="42" spans="1:18">
      <c r="A42" s="20">
        <f t="shared" si="1"/>
        <v>33</v>
      </c>
      <c r="B42" s="20">
        <v>3924</v>
      </c>
      <c r="C42" s="2" t="s">
        <v>448</v>
      </c>
      <c r="D42" s="18">
        <v>79064.06</v>
      </c>
      <c r="E42" s="18">
        <v>79064.06</v>
      </c>
      <c r="F42" s="18">
        <v>79064.06</v>
      </c>
      <c r="G42" s="18">
        <v>79064.06</v>
      </c>
      <c r="H42" s="18">
        <v>79064.06</v>
      </c>
      <c r="I42" s="18">
        <v>79064.06</v>
      </c>
      <c r="J42" s="18">
        <v>79064.06</v>
      </c>
      <c r="K42" s="18">
        <v>79064.06</v>
      </c>
      <c r="L42" s="18">
        <v>79064.06</v>
      </c>
      <c r="M42" s="18">
        <v>79064.06</v>
      </c>
      <c r="N42" s="18">
        <v>79064.06</v>
      </c>
      <c r="O42" s="18">
        <v>79064.06</v>
      </c>
      <c r="P42" s="18">
        <v>79064.06</v>
      </c>
      <c r="Q42" s="16">
        <f t="shared" si="0"/>
        <v>79064.060000000027</v>
      </c>
    </row>
    <row r="43" spans="1:18">
      <c r="A43" s="20">
        <f t="shared" si="1"/>
        <v>34</v>
      </c>
      <c r="B43" s="20" t="s">
        <v>449</v>
      </c>
      <c r="C43" s="2" t="s">
        <v>450</v>
      </c>
      <c r="D43" s="18">
        <v>29458.06</v>
      </c>
      <c r="E43" s="18">
        <v>29458.06</v>
      </c>
      <c r="F43" s="18">
        <v>29458.06</v>
      </c>
      <c r="G43" s="18">
        <v>29458.06</v>
      </c>
      <c r="H43" s="18">
        <v>29458.06</v>
      </c>
      <c r="I43" s="18">
        <v>29458.06</v>
      </c>
      <c r="J43" s="18">
        <v>29458.06</v>
      </c>
      <c r="K43" s="18">
        <v>29458.06</v>
      </c>
      <c r="L43" s="18">
        <v>29458.06</v>
      </c>
      <c r="M43" s="18">
        <v>29458.06</v>
      </c>
      <c r="N43" s="18">
        <v>29458.06</v>
      </c>
      <c r="O43" s="18">
        <v>29458.06</v>
      </c>
      <c r="P43" s="18">
        <v>29458.06</v>
      </c>
      <c r="Q43" s="16">
        <f t="shared" si="0"/>
        <v>29458.06</v>
      </c>
    </row>
    <row r="44" spans="1:18">
      <c r="A44" s="20">
        <f t="shared" si="1"/>
        <v>35</v>
      </c>
      <c r="B44" s="20" t="s">
        <v>451</v>
      </c>
      <c r="C44" s="2" t="s">
        <v>452</v>
      </c>
      <c r="D44" s="18">
        <v>1357072.4500000002</v>
      </c>
      <c r="E44" s="18">
        <v>1365002.8000000003</v>
      </c>
      <c r="F44" s="18">
        <v>1375576.6</v>
      </c>
      <c r="G44" s="18">
        <v>1388793.85</v>
      </c>
      <c r="H44" s="18">
        <v>1409941.4500000002</v>
      </c>
      <c r="I44" s="18">
        <v>1431089.0500000003</v>
      </c>
      <c r="J44" s="18">
        <v>1452236.6500000001</v>
      </c>
      <c r="K44" s="18">
        <v>1476027.7000000002</v>
      </c>
      <c r="L44" s="18">
        <v>1499818.7500000002</v>
      </c>
      <c r="M44" s="18">
        <v>1523609.8</v>
      </c>
      <c r="N44" s="18">
        <v>1547400.8500000003</v>
      </c>
      <c r="O44" s="18">
        <v>1568548.4500000002</v>
      </c>
      <c r="P44" s="18">
        <v>1607833.2000000002</v>
      </c>
      <c r="Q44" s="16">
        <f t="shared" si="0"/>
        <v>1461765.5076923077</v>
      </c>
    </row>
    <row r="45" spans="1:18">
      <c r="A45" s="20">
        <f t="shared" si="1"/>
        <v>36</v>
      </c>
      <c r="B45" s="20" t="s">
        <v>453</v>
      </c>
      <c r="C45" s="2" t="s">
        <v>454</v>
      </c>
      <c r="D45" s="18">
        <v>1499352.9300000002</v>
      </c>
      <c r="E45" s="18">
        <v>1507685.9300000002</v>
      </c>
      <c r="F45" s="18">
        <v>1516019.9300000002</v>
      </c>
      <c r="G45" s="18">
        <v>1524352.9300000002</v>
      </c>
      <c r="H45" s="18">
        <v>1532685.9300000002</v>
      </c>
      <c r="I45" s="18">
        <v>1541019.9300000002</v>
      </c>
      <c r="J45" s="18">
        <v>1549352.9300000002</v>
      </c>
      <c r="K45" s="18">
        <v>1557685.9300000002</v>
      </c>
      <c r="L45" s="18">
        <v>1566019.9300000002</v>
      </c>
      <c r="M45" s="18">
        <v>1574352.9300000002</v>
      </c>
      <c r="N45" s="18">
        <v>1582685.9300000002</v>
      </c>
      <c r="O45" s="18">
        <v>1591018.9300000002</v>
      </c>
      <c r="P45" s="18">
        <v>1599352.9300000002</v>
      </c>
      <c r="Q45" s="16">
        <f t="shared" si="0"/>
        <v>1549352.8530769232</v>
      </c>
    </row>
    <row r="46" spans="1:18">
      <c r="A46" s="20">
        <f t="shared" si="1"/>
        <v>37</v>
      </c>
      <c r="B46" s="20" t="s">
        <v>455</v>
      </c>
      <c r="C46" s="2" t="s">
        <v>456</v>
      </c>
      <c r="D46" s="18">
        <v>1702523.81</v>
      </c>
      <c r="E46" s="18">
        <v>1702523.81</v>
      </c>
      <c r="F46" s="18">
        <v>1702523.81</v>
      </c>
      <c r="G46" s="18">
        <v>1702523.81</v>
      </c>
      <c r="H46" s="18">
        <v>1702523.81</v>
      </c>
      <c r="I46" s="18">
        <v>1702523.81</v>
      </c>
      <c r="J46" s="18">
        <v>1702523.81</v>
      </c>
      <c r="K46" s="18">
        <v>1702523.81</v>
      </c>
      <c r="L46" s="18">
        <v>1702523.81</v>
      </c>
      <c r="M46" s="18">
        <v>1702523.81</v>
      </c>
      <c r="N46" s="18">
        <v>1702523.81</v>
      </c>
      <c r="O46" s="18">
        <v>1702523.81</v>
      </c>
      <c r="P46" s="18">
        <v>1690470.62</v>
      </c>
      <c r="Q46" s="16">
        <f t="shared" si="0"/>
        <v>1701596.6415384614</v>
      </c>
    </row>
    <row r="47" spans="1:18">
      <c r="A47" s="20">
        <f t="shared" si="1"/>
        <v>38</v>
      </c>
      <c r="B47" s="20" t="s">
        <v>457</v>
      </c>
      <c r="C47" s="2" t="s">
        <v>458</v>
      </c>
      <c r="D47" s="18">
        <v>319505.63</v>
      </c>
      <c r="E47" s="18">
        <v>319513.13</v>
      </c>
      <c r="F47" s="18">
        <v>319523.13</v>
      </c>
      <c r="G47" s="18">
        <v>319535.63</v>
      </c>
      <c r="H47" s="18">
        <v>319555.63</v>
      </c>
      <c r="I47" s="18">
        <v>319575.63</v>
      </c>
      <c r="J47" s="18">
        <v>319595.63</v>
      </c>
      <c r="K47" s="18">
        <v>319618.13</v>
      </c>
      <c r="L47" s="18">
        <v>319640.63</v>
      </c>
      <c r="M47" s="18">
        <v>319663.13</v>
      </c>
      <c r="N47" s="18">
        <v>319685.63</v>
      </c>
      <c r="O47" s="18">
        <v>319705.63</v>
      </c>
      <c r="P47" s="18">
        <v>214342.50999999995</v>
      </c>
      <c r="Q47" s="16">
        <f t="shared" si="0"/>
        <v>311496.92846153839</v>
      </c>
    </row>
    <row r="48" spans="1:18" ht="13.5" thickBot="1">
      <c r="A48" s="20">
        <f t="shared" si="1"/>
        <v>39</v>
      </c>
      <c r="C48" s="2" t="s">
        <v>459</v>
      </c>
      <c r="D48" s="119">
        <f>SUM(D10:D47)</f>
        <v>563291549.17853153</v>
      </c>
      <c r="E48" s="119">
        <f t="shared" ref="E48:P48" si="2">SUM(E10:E47)</f>
        <v>563769926.77474487</v>
      </c>
      <c r="F48" s="119">
        <f t="shared" si="2"/>
        <v>564383927.08591855</v>
      </c>
      <c r="G48" s="119">
        <f t="shared" si="2"/>
        <v>565130630.35677993</v>
      </c>
      <c r="H48" s="119">
        <f t="shared" si="2"/>
        <v>566287105.00724947</v>
      </c>
      <c r="I48" s="119">
        <f t="shared" si="2"/>
        <v>567443580.77508283</v>
      </c>
      <c r="J48" s="119">
        <f t="shared" si="2"/>
        <v>568597142.42555249</v>
      </c>
      <c r="K48" s="119">
        <f t="shared" si="2"/>
        <v>570537367.54571009</v>
      </c>
      <c r="L48" s="119">
        <f t="shared" si="2"/>
        <v>571829462.04850376</v>
      </c>
      <c r="M48" s="119">
        <f t="shared" si="2"/>
        <v>575014849.66866124</v>
      </c>
      <c r="N48" s="119">
        <f t="shared" si="2"/>
        <v>576306943.17145479</v>
      </c>
      <c r="O48" s="119">
        <f t="shared" si="2"/>
        <v>577464303.68928838</v>
      </c>
      <c r="P48" s="119">
        <f t="shared" si="2"/>
        <v>581923972.71764612</v>
      </c>
      <c r="Q48" s="119">
        <f t="shared" ref="Q48" si="3">SUM(Q10:Q47)</f>
        <v>570152366.18808687</v>
      </c>
      <c r="R48" s="18"/>
    </row>
    <row r="49" spans="1:17" ht="13.5" thickTop="1"/>
    <row r="50" spans="1:17">
      <c r="A50" s="28" t="s">
        <v>11</v>
      </c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>
      <c r="A51" s="2" t="s">
        <v>491</v>
      </c>
    </row>
  </sheetData>
  <pageMargins left="0.7" right="0.7" top="0.75" bottom="0.75" header="0.3" footer="0.3"/>
  <pageSetup scale="5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zoomScaleNormal="100" workbookViewId="0">
      <selection activeCell="H5" sqref="H5"/>
    </sheetView>
  </sheetViews>
  <sheetFormatPr defaultRowHeight="12.75"/>
  <cols>
    <col min="1" max="1" width="5" style="2" customWidth="1"/>
    <col min="2" max="2" width="8.5703125" style="20" customWidth="1"/>
    <col min="3" max="3" width="44.42578125" style="2" customWidth="1"/>
    <col min="4" max="4" width="12" style="2" customWidth="1"/>
    <col min="5" max="16" width="13.85546875" style="2" bestFit="1" customWidth="1"/>
    <col min="17" max="17" width="12.42578125" style="2" customWidth="1"/>
    <col min="18" max="16384" width="9.140625" style="2"/>
  </cols>
  <sheetData>
    <row r="1" spans="1:17">
      <c r="A1" s="2" t="str">
        <f>Contents!A1</f>
        <v>Florida Public Utilities Company Consolidated Gas</v>
      </c>
      <c r="Q1" s="33" t="str">
        <f>Contents!A2</f>
        <v>Docket No. 20220067-GU</v>
      </c>
    </row>
    <row r="2" spans="1:17">
      <c r="A2" s="2" t="s">
        <v>577</v>
      </c>
      <c r="Q2" s="33" t="str">
        <f>Contents!A3</f>
        <v>Exhibit RCS-2R</v>
      </c>
    </row>
    <row r="3" spans="1:17">
      <c r="Q3" s="33" t="s">
        <v>96</v>
      </c>
    </row>
    <row r="4" spans="1:17">
      <c r="A4" s="2" t="str">
        <f>A!A4</f>
        <v>Projected Test Year Ended December 31, 2023</v>
      </c>
      <c r="Q4" s="33" t="s">
        <v>476</v>
      </c>
    </row>
    <row r="5" spans="1:17">
      <c r="D5" s="20"/>
      <c r="Q5" s="33" t="s">
        <v>102</v>
      </c>
    </row>
    <row r="6" spans="1:17">
      <c r="D6" s="20" t="s">
        <v>8</v>
      </c>
      <c r="Q6" s="33"/>
    </row>
    <row r="7" spans="1:17">
      <c r="D7" s="20" t="s">
        <v>466</v>
      </c>
      <c r="Q7" s="20" t="s">
        <v>33</v>
      </c>
    </row>
    <row r="8" spans="1:17">
      <c r="A8" s="20" t="s">
        <v>392</v>
      </c>
      <c r="B8" s="20" t="s">
        <v>393</v>
      </c>
      <c r="D8" s="20" t="s">
        <v>467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 t="s">
        <v>473</v>
      </c>
    </row>
    <row r="9" spans="1:17">
      <c r="A9" s="27" t="s">
        <v>1</v>
      </c>
      <c r="B9" s="27" t="s">
        <v>394</v>
      </c>
      <c r="C9" s="28" t="s">
        <v>2</v>
      </c>
      <c r="D9" s="27" t="s">
        <v>266</v>
      </c>
      <c r="E9" s="185">
        <v>44927</v>
      </c>
      <c r="F9" s="185">
        <v>44958</v>
      </c>
      <c r="G9" s="185">
        <v>44986</v>
      </c>
      <c r="H9" s="185">
        <v>45017</v>
      </c>
      <c r="I9" s="185">
        <v>45047</v>
      </c>
      <c r="J9" s="185">
        <v>45078</v>
      </c>
      <c r="K9" s="185">
        <v>45108</v>
      </c>
      <c r="L9" s="185">
        <v>45139</v>
      </c>
      <c r="M9" s="185">
        <v>45170</v>
      </c>
      <c r="N9" s="185">
        <v>45200</v>
      </c>
      <c r="O9" s="185">
        <v>45231</v>
      </c>
      <c r="P9" s="185">
        <v>45261</v>
      </c>
      <c r="Q9" s="27" t="s">
        <v>62</v>
      </c>
    </row>
    <row r="10" spans="1:17">
      <c r="A10" s="20"/>
      <c r="C10" s="1" t="s">
        <v>266</v>
      </c>
      <c r="E10" s="186" t="s">
        <v>9</v>
      </c>
      <c r="F10" s="186" t="s">
        <v>10</v>
      </c>
      <c r="G10" s="20" t="s">
        <v>26</v>
      </c>
      <c r="H10" s="186" t="s">
        <v>27</v>
      </c>
      <c r="I10" s="186" t="s">
        <v>28</v>
      </c>
      <c r="J10" s="186" t="s">
        <v>29</v>
      </c>
      <c r="K10" s="186" t="s">
        <v>82</v>
      </c>
      <c r="L10" s="186" t="s">
        <v>177</v>
      </c>
      <c r="M10" s="186" t="s">
        <v>460</v>
      </c>
      <c r="N10" s="186" t="s">
        <v>461</v>
      </c>
      <c r="O10" s="186" t="s">
        <v>462</v>
      </c>
      <c r="P10" s="186" t="s">
        <v>463</v>
      </c>
      <c r="Q10" s="186" t="s">
        <v>464</v>
      </c>
    </row>
    <row r="11" spans="1:17">
      <c r="A11" s="20">
        <v>1</v>
      </c>
      <c r="B11" s="20" t="s">
        <v>398</v>
      </c>
      <c r="C11" s="2" t="s">
        <v>399</v>
      </c>
      <c r="D11" s="73">
        <v>0</v>
      </c>
      <c r="E11" s="18">
        <f>'C-1 P2'!$D$10*D11/12</f>
        <v>0</v>
      </c>
      <c r="F11" s="18">
        <f>'C-1 P2'!$E$10*D11/12</f>
        <v>0</v>
      </c>
      <c r="G11" s="18">
        <f>'C-1 P2'!$F$10*D11/12</f>
        <v>0</v>
      </c>
      <c r="H11" s="18">
        <f>'C-1 P2'!$G$10*D11/12</f>
        <v>0</v>
      </c>
      <c r="I11" s="18">
        <f>'C-1 P2'!$H$10*D11/12</f>
        <v>0</v>
      </c>
      <c r="J11" s="18">
        <f>'C-1 P2'!$I$10*D11/12</f>
        <v>0</v>
      </c>
      <c r="K11" s="18">
        <f>'C-1 P2'!$J$10*D11/12</f>
        <v>0</v>
      </c>
      <c r="L11" s="18">
        <f>'C-1 P2'!$K$10*D11/12</f>
        <v>0</v>
      </c>
      <c r="M11" s="18">
        <f>'C-1 P2'!$L$10*D11/12</f>
        <v>0</v>
      </c>
      <c r="N11" s="18">
        <f>'C-1 P2'!$M$10*D11/12</f>
        <v>0</v>
      </c>
      <c r="O11" s="18">
        <f>'C-1 P2'!$N$10*D11/12</f>
        <v>0</v>
      </c>
      <c r="P11" s="18">
        <f>'C-1 P2'!$O$10*D11/12</f>
        <v>0</v>
      </c>
      <c r="Q11" s="16">
        <f>SUM(E11:P11)</f>
        <v>0</v>
      </c>
    </row>
    <row r="12" spans="1:17">
      <c r="A12" s="20">
        <f>A11+1</f>
        <v>2</v>
      </c>
      <c r="B12" s="20" t="s">
        <v>400</v>
      </c>
      <c r="C12" s="2" t="s">
        <v>401</v>
      </c>
      <c r="D12" s="73">
        <v>0</v>
      </c>
      <c r="E12" s="18">
        <f>'C-1 P2'!$D$11*D12/12</f>
        <v>0</v>
      </c>
      <c r="F12" s="18">
        <f>'C-1 P2'!$E$11*D12/12</f>
        <v>0</v>
      </c>
      <c r="G12" s="18">
        <f>'C-1 P2'!$F$11*D12/12</f>
        <v>0</v>
      </c>
      <c r="H12" s="18">
        <f>'C-1 P2'!$G$11*D12/12</f>
        <v>0</v>
      </c>
      <c r="I12" s="18">
        <f>'C-1 P2'!$H$11*D12/12</f>
        <v>0</v>
      </c>
      <c r="J12" s="18">
        <f>'C-1 P2'!$I$11*D12/12</f>
        <v>0</v>
      </c>
      <c r="K12" s="18">
        <f>'C-1 P2'!$J$11*D12/12</f>
        <v>0</v>
      </c>
      <c r="L12" s="18">
        <f>'C-1 P2'!$K$11*D12/12</f>
        <v>0</v>
      </c>
      <c r="M12" s="18">
        <f>'C-1 P2'!$L$11*D12/12</f>
        <v>0</v>
      </c>
      <c r="N12" s="18">
        <f>'C-1 P2'!$M$11*D12/12</f>
        <v>0</v>
      </c>
      <c r="O12" s="18">
        <f>'C-1 P2'!$N$11*D12/12</f>
        <v>0</v>
      </c>
      <c r="P12" s="18">
        <f>'C-1 P2'!$O$11*D12/12</f>
        <v>0</v>
      </c>
      <c r="Q12" s="16">
        <f t="shared" ref="Q12:Q53" si="0">SUM(E12:P12)</f>
        <v>0</v>
      </c>
    </row>
    <row r="13" spans="1:17">
      <c r="A13" s="20">
        <f t="shared" ref="A13:A55" si="1">A12+1</f>
        <v>3</v>
      </c>
      <c r="B13" s="20" t="s">
        <v>402</v>
      </c>
      <c r="C13" s="2" t="s">
        <v>403</v>
      </c>
      <c r="D13" s="73">
        <v>0</v>
      </c>
      <c r="E13" s="18">
        <f>'C-1 P2'!$D$12*D13/12</f>
        <v>0</v>
      </c>
      <c r="F13" s="18">
        <f>'C-1 P2'!$E$12*D13/12</f>
        <v>0</v>
      </c>
      <c r="G13" s="18">
        <f>'C-1 P2'!$F$12*D13/12</f>
        <v>0</v>
      </c>
      <c r="H13" s="18">
        <f>'C-1 P2'!$G$12*D13/12</f>
        <v>0</v>
      </c>
      <c r="I13" s="18">
        <f>'C-1 P2'!$H$12*D13/12</f>
        <v>0</v>
      </c>
      <c r="J13" s="18">
        <f>'C-1 P2'!$I$12*D13/12</f>
        <v>0</v>
      </c>
      <c r="K13" s="18">
        <f>'C-1 P2'!$J$12*D13/12</f>
        <v>0</v>
      </c>
      <c r="L13" s="18">
        <f>'C-1 P2'!$K$12*D13/12</f>
        <v>0</v>
      </c>
      <c r="M13" s="18">
        <f>'C-1 P2'!$L$12*D13/12</f>
        <v>0</v>
      </c>
      <c r="N13" s="18">
        <f>'C-1 P2'!$M$12*D13/12</f>
        <v>0</v>
      </c>
      <c r="O13" s="18">
        <f>'C-1 P2'!$N$12*D13/12</f>
        <v>0</v>
      </c>
      <c r="P13" s="18">
        <f>'C-1 P2'!$O$12*D13/12</f>
        <v>0</v>
      </c>
      <c r="Q13" s="16">
        <f t="shared" si="0"/>
        <v>0</v>
      </c>
    </row>
    <row r="14" spans="1:17">
      <c r="A14" s="20">
        <f t="shared" si="1"/>
        <v>4</v>
      </c>
      <c r="B14" s="20" t="s">
        <v>404</v>
      </c>
      <c r="C14" s="2" t="s">
        <v>405</v>
      </c>
      <c r="D14" s="73">
        <v>2.5000000000000001E-2</v>
      </c>
      <c r="E14" s="18">
        <f>'C-1 P2'!$D$13*D14/12</f>
        <v>0</v>
      </c>
      <c r="F14" s="18">
        <f>'C-1 P2'!$E$13*D14/12</f>
        <v>0</v>
      </c>
      <c r="G14" s="18">
        <f>'C-1 P2'!$F$13*D14/12</f>
        <v>0</v>
      </c>
      <c r="H14" s="18">
        <f>'C-1 P2'!$G$13*D14/12</f>
        <v>0</v>
      </c>
      <c r="I14" s="18">
        <f>'C-1 P2'!$H$13*D14/12</f>
        <v>0</v>
      </c>
      <c r="J14" s="18">
        <f>'C-1 P2'!$I$13*D14/12</f>
        <v>0</v>
      </c>
      <c r="K14" s="18">
        <f>'C-1 P2'!$J$13*D14/12</f>
        <v>0</v>
      </c>
      <c r="L14" s="18">
        <f>'C-1 P2'!$K$13*D14/12</f>
        <v>0</v>
      </c>
      <c r="M14" s="18">
        <f>'C-1 P2'!$L$13*D14/12</f>
        <v>0</v>
      </c>
      <c r="N14" s="18">
        <f>'C-1 P2'!$M$13*D14/12</f>
        <v>0</v>
      </c>
      <c r="O14" s="18">
        <f>'C-1 P2'!$N$13*D14/12</f>
        <v>0</v>
      </c>
      <c r="P14" s="18">
        <f>'C-1 P2'!$O$13*D14/12</f>
        <v>0</v>
      </c>
      <c r="Q14" s="16">
        <f t="shared" si="0"/>
        <v>0</v>
      </c>
    </row>
    <row r="15" spans="1:17">
      <c r="A15" s="20">
        <f t="shared" si="1"/>
        <v>5</v>
      </c>
      <c r="B15" s="20" t="s">
        <v>406</v>
      </c>
      <c r="C15" s="2" t="s">
        <v>407</v>
      </c>
      <c r="D15" s="73">
        <v>5.5E-2</v>
      </c>
      <c r="E15" s="18">
        <f>'C-1 P2'!$D$14*D15/12</f>
        <v>1880.1205958333333</v>
      </c>
      <c r="F15" s="18">
        <f>'C-1 P2'!$E$14*D15/12</f>
        <v>1880.1205958333333</v>
      </c>
      <c r="G15" s="18">
        <f>'C-1 P2'!$F$14*D15/12</f>
        <v>1880.1205958333333</v>
      </c>
      <c r="H15" s="18">
        <f>'C-1 P2'!$G$14*D15/12</f>
        <v>1880.1205958333333</v>
      </c>
      <c r="I15" s="18">
        <f>'C-1 P2'!$H$14*D15/12</f>
        <v>1880.1205958333333</v>
      </c>
      <c r="J15" s="18">
        <f>'C-1 P2'!$I$14*D15/12</f>
        <v>1880.1205958333333</v>
      </c>
      <c r="K15" s="18">
        <f>'C-1 P2'!$J$14*D15/12</f>
        <v>1880.1205958333333</v>
      </c>
      <c r="L15" s="18">
        <f>'C-1 P2'!$K$14*D15/12</f>
        <v>1880.1205958333333</v>
      </c>
      <c r="M15" s="18">
        <f>'C-1 P2'!$L$14*D15/12</f>
        <v>1880.1205958333333</v>
      </c>
      <c r="N15" s="18">
        <f>'C-1 P2'!$M$14*D15/12</f>
        <v>1880.1205958333333</v>
      </c>
      <c r="O15" s="18">
        <f>'C-1 P2'!$N$14*D15/12</f>
        <v>1880.1205958333333</v>
      </c>
      <c r="P15" s="18">
        <f>'C-1 P2'!$O$14*D15/12</f>
        <v>1880.1205958333333</v>
      </c>
      <c r="Q15" s="16">
        <f t="shared" si="0"/>
        <v>22561.447150000004</v>
      </c>
    </row>
    <row r="16" spans="1:17">
      <c r="A16" s="20">
        <f t="shared" si="1"/>
        <v>6</v>
      </c>
      <c r="B16" s="20" t="s">
        <v>408</v>
      </c>
      <c r="C16" s="2" t="s">
        <v>405</v>
      </c>
      <c r="D16" s="73">
        <v>2.5000000000000001E-2</v>
      </c>
      <c r="E16" s="18">
        <f>'C-1 P2'!$D$15*D16/12</f>
        <v>3299.9117291666666</v>
      </c>
      <c r="F16" s="18">
        <f>'C-1 P2'!$E$15*D16/12</f>
        <v>3299.9117291666666</v>
      </c>
      <c r="G16" s="18">
        <f>'C-1 P2'!$F$15*D16/12</f>
        <v>3299.9117291666666</v>
      </c>
      <c r="H16" s="18">
        <f>'C-1 P2'!$G$15*D16/12</f>
        <v>3299.9117291666666</v>
      </c>
      <c r="I16" s="18">
        <f>'C-1 P2'!$H$15*D16/12</f>
        <v>3299.9117291666666</v>
      </c>
      <c r="J16" s="18">
        <f>'C-1 P2'!$I$15*D16/12</f>
        <v>3299.9117291666666</v>
      </c>
      <c r="K16" s="18">
        <f>'C-1 P2'!$J$15*D16/12</f>
        <v>3299.9117291666666</v>
      </c>
      <c r="L16" s="18">
        <f>'C-1 P2'!$K$15*D16/12</f>
        <v>3299.9117291666666</v>
      </c>
      <c r="M16" s="18">
        <f>'C-1 P2'!$L$15*D16/12</f>
        <v>3299.9117291666666</v>
      </c>
      <c r="N16" s="18">
        <f>'C-1 P2'!$M$15*D16/12</f>
        <v>3299.9117291666666</v>
      </c>
      <c r="O16" s="18">
        <f>'C-1 P2'!$N$15*D16/12</f>
        <v>3299.9117291666666</v>
      </c>
      <c r="P16" s="18">
        <f>'C-1 P2'!$O$15*D16/12</f>
        <v>3299.9117291666666</v>
      </c>
      <c r="Q16" s="16">
        <f t="shared" si="0"/>
        <v>39598.940750000009</v>
      </c>
    </row>
    <row r="17" spans="1:17">
      <c r="A17" s="20">
        <f t="shared" si="1"/>
        <v>7</v>
      </c>
      <c r="B17" s="20">
        <v>3761</v>
      </c>
      <c r="C17" s="2" t="s">
        <v>409</v>
      </c>
      <c r="D17" s="73">
        <v>2.1000000000000001E-2</v>
      </c>
      <c r="E17" s="18">
        <f>'C-1 P2'!$D$16*D17/12</f>
        <v>218280.52792000011</v>
      </c>
      <c r="F17" s="18">
        <f>'C-1 P2'!$E$16*D17/12</f>
        <v>218647.01120500008</v>
      </c>
      <c r="G17" s="18">
        <f>'C-1 P2'!$F$16*D17/12</f>
        <v>219104.40772500006</v>
      </c>
      <c r="H17" s="18">
        <f>'C-1 P2'!$G$16*D17/12</f>
        <v>219652.7122650001</v>
      </c>
      <c r="I17" s="18">
        <f>'C-1 P2'!$H$16*D17/12</f>
        <v>220473.75126000008</v>
      </c>
      <c r="J17" s="18">
        <f>'C-1 P2'!$I$16*D17/12</f>
        <v>221294.79025500009</v>
      </c>
      <c r="K17" s="18">
        <f>'C-1 P2'!$J$16*D17/12</f>
        <v>222115.82925000007</v>
      </c>
      <c r="L17" s="18">
        <f>'C-1 P2'!$K$16*D17/12</f>
        <v>223027.7797650001</v>
      </c>
      <c r="M17" s="18">
        <f>'C-1 P2'!$L$16*D17/12</f>
        <v>223939.73028000011</v>
      </c>
      <c r="N17" s="18">
        <f>'C-1 P2'!$M$16*D17/12</f>
        <v>228164.9452950001</v>
      </c>
      <c r="O17" s="18">
        <f>'C-1 P2'!$N$16*D17/12</f>
        <v>229076.8958100001</v>
      </c>
      <c r="P17" s="18">
        <f>'C-1 P2'!$O$16*D17/12</f>
        <v>229899.48486750011</v>
      </c>
      <c r="Q17" s="16">
        <f t="shared" si="0"/>
        <v>2673677.8658975014</v>
      </c>
    </row>
    <row r="18" spans="1:17">
      <c r="A18" s="20">
        <f t="shared" si="1"/>
        <v>8</v>
      </c>
      <c r="B18" s="20">
        <v>3762</v>
      </c>
      <c r="C18" s="2" t="s">
        <v>410</v>
      </c>
      <c r="D18" s="73">
        <v>2.1999999999999999E-2</v>
      </c>
      <c r="E18" s="18">
        <f>'C-1 P2'!$D$17*D18/12</f>
        <v>113344.40131666664</v>
      </c>
      <c r="F18" s="18">
        <f>'C-1 P2'!$E$17*D18/12</f>
        <v>113344.40131666664</v>
      </c>
      <c r="G18" s="18">
        <f>'C-1 P2'!$F$17*D18/12</f>
        <v>113344.40131666664</v>
      </c>
      <c r="H18" s="18">
        <f>'C-1 P2'!$G$17*D18/12</f>
        <v>113339.06081666664</v>
      </c>
      <c r="I18" s="18">
        <f>'C-1 P2'!$H$17*D18/12</f>
        <v>113339.06081666664</v>
      </c>
      <c r="J18" s="18">
        <f>'C-1 P2'!$I$17*D18/12</f>
        <v>113339.06081666664</v>
      </c>
      <c r="K18" s="18">
        <f>'C-1 P2'!$J$17*D18/12</f>
        <v>113333.72031666664</v>
      </c>
      <c r="L18" s="18">
        <f>'C-1 P2'!$K$17*D18/12</f>
        <v>113333.72031666664</v>
      </c>
      <c r="M18" s="18">
        <f>'C-1 P2'!$L$17*D18/12</f>
        <v>113333.72031666664</v>
      </c>
      <c r="N18" s="18">
        <f>'C-1 P2'!$M$17*D18/12</f>
        <v>113333.72031666664</v>
      </c>
      <c r="O18" s="18">
        <f>'C-1 P2'!$N$17*D18/12</f>
        <v>113333.72031666664</v>
      </c>
      <c r="P18" s="18">
        <f>'C-1 P2'!$O$17*D18/12</f>
        <v>113333.72031666664</v>
      </c>
      <c r="Q18" s="16">
        <f t="shared" si="0"/>
        <v>1360052.7082999996</v>
      </c>
    </row>
    <row r="19" spans="1:17">
      <c r="A19" s="20">
        <f t="shared" si="1"/>
        <v>9</v>
      </c>
      <c r="B19" s="20" t="s">
        <v>411</v>
      </c>
      <c r="C19" s="2" t="s">
        <v>412</v>
      </c>
      <c r="D19" s="73">
        <v>2.1000000000000001E-2</v>
      </c>
      <c r="E19" s="18">
        <f>'C-1 P2'!$D$18*D19/12</f>
        <v>257062.17710249999</v>
      </c>
      <c r="F19" s="18">
        <f>'C-1 P2'!$E$18*D19/12</f>
        <v>257062.17710249999</v>
      </c>
      <c r="G19" s="18">
        <f>'C-1 P2'!$F$18*D19/12</f>
        <v>257062.17710249999</v>
      </c>
      <c r="H19" s="18">
        <f>'C-1 P2'!$G$18*D19/12</f>
        <v>257062.17710249999</v>
      </c>
      <c r="I19" s="18">
        <f>'C-1 P2'!$H$18*D19/12</f>
        <v>257062.17710249999</v>
      </c>
      <c r="J19" s="18">
        <f>'C-1 P2'!$I$18*D19/12</f>
        <v>257062.17710249999</v>
      </c>
      <c r="K19" s="18">
        <f>'C-1 P2'!$J$18*D19/12</f>
        <v>257062.17710249999</v>
      </c>
      <c r="L19" s="18">
        <f>'C-1 P2'!$K$18*D19/12</f>
        <v>257062.17710249999</v>
      </c>
      <c r="M19" s="18">
        <f>'C-1 P2'!$L$18*D19/12</f>
        <v>257062.17710249999</v>
      </c>
      <c r="N19" s="18">
        <f>'C-1 P2'!$M$18*D19/12</f>
        <v>257062.17710249999</v>
      </c>
      <c r="O19" s="18">
        <f>'C-1 P2'!$N$18*D19/12</f>
        <v>257062.17710249999</v>
      </c>
      <c r="P19" s="18">
        <f>'C-1 P2'!$O$18*D19/12</f>
        <v>257062.17710249999</v>
      </c>
      <c r="Q19" s="16">
        <f t="shared" si="0"/>
        <v>3084746.1252300008</v>
      </c>
    </row>
    <row r="20" spans="1:17">
      <c r="A20" s="20">
        <f t="shared" si="1"/>
        <v>10</v>
      </c>
      <c r="B20" s="20" t="s">
        <v>413</v>
      </c>
      <c r="C20" s="2" t="s">
        <v>414</v>
      </c>
      <c r="D20" s="73">
        <v>3.5000000000000003E-2</v>
      </c>
      <c r="E20" s="18">
        <f>'C-1 P2'!$D$19*D20/12</f>
        <v>20138.513120833333</v>
      </c>
      <c r="F20" s="18">
        <f>'C-1 P2'!$E$19*D20/12</f>
        <v>20307.128595833336</v>
      </c>
      <c r="G20" s="18">
        <f>'C-1 P2'!$F$19*D20/12</f>
        <v>20531.949229166668</v>
      </c>
      <c r="H20" s="18">
        <f>'C-1 P2'!$G$19*D20/12</f>
        <v>20812.974991666666</v>
      </c>
      <c r="I20" s="18">
        <f>'C-1 P2'!$H$19*D20/12</f>
        <v>21262.61622916667</v>
      </c>
      <c r="J20" s="18">
        <f>'C-1 P2'!$I$19*D20/12</f>
        <v>21712.257466666666</v>
      </c>
      <c r="K20" s="18">
        <f>'C-1 P2'!$J$19*D20/12</f>
        <v>22161.89870416667</v>
      </c>
      <c r="L20" s="18">
        <f>'C-1 P2'!$K$19*D20/12</f>
        <v>22667.745100000004</v>
      </c>
      <c r="M20" s="18">
        <f>'C-1 P2'!$L$19*D20/12</f>
        <v>23173.591495833334</v>
      </c>
      <c r="N20" s="18">
        <f>'C-1 P2'!$M$19*D20/12</f>
        <v>23679.437891666672</v>
      </c>
      <c r="O20" s="18">
        <f>'C-1 P2'!$N$19*D20/12</f>
        <v>24185.284287500006</v>
      </c>
      <c r="P20" s="18">
        <f>'C-1 P2'!$O$19*D20/12</f>
        <v>24634.92552500001</v>
      </c>
      <c r="Q20" s="16">
        <f t="shared" si="0"/>
        <v>265268.32263750001</v>
      </c>
    </row>
    <row r="21" spans="1:17">
      <c r="A21" s="20">
        <f t="shared" si="1"/>
        <v>11</v>
      </c>
      <c r="B21" s="20" t="s">
        <v>415</v>
      </c>
      <c r="C21" s="2" t="s">
        <v>416</v>
      </c>
      <c r="D21" s="73">
        <v>3.1E-2</v>
      </c>
      <c r="E21" s="18">
        <f>'C-1 P2'!$D$20*D21/12</f>
        <v>36339.370689166666</v>
      </c>
      <c r="F21" s="18">
        <f>'C-1 P2'!$E$20*D21/12</f>
        <v>36339.370689166666</v>
      </c>
      <c r="G21" s="18">
        <f>'C-1 P2'!$F$20*D21/12</f>
        <v>36339.370689166666</v>
      </c>
      <c r="H21" s="18">
        <f>'C-1 P2'!$G$20*D21/12</f>
        <v>36339.370689166666</v>
      </c>
      <c r="I21" s="18">
        <f>'C-1 P2'!$H$20*D21/12</f>
        <v>36339.370689166666</v>
      </c>
      <c r="J21" s="18">
        <f>'C-1 P2'!$I$20*D21/12</f>
        <v>36339.370689166666</v>
      </c>
      <c r="K21" s="18">
        <f>'C-1 P2'!$J$20*D21/12</f>
        <v>36339.370689166666</v>
      </c>
      <c r="L21" s="18">
        <f>'C-1 P2'!$K$20*D21/12</f>
        <v>36339.370689166666</v>
      </c>
      <c r="M21" s="18">
        <f>'C-1 P2'!$L$20*D21/12</f>
        <v>36339.370689166666</v>
      </c>
      <c r="N21" s="18">
        <f>'C-1 P2'!$M$20*D21/12</f>
        <v>36339.370689166666</v>
      </c>
      <c r="O21" s="18">
        <f>'C-1 P2'!$N$20*D21/12</f>
        <v>36339.370689166666</v>
      </c>
      <c r="P21" s="18">
        <f>'C-1 P2'!$O$20*D21/12</f>
        <v>36339.370689166666</v>
      </c>
      <c r="Q21" s="16">
        <f t="shared" si="0"/>
        <v>436072.44826999988</v>
      </c>
    </row>
    <row r="22" spans="1:17">
      <c r="A22" s="20">
        <f t="shared" si="1"/>
        <v>12</v>
      </c>
      <c r="B22" s="20">
        <v>3801</v>
      </c>
      <c r="C22" s="2" t="s">
        <v>417</v>
      </c>
      <c r="D22" s="73">
        <v>2.1999999999999999E-2</v>
      </c>
      <c r="E22" s="18">
        <f>'C-1 P2'!$D$21*D22/12</f>
        <v>127949.34838518879</v>
      </c>
      <c r="F22" s="18">
        <f>'C-1 P2'!$E$21*D22/12</f>
        <v>128139.15851428644</v>
      </c>
      <c r="G22" s="18">
        <f>'C-1 P2'!$F$21*D22/12</f>
        <v>128391.14701144253</v>
      </c>
      <c r="H22" s="18">
        <f>'C-1 P2'!$G$21*D22/12</f>
        <v>128705.31430699154</v>
      </c>
      <c r="I22" s="18">
        <f>'C-1 P2'!$H$21*D22/12</f>
        <v>129206.01530371695</v>
      </c>
      <c r="J22" s="18">
        <f>'C-1 P2'!$I$21*D22/12</f>
        <v>129706.71651560963</v>
      </c>
      <c r="K22" s="18">
        <f>'C-1 P2'!$J$21*D22/12</f>
        <v>130207.41751233504</v>
      </c>
      <c r="L22" s="18">
        <f>'C-1 P2'!$K$21*D22/12</f>
        <v>130770.29547412002</v>
      </c>
      <c r="M22" s="18">
        <f>'C-1 P2'!$L$21*D22/12</f>
        <v>131333.17322073781</v>
      </c>
      <c r="N22" s="18">
        <f>'C-1 P2'!$M$21*D22/12</f>
        <v>131896.05118252276</v>
      </c>
      <c r="O22" s="18">
        <f>'C-1 P2'!$N$21*D22/12</f>
        <v>132458.92892914053</v>
      </c>
      <c r="P22" s="18">
        <f>'C-1 P2'!$O$21*D22/12</f>
        <v>132959.63014103318</v>
      </c>
      <c r="Q22" s="16">
        <f t="shared" si="0"/>
        <v>1561723.1964971251</v>
      </c>
    </row>
    <row r="23" spans="1:17">
      <c r="A23" s="20">
        <f t="shared" si="1"/>
        <v>13</v>
      </c>
      <c r="B23" s="20">
        <v>3802</v>
      </c>
      <c r="C23" s="2" t="s">
        <v>418</v>
      </c>
      <c r="D23" s="73">
        <v>9.1999999999999998E-2</v>
      </c>
      <c r="E23" s="18">
        <f>'C-1 P2'!$D$22*D23/12</f>
        <v>10148.498686666668</v>
      </c>
      <c r="F23" s="18">
        <f>'C-1 P2'!$E$22*D23/12</f>
        <v>10148.498686666668</v>
      </c>
      <c r="G23" s="18">
        <f>'C-1 P2'!$F$22*D23/12</f>
        <v>10148.498686666668</v>
      </c>
      <c r="H23" s="18">
        <f>'C-1 P2'!$G$22*D23/12</f>
        <v>10148.498686666668</v>
      </c>
      <c r="I23" s="18">
        <f>'C-1 P2'!$H$22*D23/12</f>
        <v>10148.498686666668</v>
      </c>
      <c r="J23" s="18">
        <f>'C-1 P2'!$I$22*D23/12</f>
        <v>10148.498686666668</v>
      </c>
      <c r="K23" s="18">
        <f>'C-1 P2'!$J$22*D23/12</f>
        <v>10148.498686666668</v>
      </c>
      <c r="L23" s="18">
        <f>'C-1 P2'!$K$22*D23/12</f>
        <v>10148.498686666668</v>
      </c>
      <c r="M23" s="18">
        <f>'C-1 P2'!$L$22*D23/12</f>
        <v>10148.498686666668</v>
      </c>
      <c r="N23" s="18">
        <f>'C-1 P2'!$M$22*D23/12</f>
        <v>10148.498686666668</v>
      </c>
      <c r="O23" s="18">
        <f>'C-1 P2'!$N$22*D23/12</f>
        <v>10148.498686666668</v>
      </c>
      <c r="P23" s="18">
        <f>'C-1 P2'!$O$22*D23/12</f>
        <v>10148.498686666668</v>
      </c>
      <c r="Q23" s="16">
        <f t="shared" si="0"/>
        <v>121781.98424000003</v>
      </c>
    </row>
    <row r="24" spans="1:17">
      <c r="A24" s="20">
        <f t="shared" si="1"/>
        <v>14</v>
      </c>
      <c r="B24" s="20" t="s">
        <v>419</v>
      </c>
      <c r="C24" s="2" t="s">
        <v>420</v>
      </c>
      <c r="D24" s="73">
        <v>2.1999999999999999E-2</v>
      </c>
      <c r="E24" s="18">
        <f>'C-1 P2'!$D$23*D24/12</f>
        <v>89822.023023333328</v>
      </c>
      <c r="F24" s="18">
        <f>'C-1 P2'!$E$23*D24/12</f>
        <v>89822.023023333328</v>
      </c>
      <c r="G24" s="18">
        <f>'C-1 P2'!$F$23*D24/12</f>
        <v>89822.023023333328</v>
      </c>
      <c r="H24" s="18">
        <f>'C-1 P2'!$G$23*D24/12</f>
        <v>89822.023023333328</v>
      </c>
      <c r="I24" s="18">
        <f>'C-1 P2'!$H$23*D24/12</f>
        <v>89822.023023333328</v>
      </c>
      <c r="J24" s="18">
        <f>'C-1 P2'!$I$23*D24/12</f>
        <v>89822.023023333328</v>
      </c>
      <c r="K24" s="18">
        <f>'C-1 P2'!$J$23*D24/12</f>
        <v>89822.023023333328</v>
      </c>
      <c r="L24" s="18">
        <f>'C-1 P2'!$K$23*D24/12</f>
        <v>89822.023023333328</v>
      </c>
      <c r="M24" s="18">
        <f>'C-1 P2'!$L$23*D24/12</f>
        <v>89822.023023333328</v>
      </c>
      <c r="N24" s="18">
        <f>'C-1 P2'!$M$23*D24/12</f>
        <v>89822.023023333328</v>
      </c>
      <c r="O24" s="18">
        <f>'C-1 P2'!$N$23*D24/12</f>
        <v>89822.023023333328</v>
      </c>
      <c r="P24" s="18">
        <f>'C-1 P2'!$O$23*D24/12</f>
        <v>89822.023023333328</v>
      </c>
      <c r="Q24" s="16">
        <f t="shared" si="0"/>
        <v>1077864.2762799996</v>
      </c>
    </row>
    <row r="25" spans="1:17">
      <c r="A25" s="20">
        <f t="shared" si="1"/>
        <v>15</v>
      </c>
      <c r="B25" s="20" t="s">
        <v>421</v>
      </c>
      <c r="C25" s="2" t="s">
        <v>422</v>
      </c>
      <c r="D25" s="73">
        <v>3.5999999999999997E-2</v>
      </c>
      <c r="E25" s="18">
        <f>'C-1 P2'!$D$24*D25/12</f>
        <v>69804.174895779593</v>
      </c>
      <c r="F25" s="18">
        <f>'C-1 P2'!$E$24*D25/12</f>
        <v>69890.665720954246</v>
      </c>
      <c r="G25" s="18">
        <f>'C-1 P2'!$F$24*D25/12</f>
        <v>70005.807234327352</v>
      </c>
      <c r="H25" s="18">
        <f>'C-1 P2'!$G$24*D25/12</f>
        <v>70149.5964358989</v>
      </c>
      <c r="I25" s="18">
        <f>'C-1 P2'!$H$24*D25/12</f>
        <v>70379.331702065741</v>
      </c>
      <c r="J25" s="18">
        <f>'C-1 P2'!$I$24*D25/12</f>
        <v>70609.066968232582</v>
      </c>
      <c r="K25" s="18">
        <f>'C-1 P2'!$J$24*D25/12</f>
        <v>70838.802234399409</v>
      </c>
      <c r="L25" s="18">
        <f>'C-1 P2'!$K$24*D25/12</f>
        <v>71097.188188764689</v>
      </c>
      <c r="M25" s="18">
        <f>'C-1 P2'!$L$24*D25/12</f>
        <v>71355.574143129968</v>
      </c>
      <c r="N25" s="18">
        <f>'C-1 P2'!$M$24*D25/12</f>
        <v>71613.960097495248</v>
      </c>
      <c r="O25" s="18">
        <f>'C-1 P2'!$N$24*D25/12</f>
        <v>71872.346051860513</v>
      </c>
      <c r="P25" s="18">
        <f>'C-1 P2'!$O$24*D25/12</f>
        <v>72102.081318027354</v>
      </c>
      <c r="Q25" s="16">
        <f t="shared" si="0"/>
        <v>849718.59499093564</v>
      </c>
    </row>
    <row r="26" spans="1:17">
      <c r="A26" s="20">
        <f t="shared" si="1"/>
        <v>16</v>
      </c>
      <c r="B26" s="20">
        <v>3811</v>
      </c>
      <c r="C26" s="2" t="s">
        <v>423</v>
      </c>
      <c r="D26" s="73">
        <v>4.2999999999999997E-2</v>
      </c>
      <c r="E26" s="18">
        <f>'C-1 P2'!$D$25*D26/12</f>
        <v>8014.2522083333324</v>
      </c>
      <c r="F26" s="18">
        <f>'C-1 P2'!$E$25*D26/12</f>
        <v>8014.2522083333324</v>
      </c>
      <c r="G26" s="18">
        <f>'C-1 P2'!$F$25*D26/12</f>
        <v>8014.2522083333324</v>
      </c>
      <c r="H26" s="18">
        <f>'C-1 P2'!$G$25*D26/12</f>
        <v>8014.2522083333324</v>
      </c>
      <c r="I26" s="18">
        <f>'C-1 P2'!$H$25*D26/12</f>
        <v>8014.2522083333324</v>
      </c>
      <c r="J26" s="18">
        <f>'C-1 P2'!$I$25*D26/12</f>
        <v>8014.2522083333324</v>
      </c>
      <c r="K26" s="18">
        <f>'C-1 P2'!$J$25*D26/12</f>
        <v>8014.2522083333324</v>
      </c>
      <c r="L26" s="18">
        <f>'C-1 P2'!$K$25*D26/12</f>
        <v>8014.2522083333324</v>
      </c>
      <c r="M26" s="18">
        <f>'C-1 P2'!$L$25*D26/12</f>
        <v>8014.2522083333324</v>
      </c>
      <c r="N26" s="18">
        <f>'C-1 P2'!$M$25*D26/12</f>
        <v>8014.2522083333324</v>
      </c>
      <c r="O26" s="18">
        <f>'C-1 P2'!$N$25*D26/12</f>
        <v>8014.2522083333324</v>
      </c>
      <c r="P26" s="18">
        <f>'C-1 P2'!$O$25*D26/12</f>
        <v>8014.2522083333324</v>
      </c>
      <c r="Q26" s="16">
        <f t="shared" si="0"/>
        <v>96171.026499999993</v>
      </c>
    </row>
    <row r="27" spans="1:17">
      <c r="A27" s="20">
        <f t="shared" si="1"/>
        <v>17</v>
      </c>
      <c r="B27" s="20" t="s">
        <v>424</v>
      </c>
      <c r="C27" s="2" t="s">
        <v>425</v>
      </c>
      <c r="D27" s="73">
        <v>3.2000000000000001E-2</v>
      </c>
      <c r="E27" s="18">
        <f>'C-1 P2'!$D$26*D27/12</f>
        <v>48639.794073320758</v>
      </c>
      <c r="F27" s="18">
        <f>'C-1 P2'!$E$26*D27/12</f>
        <v>48668.993606913682</v>
      </c>
      <c r="G27" s="18">
        <f>'C-1 P2'!$F$26*D27/12</f>
        <v>48703.973401733841</v>
      </c>
      <c r="H27" s="18">
        <f>'C-1 P2'!$G$26*D27/12</f>
        <v>48744.733457781229</v>
      </c>
      <c r="I27" s="18">
        <f>'C-1 P2'!$H$26*D27/12</f>
        <v>48802.834297510301</v>
      </c>
      <c r="J27" s="18">
        <f>'C-1 P2'!$I$26*D27/12</f>
        <v>48860.935137239372</v>
      </c>
      <c r="K27" s="18">
        <f>'C-1 P2'!$J$26*D27/12</f>
        <v>48919.035976968436</v>
      </c>
      <c r="L27" s="18">
        <f>'C-1 P2'!$K$26*D27/12</f>
        <v>48982.917077924743</v>
      </c>
      <c r="M27" s="18">
        <f>'C-1 P2'!$L$26*D27/12</f>
        <v>49046.798178881036</v>
      </c>
      <c r="N27" s="18">
        <f>'C-1 P2'!$M$26*D27/12</f>
        <v>49110.67927983735</v>
      </c>
      <c r="O27" s="18">
        <f>'C-1 P2'!$N$26*D27/12</f>
        <v>49174.56038079365</v>
      </c>
      <c r="P27" s="18">
        <f>'C-1 P2'!$O$26*D27/12</f>
        <v>49232.661220522721</v>
      </c>
      <c r="Q27" s="16">
        <f t="shared" si="0"/>
        <v>586887.91608942719</v>
      </c>
    </row>
    <row r="28" spans="1:17">
      <c r="A28" s="20">
        <f t="shared" si="1"/>
        <v>18</v>
      </c>
      <c r="B28" s="20">
        <v>3821</v>
      </c>
      <c r="C28" s="2" t="s">
        <v>426</v>
      </c>
      <c r="D28" s="73">
        <v>2.5999999999999999E-2</v>
      </c>
      <c r="E28" s="18">
        <f>'C-1 P2'!$D$27*D28/12</f>
        <v>1284.9201949999999</v>
      </c>
      <c r="F28" s="18">
        <f>'C-1 P2'!$E$27*D28/12</f>
        <v>1284.9201949999999</v>
      </c>
      <c r="G28" s="18">
        <f>'C-1 P2'!$F$27*D28/12</f>
        <v>1284.9201949999999</v>
      </c>
      <c r="H28" s="18">
        <f>'C-1 P2'!$G$27*D28/12</f>
        <v>1284.9201949999999</v>
      </c>
      <c r="I28" s="18">
        <f>'C-1 P2'!$H$27*D28/12</f>
        <v>1284.9201949999999</v>
      </c>
      <c r="J28" s="18">
        <f>'C-1 P2'!$I$27*D28/12</f>
        <v>1284.9201949999999</v>
      </c>
      <c r="K28" s="18">
        <f>'C-1 P2'!$J$27*D28/12</f>
        <v>1284.9201949999999</v>
      </c>
      <c r="L28" s="18">
        <f>'C-1 P2'!$K$27*D28/12</f>
        <v>1284.9201949999999</v>
      </c>
      <c r="M28" s="18">
        <f>'C-1 P2'!$L$27*D28/12</f>
        <v>1284.9201949999999</v>
      </c>
      <c r="N28" s="18">
        <f>'C-1 P2'!$M$27*D28/12</f>
        <v>1284.9201949999999</v>
      </c>
      <c r="O28" s="18">
        <f>'C-1 P2'!$N$27*D28/12</f>
        <v>1284.9201949999999</v>
      </c>
      <c r="P28" s="18">
        <f>'C-1 P2'!$O$27*D28/12</f>
        <v>1284.9201949999999</v>
      </c>
      <c r="Q28" s="16">
        <f t="shared" si="0"/>
        <v>15419.042340000002</v>
      </c>
    </row>
    <row r="29" spans="1:17">
      <c r="A29" s="20">
        <f t="shared" si="1"/>
        <v>19</v>
      </c>
      <c r="B29" s="20" t="s">
        <v>427</v>
      </c>
      <c r="C29" s="2" t="s">
        <v>428</v>
      </c>
      <c r="D29" s="73">
        <v>3.3000000000000002E-2</v>
      </c>
      <c r="E29" s="18">
        <f>'C-1 P2'!$D$28*D29/12</f>
        <v>18862.548039701403</v>
      </c>
      <c r="F29" s="18">
        <f>'C-1 P2'!$E$28*D29/12</f>
        <v>18881.942857823215</v>
      </c>
      <c r="G29" s="18">
        <f>'C-1 P2'!$F$28*D29/12</f>
        <v>18905.323415659459</v>
      </c>
      <c r="H29" s="18">
        <f>'C-1 P2'!$G$28*D29/12</f>
        <v>18932.686963210141</v>
      </c>
      <c r="I29" s="18">
        <f>'C-1 P2'!$H$28*D29/12</f>
        <v>18972.004979904119</v>
      </c>
      <c r="J29" s="18">
        <f>'C-1 P2'!$I$28*D29/12</f>
        <v>19011.322996598101</v>
      </c>
      <c r="K29" s="18">
        <f>'C-1 P2'!$J$28*D29/12</f>
        <v>19050.641013292079</v>
      </c>
      <c r="L29" s="18">
        <f>'C-1 P2'!$K$28*D29/12</f>
        <v>19093.942019700498</v>
      </c>
      <c r="M29" s="18">
        <f>'C-1 P2'!$L$28*D29/12</f>
        <v>19137.243026108918</v>
      </c>
      <c r="N29" s="18">
        <f>'C-1 P2'!$M$28*D29/12</f>
        <v>19180.544032517329</v>
      </c>
      <c r="O29" s="18">
        <f>'C-1 P2'!$N$28*D29/12</f>
        <v>19223.845038925752</v>
      </c>
      <c r="P29" s="18">
        <f>'C-1 P2'!$O$28*D29/12</f>
        <v>19263.163055619731</v>
      </c>
      <c r="Q29" s="16">
        <f t="shared" si="0"/>
        <v>228515.20743906076</v>
      </c>
    </row>
    <row r="30" spans="1:17">
      <c r="A30" s="20">
        <f t="shared" si="1"/>
        <v>20</v>
      </c>
      <c r="B30" s="20" t="s">
        <v>429</v>
      </c>
      <c r="C30" s="2" t="s">
        <v>430</v>
      </c>
      <c r="D30" s="73">
        <v>2.7E-2</v>
      </c>
      <c r="E30" s="18">
        <f>'C-1 P2'!$D$29*D30/12</f>
        <v>2433.1475243737809</v>
      </c>
      <c r="F30" s="18">
        <f>'C-1 P2'!$E$29*D30/12</f>
        <v>2435.8849806481162</v>
      </c>
      <c r="G30" s="18">
        <f>'C-1 P2'!$F$29*D30/12</f>
        <v>2439.1643364125048</v>
      </c>
      <c r="H30" s="18">
        <f>'C-1 P2'!$G$29*D30/12</f>
        <v>2442.9855916669458</v>
      </c>
      <c r="I30" s="18">
        <f>'C-1 P2'!$H$29*D30/12</f>
        <v>2448.432545391543</v>
      </c>
      <c r="J30" s="18">
        <f>'C-1 P2'!$I$29*D30/12</f>
        <v>2453.8794991161399</v>
      </c>
      <c r="K30" s="18">
        <f>'C-1 P2'!$J$29*D30/12</f>
        <v>2459.3264528407367</v>
      </c>
      <c r="L30" s="18">
        <f>'C-1 P2'!$K$29*D30/12</f>
        <v>2465.3153060553868</v>
      </c>
      <c r="M30" s="18">
        <f>'C-1 P2'!$L$29*D30/12</f>
        <v>2471.304159270037</v>
      </c>
      <c r="N30" s="18">
        <f>'C-1 P2'!$M$29*D30/12</f>
        <v>2477.2930124846857</v>
      </c>
      <c r="O30" s="18">
        <f>'C-1 P2'!$N$29*D30/12</f>
        <v>2483.2818656993359</v>
      </c>
      <c r="P30" s="18">
        <f>'C-1 P2'!$O$29*D30/12</f>
        <v>2488.7288194239331</v>
      </c>
      <c r="Q30" s="16">
        <f t="shared" si="0"/>
        <v>29498.744093383146</v>
      </c>
    </row>
    <row r="31" spans="1:17">
      <c r="A31" s="20">
        <f t="shared" si="1"/>
        <v>21</v>
      </c>
      <c r="B31" s="20" t="s">
        <v>431</v>
      </c>
      <c r="C31" s="2" t="s">
        <v>432</v>
      </c>
      <c r="D31" s="73">
        <v>2.3E-2</v>
      </c>
      <c r="E31" s="18">
        <f>'C-1 P2'!$D$30*D31/12</f>
        <v>4859.3304050000006</v>
      </c>
      <c r="F31" s="18">
        <f>'C-1 P2'!$E$30*D31/12</f>
        <v>4859.3304050000006</v>
      </c>
      <c r="G31" s="18">
        <f>'C-1 P2'!$F$30*D31/12</f>
        <v>4859.3304050000006</v>
      </c>
      <c r="H31" s="18">
        <f>'C-1 P2'!$G$30*D31/12</f>
        <v>4859.3304050000006</v>
      </c>
      <c r="I31" s="18">
        <f>'C-1 P2'!$H$30*D31/12</f>
        <v>4859.3304050000006</v>
      </c>
      <c r="J31" s="18">
        <f>'C-1 P2'!$I$30*D31/12</f>
        <v>4859.3304050000006</v>
      </c>
      <c r="K31" s="18">
        <f>'C-1 P2'!$J$30*D31/12</f>
        <v>4859.3304050000006</v>
      </c>
      <c r="L31" s="18">
        <f>'C-1 P2'!$K$30*D31/12</f>
        <v>4859.3304050000006</v>
      </c>
      <c r="M31" s="18">
        <f>'C-1 P2'!$L$30*D31/12</f>
        <v>4859.3304050000006</v>
      </c>
      <c r="N31" s="18">
        <f>'C-1 P2'!$M$30*D31/12</f>
        <v>4859.3304050000006</v>
      </c>
      <c r="O31" s="18">
        <f>'C-1 P2'!$N$30*D31/12</f>
        <v>4859.3304050000006</v>
      </c>
      <c r="P31" s="18">
        <f>'C-1 P2'!$O$30*D31/12</f>
        <v>4859.3304050000006</v>
      </c>
      <c r="Q31" s="16">
        <f t="shared" si="0"/>
        <v>58311.964860000007</v>
      </c>
    </row>
    <row r="32" spans="1:17">
      <c r="A32" s="20">
        <f t="shared" si="1"/>
        <v>22</v>
      </c>
      <c r="B32" s="20" t="s">
        <v>433</v>
      </c>
      <c r="C32" s="2" t="s">
        <v>434</v>
      </c>
      <c r="D32" s="73">
        <v>0.04</v>
      </c>
      <c r="E32" s="18">
        <f>'C-1 P2'!$D$31*D32/12</f>
        <v>13931.3408</v>
      </c>
      <c r="F32" s="18">
        <f>'C-1 P2'!$E$31*D32/12</f>
        <v>14033.180800000002</v>
      </c>
      <c r="G32" s="18">
        <f>'C-1 P2'!$F$31*D32/12</f>
        <v>14168.967466666669</v>
      </c>
      <c r="H32" s="18">
        <f>'C-1 P2'!$G$31*D32/12</f>
        <v>14338.700800000001</v>
      </c>
      <c r="I32" s="18">
        <f>'C-1 P2'!$H$31*D32/12</f>
        <v>14610.274133333334</v>
      </c>
      <c r="J32" s="18">
        <f>'C-1 P2'!$I$31*D32/12</f>
        <v>14881.847466666668</v>
      </c>
      <c r="K32" s="18">
        <f>'C-1 P2'!$J$31*D32/12</f>
        <v>15153.4208</v>
      </c>
      <c r="L32" s="18">
        <f>'C-1 P2'!$K$31*D32/12</f>
        <v>15458.940800000002</v>
      </c>
      <c r="M32" s="18">
        <f>'C-1 P2'!$L$31*D32/12</f>
        <v>15764.460800000001</v>
      </c>
      <c r="N32" s="18">
        <f>'C-1 P2'!$M$31*D32/12</f>
        <v>16069.980799999999</v>
      </c>
      <c r="O32" s="18">
        <f>'C-1 P2'!$N$31*D32/12</f>
        <v>16375.500800000002</v>
      </c>
      <c r="P32" s="18">
        <f>'C-1 P2'!$O$31*D32/12</f>
        <v>16647.074133333335</v>
      </c>
      <c r="Q32" s="16">
        <f t="shared" si="0"/>
        <v>181433.68960000004</v>
      </c>
    </row>
    <row r="33" spans="1:17">
      <c r="A33" s="20">
        <f t="shared" si="1"/>
        <v>23</v>
      </c>
      <c r="B33" s="20" t="s">
        <v>435</v>
      </c>
      <c r="C33" s="2" t="s">
        <v>407</v>
      </c>
      <c r="D33" s="73">
        <v>0</v>
      </c>
      <c r="E33" s="18">
        <f>'C-1 P2'!$D$32*D33/12</f>
        <v>0</v>
      </c>
      <c r="F33" s="18">
        <f>'C-1 P2'!$E$32*D33/12</f>
        <v>0</v>
      </c>
      <c r="G33" s="18">
        <f>'C-1 P2'!$F$32*D33/12</f>
        <v>0</v>
      </c>
      <c r="H33" s="18">
        <f>'C-1 P2'!$G$32*D33/12</f>
        <v>0</v>
      </c>
      <c r="I33" s="18">
        <f>'C-1 P2'!$H$32*D33/12</f>
        <v>0</v>
      </c>
      <c r="J33" s="18">
        <f>'C-1 P2'!$I$32*D33/12</f>
        <v>0</v>
      </c>
      <c r="K33" s="18">
        <f>'C-1 P2'!$J$32*D33/12</f>
        <v>0</v>
      </c>
      <c r="L33" s="18">
        <f>'C-1 P2'!$K$32*D33/12</f>
        <v>0</v>
      </c>
      <c r="M33" s="18">
        <f>'C-1 P2'!$L$32*D33/12</f>
        <v>0</v>
      </c>
      <c r="N33" s="18">
        <f>'C-1 P2'!$M$32*D33/12</f>
        <v>0</v>
      </c>
      <c r="O33" s="18">
        <f>'C-1 P2'!$N$32*D33/12</f>
        <v>0</v>
      </c>
      <c r="P33" s="18">
        <f>'C-1 P2'!$O$32*D33/12</f>
        <v>0</v>
      </c>
      <c r="Q33" s="16">
        <f t="shared" si="0"/>
        <v>0</v>
      </c>
    </row>
    <row r="34" spans="1:17">
      <c r="A34" s="20">
        <f t="shared" si="1"/>
        <v>24</v>
      </c>
      <c r="B34" s="20" t="s">
        <v>436</v>
      </c>
      <c r="C34" s="2" t="s">
        <v>405</v>
      </c>
      <c r="D34" s="73">
        <v>2.3E-2</v>
      </c>
      <c r="E34" s="18">
        <f>'C-1 P2'!$D$33*D34/12</f>
        <v>11896.864310000003</v>
      </c>
      <c r="F34" s="18">
        <f>'C-1 P2'!$E$33*D34/12</f>
        <v>11896.864310000003</v>
      </c>
      <c r="G34" s="18">
        <f>'C-1 P2'!$F$33*D34/12</f>
        <v>11896.864310000003</v>
      </c>
      <c r="H34" s="18">
        <f>'C-1 P2'!$G$33*D34/12</f>
        <v>11896.864310000003</v>
      </c>
      <c r="I34" s="18">
        <f>'C-1 P2'!$H$33*D34/12</f>
        <v>11896.864310000003</v>
      </c>
      <c r="J34" s="18">
        <f>'C-1 P2'!$I$33*D34/12</f>
        <v>11896.864310000003</v>
      </c>
      <c r="K34" s="18">
        <f>'C-1 P2'!$J$33*D34/12</f>
        <v>11896.864310000003</v>
      </c>
      <c r="L34" s="18">
        <f>'C-1 P2'!$K$33*D34/12</f>
        <v>11896.864310000003</v>
      </c>
      <c r="M34" s="18">
        <f>'C-1 P2'!$L$33*D34/12</f>
        <v>11896.864310000003</v>
      </c>
      <c r="N34" s="18">
        <f>'C-1 P2'!$M$33*D34/12</f>
        <v>11896.864310000003</v>
      </c>
      <c r="O34" s="18">
        <f>'C-1 P2'!$N$33*D34/12</f>
        <v>11896.864310000003</v>
      </c>
      <c r="P34" s="18">
        <f>'C-1 P2'!$O$33*D34/12</f>
        <v>11896.864310000003</v>
      </c>
      <c r="Q34" s="16">
        <f t="shared" si="0"/>
        <v>142762.37172000002</v>
      </c>
    </row>
    <row r="35" spans="1:17">
      <c r="A35" s="20">
        <f t="shared" si="1"/>
        <v>25</v>
      </c>
      <c r="B35" s="20" t="s">
        <v>437</v>
      </c>
      <c r="C35" s="2" t="s">
        <v>438</v>
      </c>
      <c r="D35" s="73">
        <v>7.1428571428571425E-2</v>
      </c>
      <c r="E35" s="18">
        <f>'C-1 P2'!$D$34*D35/12</f>
        <v>13184.263988095239</v>
      </c>
      <c r="F35" s="18">
        <f>'C-1 P2'!$E$34*D35/12</f>
        <v>13203.906845238096</v>
      </c>
      <c r="G35" s="18">
        <f>'C-1 P2'!$F$34*D35/12</f>
        <v>13230.097321428571</v>
      </c>
      <c r="H35" s="18">
        <f>'C-1 P2'!$G$34*D35/12</f>
        <v>13262.835416666667</v>
      </c>
      <c r="I35" s="18">
        <f>'C-1 P2'!$H$34*D35/12</f>
        <v>13315.216369047617</v>
      </c>
      <c r="J35" s="18">
        <f>'C-1 P2'!$I$34*D35/12</f>
        <v>13367.597321428571</v>
      </c>
      <c r="K35" s="18">
        <f>'C-1 P2'!$J$34*D35/12</f>
        <v>13419.978273809524</v>
      </c>
      <c r="L35" s="18">
        <f>'C-1 P2'!$K$34*D35/12</f>
        <v>13478.906845238096</v>
      </c>
      <c r="M35" s="18">
        <f>'C-1 P2'!$L$34*D35/12</f>
        <v>13537.835416666667</v>
      </c>
      <c r="N35" s="18">
        <f>'C-1 P2'!$M$34*D35/12</f>
        <v>13596.763988095239</v>
      </c>
      <c r="O35" s="18">
        <f>'C-1 P2'!$N$34*D35/12</f>
        <v>13655.692559523808</v>
      </c>
      <c r="P35" s="18">
        <f>'C-1 P2'!$O$34*D35/12</f>
        <v>13708.073511904762</v>
      </c>
      <c r="Q35" s="16">
        <f t="shared" si="0"/>
        <v>160961.16785714289</v>
      </c>
    </row>
    <row r="36" spans="1:17">
      <c r="A36" s="20">
        <f t="shared" si="1"/>
        <v>26</v>
      </c>
      <c r="B36" s="20" t="s">
        <v>439</v>
      </c>
      <c r="C36" s="2" t="s">
        <v>440</v>
      </c>
      <c r="D36" s="73">
        <v>0.1</v>
      </c>
      <c r="E36" s="18">
        <f>'C-1 P2'!$D$35*D36/12</f>
        <v>1192.0330000000001</v>
      </c>
      <c r="F36" s="18">
        <f>'C-1 P2'!$E$35*D36/12</f>
        <v>1217.0955000000001</v>
      </c>
      <c r="G36" s="18">
        <f>'C-1 P2'!$F$35*D36/12</f>
        <v>1250.5121666666669</v>
      </c>
      <c r="H36" s="18">
        <f>'C-1 P2'!$G$35*D36/12</f>
        <v>1292.2830000000001</v>
      </c>
      <c r="I36" s="18">
        <f>'C-1 P2'!$H$35*D36/12</f>
        <v>1359.1163333333336</v>
      </c>
      <c r="J36" s="18">
        <f>'C-1 P2'!$I$35*D36/12</f>
        <v>1425.9496666666671</v>
      </c>
      <c r="K36" s="18">
        <f>'C-1 P2'!$J$35*D36/12</f>
        <v>1492.7830000000004</v>
      </c>
      <c r="L36" s="18">
        <f>'C-1 P2'!$K$35*D36/12</f>
        <v>1567.9705000000004</v>
      </c>
      <c r="M36" s="18">
        <f>'C-1 P2'!$L$35*D36/12</f>
        <v>1643.1580000000004</v>
      </c>
      <c r="N36" s="18">
        <f>'C-1 P2'!$M$35*D36/12</f>
        <v>1718.3455000000004</v>
      </c>
      <c r="O36" s="18">
        <f>'C-1 P2'!$N$35*D36/12</f>
        <v>1793.5330000000004</v>
      </c>
      <c r="P36" s="18">
        <f>'C-1 P2'!$O$35*D36/12</f>
        <v>1860.3663333333336</v>
      </c>
      <c r="Q36" s="16">
        <f t="shared" si="0"/>
        <v>17813.146000000001</v>
      </c>
    </row>
    <row r="37" spans="1:17">
      <c r="A37" s="20">
        <f t="shared" si="1"/>
        <v>27</v>
      </c>
      <c r="B37" s="20" t="s">
        <v>441</v>
      </c>
      <c r="C37" s="2" t="s">
        <v>442</v>
      </c>
      <c r="D37" s="73">
        <v>0.1</v>
      </c>
      <c r="E37" s="18">
        <f>'C-1 P2'!$D$36*D37/12</f>
        <v>991.3670833333332</v>
      </c>
      <c r="F37" s="18">
        <f>'C-1 P2'!$E$36*D37/12</f>
        <v>991.3670833333332</v>
      </c>
      <c r="G37" s="18">
        <f>'C-1 P2'!$F$36*D37/12</f>
        <v>991.3670833333332</v>
      </c>
      <c r="H37" s="18">
        <f>'C-1 P2'!$G$36*D37/12</f>
        <v>991.3670833333332</v>
      </c>
      <c r="I37" s="18">
        <f>'C-1 P2'!$H$36*D37/12</f>
        <v>991.3670833333332</v>
      </c>
      <c r="J37" s="18">
        <f>'C-1 P2'!$I$36*D37/12</f>
        <v>991.3670833333332</v>
      </c>
      <c r="K37" s="18">
        <f>'C-1 P2'!$J$36*D37/12</f>
        <v>991.3670833333332</v>
      </c>
      <c r="L37" s="18">
        <f>'C-1 P2'!$K$36*D37/12</f>
        <v>991.3670833333332</v>
      </c>
      <c r="M37" s="18">
        <f>'C-1 P2'!$L$36*D37/12</f>
        <v>991.3670833333332</v>
      </c>
      <c r="N37" s="18">
        <f>'C-1 P2'!$M$36*D37/12</f>
        <v>991.3670833333332</v>
      </c>
      <c r="O37" s="18">
        <f>'C-1 P2'!$N$36*D37/12</f>
        <v>991.3670833333332</v>
      </c>
      <c r="P37" s="18">
        <f>'C-1 P2'!$O$36*D37/12</f>
        <v>991.3670833333332</v>
      </c>
      <c r="Q37" s="16">
        <f t="shared" si="0"/>
        <v>11896.404999999997</v>
      </c>
    </row>
    <row r="38" spans="1:17">
      <c r="A38" s="20">
        <f t="shared" si="1"/>
        <v>28</v>
      </c>
      <c r="B38" s="20">
        <v>3913</v>
      </c>
      <c r="C38" s="2" t="s">
        <v>443</v>
      </c>
      <c r="D38" s="73">
        <v>0.05</v>
      </c>
      <c r="E38" s="18">
        <f>'C-1 P2'!$D$37*D38/12</f>
        <v>1217.7320833333331</v>
      </c>
      <c r="F38" s="18">
        <f>'C-1 P2'!$E$37*D38/12</f>
        <v>1217.7320833333331</v>
      </c>
      <c r="G38" s="18">
        <f>'C-1 P2'!$F$37*D38/12</f>
        <v>1217.7320833333331</v>
      </c>
      <c r="H38" s="18">
        <f>'C-1 P2'!$G$37*D38/12</f>
        <v>1217.7320833333331</v>
      </c>
      <c r="I38" s="18">
        <f>'C-1 P2'!$H$37*D38/12</f>
        <v>1217.7320833333331</v>
      </c>
      <c r="J38" s="18">
        <f>'C-1 P2'!$I$37*D38/12</f>
        <v>1217.7320833333331</v>
      </c>
      <c r="K38" s="18">
        <f>'C-1 P2'!$J$37*D38/12</f>
        <v>1217.7320833333331</v>
      </c>
      <c r="L38" s="18">
        <f>'C-1 P2'!$K$37*D38/12</f>
        <v>1217.7320833333331</v>
      </c>
      <c r="M38" s="18">
        <f>'C-1 P2'!$L$37*D38/12</f>
        <v>1217.7320833333331</v>
      </c>
      <c r="N38" s="18">
        <f>'C-1 P2'!$M$37*D38/12</f>
        <v>1217.7320833333331</v>
      </c>
      <c r="O38" s="18">
        <f>'C-1 P2'!$N$37*D38/12</f>
        <v>1217.7320833333331</v>
      </c>
      <c r="P38" s="18">
        <f>'C-1 P2'!$O$37*D38/12</f>
        <v>1217.7320833333331</v>
      </c>
      <c r="Q38" s="16">
        <f t="shared" si="0"/>
        <v>14612.784999999994</v>
      </c>
    </row>
    <row r="39" spans="1:17">
      <c r="A39" s="20">
        <f t="shared" si="1"/>
        <v>29</v>
      </c>
      <c r="B39" s="20">
        <v>3914</v>
      </c>
      <c r="C39" s="2" t="s">
        <v>444</v>
      </c>
      <c r="D39" s="73">
        <v>0.1</v>
      </c>
      <c r="E39" s="18">
        <f>'C-1 P2'!$D$38*D39/12</f>
        <v>52835.964583333349</v>
      </c>
      <c r="F39" s="18">
        <f>'C-1 P2'!$E$38*D39/12</f>
        <v>52842.089583333349</v>
      </c>
      <c r="G39" s="18">
        <f>'C-1 P2'!$F$38*D39/12</f>
        <v>52850.256250000013</v>
      </c>
      <c r="H39" s="18">
        <f>'C-1 P2'!$G$38*D39/12</f>
        <v>52860.464583333349</v>
      </c>
      <c r="I39" s="18">
        <f>'C-1 P2'!$H$38*D39/12</f>
        <v>52876.797916666685</v>
      </c>
      <c r="J39" s="18">
        <f>'C-1 P2'!$I$38*D39/12</f>
        <v>52893.131250000013</v>
      </c>
      <c r="K39" s="18">
        <f>'C-1 P2'!$J$38*D39/12</f>
        <v>52909.464583333349</v>
      </c>
      <c r="L39" s="18">
        <f>'C-1 P2'!$K$38*D39/12</f>
        <v>52927.839583333349</v>
      </c>
      <c r="M39" s="18">
        <f>'C-1 P2'!$L$38*D39/12</f>
        <v>52946.214583333349</v>
      </c>
      <c r="N39" s="18">
        <f>'C-1 P2'!$M$38*D39/12</f>
        <v>52964.589583333349</v>
      </c>
      <c r="O39" s="18">
        <f>'C-1 P2'!$N$38*D39/12</f>
        <v>52982.964583333349</v>
      </c>
      <c r="P39" s="18">
        <f>'C-1 P2'!$O$38*D39/12</f>
        <v>52999.297916666685</v>
      </c>
      <c r="Q39" s="16">
        <f t="shared" si="0"/>
        <v>634889.0750000003</v>
      </c>
    </row>
    <row r="40" spans="1:17">
      <c r="A40" s="20">
        <f t="shared" si="1"/>
        <v>30</v>
      </c>
      <c r="B40" s="20">
        <v>392</v>
      </c>
      <c r="C40" s="2" t="s">
        <v>445</v>
      </c>
      <c r="D40" s="73">
        <v>8.4000000000000005E-2</v>
      </c>
      <c r="E40" s="18">
        <f>'C-1 P2'!$D$39*D40/12</f>
        <v>602.46851000000004</v>
      </c>
      <c r="F40" s="18">
        <f>'C-1 P2'!$E$39*D40/12</f>
        <v>602.46851000000004</v>
      </c>
      <c r="G40" s="18">
        <f>'C-1 P2'!$F$39*D40/12</f>
        <v>602.46851000000004</v>
      </c>
      <c r="H40" s="18">
        <f>'C-1 P2'!$G$39*D40/12</f>
        <v>602.46851000000004</v>
      </c>
      <c r="I40" s="18">
        <f>'C-1 P2'!$H$39*D40/12</f>
        <v>602.46851000000004</v>
      </c>
      <c r="J40" s="18">
        <f>'C-1 P2'!$I$39*D40/12</f>
        <v>602.46851000000004</v>
      </c>
      <c r="K40" s="18">
        <f>'C-1 P2'!$J$39*D40/12</f>
        <v>602.46851000000004</v>
      </c>
      <c r="L40" s="18">
        <f>'C-1 P2'!$K$39*D40/12</f>
        <v>602.46851000000004</v>
      </c>
      <c r="M40" s="18">
        <f>'C-1 P2'!$L$39*D40/12</f>
        <v>602.46851000000004</v>
      </c>
      <c r="N40" s="18">
        <f>'C-1 P2'!$M$39*D40/12</f>
        <v>602.46851000000004</v>
      </c>
      <c r="O40" s="18">
        <f>'C-1 P2'!$N$39*D40/12</f>
        <v>602.46851000000004</v>
      </c>
      <c r="P40" s="18">
        <f>'C-1 P2'!$O$39*D40/12</f>
        <v>602.46851000000004</v>
      </c>
      <c r="Q40" s="16">
        <f t="shared" si="0"/>
        <v>7229.6221199999991</v>
      </c>
    </row>
    <row r="41" spans="1:17">
      <c r="A41" s="20">
        <f t="shared" si="1"/>
        <v>31</v>
      </c>
      <c r="B41" s="20">
        <v>3921</v>
      </c>
      <c r="C41" s="2" t="s">
        <v>446</v>
      </c>
      <c r="D41" s="73">
        <v>0.17399999999999999</v>
      </c>
      <c r="E41" s="18">
        <f>'C-1 P2'!$D$40*D41/12</f>
        <v>4525.1423100000002</v>
      </c>
      <c r="F41" s="18">
        <f>'C-1 P2'!$E$40*D41/12</f>
        <v>4525.1423100000002</v>
      </c>
      <c r="G41" s="18">
        <f>'C-1 P2'!$F$40*D41/12</f>
        <v>4525.1423100000002</v>
      </c>
      <c r="H41" s="18">
        <f>'C-1 P2'!$G$40*D41/12</f>
        <v>4525.1423100000002</v>
      </c>
      <c r="I41" s="18">
        <f>'C-1 P2'!$H$40*D41/12</f>
        <v>4525.1423100000002</v>
      </c>
      <c r="J41" s="18">
        <f>'C-1 P2'!$I$40*D41/12</f>
        <v>4525.1423100000002</v>
      </c>
      <c r="K41" s="18">
        <f>'C-1 P2'!$J$40*D41/12</f>
        <v>4525.1423100000002</v>
      </c>
      <c r="L41" s="18">
        <f>'C-1 P2'!$K$40*D41/12</f>
        <v>7918.1423099999993</v>
      </c>
      <c r="M41" s="18">
        <f>'C-1 P2'!$L$40*D41/12</f>
        <v>7918.1423099999993</v>
      </c>
      <c r="N41" s="18">
        <f>'C-1 P2'!$M$40*D41/12</f>
        <v>7918.1423099999993</v>
      </c>
      <c r="O41" s="18">
        <f>'C-1 P2'!$N$40*D41/12</f>
        <v>7918.1423099999993</v>
      </c>
      <c r="P41" s="18">
        <f>'C-1 P2'!$O$40*D41/12</f>
        <v>7918.1423099999993</v>
      </c>
      <c r="Q41" s="16">
        <f t="shared" si="0"/>
        <v>71266.707719999977</v>
      </c>
    </row>
    <row r="42" spans="1:17">
      <c r="A42" s="20">
        <f t="shared" si="1"/>
        <v>32</v>
      </c>
      <c r="B42" s="20">
        <v>3922</v>
      </c>
      <c r="C42" s="2" t="s">
        <v>447</v>
      </c>
      <c r="D42" s="73">
        <v>8.4000000000000005E-2</v>
      </c>
      <c r="E42" s="18">
        <f>'C-1 P2'!$D$41*D42/12</f>
        <v>38754.802940000001</v>
      </c>
      <c r="F42" s="18">
        <f>'C-1 P2'!$E$41*D42/12</f>
        <v>38754.802940000001</v>
      </c>
      <c r="G42" s="18">
        <f>'C-1 P2'!$F$41*D42/12</f>
        <v>38754.802940000001</v>
      </c>
      <c r="H42" s="18">
        <f>'C-1 P2'!$G$41*D42/12</f>
        <v>38754.802940000001</v>
      </c>
      <c r="I42" s="18">
        <f>'C-1 P2'!$H$41*D42/12</f>
        <v>38754.802940000001</v>
      </c>
      <c r="J42" s="18">
        <f>'C-1 P2'!$I$41*D42/12</f>
        <v>38754.802940000001</v>
      </c>
      <c r="K42" s="18">
        <f>'C-1 P2'!$J$41*D42/12</f>
        <v>38754.802940000001</v>
      </c>
      <c r="L42" s="18">
        <f>'C-1 P2'!$K$41*D42/12</f>
        <v>41653.723440000002</v>
      </c>
      <c r="M42" s="18">
        <f>'C-1 P2'!$L$41*D42/12</f>
        <v>41653.723440000002</v>
      </c>
      <c r="N42" s="18">
        <f>'C-1 P2'!$M$41*D42/12</f>
        <v>41653.723440000002</v>
      </c>
      <c r="O42" s="18">
        <f>'C-1 P2'!$N$41*D42/12</f>
        <v>41653.723440000002</v>
      </c>
      <c r="P42" s="18">
        <f>'C-1 P2'!$O$41*D42/12</f>
        <v>41653.723440000002</v>
      </c>
      <c r="Q42" s="16">
        <f t="shared" si="0"/>
        <v>479552.23777999985</v>
      </c>
    </row>
    <row r="43" spans="1:17">
      <c r="A43" s="20">
        <f t="shared" si="1"/>
        <v>33</v>
      </c>
      <c r="B43" s="20">
        <v>3924</v>
      </c>
      <c r="C43" s="2" t="s">
        <v>448</v>
      </c>
      <c r="D43" s="73">
        <v>5.8000000000000003E-2</v>
      </c>
      <c r="E43" s="18">
        <f>'C-1 P2'!$D$42*D43/12</f>
        <v>382.14295666666663</v>
      </c>
      <c r="F43" s="18">
        <f>'C-1 P2'!$E$42*D43/12</f>
        <v>382.14295666666663</v>
      </c>
      <c r="G43" s="18">
        <f>'C-1 P2'!$F$42*D43/12</f>
        <v>382.14295666666663</v>
      </c>
      <c r="H43" s="18">
        <f>'C-1 P2'!$G$42*D43/12</f>
        <v>382.14295666666663</v>
      </c>
      <c r="I43" s="18">
        <f>'C-1 P2'!$H$42*D43/12</f>
        <v>382.14295666666663</v>
      </c>
      <c r="J43" s="18">
        <f>'C-1 P2'!$I$42*D43/12</f>
        <v>382.14295666666663</v>
      </c>
      <c r="K43" s="18">
        <f>'C-1 P2'!$J$42*D43/12</f>
        <v>382.14295666666663</v>
      </c>
      <c r="L43" s="18">
        <f>'C-1 P2'!$K$42*D43/12</f>
        <v>382.14295666666663</v>
      </c>
      <c r="M43" s="18">
        <f>'C-1 P2'!$L$42*D43/12</f>
        <v>382.14295666666663</v>
      </c>
      <c r="N43" s="18">
        <f>'C-1 P2'!$M$42*D43/12</f>
        <v>382.14295666666663</v>
      </c>
      <c r="O43" s="18">
        <f>'C-1 P2'!$N$42*D43/12</f>
        <v>382.14295666666663</v>
      </c>
      <c r="P43" s="18">
        <f>'C-1 P2'!$O$42*D43/12</f>
        <v>382.14295666666663</v>
      </c>
      <c r="Q43" s="16">
        <f t="shared" si="0"/>
        <v>4585.7154799999998</v>
      </c>
    </row>
    <row r="44" spans="1:17">
      <c r="A44" s="20">
        <f t="shared" si="1"/>
        <v>34</v>
      </c>
      <c r="B44" s="20" t="s">
        <v>449</v>
      </c>
      <c r="C44" s="2" t="s">
        <v>450</v>
      </c>
      <c r="D44" s="73">
        <v>3.8461538461538464E-2</v>
      </c>
      <c r="E44" s="18">
        <f>'C-1 P2'!$D$43*D44/12</f>
        <v>94.416858974358988</v>
      </c>
      <c r="F44" s="18">
        <f>'C-1 P2'!$E$43*D44/12</f>
        <v>94.416858974358988</v>
      </c>
      <c r="G44" s="18">
        <f>'C-1 P2'!$F$43*D44/12</f>
        <v>94.416858974358988</v>
      </c>
      <c r="H44" s="18">
        <f>'C-1 P2'!$G$43*D44/12</f>
        <v>94.416858974358988</v>
      </c>
      <c r="I44" s="18">
        <f>'C-1 P2'!$H$43*D44/12</f>
        <v>94.416858974358988</v>
      </c>
      <c r="J44" s="18">
        <f>'C-1 P2'!$I$43*D44/12</f>
        <v>94.416858974358988</v>
      </c>
      <c r="K44" s="18">
        <f>'C-1 P2'!$J$43*D44/12</f>
        <v>94.416858974358988</v>
      </c>
      <c r="L44" s="18">
        <f>'C-1 P2'!$K$43*D44/12</f>
        <v>94.416858974358988</v>
      </c>
      <c r="M44" s="18">
        <f>'C-1 P2'!$L$43*D44/12</f>
        <v>94.416858974358988</v>
      </c>
      <c r="N44" s="18">
        <f>'C-1 P2'!$M$43*D44/12</f>
        <v>94.416858974358988</v>
      </c>
      <c r="O44" s="18">
        <f>'C-1 P2'!$N$43*D44/12</f>
        <v>94.416858974358988</v>
      </c>
      <c r="P44" s="18">
        <f>'C-1 P2'!$O$43*D44/12</f>
        <v>94.416858974358988</v>
      </c>
      <c r="Q44" s="16">
        <f>SUM(E44:P44)</f>
        <v>1133.0023076923078</v>
      </c>
    </row>
    <row r="45" spans="1:17">
      <c r="A45" s="20">
        <f t="shared" si="1"/>
        <v>35</v>
      </c>
      <c r="B45" s="20" t="s">
        <v>451</v>
      </c>
      <c r="C45" s="2" t="s">
        <v>452</v>
      </c>
      <c r="D45" s="73">
        <v>6.6666666666666666E-2</v>
      </c>
      <c r="E45" s="18">
        <f>'C-1 P2'!$D$44*D45/12</f>
        <v>7539.2913888888897</v>
      </c>
      <c r="F45" s="18">
        <f>'C-1 P2'!$E$44*D45/12</f>
        <v>7583.3488888888905</v>
      </c>
      <c r="G45" s="18">
        <f>'C-1 P2'!$F$44*D45/12</f>
        <v>7642.0922222222225</v>
      </c>
      <c r="H45" s="18">
        <f>'C-1 P2'!$G$44*D45/12</f>
        <v>7715.5213888888893</v>
      </c>
      <c r="I45" s="18">
        <f>'C-1 P2'!$H$44*D45/12</f>
        <v>7833.0080555555569</v>
      </c>
      <c r="J45" s="18">
        <f>'C-1 P2'!$I$44*D45/12</f>
        <v>7950.4947222222245</v>
      </c>
      <c r="K45" s="18">
        <f>'C-1 P2'!$J$44*D45/12</f>
        <v>8067.9813888888893</v>
      </c>
      <c r="L45" s="18">
        <f>'C-1 P2'!$K$44*D45/12</f>
        <v>8200.1538888888899</v>
      </c>
      <c r="M45" s="18">
        <f>'C-1 P2'!$L$44*D45/12</f>
        <v>8332.3263888888905</v>
      </c>
      <c r="N45" s="18">
        <f>'C-1 P2'!$M$44*D45/12</f>
        <v>8464.4988888888893</v>
      </c>
      <c r="O45" s="18">
        <f>'C-1 P2'!$N$44*D45/12</f>
        <v>8596.6713888888899</v>
      </c>
      <c r="P45" s="18">
        <f>'C-1 P2'!$O$44*D45/12</f>
        <v>8714.1580555555574</v>
      </c>
      <c r="Q45" s="16">
        <f t="shared" si="0"/>
        <v>96639.546666666691</v>
      </c>
    </row>
    <row r="46" spans="1:17">
      <c r="A46" s="20">
        <f t="shared" si="1"/>
        <v>36</v>
      </c>
      <c r="B46" s="20" t="s">
        <v>453</v>
      </c>
      <c r="C46" s="2" t="s">
        <v>454</v>
      </c>
      <c r="D46" s="73">
        <v>5.0999999999999997E-2</v>
      </c>
      <c r="E46" s="18">
        <f>'C-1 P2'!$D$45*D46/12</f>
        <v>6372.2499525000012</v>
      </c>
      <c r="F46" s="18">
        <f>'C-1 P2'!$E$45*D46/12</f>
        <v>6407.6652025000003</v>
      </c>
      <c r="G46" s="18">
        <f>'C-1 P2'!$F$45*D46/12</f>
        <v>6443.0847025000003</v>
      </c>
      <c r="H46" s="18">
        <f>'C-1 P2'!$G$45*D46/12</f>
        <v>6478.4999525000012</v>
      </c>
      <c r="I46" s="18">
        <f>'C-1 P2'!$H$45*D46/12</f>
        <v>6513.9152025000003</v>
      </c>
      <c r="J46" s="18">
        <f>'C-1 P2'!$I$45*D46/12</f>
        <v>6549.3347025000003</v>
      </c>
      <c r="K46" s="18">
        <f>'C-1 P2'!$J$45*D46/12</f>
        <v>6584.7499524999994</v>
      </c>
      <c r="L46" s="18">
        <f>'C-1 P2'!$K$45*D46/12</f>
        <v>6620.1652025000003</v>
      </c>
      <c r="M46" s="18">
        <f>'C-1 P2'!$L$45*D46/12</f>
        <v>6655.5847025000003</v>
      </c>
      <c r="N46" s="18">
        <f>'C-1 P2'!$M$45*D46/12</f>
        <v>6690.9999524999994</v>
      </c>
      <c r="O46" s="18">
        <f>'C-1 P2'!$N$45*D46/12</f>
        <v>6726.4152025000003</v>
      </c>
      <c r="P46" s="18">
        <f>'C-1 P2'!$O$45*D46/12</f>
        <v>6761.8304524999994</v>
      </c>
      <c r="Q46" s="16">
        <f t="shared" si="0"/>
        <v>78804.495179999998</v>
      </c>
    </row>
    <row r="47" spans="1:17">
      <c r="A47" s="20">
        <f t="shared" si="1"/>
        <v>37</v>
      </c>
      <c r="B47" s="20" t="s">
        <v>455</v>
      </c>
      <c r="C47" s="2" t="s">
        <v>456</v>
      </c>
      <c r="D47" s="73">
        <v>7.6923076923076927E-2</v>
      </c>
      <c r="E47" s="18">
        <f>'C-1 P2'!$D$46*D47/12</f>
        <v>10913.614166666668</v>
      </c>
      <c r="F47" s="18">
        <f>'C-1 P2'!$E$46*D47/12</f>
        <v>10913.614166666668</v>
      </c>
      <c r="G47" s="18">
        <f>'C-1 P2'!$F$46*D47/12</f>
        <v>10913.614166666668</v>
      </c>
      <c r="H47" s="18">
        <f>'C-1 P2'!$G$46*D47/12</f>
        <v>10913.614166666668</v>
      </c>
      <c r="I47" s="18">
        <f>'C-1 P2'!$H$46*D47/12</f>
        <v>10913.614166666668</v>
      </c>
      <c r="J47" s="18">
        <f>'C-1 P2'!$I$46*D47/12</f>
        <v>10913.614166666668</v>
      </c>
      <c r="K47" s="18">
        <f>'C-1 P2'!$J$46*D47/12</f>
        <v>10913.614166666668</v>
      </c>
      <c r="L47" s="18">
        <f>'C-1 P2'!$K$46*D47/12</f>
        <v>10913.614166666668</v>
      </c>
      <c r="M47" s="18">
        <f>'C-1 P2'!$L$46*D47/12</f>
        <v>10913.614166666668</v>
      </c>
      <c r="N47" s="18">
        <f>'C-1 P2'!$M$46*D47/12</f>
        <v>10913.614166666668</v>
      </c>
      <c r="O47" s="18">
        <f>'C-1 P2'!$N$46*D47/12</f>
        <v>10913.614166666668</v>
      </c>
      <c r="P47" s="18">
        <f>'C-1 P2'!$O$46*D47/12</f>
        <v>10913.614166666668</v>
      </c>
      <c r="Q47" s="16">
        <f t="shared" si="0"/>
        <v>130963.37000000001</v>
      </c>
    </row>
    <row r="48" spans="1:17">
      <c r="A48" s="20">
        <f t="shared" si="1"/>
        <v>38</v>
      </c>
      <c r="B48" s="20" t="s">
        <v>457</v>
      </c>
      <c r="C48" s="2" t="s">
        <v>458</v>
      </c>
      <c r="D48" s="73">
        <v>5.8823529411764705E-2</v>
      </c>
      <c r="E48" s="18">
        <f>'C-1 P2'!$D$47*D48/12</f>
        <v>1566.2040686274511</v>
      </c>
      <c r="F48" s="18">
        <f>'C-1 P2'!$E$47*D48/12</f>
        <v>1566.2408333333333</v>
      </c>
      <c r="G48" s="18">
        <f>'C-1 P2'!$F$47*D48/12</f>
        <v>1566.2898529411766</v>
      </c>
      <c r="H48" s="18">
        <f>'C-1 P2'!$G$47*D48/12</f>
        <v>1566.3511274509804</v>
      </c>
      <c r="I48" s="18">
        <f>'C-1 P2'!$H$47*D48/12</f>
        <v>1566.4491666666665</v>
      </c>
      <c r="J48" s="18">
        <f>'C-1 P2'!$I$47*D48/12</f>
        <v>1566.5472058823527</v>
      </c>
      <c r="K48" s="18">
        <f>'C-1 P2'!$J$47*D48/12</f>
        <v>1566.6452450980394</v>
      </c>
      <c r="L48" s="18">
        <f>'C-1 P2'!$K$47*D48/12</f>
        <v>1566.7555392156862</v>
      </c>
      <c r="M48" s="18">
        <f>'C-1 P2'!$L$47*D48/12</f>
        <v>1566.8658333333333</v>
      </c>
      <c r="N48" s="18">
        <f>'C-1 P2'!$M$47*D48/12</f>
        <v>1566.9761274509804</v>
      </c>
      <c r="O48" s="18">
        <f>'C-1 P2'!$N$47*D48/12</f>
        <v>1567.0864215686277</v>
      </c>
      <c r="P48" s="18">
        <f>'C-1 P2'!$O$47*D48/12</f>
        <v>1567.1844607843138</v>
      </c>
      <c r="Q48" s="16">
        <f t="shared" si="0"/>
        <v>18799.59588235294</v>
      </c>
    </row>
    <row r="49" spans="1:18">
      <c r="A49" s="20">
        <f t="shared" si="1"/>
        <v>39</v>
      </c>
      <c r="C49" s="2" t="s">
        <v>468</v>
      </c>
      <c r="E49" s="112">
        <f t="shared" ref="E49:Q49" si="2">SUM(E11:E48)</f>
        <v>1198162.9589112843</v>
      </c>
      <c r="F49" s="112">
        <f t="shared" si="2"/>
        <v>1199257.8703053943</v>
      </c>
      <c r="G49" s="112">
        <f t="shared" si="2"/>
        <v>1200666.6295068092</v>
      </c>
      <c r="H49" s="112">
        <f t="shared" si="2"/>
        <v>1202383.876951697</v>
      </c>
      <c r="I49" s="112">
        <f t="shared" si="2"/>
        <v>1205047.9801655002</v>
      </c>
      <c r="J49" s="112">
        <f t="shared" si="2"/>
        <v>1207712.0878444705</v>
      </c>
      <c r="K49" s="112">
        <f t="shared" si="2"/>
        <v>1210370.8505582737</v>
      </c>
      <c r="L49" s="112">
        <f t="shared" si="2"/>
        <v>1219640.7119613832</v>
      </c>
      <c r="M49" s="112">
        <f t="shared" si="2"/>
        <v>1222618.6568993253</v>
      </c>
      <c r="N49" s="112">
        <f t="shared" si="2"/>
        <v>1228909.8623024344</v>
      </c>
      <c r="O49" s="112">
        <f t="shared" si="2"/>
        <v>1231887.8029903763</v>
      </c>
      <c r="P49" s="112">
        <f t="shared" si="2"/>
        <v>1234553.456481846</v>
      </c>
      <c r="Q49" s="112">
        <f t="shared" si="2"/>
        <v>14561212.744878782</v>
      </c>
      <c r="R49" s="18"/>
    </row>
    <row r="50" spans="1:18">
      <c r="A50" s="20">
        <f t="shared" si="1"/>
        <v>40</v>
      </c>
      <c r="C50" s="2" t="s">
        <v>262</v>
      </c>
      <c r="E50" s="31">
        <v>202955.86349799999</v>
      </c>
      <c r="F50" s="31">
        <v>203739.17701799999</v>
      </c>
      <c r="G50" s="31">
        <v>204441.232242</v>
      </c>
      <c r="H50" s="31">
        <v>205804.740918</v>
      </c>
      <c r="I50" s="31">
        <v>206298.68838000001</v>
      </c>
      <c r="J50" s="31">
        <v>208647.13620799998</v>
      </c>
      <c r="K50" s="31">
        <v>209247.99789999999</v>
      </c>
      <c r="L50" s="31">
        <v>203514.93476400001</v>
      </c>
      <c r="M50" s="31">
        <v>204805.20355599999</v>
      </c>
      <c r="N50" s="31">
        <v>207263.788956</v>
      </c>
      <c r="O50" s="31">
        <v>208435.362708</v>
      </c>
      <c r="P50" s="31">
        <v>209685.85736999998</v>
      </c>
      <c r="Q50" s="187">
        <f t="shared" si="0"/>
        <v>2474839.9835180002</v>
      </c>
    </row>
    <row r="51" spans="1:18">
      <c r="A51" s="20">
        <f t="shared" si="1"/>
        <v>41</v>
      </c>
      <c r="C51" s="2" t="s">
        <v>469</v>
      </c>
      <c r="E51" s="18">
        <f>E49+E50</f>
        <v>1401118.8224092843</v>
      </c>
      <c r="F51" s="18">
        <f t="shared" ref="F51:P51" si="3">F49+F50</f>
        <v>1402997.0473233943</v>
      </c>
      <c r="G51" s="18">
        <f t="shared" si="3"/>
        <v>1405107.8617488092</v>
      </c>
      <c r="H51" s="18">
        <f t="shared" si="3"/>
        <v>1408188.617869697</v>
      </c>
      <c r="I51" s="18">
        <f t="shared" si="3"/>
        <v>1411346.6685455001</v>
      </c>
      <c r="J51" s="18">
        <f t="shared" si="3"/>
        <v>1416359.2240524704</v>
      </c>
      <c r="K51" s="18">
        <f t="shared" si="3"/>
        <v>1419618.8484582738</v>
      </c>
      <c r="L51" s="18">
        <f t="shared" si="3"/>
        <v>1423155.6467253831</v>
      </c>
      <c r="M51" s="18">
        <f t="shared" si="3"/>
        <v>1427423.8604553253</v>
      </c>
      <c r="N51" s="18">
        <f t="shared" si="3"/>
        <v>1436173.6512584344</v>
      </c>
      <c r="O51" s="18">
        <f t="shared" si="3"/>
        <v>1440323.1656983763</v>
      </c>
      <c r="P51" s="18">
        <f t="shared" si="3"/>
        <v>1444239.3138518459</v>
      </c>
      <c r="Q51" s="16">
        <f t="shared" si="0"/>
        <v>17036052.728396792</v>
      </c>
    </row>
    <row r="52" spans="1:18">
      <c r="A52" s="20">
        <f t="shared" si="1"/>
        <v>42</v>
      </c>
      <c r="C52" s="2" t="s">
        <v>470</v>
      </c>
      <c r="E52" s="31">
        <v>-12030.869125017001</v>
      </c>
      <c r="F52" s="31">
        <v>-12030.869125017001</v>
      </c>
      <c r="G52" s="31">
        <v>-12030.869125017001</v>
      </c>
      <c r="H52" s="31">
        <v>-12030.869125017001</v>
      </c>
      <c r="I52" s="31">
        <v>-12030.869125017001</v>
      </c>
      <c r="J52" s="31">
        <v>-12030.869125017001</v>
      </c>
      <c r="K52" s="31">
        <v>-12030.869125017001</v>
      </c>
      <c r="L52" s="31">
        <v>-13798.567933617003</v>
      </c>
      <c r="M52" s="31">
        <v>-13798.567933617003</v>
      </c>
      <c r="N52" s="31">
        <v>-13798.567933617003</v>
      </c>
      <c r="O52" s="31">
        <v>-13798.567933617003</v>
      </c>
      <c r="P52" s="31">
        <v>-13798.567933617003</v>
      </c>
      <c r="Q52" s="187">
        <f t="shared" si="0"/>
        <v>-153208.92354320403</v>
      </c>
    </row>
    <row r="53" spans="1:18">
      <c r="A53" s="20">
        <f t="shared" si="1"/>
        <v>43</v>
      </c>
      <c r="C53" s="2" t="s">
        <v>471</v>
      </c>
      <c r="E53" s="18">
        <f>E51+E52</f>
        <v>1389087.9532842673</v>
      </c>
      <c r="F53" s="18">
        <f t="shared" ref="F53:P53" si="4">F51+F52</f>
        <v>1390966.1781983774</v>
      </c>
      <c r="G53" s="18">
        <f t="shared" si="4"/>
        <v>1393076.9926237923</v>
      </c>
      <c r="H53" s="18">
        <f t="shared" si="4"/>
        <v>1396157.7487446801</v>
      </c>
      <c r="I53" s="18">
        <f t="shared" si="4"/>
        <v>1399315.7994204832</v>
      </c>
      <c r="J53" s="18">
        <f t="shared" si="4"/>
        <v>1404328.3549274534</v>
      </c>
      <c r="K53" s="18">
        <f t="shared" si="4"/>
        <v>1407587.9793332568</v>
      </c>
      <c r="L53" s="18">
        <f t="shared" si="4"/>
        <v>1409357.0787917662</v>
      </c>
      <c r="M53" s="18">
        <f t="shared" si="4"/>
        <v>1413625.2925217084</v>
      </c>
      <c r="N53" s="18">
        <f t="shared" si="4"/>
        <v>1422375.0833248175</v>
      </c>
      <c r="O53" s="18">
        <f t="shared" si="4"/>
        <v>1426524.5977647593</v>
      </c>
      <c r="P53" s="18">
        <f t="shared" si="4"/>
        <v>1430440.745918229</v>
      </c>
      <c r="Q53" s="16">
        <f t="shared" si="0"/>
        <v>16882843.804853588</v>
      </c>
    </row>
    <row r="54" spans="1:18">
      <c r="A54" s="20">
        <f t="shared" si="1"/>
        <v>44</v>
      </c>
      <c r="C54" s="2" t="s">
        <v>472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6">
        <v>760865.82011142757</v>
      </c>
    </row>
    <row r="55" spans="1:18" ht="13.5" thickBot="1">
      <c r="A55" s="20">
        <f t="shared" si="1"/>
        <v>45</v>
      </c>
      <c r="C55" s="2" t="s">
        <v>497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74">
        <f>Q53+Q54</f>
        <v>17643709.624965016</v>
      </c>
    </row>
    <row r="56" spans="1:18" ht="13.5" thickTop="1"/>
    <row r="57" spans="1:18">
      <c r="A57" s="28" t="s">
        <v>11</v>
      </c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1:18">
      <c r="A58" s="2" t="s">
        <v>490</v>
      </c>
    </row>
  </sheetData>
  <pageMargins left="0.7" right="0.7" top="0.75" bottom="0.75" header="0.3" footer="0.3"/>
  <pageSetup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zoomScaleNormal="100" workbookViewId="0">
      <selection activeCell="H5" sqref="H5"/>
    </sheetView>
  </sheetViews>
  <sheetFormatPr defaultRowHeight="12.75"/>
  <cols>
    <col min="1" max="1" width="5" style="2" customWidth="1"/>
    <col min="2" max="2" width="8.5703125" style="20" customWidth="1"/>
    <col min="3" max="3" width="44.42578125" style="2" customWidth="1"/>
    <col min="4" max="4" width="12" style="2" customWidth="1"/>
    <col min="5" max="16" width="13.85546875" style="2" bestFit="1" customWidth="1"/>
    <col min="17" max="17" width="12.42578125" style="2" customWidth="1"/>
    <col min="18" max="16384" width="9.140625" style="2"/>
  </cols>
  <sheetData>
    <row r="1" spans="1:17">
      <c r="A1" s="2" t="str">
        <f>Contents!A1</f>
        <v>Florida Public Utilities Company Consolidated Gas</v>
      </c>
      <c r="Q1" s="33" t="str">
        <f>Contents!A2</f>
        <v>Docket No. 20220067-GU</v>
      </c>
    </row>
    <row r="2" spans="1:17">
      <c r="A2" s="2" t="s">
        <v>578</v>
      </c>
      <c r="Q2" s="33" t="str">
        <f>Contents!A3</f>
        <v>Exhibit RCS-2R</v>
      </c>
    </row>
    <row r="3" spans="1:17">
      <c r="Q3" s="33" t="s">
        <v>96</v>
      </c>
    </row>
    <row r="4" spans="1:17">
      <c r="A4" s="2" t="str">
        <f>A!A4</f>
        <v>Projected Test Year Ended December 31, 2023</v>
      </c>
      <c r="Q4" s="33" t="s">
        <v>477</v>
      </c>
    </row>
    <row r="5" spans="1:17">
      <c r="D5" s="20"/>
      <c r="Q5" s="33" t="s">
        <v>102</v>
      </c>
    </row>
    <row r="6" spans="1:17">
      <c r="D6" s="20" t="s">
        <v>8</v>
      </c>
      <c r="Q6" s="33"/>
    </row>
    <row r="7" spans="1:17">
      <c r="C7" s="1"/>
      <c r="D7" s="20" t="s">
        <v>466</v>
      </c>
      <c r="Q7" s="20" t="s">
        <v>33</v>
      </c>
    </row>
    <row r="8" spans="1:17">
      <c r="A8" s="20" t="s">
        <v>392</v>
      </c>
      <c r="B8" s="20" t="s">
        <v>393</v>
      </c>
      <c r="D8" s="20" t="s">
        <v>467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 t="s">
        <v>473</v>
      </c>
    </row>
    <row r="9" spans="1:17">
      <c r="A9" s="27" t="s">
        <v>1</v>
      </c>
      <c r="B9" s="27" t="s">
        <v>394</v>
      </c>
      <c r="C9" s="28" t="s">
        <v>2</v>
      </c>
      <c r="D9" s="27" t="s">
        <v>170</v>
      </c>
      <c r="E9" s="185">
        <v>44927</v>
      </c>
      <c r="F9" s="185">
        <v>44958</v>
      </c>
      <c r="G9" s="185">
        <v>44986</v>
      </c>
      <c r="H9" s="185">
        <v>45017</v>
      </c>
      <c r="I9" s="185">
        <v>45047</v>
      </c>
      <c r="J9" s="185">
        <v>45078</v>
      </c>
      <c r="K9" s="185">
        <v>45108</v>
      </c>
      <c r="L9" s="185">
        <v>45139</v>
      </c>
      <c r="M9" s="185">
        <v>45170</v>
      </c>
      <c r="N9" s="185">
        <v>45200</v>
      </c>
      <c r="O9" s="185">
        <v>45231</v>
      </c>
      <c r="P9" s="185">
        <v>45261</v>
      </c>
      <c r="Q9" s="27" t="s">
        <v>62</v>
      </c>
    </row>
    <row r="10" spans="1:17">
      <c r="A10" s="20"/>
      <c r="C10" s="1" t="s">
        <v>170</v>
      </c>
      <c r="D10" s="186" t="s">
        <v>9</v>
      </c>
      <c r="E10" s="186" t="s">
        <v>10</v>
      </c>
      <c r="F10" s="20" t="s">
        <v>26</v>
      </c>
      <c r="G10" s="186" t="s">
        <v>27</v>
      </c>
      <c r="H10" s="186" t="s">
        <v>28</v>
      </c>
      <c r="I10" s="186" t="s">
        <v>29</v>
      </c>
      <c r="J10" s="186" t="s">
        <v>82</v>
      </c>
      <c r="K10" s="186" t="s">
        <v>177</v>
      </c>
      <c r="L10" s="186" t="s">
        <v>460</v>
      </c>
      <c r="M10" s="186" t="s">
        <v>461</v>
      </c>
      <c r="N10" s="186" t="s">
        <v>462</v>
      </c>
      <c r="O10" s="186" t="s">
        <v>463</v>
      </c>
      <c r="P10" s="186" t="s">
        <v>464</v>
      </c>
      <c r="Q10" s="186" t="s">
        <v>465</v>
      </c>
    </row>
    <row r="11" spans="1:17">
      <c r="A11" s="20">
        <v>1</v>
      </c>
      <c r="B11" s="20" t="s">
        <v>398</v>
      </c>
      <c r="C11" s="2" t="s">
        <v>399</v>
      </c>
      <c r="D11" s="73">
        <v>0</v>
      </c>
      <c r="E11" s="18">
        <f>'C-1 P2'!$D$10*D11/12</f>
        <v>0</v>
      </c>
      <c r="F11" s="18">
        <f>'C-1 P2'!$E$10*D11/12</f>
        <v>0</v>
      </c>
      <c r="G11" s="18">
        <f>'C-1 P2'!$F$10*D11/12</f>
        <v>0</v>
      </c>
      <c r="H11" s="18">
        <f>'C-1 P2'!$G$10*D11/12</f>
        <v>0</v>
      </c>
      <c r="I11" s="18">
        <f>'C-1 P2'!$H$10*D11/12</f>
        <v>0</v>
      </c>
      <c r="J11" s="18">
        <f>'C-1 P2'!$I$10*D11/12</f>
        <v>0</v>
      </c>
      <c r="K11" s="18">
        <f>'C-1 P2'!$J$10*D11/12</f>
        <v>0</v>
      </c>
      <c r="L11" s="18">
        <f>'C-1 P2'!$K$10*D11/12</f>
        <v>0</v>
      </c>
      <c r="M11" s="18">
        <f>'C-1 P2'!$L$10*D11/12</f>
        <v>0</v>
      </c>
      <c r="N11" s="18">
        <f>'C-1 P2'!$M$10*D11/12</f>
        <v>0</v>
      </c>
      <c r="O11" s="18">
        <f>'C-1 P2'!$N$10*D11/12</f>
        <v>0</v>
      </c>
      <c r="P11" s="18">
        <f>'C-1 P2'!$O$10*D11/12</f>
        <v>0</v>
      </c>
      <c r="Q11" s="16">
        <f>SUM(E11:P11)</f>
        <v>0</v>
      </c>
    </row>
    <row r="12" spans="1:17">
      <c r="A12" s="20">
        <f>A11+1</f>
        <v>2</v>
      </c>
      <c r="B12" s="20" t="s">
        <v>400</v>
      </c>
      <c r="C12" s="2" t="s">
        <v>401</v>
      </c>
      <c r="D12" s="73">
        <v>0</v>
      </c>
      <c r="E12" s="18">
        <f>'C-1 P2'!$D$11*D12/12</f>
        <v>0</v>
      </c>
      <c r="F12" s="18">
        <f>'C-1 P2'!$E$11*D12/12</f>
        <v>0</v>
      </c>
      <c r="G12" s="18">
        <f>'C-1 P2'!$F$11*D12/12</f>
        <v>0</v>
      </c>
      <c r="H12" s="18">
        <f>'C-1 P2'!$G$11*D12/12</f>
        <v>0</v>
      </c>
      <c r="I12" s="18">
        <f>'C-1 P2'!$H$11*D12/12</f>
        <v>0</v>
      </c>
      <c r="J12" s="18">
        <f>'C-1 P2'!$I$11*D12/12</f>
        <v>0</v>
      </c>
      <c r="K12" s="18">
        <f>'C-1 P2'!$J$11*D12/12</f>
        <v>0</v>
      </c>
      <c r="L12" s="18">
        <f>'C-1 P2'!$K$11*D12/12</f>
        <v>0</v>
      </c>
      <c r="M12" s="18">
        <f>'C-1 P2'!$L$11*D12/12</f>
        <v>0</v>
      </c>
      <c r="N12" s="18">
        <f>'C-1 P2'!$M$11*D12/12</f>
        <v>0</v>
      </c>
      <c r="O12" s="18">
        <f>'C-1 P2'!$N$11*D12/12</f>
        <v>0</v>
      </c>
      <c r="P12" s="18">
        <f>'C-1 P2'!$O$11*D12/12</f>
        <v>0</v>
      </c>
      <c r="Q12" s="16">
        <f t="shared" ref="Q12:Q53" si="0">SUM(E12:P12)</f>
        <v>0</v>
      </c>
    </row>
    <row r="13" spans="1:17">
      <c r="A13" s="20">
        <f t="shared" ref="A13:A55" si="1">A12+1</f>
        <v>3</v>
      </c>
      <c r="B13" s="20" t="s">
        <v>402</v>
      </c>
      <c r="C13" s="2" t="s">
        <v>403</v>
      </c>
      <c r="D13" s="73">
        <v>0</v>
      </c>
      <c r="E13" s="18">
        <f>'C-1 P2'!$D$12*D13/12</f>
        <v>0</v>
      </c>
      <c r="F13" s="18">
        <f>'C-1 P2'!$E$12*D13/12</f>
        <v>0</v>
      </c>
      <c r="G13" s="18">
        <f>'C-1 P2'!$F$12*D13/12</f>
        <v>0</v>
      </c>
      <c r="H13" s="18">
        <f>'C-1 P2'!$G$12*D13/12</f>
        <v>0</v>
      </c>
      <c r="I13" s="18">
        <f>'C-1 P2'!$H$12*D13/12</f>
        <v>0</v>
      </c>
      <c r="J13" s="18">
        <f>'C-1 P2'!$I$12*D13/12</f>
        <v>0</v>
      </c>
      <c r="K13" s="18">
        <f>'C-1 P2'!$J$12*D13/12</f>
        <v>0</v>
      </c>
      <c r="L13" s="18">
        <f>'C-1 P2'!$K$12*D13/12</f>
        <v>0</v>
      </c>
      <c r="M13" s="18">
        <f>'C-1 P2'!$L$12*D13/12</f>
        <v>0</v>
      </c>
      <c r="N13" s="18">
        <f>'C-1 P2'!$M$12*D13/12</f>
        <v>0</v>
      </c>
      <c r="O13" s="18">
        <f>'C-1 P2'!$N$12*D13/12</f>
        <v>0</v>
      </c>
      <c r="P13" s="18">
        <f>'C-1 P2'!$O$12*D13/12</f>
        <v>0</v>
      </c>
      <c r="Q13" s="16">
        <f t="shared" si="0"/>
        <v>0</v>
      </c>
    </row>
    <row r="14" spans="1:17">
      <c r="A14" s="20">
        <f t="shared" si="1"/>
        <v>4</v>
      </c>
      <c r="B14" s="20" t="s">
        <v>404</v>
      </c>
      <c r="C14" s="2" t="s">
        <v>405</v>
      </c>
      <c r="D14" s="73">
        <v>2.5000000000000001E-2</v>
      </c>
      <c r="E14" s="18">
        <f>'C-1 P2'!$D$13*D14/12</f>
        <v>0</v>
      </c>
      <c r="F14" s="18">
        <f>'C-1 P2'!$E$13*D14/12</f>
        <v>0</v>
      </c>
      <c r="G14" s="18">
        <f>'C-1 P2'!$F$13*D14/12</f>
        <v>0</v>
      </c>
      <c r="H14" s="18">
        <f>'C-1 P2'!$G$13*D14/12</f>
        <v>0</v>
      </c>
      <c r="I14" s="18">
        <f>'C-1 P2'!$H$13*D14/12</f>
        <v>0</v>
      </c>
      <c r="J14" s="18">
        <f>'C-1 P2'!$I$13*D14/12</f>
        <v>0</v>
      </c>
      <c r="K14" s="18">
        <f>'C-1 P2'!$J$13*D14/12</f>
        <v>0</v>
      </c>
      <c r="L14" s="18">
        <f>'C-1 P2'!$K$13*D14/12</f>
        <v>0</v>
      </c>
      <c r="M14" s="18">
        <f>'C-1 P2'!$L$13*D14/12</f>
        <v>0</v>
      </c>
      <c r="N14" s="18">
        <f>'C-1 P2'!$M$13*D14/12</f>
        <v>0</v>
      </c>
      <c r="O14" s="18">
        <f>'C-1 P2'!$N$13*D14/12</f>
        <v>0</v>
      </c>
      <c r="P14" s="18">
        <f>'C-1 P2'!$O$13*D14/12</f>
        <v>0</v>
      </c>
      <c r="Q14" s="16">
        <f t="shared" si="0"/>
        <v>0</v>
      </c>
    </row>
    <row r="15" spans="1:17">
      <c r="A15" s="20">
        <f t="shared" si="1"/>
        <v>5</v>
      </c>
      <c r="B15" s="20" t="s">
        <v>406</v>
      </c>
      <c r="C15" s="2" t="s">
        <v>407</v>
      </c>
      <c r="D15" s="198">
        <v>1.2E-2</v>
      </c>
      <c r="E15" s="18">
        <f>'C-1 P2'!$D$14*D15/12</f>
        <v>410.20812999999998</v>
      </c>
      <c r="F15" s="18">
        <f>'C-1 P2'!$E$14*D15/12</f>
        <v>410.20812999999998</v>
      </c>
      <c r="G15" s="18">
        <f>'C-1 P2'!$F$14*D15/12</f>
        <v>410.20812999999998</v>
      </c>
      <c r="H15" s="18">
        <f>'C-1 P2'!$G$14*D15/12</f>
        <v>410.20812999999998</v>
      </c>
      <c r="I15" s="18">
        <f>'C-1 P2'!$H$14*D15/12</f>
        <v>410.20812999999998</v>
      </c>
      <c r="J15" s="18">
        <f>'C-1 P2'!$I$14*D15/12</f>
        <v>410.20812999999998</v>
      </c>
      <c r="K15" s="18">
        <f>'C-1 P2'!$J$14*D15/12</f>
        <v>410.20812999999998</v>
      </c>
      <c r="L15" s="18">
        <f>'C-1 P2'!$K$14*D15/12</f>
        <v>410.20812999999998</v>
      </c>
      <c r="M15" s="18">
        <f>'C-1 P2'!$L$14*D15/12</f>
        <v>410.20812999999998</v>
      </c>
      <c r="N15" s="18">
        <f>'C-1 P2'!$M$14*D15/12</f>
        <v>410.20812999999998</v>
      </c>
      <c r="O15" s="18">
        <f>'C-1 P2'!$N$14*D15/12</f>
        <v>410.20812999999998</v>
      </c>
      <c r="P15" s="18">
        <f>'C-1 P2'!$O$14*D15/12</f>
        <v>410.20812999999998</v>
      </c>
      <c r="Q15" s="16">
        <f t="shared" si="0"/>
        <v>4922.4975599999998</v>
      </c>
    </row>
    <row r="16" spans="1:17">
      <c r="A16" s="20">
        <f t="shared" si="1"/>
        <v>6</v>
      </c>
      <c r="B16" s="20" t="s">
        <v>408</v>
      </c>
      <c r="C16" s="2" t="s">
        <v>405</v>
      </c>
      <c r="D16" s="198">
        <v>2.8000000000000001E-2</v>
      </c>
      <c r="E16" s="18">
        <f>'C-1 P2'!$D$15*D16/12</f>
        <v>3695.9011366666668</v>
      </c>
      <c r="F16" s="18">
        <f>'C-1 P2'!$E$15*D16/12</f>
        <v>3695.9011366666668</v>
      </c>
      <c r="G16" s="18">
        <f>'C-1 P2'!$F$15*D16/12</f>
        <v>3695.9011366666668</v>
      </c>
      <c r="H16" s="18">
        <f>'C-1 P2'!$G$15*D16/12</f>
        <v>3695.9011366666668</v>
      </c>
      <c r="I16" s="18">
        <f>'C-1 P2'!$H$15*D16/12</f>
        <v>3695.9011366666668</v>
      </c>
      <c r="J16" s="18">
        <f>'C-1 P2'!$I$15*D16/12</f>
        <v>3695.9011366666668</v>
      </c>
      <c r="K16" s="18">
        <f>'C-1 P2'!$J$15*D16/12</f>
        <v>3695.9011366666668</v>
      </c>
      <c r="L16" s="18">
        <f>'C-1 P2'!$K$15*D16/12</f>
        <v>3695.9011366666668</v>
      </c>
      <c r="M16" s="18">
        <f>'C-1 P2'!$L$15*D16/12</f>
        <v>3695.9011366666668</v>
      </c>
      <c r="N16" s="18">
        <f>'C-1 P2'!$M$15*D16/12</f>
        <v>3695.9011366666668</v>
      </c>
      <c r="O16" s="18">
        <f>'C-1 P2'!$N$15*D16/12</f>
        <v>3695.9011366666668</v>
      </c>
      <c r="P16" s="18">
        <f>'C-1 P2'!$O$15*D16/12</f>
        <v>3695.9011366666668</v>
      </c>
      <c r="Q16" s="16">
        <f t="shared" si="0"/>
        <v>44350.81364</v>
      </c>
    </row>
    <row r="17" spans="1:17">
      <c r="A17" s="20">
        <f t="shared" si="1"/>
        <v>7</v>
      </c>
      <c r="B17" s="20">
        <v>3761</v>
      </c>
      <c r="C17" s="2" t="s">
        <v>409</v>
      </c>
      <c r="D17" s="198">
        <v>1.4999999999999999E-2</v>
      </c>
      <c r="E17" s="18">
        <f>'C-1 P2'!$D$16*D17/12</f>
        <v>155914.66280000005</v>
      </c>
      <c r="F17" s="18">
        <f>'C-1 P2'!$E$16*D17/12</f>
        <v>156176.43657500003</v>
      </c>
      <c r="G17" s="18">
        <f>'C-1 P2'!$F$16*D17/12</f>
        <v>156503.14837500002</v>
      </c>
      <c r="H17" s="18">
        <f>'C-1 P2'!$G$16*D17/12</f>
        <v>156894.79447500003</v>
      </c>
      <c r="I17" s="18">
        <f>'C-1 P2'!$H$16*D17/12</f>
        <v>157481.25090000004</v>
      </c>
      <c r="J17" s="18">
        <f>'C-1 P2'!$I$16*D17/12</f>
        <v>158067.70732500005</v>
      </c>
      <c r="K17" s="18">
        <f>'C-1 P2'!$J$16*D17/12</f>
        <v>158654.16375000004</v>
      </c>
      <c r="L17" s="18">
        <f>'C-1 P2'!$K$16*D17/12</f>
        <v>159305.55697500004</v>
      </c>
      <c r="M17" s="18">
        <f>'C-1 P2'!$L$16*D17/12</f>
        <v>159956.95020000005</v>
      </c>
      <c r="N17" s="18">
        <f>'C-1 P2'!$M$16*D17/12</f>
        <v>162974.96092500005</v>
      </c>
      <c r="O17" s="18">
        <f>'C-1 P2'!$N$16*D17/12</f>
        <v>163626.35415000006</v>
      </c>
      <c r="P17" s="18">
        <f>'C-1 P2'!$O$16*D17/12</f>
        <v>164213.91776250006</v>
      </c>
      <c r="Q17" s="16">
        <f t="shared" si="0"/>
        <v>1909769.9042125004</v>
      </c>
    </row>
    <row r="18" spans="1:17">
      <c r="A18" s="20">
        <f t="shared" si="1"/>
        <v>8</v>
      </c>
      <c r="B18" s="20">
        <v>3762</v>
      </c>
      <c r="C18" s="2" t="s">
        <v>410</v>
      </c>
      <c r="D18" s="198">
        <v>2.1000000000000001E-2</v>
      </c>
      <c r="E18" s="18">
        <f>'C-1 P2'!$D$17*D18/12</f>
        <v>108192.38307500001</v>
      </c>
      <c r="F18" s="18">
        <f>'C-1 P2'!$E$17*D18/12</f>
        <v>108192.38307500001</v>
      </c>
      <c r="G18" s="18">
        <f>'C-1 P2'!$F$17*D18/12</f>
        <v>108192.38307500001</v>
      </c>
      <c r="H18" s="18">
        <f>'C-1 P2'!$G$17*D18/12</f>
        <v>108187.28532499999</v>
      </c>
      <c r="I18" s="18">
        <f>'C-1 P2'!$H$17*D18/12</f>
        <v>108187.28532499999</v>
      </c>
      <c r="J18" s="18">
        <f>'C-1 P2'!$I$17*D18/12</f>
        <v>108187.28532499999</v>
      </c>
      <c r="K18" s="18">
        <f>'C-1 P2'!$J$17*D18/12</f>
        <v>108182.18757499999</v>
      </c>
      <c r="L18" s="18">
        <f>'C-1 P2'!$K$17*D18/12</f>
        <v>108182.18757499999</v>
      </c>
      <c r="M18" s="18">
        <f>'C-1 P2'!$L$17*D18/12</f>
        <v>108182.18757499999</v>
      </c>
      <c r="N18" s="18">
        <f>'C-1 P2'!$M$17*D18/12</f>
        <v>108182.18757499999</v>
      </c>
      <c r="O18" s="18">
        <f>'C-1 P2'!$N$17*D18/12</f>
        <v>108182.18757499999</v>
      </c>
      <c r="P18" s="18">
        <f>'C-1 P2'!$O$17*D18/12</f>
        <v>108182.18757499999</v>
      </c>
      <c r="Q18" s="16">
        <f t="shared" si="0"/>
        <v>1298232.1306499997</v>
      </c>
    </row>
    <row r="19" spans="1:17">
      <c r="A19" s="20">
        <f t="shared" si="1"/>
        <v>9</v>
      </c>
      <c r="B19" s="20" t="s">
        <v>411</v>
      </c>
      <c r="C19" s="2" t="s">
        <v>412</v>
      </c>
      <c r="D19" s="198">
        <v>1.7000000000000001E-2</v>
      </c>
      <c r="E19" s="18">
        <f>'C-1 P2'!$D$18*D19/12</f>
        <v>208097.9528925</v>
      </c>
      <c r="F19" s="18">
        <f>'C-1 P2'!$E$18*D19/12</f>
        <v>208097.9528925</v>
      </c>
      <c r="G19" s="18">
        <f>'C-1 P2'!$F$18*D19/12</f>
        <v>208097.9528925</v>
      </c>
      <c r="H19" s="18">
        <f>'C-1 P2'!$G$18*D19/12</f>
        <v>208097.9528925</v>
      </c>
      <c r="I19" s="18">
        <f>'C-1 P2'!$H$18*D19/12</f>
        <v>208097.9528925</v>
      </c>
      <c r="J19" s="18">
        <f>'C-1 P2'!$I$18*D19/12</f>
        <v>208097.9528925</v>
      </c>
      <c r="K19" s="18">
        <f>'C-1 P2'!$J$18*D19/12</f>
        <v>208097.9528925</v>
      </c>
      <c r="L19" s="18">
        <f>'C-1 P2'!$K$18*D19/12</f>
        <v>208097.9528925</v>
      </c>
      <c r="M19" s="18">
        <f>'C-1 P2'!$L$18*D19/12</f>
        <v>208097.9528925</v>
      </c>
      <c r="N19" s="18">
        <f>'C-1 P2'!$M$18*D19/12</f>
        <v>208097.9528925</v>
      </c>
      <c r="O19" s="18">
        <f>'C-1 P2'!$N$18*D19/12</f>
        <v>208097.9528925</v>
      </c>
      <c r="P19" s="18">
        <f>'C-1 P2'!$O$18*D19/12</f>
        <v>208097.9528925</v>
      </c>
      <c r="Q19" s="16">
        <f t="shared" si="0"/>
        <v>2497175.4347100002</v>
      </c>
    </row>
    <row r="20" spans="1:17">
      <c r="A20" s="20">
        <f t="shared" si="1"/>
        <v>10</v>
      </c>
      <c r="B20" s="20" t="s">
        <v>413</v>
      </c>
      <c r="C20" s="2" t="s">
        <v>414</v>
      </c>
      <c r="D20" s="198">
        <v>2.1999999999999999E-2</v>
      </c>
      <c r="E20" s="18">
        <f>'C-1 P2'!$D$19*D20/12</f>
        <v>12658.493961666665</v>
      </c>
      <c r="F20" s="18">
        <f>'C-1 P2'!$E$19*D20/12</f>
        <v>12764.480831666668</v>
      </c>
      <c r="G20" s="18">
        <f>'C-1 P2'!$F$19*D20/12</f>
        <v>12905.796658333333</v>
      </c>
      <c r="H20" s="18">
        <f>'C-1 P2'!$G$19*D20/12</f>
        <v>13082.441423333332</v>
      </c>
      <c r="I20" s="18">
        <f>'C-1 P2'!$H$19*D20/12</f>
        <v>13365.073058333333</v>
      </c>
      <c r="J20" s="18">
        <f>'C-1 P2'!$I$19*D20/12</f>
        <v>13647.704693333331</v>
      </c>
      <c r="K20" s="18">
        <f>'C-1 P2'!$J$19*D20/12</f>
        <v>13930.336328333333</v>
      </c>
      <c r="L20" s="18">
        <f>'C-1 P2'!$K$19*D20/12</f>
        <v>14248.296920000001</v>
      </c>
      <c r="M20" s="18">
        <f>'C-1 P2'!$L$19*D20/12</f>
        <v>14566.257511666665</v>
      </c>
      <c r="N20" s="18">
        <f>'C-1 P2'!$M$19*D20/12</f>
        <v>14884.218103333335</v>
      </c>
      <c r="O20" s="18">
        <f>'C-1 P2'!$N$19*D20/12</f>
        <v>15202.178695000002</v>
      </c>
      <c r="P20" s="18">
        <f>'C-1 P2'!$O$19*D20/12</f>
        <v>15484.810330000002</v>
      </c>
      <c r="Q20" s="16">
        <f t="shared" si="0"/>
        <v>166740.08851500001</v>
      </c>
    </row>
    <row r="21" spans="1:17">
      <c r="A21" s="20">
        <f t="shared" si="1"/>
        <v>11</v>
      </c>
      <c r="B21" s="20" t="s">
        <v>415</v>
      </c>
      <c r="C21" s="2" t="s">
        <v>416</v>
      </c>
      <c r="D21" s="198">
        <v>1.9E-2</v>
      </c>
      <c r="E21" s="18">
        <f>'C-1 P2'!$D$20*D21/12</f>
        <v>22272.517519166664</v>
      </c>
      <c r="F21" s="18">
        <f>'C-1 P2'!$E$20*D21/12</f>
        <v>22272.517519166664</v>
      </c>
      <c r="G21" s="18">
        <f>'C-1 P2'!$F$20*D21/12</f>
        <v>22272.517519166664</v>
      </c>
      <c r="H21" s="18">
        <f>'C-1 P2'!$G$20*D21/12</f>
        <v>22272.517519166664</v>
      </c>
      <c r="I21" s="18">
        <f>'C-1 P2'!$H$20*D21/12</f>
        <v>22272.517519166664</v>
      </c>
      <c r="J21" s="18">
        <f>'C-1 P2'!$I$20*D21/12</f>
        <v>22272.517519166664</v>
      </c>
      <c r="K21" s="18">
        <f>'C-1 P2'!$J$20*D21/12</f>
        <v>22272.517519166664</v>
      </c>
      <c r="L21" s="18">
        <f>'C-1 P2'!$K$20*D21/12</f>
        <v>22272.517519166664</v>
      </c>
      <c r="M21" s="18">
        <f>'C-1 P2'!$L$20*D21/12</f>
        <v>22272.517519166664</v>
      </c>
      <c r="N21" s="18">
        <f>'C-1 P2'!$M$20*D21/12</f>
        <v>22272.517519166664</v>
      </c>
      <c r="O21" s="18">
        <f>'C-1 P2'!$N$20*D21/12</f>
        <v>22272.517519166664</v>
      </c>
      <c r="P21" s="18">
        <f>'C-1 P2'!$O$20*D21/12</f>
        <v>22272.517519166664</v>
      </c>
      <c r="Q21" s="16">
        <f t="shared" si="0"/>
        <v>267270.21022999997</v>
      </c>
    </row>
    <row r="22" spans="1:17">
      <c r="A22" s="20">
        <f t="shared" si="1"/>
        <v>12</v>
      </c>
      <c r="B22" s="20">
        <v>3801</v>
      </c>
      <c r="C22" s="2" t="s">
        <v>417</v>
      </c>
      <c r="D22" s="198">
        <v>2.1999999999999999E-2</v>
      </c>
      <c r="E22" s="18">
        <f>'C-1 P2'!$D$21*D22/12</f>
        <v>127949.34838518879</v>
      </c>
      <c r="F22" s="18">
        <f>'C-1 P2'!$E$21*D22/12</f>
        <v>128139.15851428644</v>
      </c>
      <c r="G22" s="18">
        <f>'C-1 P2'!$F$21*D22/12</f>
        <v>128391.14701144253</v>
      </c>
      <c r="H22" s="18">
        <f>'C-1 P2'!$G$21*D22/12</f>
        <v>128705.31430699154</v>
      </c>
      <c r="I22" s="18">
        <f>'C-1 P2'!$H$21*D22/12</f>
        <v>129206.01530371695</v>
      </c>
      <c r="J22" s="18">
        <f>'C-1 P2'!$I$21*D22/12</f>
        <v>129706.71651560963</v>
      </c>
      <c r="K22" s="18">
        <f>'C-1 P2'!$J$21*D22/12</f>
        <v>130207.41751233504</v>
      </c>
      <c r="L22" s="18">
        <f>'C-1 P2'!$K$21*D22/12</f>
        <v>130770.29547412002</v>
      </c>
      <c r="M22" s="18">
        <f>'C-1 P2'!$L$21*D22/12</f>
        <v>131333.17322073781</v>
      </c>
      <c r="N22" s="18">
        <f>'C-1 P2'!$M$21*D22/12</f>
        <v>131896.05118252276</v>
      </c>
      <c r="O22" s="18">
        <f>'C-1 P2'!$N$21*D22/12</f>
        <v>132458.92892914053</v>
      </c>
      <c r="P22" s="18">
        <f>'C-1 P2'!$O$21*D22/12</f>
        <v>132959.63014103318</v>
      </c>
      <c r="Q22" s="16">
        <f t="shared" si="0"/>
        <v>1561723.1964971251</v>
      </c>
    </row>
    <row r="23" spans="1:17">
      <c r="A23" s="20">
        <f t="shared" si="1"/>
        <v>13</v>
      </c>
      <c r="B23" s="20">
        <v>3802</v>
      </c>
      <c r="C23" s="2" t="s">
        <v>418</v>
      </c>
      <c r="D23" s="198">
        <v>3.5999999999999997E-2</v>
      </c>
      <c r="E23" s="18">
        <f>'C-1 P2'!$D$22*D23/12</f>
        <v>3971.15166</v>
      </c>
      <c r="F23" s="18">
        <f>'C-1 P2'!$E$22*D23/12</f>
        <v>3971.15166</v>
      </c>
      <c r="G23" s="18">
        <f>'C-1 P2'!$F$22*D23/12</f>
        <v>3971.15166</v>
      </c>
      <c r="H23" s="18">
        <f>'C-1 P2'!$G$22*D23/12</f>
        <v>3971.15166</v>
      </c>
      <c r="I23" s="18">
        <f>'C-1 P2'!$H$22*D23/12</f>
        <v>3971.15166</v>
      </c>
      <c r="J23" s="18">
        <f>'C-1 P2'!$I$22*D23/12</f>
        <v>3971.15166</v>
      </c>
      <c r="K23" s="18">
        <f>'C-1 P2'!$J$22*D23/12</f>
        <v>3971.15166</v>
      </c>
      <c r="L23" s="18">
        <f>'C-1 P2'!$K$22*D23/12</f>
        <v>3971.15166</v>
      </c>
      <c r="M23" s="18">
        <f>'C-1 P2'!$L$22*D23/12</f>
        <v>3971.15166</v>
      </c>
      <c r="N23" s="18">
        <f>'C-1 P2'!$M$22*D23/12</f>
        <v>3971.15166</v>
      </c>
      <c r="O23" s="18">
        <f>'C-1 P2'!$N$22*D23/12</f>
        <v>3971.15166</v>
      </c>
      <c r="P23" s="18">
        <f>'C-1 P2'!$O$22*D23/12</f>
        <v>3971.15166</v>
      </c>
      <c r="Q23" s="16">
        <f t="shared" si="0"/>
        <v>47653.819920000009</v>
      </c>
    </row>
    <row r="24" spans="1:17">
      <c r="A24" s="20">
        <f t="shared" si="1"/>
        <v>14</v>
      </c>
      <c r="B24" s="20" t="s">
        <v>419</v>
      </c>
      <c r="C24" s="2" t="s">
        <v>420</v>
      </c>
      <c r="D24" s="198">
        <v>2.5000000000000001E-2</v>
      </c>
      <c r="E24" s="18">
        <f>'C-1 P2'!$D$23*D24/12</f>
        <v>102070.48070833333</v>
      </c>
      <c r="F24" s="18">
        <f>'C-1 P2'!$E$23*D24/12</f>
        <v>102070.48070833333</v>
      </c>
      <c r="G24" s="18">
        <f>'C-1 P2'!$F$23*D24/12</f>
        <v>102070.48070833333</v>
      </c>
      <c r="H24" s="18">
        <f>'C-1 P2'!$G$23*D24/12</f>
        <v>102070.48070833333</v>
      </c>
      <c r="I24" s="18">
        <f>'C-1 P2'!$H$23*D24/12</f>
        <v>102070.48070833333</v>
      </c>
      <c r="J24" s="18">
        <f>'C-1 P2'!$I$23*D24/12</f>
        <v>102070.48070833333</v>
      </c>
      <c r="K24" s="18">
        <f>'C-1 P2'!$J$23*D24/12</f>
        <v>102070.48070833333</v>
      </c>
      <c r="L24" s="18">
        <f>'C-1 P2'!$K$23*D24/12</f>
        <v>102070.48070833333</v>
      </c>
      <c r="M24" s="18">
        <f>'C-1 P2'!$L$23*D24/12</f>
        <v>102070.48070833333</v>
      </c>
      <c r="N24" s="18">
        <f>'C-1 P2'!$M$23*D24/12</f>
        <v>102070.48070833333</v>
      </c>
      <c r="O24" s="18">
        <f>'C-1 P2'!$N$23*D24/12</f>
        <v>102070.48070833333</v>
      </c>
      <c r="P24" s="18">
        <f>'C-1 P2'!$O$23*D24/12</f>
        <v>102070.48070833333</v>
      </c>
      <c r="Q24" s="16">
        <f t="shared" si="0"/>
        <v>1224845.7685</v>
      </c>
    </row>
    <row r="25" spans="1:17">
      <c r="A25" s="20">
        <f t="shared" si="1"/>
        <v>15</v>
      </c>
      <c r="B25" s="20" t="s">
        <v>421</v>
      </c>
      <c r="C25" s="2" t="s">
        <v>422</v>
      </c>
      <c r="D25" s="198">
        <v>3.7999999999999999E-2</v>
      </c>
      <c r="E25" s="18">
        <f>'C-1 P2'!$D$24*D25/12</f>
        <v>73682.184612211786</v>
      </c>
      <c r="F25" s="18">
        <f>'C-1 P2'!$E$24*D25/12</f>
        <v>73773.48048322949</v>
      </c>
      <c r="G25" s="18">
        <f>'C-1 P2'!$F$24*D25/12</f>
        <v>73895.018747345544</v>
      </c>
      <c r="H25" s="18">
        <f>'C-1 P2'!$G$24*D25/12</f>
        <v>74046.796237893286</v>
      </c>
      <c r="I25" s="18">
        <f>'C-1 P2'!$H$24*D25/12</f>
        <v>74289.294574402738</v>
      </c>
      <c r="J25" s="18">
        <f>'C-1 P2'!$I$24*D25/12</f>
        <v>74531.792910912161</v>
      </c>
      <c r="K25" s="18">
        <f>'C-1 P2'!$J$24*D25/12</f>
        <v>74774.291247421599</v>
      </c>
      <c r="L25" s="18">
        <f>'C-1 P2'!$K$24*D25/12</f>
        <v>75047.031977029401</v>
      </c>
      <c r="M25" s="18">
        <f>'C-1 P2'!$L$24*D25/12</f>
        <v>75319.772706637203</v>
      </c>
      <c r="N25" s="18">
        <f>'C-1 P2'!$M$24*D25/12</f>
        <v>75592.51343624499</v>
      </c>
      <c r="O25" s="18">
        <f>'C-1 P2'!$N$24*D25/12</f>
        <v>75865.254165852763</v>
      </c>
      <c r="P25" s="18">
        <f>'C-1 P2'!$O$24*D25/12</f>
        <v>76107.752502362215</v>
      </c>
      <c r="Q25" s="16">
        <f t="shared" si="0"/>
        <v>896925.18360154319</v>
      </c>
    </row>
    <row r="26" spans="1:17">
      <c r="A26" s="20">
        <f t="shared" si="1"/>
        <v>16</v>
      </c>
      <c r="B26" s="20">
        <v>3811</v>
      </c>
      <c r="C26" s="2" t="s">
        <v>423</v>
      </c>
      <c r="D26" s="198">
        <v>2.3E-2</v>
      </c>
      <c r="E26" s="18">
        <f>'C-1 P2'!$D$25*D26/12</f>
        <v>4286.6930416666664</v>
      </c>
      <c r="F26" s="18">
        <f>'C-1 P2'!$E$25*D26/12</f>
        <v>4286.6930416666664</v>
      </c>
      <c r="G26" s="18">
        <f>'C-1 P2'!$F$25*D26/12</f>
        <v>4286.6930416666664</v>
      </c>
      <c r="H26" s="18">
        <f>'C-1 P2'!$G$25*D26/12</f>
        <v>4286.6930416666664</v>
      </c>
      <c r="I26" s="18">
        <f>'C-1 P2'!$H$25*D26/12</f>
        <v>4286.6930416666664</v>
      </c>
      <c r="J26" s="18">
        <f>'C-1 P2'!$I$25*D26/12</f>
        <v>4286.6930416666664</v>
      </c>
      <c r="K26" s="18">
        <f>'C-1 P2'!$J$25*D26/12</f>
        <v>4286.6930416666664</v>
      </c>
      <c r="L26" s="18">
        <f>'C-1 P2'!$K$25*D26/12</f>
        <v>4286.6930416666664</v>
      </c>
      <c r="M26" s="18">
        <f>'C-1 P2'!$L$25*D26/12</f>
        <v>4286.6930416666664</v>
      </c>
      <c r="N26" s="18">
        <f>'C-1 P2'!$M$25*D26/12</f>
        <v>4286.6930416666664</v>
      </c>
      <c r="O26" s="18">
        <f>'C-1 P2'!$N$25*D26/12</f>
        <v>4286.6930416666664</v>
      </c>
      <c r="P26" s="18">
        <f>'C-1 P2'!$O$25*D26/12</f>
        <v>4286.6930416666664</v>
      </c>
      <c r="Q26" s="16">
        <f t="shared" si="0"/>
        <v>51440.316499999994</v>
      </c>
    </row>
    <row r="27" spans="1:17">
      <c r="A27" s="20">
        <f t="shared" si="1"/>
        <v>17</v>
      </c>
      <c r="B27" s="20" t="s">
        <v>424</v>
      </c>
      <c r="C27" s="2" t="s">
        <v>425</v>
      </c>
      <c r="D27" s="198">
        <v>2.5999999999999999E-2</v>
      </c>
      <c r="E27" s="18">
        <f>'C-1 P2'!$D$26*D27/12</f>
        <v>39519.832684573114</v>
      </c>
      <c r="F27" s="18">
        <f>'C-1 P2'!$E$26*D27/12</f>
        <v>39543.55730561736</v>
      </c>
      <c r="G27" s="18">
        <f>'C-1 P2'!$F$26*D27/12</f>
        <v>39571.978388908741</v>
      </c>
      <c r="H27" s="18">
        <f>'C-1 P2'!$G$26*D27/12</f>
        <v>39605.095934447243</v>
      </c>
      <c r="I27" s="18">
        <f>'C-1 P2'!$H$26*D27/12</f>
        <v>39652.302866727114</v>
      </c>
      <c r="J27" s="18">
        <f>'C-1 P2'!$I$26*D27/12</f>
        <v>39699.509799006984</v>
      </c>
      <c r="K27" s="18">
        <f>'C-1 P2'!$J$26*D27/12</f>
        <v>39746.716731286855</v>
      </c>
      <c r="L27" s="18">
        <f>'C-1 P2'!$K$26*D27/12</f>
        <v>39798.620125813854</v>
      </c>
      <c r="M27" s="18">
        <f>'C-1 P2'!$L$26*D27/12</f>
        <v>39850.523520340845</v>
      </c>
      <c r="N27" s="18">
        <f>'C-1 P2'!$M$26*D27/12</f>
        <v>39902.426914867843</v>
      </c>
      <c r="O27" s="18">
        <f>'C-1 P2'!$N$26*D27/12</f>
        <v>39954.330309394842</v>
      </c>
      <c r="P27" s="18">
        <f>'C-1 P2'!$O$26*D27/12</f>
        <v>40001.537241674705</v>
      </c>
      <c r="Q27" s="16">
        <f t="shared" si="0"/>
        <v>476846.43182265956</v>
      </c>
    </row>
    <row r="28" spans="1:17">
      <c r="A28" s="20">
        <f t="shared" si="1"/>
        <v>18</v>
      </c>
      <c r="B28" s="20">
        <v>3821</v>
      </c>
      <c r="C28" s="2" t="s">
        <v>426</v>
      </c>
      <c r="D28" s="198">
        <v>2.1999999999999999E-2</v>
      </c>
      <c r="E28" s="18">
        <f>'C-1 P2'!$D$27*D28/12</f>
        <v>1087.2401649999999</v>
      </c>
      <c r="F28" s="18">
        <f>'C-1 P2'!$E$27*D28/12</f>
        <v>1087.2401649999999</v>
      </c>
      <c r="G28" s="18">
        <f>'C-1 P2'!$F$27*D28/12</f>
        <v>1087.2401649999999</v>
      </c>
      <c r="H28" s="18">
        <f>'C-1 P2'!$G$27*D28/12</f>
        <v>1087.2401649999999</v>
      </c>
      <c r="I28" s="18">
        <f>'C-1 P2'!$H$27*D28/12</f>
        <v>1087.2401649999999</v>
      </c>
      <c r="J28" s="18">
        <f>'C-1 P2'!$I$27*D28/12</f>
        <v>1087.2401649999999</v>
      </c>
      <c r="K28" s="18">
        <f>'C-1 P2'!$J$27*D28/12</f>
        <v>1087.2401649999999</v>
      </c>
      <c r="L28" s="18">
        <f>'C-1 P2'!$K$27*D28/12</f>
        <v>1087.2401649999999</v>
      </c>
      <c r="M28" s="18">
        <f>'C-1 P2'!$L$27*D28/12</f>
        <v>1087.2401649999999</v>
      </c>
      <c r="N28" s="18">
        <f>'C-1 P2'!$M$27*D28/12</f>
        <v>1087.2401649999999</v>
      </c>
      <c r="O28" s="18">
        <f>'C-1 P2'!$N$27*D28/12</f>
        <v>1087.2401649999999</v>
      </c>
      <c r="P28" s="18">
        <f>'C-1 P2'!$O$27*D28/12</f>
        <v>1087.2401649999999</v>
      </c>
      <c r="Q28" s="16">
        <f t="shared" si="0"/>
        <v>13046.881979999996</v>
      </c>
    </row>
    <row r="29" spans="1:17">
      <c r="A29" s="20">
        <f t="shared" si="1"/>
        <v>19</v>
      </c>
      <c r="B29" s="20" t="s">
        <v>427</v>
      </c>
      <c r="C29" s="2" t="s">
        <v>428</v>
      </c>
      <c r="D29" s="198">
        <v>0.02</v>
      </c>
      <c r="E29" s="18">
        <f>'C-1 P2'!$D$28*D29/12</f>
        <v>11431.847296788728</v>
      </c>
      <c r="F29" s="18">
        <f>'C-1 P2'!$E$28*D29/12</f>
        <v>11443.601732014069</v>
      </c>
      <c r="G29" s="18">
        <f>'C-1 P2'!$F$28*D29/12</f>
        <v>11457.771767066339</v>
      </c>
      <c r="H29" s="18">
        <f>'C-1 P2'!$G$28*D29/12</f>
        <v>11474.355735278872</v>
      </c>
      <c r="I29" s="18">
        <f>'C-1 P2'!$H$28*D29/12</f>
        <v>11498.184836305525</v>
      </c>
      <c r="J29" s="18">
        <f>'C-1 P2'!$I$28*D29/12</f>
        <v>11522.013937332182</v>
      </c>
      <c r="K29" s="18">
        <f>'C-1 P2'!$J$28*D29/12</f>
        <v>11545.843038358837</v>
      </c>
      <c r="L29" s="18">
        <f>'C-1 P2'!$K$28*D29/12</f>
        <v>11572.086072545755</v>
      </c>
      <c r="M29" s="18">
        <f>'C-1 P2'!$L$28*D29/12</f>
        <v>11598.329106732677</v>
      </c>
      <c r="N29" s="18">
        <f>'C-1 P2'!$M$28*D29/12</f>
        <v>11624.572140919596</v>
      </c>
      <c r="O29" s="18">
        <f>'C-1 P2'!$N$28*D29/12</f>
        <v>11650.815175106514</v>
      </c>
      <c r="P29" s="18">
        <f>'C-1 P2'!$O$28*D29/12</f>
        <v>11674.644276133169</v>
      </c>
      <c r="Q29" s="16">
        <f t="shared" si="0"/>
        <v>138494.06511458228</v>
      </c>
    </row>
    <row r="30" spans="1:17">
      <c r="A30" s="20">
        <f t="shared" si="1"/>
        <v>20</v>
      </c>
      <c r="B30" s="20" t="s">
        <v>429</v>
      </c>
      <c r="C30" s="2" t="s">
        <v>430</v>
      </c>
      <c r="D30" s="198">
        <v>2.5000000000000001E-2</v>
      </c>
      <c r="E30" s="18">
        <f>'C-1 P2'!$D$29*D30/12</f>
        <v>2252.9143744201679</v>
      </c>
      <c r="F30" s="18">
        <f>'C-1 P2'!$E$29*D30/12</f>
        <v>2255.4490561556636</v>
      </c>
      <c r="G30" s="18">
        <f>'C-1 P2'!$F$29*D30/12</f>
        <v>2258.4854966782455</v>
      </c>
      <c r="H30" s="18">
        <f>'C-1 P2'!$G$29*D30/12</f>
        <v>2262.0236959879126</v>
      </c>
      <c r="I30" s="18">
        <f>'C-1 P2'!$H$29*D30/12</f>
        <v>2267.0671716588363</v>
      </c>
      <c r="J30" s="18">
        <f>'C-1 P2'!$I$29*D30/12</f>
        <v>2272.1106473297596</v>
      </c>
      <c r="K30" s="18">
        <f>'C-1 P2'!$J$29*D30/12</f>
        <v>2277.1541230006824</v>
      </c>
      <c r="L30" s="18">
        <f>'C-1 P2'!$K$29*D30/12</f>
        <v>2282.6993574586918</v>
      </c>
      <c r="M30" s="18">
        <f>'C-1 P2'!$L$29*D30/12</f>
        <v>2288.2445919167008</v>
      </c>
      <c r="N30" s="18">
        <f>'C-1 P2'!$M$29*D30/12</f>
        <v>2293.7898263747093</v>
      </c>
      <c r="O30" s="18">
        <f>'C-1 P2'!$N$29*D30/12</f>
        <v>2299.3350608327187</v>
      </c>
      <c r="P30" s="18">
        <f>'C-1 P2'!$O$29*D30/12</f>
        <v>2304.378536503642</v>
      </c>
      <c r="Q30" s="16">
        <f t="shared" si="0"/>
        <v>27313.651938317729</v>
      </c>
    </row>
    <row r="31" spans="1:17">
      <c r="A31" s="20">
        <f t="shared" si="1"/>
        <v>21</v>
      </c>
      <c r="B31" s="20" t="s">
        <v>431</v>
      </c>
      <c r="C31" s="2" t="s">
        <v>432</v>
      </c>
      <c r="D31" s="198">
        <v>2.1999999999999999E-2</v>
      </c>
      <c r="E31" s="18">
        <f>'C-1 P2'!$D$30*D31/12</f>
        <v>4648.0551700000005</v>
      </c>
      <c r="F31" s="18">
        <f>'C-1 P2'!$E$30*D31/12</f>
        <v>4648.0551700000005</v>
      </c>
      <c r="G31" s="18">
        <f>'C-1 P2'!$F$30*D31/12</f>
        <v>4648.0551700000005</v>
      </c>
      <c r="H31" s="18">
        <f>'C-1 P2'!$G$30*D31/12</f>
        <v>4648.0551700000005</v>
      </c>
      <c r="I31" s="18">
        <f>'C-1 P2'!$H$30*D31/12</f>
        <v>4648.0551700000005</v>
      </c>
      <c r="J31" s="18">
        <f>'C-1 P2'!$I$30*D31/12</f>
        <v>4648.0551700000005</v>
      </c>
      <c r="K31" s="18">
        <f>'C-1 P2'!$J$30*D31/12</f>
        <v>4648.0551700000005</v>
      </c>
      <c r="L31" s="18">
        <f>'C-1 P2'!$K$30*D31/12</f>
        <v>4648.0551700000005</v>
      </c>
      <c r="M31" s="18">
        <f>'C-1 P2'!$L$30*D31/12</f>
        <v>4648.0551700000005</v>
      </c>
      <c r="N31" s="18">
        <f>'C-1 P2'!$M$30*D31/12</f>
        <v>4648.0551700000005</v>
      </c>
      <c r="O31" s="18">
        <f>'C-1 P2'!$N$30*D31/12</f>
        <v>4648.0551700000005</v>
      </c>
      <c r="P31" s="18">
        <f>'C-1 P2'!$O$30*D31/12</f>
        <v>4648.0551700000005</v>
      </c>
      <c r="Q31" s="16">
        <f t="shared" si="0"/>
        <v>55776.662040000003</v>
      </c>
    </row>
    <row r="32" spans="1:17">
      <c r="A32" s="20">
        <f t="shared" si="1"/>
        <v>22</v>
      </c>
      <c r="B32" s="20" t="s">
        <v>433</v>
      </c>
      <c r="C32" s="2" t="s">
        <v>434</v>
      </c>
      <c r="D32" s="198">
        <v>0.03</v>
      </c>
      <c r="E32" s="18">
        <f>'C-1 P2'!$D$31*D32/12</f>
        <v>10448.505599999999</v>
      </c>
      <c r="F32" s="18">
        <f>'C-1 P2'!$E$31*D32/12</f>
        <v>10524.8856</v>
      </c>
      <c r="G32" s="18">
        <f>'C-1 P2'!$F$31*D32/12</f>
        <v>10626.7256</v>
      </c>
      <c r="H32" s="18">
        <f>'C-1 P2'!$G$31*D32/12</f>
        <v>10754.025599999999</v>
      </c>
      <c r="I32" s="18">
        <f>'C-1 P2'!$H$31*D32/12</f>
        <v>10957.705600000001</v>
      </c>
      <c r="J32" s="18">
        <f>'C-1 P2'!$I$31*D32/12</f>
        <v>11161.3856</v>
      </c>
      <c r="K32" s="18">
        <f>'C-1 P2'!$J$31*D32/12</f>
        <v>11365.0656</v>
      </c>
      <c r="L32" s="18">
        <f>'C-1 P2'!$K$31*D32/12</f>
        <v>11594.205600000001</v>
      </c>
      <c r="M32" s="18">
        <f>'C-1 P2'!$L$31*D32/12</f>
        <v>11823.345600000001</v>
      </c>
      <c r="N32" s="18">
        <f>'C-1 P2'!$M$31*D32/12</f>
        <v>12052.4856</v>
      </c>
      <c r="O32" s="18">
        <f>'C-1 P2'!$N$31*D32/12</f>
        <v>12281.625599999999</v>
      </c>
      <c r="P32" s="18">
        <f>'C-1 P2'!$O$31*D32/12</f>
        <v>12485.3056</v>
      </c>
      <c r="Q32" s="16">
        <f t="shared" si="0"/>
        <v>136075.2672</v>
      </c>
    </row>
    <row r="33" spans="1:17">
      <c r="A33" s="20">
        <f t="shared" si="1"/>
        <v>23</v>
      </c>
      <c r="B33" s="20" t="s">
        <v>435</v>
      </c>
      <c r="C33" s="2" t="s">
        <v>407</v>
      </c>
      <c r="D33" s="198">
        <v>0</v>
      </c>
      <c r="E33" s="18">
        <f>'C-1 P2'!$D$32*D33/12</f>
        <v>0</v>
      </c>
      <c r="F33" s="18">
        <f>'C-1 P2'!$E$32*D33/12</f>
        <v>0</v>
      </c>
      <c r="G33" s="18">
        <f>'C-1 P2'!$F$32*D33/12</f>
        <v>0</v>
      </c>
      <c r="H33" s="18">
        <f>'C-1 P2'!$G$32*D33/12</f>
        <v>0</v>
      </c>
      <c r="I33" s="18">
        <f>'C-1 P2'!$H$32*D33/12</f>
        <v>0</v>
      </c>
      <c r="J33" s="18">
        <f>'C-1 P2'!$I$32*D33/12</f>
        <v>0</v>
      </c>
      <c r="K33" s="18">
        <f>'C-1 P2'!$J$32*D33/12</f>
        <v>0</v>
      </c>
      <c r="L33" s="18">
        <f>'C-1 P2'!$K$32*D33/12</f>
        <v>0</v>
      </c>
      <c r="M33" s="18">
        <f>'C-1 P2'!$L$32*D33/12</f>
        <v>0</v>
      </c>
      <c r="N33" s="18">
        <f>'C-1 P2'!$M$32*D33/12</f>
        <v>0</v>
      </c>
      <c r="O33" s="18">
        <f>'C-1 P2'!$N$32*D33/12</f>
        <v>0</v>
      </c>
      <c r="P33" s="18">
        <f>'C-1 P2'!$O$32*D33/12</f>
        <v>0</v>
      </c>
      <c r="Q33" s="16">
        <f t="shared" si="0"/>
        <v>0</v>
      </c>
    </row>
    <row r="34" spans="1:17">
      <c r="A34" s="20">
        <f t="shared" si="1"/>
        <v>24</v>
      </c>
      <c r="B34" s="20" t="s">
        <v>436</v>
      </c>
      <c r="C34" s="2" t="s">
        <v>405</v>
      </c>
      <c r="D34" s="198">
        <v>2.3E-2</v>
      </c>
      <c r="E34" s="18">
        <f>'C-1 P2'!$D$33*D34/12</f>
        <v>11896.864310000003</v>
      </c>
      <c r="F34" s="18">
        <f>'C-1 P2'!$E$33*D34/12</f>
        <v>11896.864310000003</v>
      </c>
      <c r="G34" s="18">
        <f>'C-1 P2'!$F$33*D34/12</f>
        <v>11896.864310000003</v>
      </c>
      <c r="H34" s="18">
        <f>'C-1 P2'!$G$33*D34/12</f>
        <v>11896.864310000003</v>
      </c>
      <c r="I34" s="18">
        <f>'C-1 P2'!$H$33*D34/12</f>
        <v>11896.864310000003</v>
      </c>
      <c r="J34" s="18">
        <f>'C-1 P2'!$I$33*D34/12</f>
        <v>11896.864310000003</v>
      </c>
      <c r="K34" s="18">
        <f>'C-1 P2'!$J$33*D34/12</f>
        <v>11896.864310000003</v>
      </c>
      <c r="L34" s="18">
        <f>'C-1 P2'!$K$33*D34/12</f>
        <v>11896.864310000003</v>
      </c>
      <c r="M34" s="18">
        <f>'C-1 P2'!$L$33*D34/12</f>
        <v>11896.864310000003</v>
      </c>
      <c r="N34" s="18">
        <f>'C-1 P2'!$M$33*D34/12</f>
        <v>11896.864310000003</v>
      </c>
      <c r="O34" s="18">
        <f>'C-1 P2'!$N$33*D34/12</f>
        <v>11896.864310000003</v>
      </c>
      <c r="P34" s="18">
        <f>'C-1 P2'!$O$33*D34/12</f>
        <v>11896.864310000003</v>
      </c>
      <c r="Q34" s="16">
        <f t="shared" si="0"/>
        <v>142762.37172000002</v>
      </c>
    </row>
    <row r="35" spans="1:17">
      <c r="A35" s="20">
        <f t="shared" si="1"/>
        <v>25</v>
      </c>
      <c r="B35" s="20" t="s">
        <v>437</v>
      </c>
      <c r="C35" s="2" t="s">
        <v>438</v>
      </c>
      <c r="D35" s="198">
        <v>7.1428571428571425E-2</v>
      </c>
      <c r="E35" s="18">
        <f>'C-1 P2'!$D$34*D35/12</f>
        <v>13184.263988095239</v>
      </c>
      <c r="F35" s="18">
        <f>'C-1 P2'!$E$34*D35/12</f>
        <v>13203.906845238096</v>
      </c>
      <c r="G35" s="18">
        <f>'C-1 P2'!$F$34*D35/12</f>
        <v>13230.097321428571</v>
      </c>
      <c r="H35" s="18">
        <f>'C-1 P2'!$G$34*D35/12</f>
        <v>13262.835416666667</v>
      </c>
      <c r="I35" s="18">
        <f>'C-1 P2'!$H$34*D35/12</f>
        <v>13315.216369047617</v>
      </c>
      <c r="J35" s="18">
        <f>'C-1 P2'!$I$34*D35/12</f>
        <v>13367.597321428571</v>
      </c>
      <c r="K35" s="18">
        <f>'C-1 P2'!$J$34*D35/12</f>
        <v>13419.978273809524</v>
      </c>
      <c r="L35" s="18">
        <f>'C-1 P2'!$K$34*D35/12</f>
        <v>13478.906845238096</v>
      </c>
      <c r="M35" s="18">
        <f>'C-1 P2'!$L$34*D35/12</f>
        <v>13537.835416666667</v>
      </c>
      <c r="N35" s="18">
        <f>'C-1 P2'!$M$34*D35/12</f>
        <v>13596.763988095239</v>
      </c>
      <c r="O35" s="18">
        <f>'C-1 P2'!$N$34*D35/12</f>
        <v>13655.692559523808</v>
      </c>
      <c r="P35" s="18">
        <f>'C-1 P2'!$O$34*D35/12</f>
        <v>13708.073511904762</v>
      </c>
      <c r="Q35" s="16">
        <f t="shared" si="0"/>
        <v>160961.16785714289</v>
      </c>
    </row>
    <row r="36" spans="1:17">
      <c r="A36" s="20">
        <f t="shared" si="1"/>
        <v>26</v>
      </c>
      <c r="B36" s="20" t="s">
        <v>439</v>
      </c>
      <c r="C36" s="2" t="s">
        <v>440</v>
      </c>
      <c r="D36" s="198">
        <v>0.1</v>
      </c>
      <c r="E36" s="18">
        <f>'C-1 P2'!$D$35*D36/12</f>
        <v>1192.0330000000001</v>
      </c>
      <c r="F36" s="18">
        <f>'C-1 P2'!$E$35*D36/12</f>
        <v>1217.0955000000001</v>
      </c>
      <c r="G36" s="18">
        <f>'C-1 P2'!$F$35*D36/12</f>
        <v>1250.5121666666669</v>
      </c>
      <c r="H36" s="18">
        <f>'C-1 P2'!$G$35*D36/12</f>
        <v>1292.2830000000001</v>
      </c>
      <c r="I36" s="18">
        <f>'C-1 P2'!$H$35*D36/12</f>
        <v>1359.1163333333336</v>
      </c>
      <c r="J36" s="18">
        <f>'C-1 P2'!$I$35*D36/12</f>
        <v>1425.9496666666671</v>
      </c>
      <c r="K36" s="18">
        <f>'C-1 P2'!$J$35*D36/12</f>
        <v>1492.7830000000004</v>
      </c>
      <c r="L36" s="18">
        <f>'C-1 P2'!$K$35*D36/12</f>
        <v>1567.9705000000004</v>
      </c>
      <c r="M36" s="18">
        <f>'C-1 P2'!$L$35*D36/12</f>
        <v>1643.1580000000004</v>
      </c>
      <c r="N36" s="18">
        <f>'C-1 P2'!$M$35*D36/12</f>
        <v>1718.3455000000004</v>
      </c>
      <c r="O36" s="18">
        <f>'C-1 P2'!$N$35*D36/12</f>
        <v>1793.5330000000004</v>
      </c>
      <c r="P36" s="18">
        <f>'C-1 P2'!$O$35*D36/12</f>
        <v>1860.3663333333336</v>
      </c>
      <c r="Q36" s="16">
        <f t="shared" si="0"/>
        <v>17813.146000000001</v>
      </c>
    </row>
    <row r="37" spans="1:17">
      <c r="A37" s="20">
        <f t="shared" si="1"/>
        <v>27</v>
      </c>
      <c r="B37" s="20" t="s">
        <v>441</v>
      </c>
      <c r="C37" s="2" t="s">
        <v>442</v>
      </c>
      <c r="D37" s="198">
        <v>0.1</v>
      </c>
      <c r="E37" s="18">
        <f>'C-1 P2'!$D$36*D37/12</f>
        <v>991.3670833333332</v>
      </c>
      <c r="F37" s="18">
        <f>'C-1 P2'!$E$36*D37/12</f>
        <v>991.3670833333332</v>
      </c>
      <c r="G37" s="18">
        <f>'C-1 P2'!$F$36*D37/12</f>
        <v>991.3670833333332</v>
      </c>
      <c r="H37" s="18">
        <f>'C-1 P2'!$G$36*D37/12</f>
        <v>991.3670833333332</v>
      </c>
      <c r="I37" s="18">
        <f>'C-1 P2'!$H$36*D37/12</f>
        <v>991.3670833333332</v>
      </c>
      <c r="J37" s="18">
        <f>'C-1 P2'!$I$36*D37/12</f>
        <v>991.3670833333332</v>
      </c>
      <c r="K37" s="18">
        <f>'C-1 P2'!$J$36*D37/12</f>
        <v>991.3670833333332</v>
      </c>
      <c r="L37" s="18">
        <f>'C-1 P2'!$K$36*D37/12</f>
        <v>991.3670833333332</v>
      </c>
      <c r="M37" s="18">
        <f>'C-1 P2'!$L$36*D37/12</f>
        <v>991.3670833333332</v>
      </c>
      <c r="N37" s="18">
        <f>'C-1 P2'!$M$36*D37/12</f>
        <v>991.3670833333332</v>
      </c>
      <c r="O37" s="18">
        <f>'C-1 P2'!$N$36*D37/12</f>
        <v>991.3670833333332</v>
      </c>
      <c r="P37" s="18">
        <f>'C-1 P2'!$O$36*D37/12</f>
        <v>991.3670833333332</v>
      </c>
      <c r="Q37" s="16">
        <f t="shared" si="0"/>
        <v>11896.404999999997</v>
      </c>
    </row>
    <row r="38" spans="1:17">
      <c r="A38" s="20">
        <f t="shared" si="1"/>
        <v>28</v>
      </c>
      <c r="B38" s="20">
        <v>3913</v>
      </c>
      <c r="C38" s="2" t="s">
        <v>443</v>
      </c>
      <c r="D38" s="198">
        <v>0.05</v>
      </c>
      <c r="E38" s="18">
        <f>'C-1 P2'!$D$37*D38/12</f>
        <v>1217.7320833333331</v>
      </c>
      <c r="F38" s="18">
        <f>'C-1 P2'!$E$37*D38/12</f>
        <v>1217.7320833333331</v>
      </c>
      <c r="G38" s="18">
        <f>'C-1 P2'!$F$37*D38/12</f>
        <v>1217.7320833333331</v>
      </c>
      <c r="H38" s="18">
        <f>'C-1 P2'!$G$37*D38/12</f>
        <v>1217.7320833333331</v>
      </c>
      <c r="I38" s="18">
        <f>'C-1 P2'!$H$37*D38/12</f>
        <v>1217.7320833333331</v>
      </c>
      <c r="J38" s="18">
        <f>'C-1 P2'!$I$37*D38/12</f>
        <v>1217.7320833333331</v>
      </c>
      <c r="K38" s="18">
        <f>'C-1 P2'!$J$37*D38/12</f>
        <v>1217.7320833333331</v>
      </c>
      <c r="L38" s="18">
        <f>'C-1 P2'!$K$37*D38/12</f>
        <v>1217.7320833333331</v>
      </c>
      <c r="M38" s="18">
        <f>'C-1 P2'!$L$37*D38/12</f>
        <v>1217.7320833333331</v>
      </c>
      <c r="N38" s="18">
        <f>'C-1 P2'!$M$37*D38/12</f>
        <v>1217.7320833333331</v>
      </c>
      <c r="O38" s="18">
        <f>'C-1 P2'!$N$37*D38/12</f>
        <v>1217.7320833333331</v>
      </c>
      <c r="P38" s="18">
        <f>'C-1 P2'!$O$37*D38/12</f>
        <v>1217.7320833333331</v>
      </c>
      <c r="Q38" s="16">
        <f t="shared" si="0"/>
        <v>14612.784999999994</v>
      </c>
    </row>
    <row r="39" spans="1:17">
      <c r="A39" s="20">
        <f t="shared" si="1"/>
        <v>29</v>
      </c>
      <c r="B39" s="20">
        <v>3914</v>
      </c>
      <c r="C39" s="2" t="s">
        <v>444</v>
      </c>
      <c r="D39" s="198">
        <v>0.1</v>
      </c>
      <c r="E39" s="18">
        <f>'C-1 P2'!$D$38*D39/12</f>
        <v>52835.964583333349</v>
      </c>
      <c r="F39" s="18">
        <f>'C-1 P2'!$E$38*D39/12</f>
        <v>52842.089583333349</v>
      </c>
      <c r="G39" s="18">
        <f>'C-1 P2'!$F$38*D39/12</f>
        <v>52850.256250000013</v>
      </c>
      <c r="H39" s="18">
        <f>'C-1 P2'!$G$38*D39/12</f>
        <v>52860.464583333349</v>
      </c>
      <c r="I39" s="18">
        <f>'C-1 P2'!$H$38*D39/12</f>
        <v>52876.797916666685</v>
      </c>
      <c r="J39" s="18">
        <f>'C-1 P2'!$I$38*D39/12</f>
        <v>52893.131250000013</v>
      </c>
      <c r="K39" s="18">
        <f>'C-1 P2'!$J$38*D39/12</f>
        <v>52909.464583333349</v>
      </c>
      <c r="L39" s="18">
        <f>'C-1 P2'!$K$38*D39/12</f>
        <v>52927.839583333349</v>
      </c>
      <c r="M39" s="18">
        <f>'C-1 P2'!$L$38*D39/12</f>
        <v>52946.214583333349</v>
      </c>
      <c r="N39" s="18">
        <f>'C-1 P2'!$M$38*D39/12</f>
        <v>52964.589583333349</v>
      </c>
      <c r="O39" s="18">
        <f>'C-1 P2'!$N$38*D39/12</f>
        <v>52982.964583333349</v>
      </c>
      <c r="P39" s="18">
        <f>'C-1 P2'!$O$38*D39/12</f>
        <v>52999.297916666685</v>
      </c>
      <c r="Q39" s="16">
        <f t="shared" si="0"/>
        <v>634889.0750000003</v>
      </c>
    </row>
    <row r="40" spans="1:17">
      <c r="A40" s="20">
        <f t="shared" si="1"/>
        <v>30</v>
      </c>
      <c r="B40" s="20">
        <v>392</v>
      </c>
      <c r="C40" s="2" t="s">
        <v>445</v>
      </c>
      <c r="D40" s="198">
        <v>8.4000000000000005E-2</v>
      </c>
      <c r="E40" s="18">
        <f>'C-1 P2'!$D$39*D40/12</f>
        <v>602.46851000000004</v>
      </c>
      <c r="F40" s="18">
        <f>'C-1 P2'!$E$39*D40/12</f>
        <v>602.46851000000004</v>
      </c>
      <c r="G40" s="18">
        <f>'C-1 P2'!$F$39*D40/12</f>
        <v>602.46851000000004</v>
      </c>
      <c r="H40" s="18">
        <f>'C-1 P2'!$G$39*D40/12</f>
        <v>602.46851000000004</v>
      </c>
      <c r="I40" s="18">
        <f>'C-1 P2'!$H$39*D40/12</f>
        <v>602.46851000000004</v>
      </c>
      <c r="J40" s="18">
        <f>'C-1 P2'!$I$39*D40/12</f>
        <v>602.46851000000004</v>
      </c>
      <c r="K40" s="18">
        <f>'C-1 P2'!$J$39*D40/12</f>
        <v>602.46851000000004</v>
      </c>
      <c r="L40" s="18">
        <f>'C-1 P2'!$K$39*D40/12</f>
        <v>602.46851000000004</v>
      </c>
      <c r="M40" s="18">
        <f>'C-1 P2'!$L$39*D40/12</f>
        <v>602.46851000000004</v>
      </c>
      <c r="N40" s="18">
        <f>'C-1 P2'!$M$39*D40/12</f>
        <v>602.46851000000004</v>
      </c>
      <c r="O40" s="18">
        <f>'C-1 P2'!$N$39*D40/12</f>
        <v>602.46851000000004</v>
      </c>
      <c r="P40" s="18">
        <f>'C-1 P2'!$O$39*D40/12</f>
        <v>602.46851000000004</v>
      </c>
      <c r="Q40" s="16">
        <f t="shared" si="0"/>
        <v>7229.6221199999991</v>
      </c>
    </row>
    <row r="41" spans="1:17">
      <c r="A41" s="20">
        <f t="shared" si="1"/>
        <v>31</v>
      </c>
      <c r="B41" s="20">
        <v>3921</v>
      </c>
      <c r="C41" s="2" t="s">
        <v>446</v>
      </c>
      <c r="D41" s="198">
        <v>5.7000000000000002E-2</v>
      </c>
      <c r="E41" s="18">
        <f>'C-1 P2'!$D$40*D41/12</f>
        <v>1482.3742050000001</v>
      </c>
      <c r="F41" s="18">
        <f>'C-1 P2'!$E$40*D41/12</f>
        <v>1482.3742050000001</v>
      </c>
      <c r="G41" s="18">
        <f>'C-1 P2'!$F$40*D41/12</f>
        <v>1482.3742050000001</v>
      </c>
      <c r="H41" s="18">
        <f>'C-1 P2'!$G$40*D41/12</f>
        <v>1482.3742050000001</v>
      </c>
      <c r="I41" s="18">
        <f>'C-1 P2'!$H$40*D41/12</f>
        <v>1482.3742050000001</v>
      </c>
      <c r="J41" s="18">
        <f>'C-1 P2'!$I$40*D41/12</f>
        <v>1482.3742050000001</v>
      </c>
      <c r="K41" s="18">
        <f>'C-1 P2'!$J$40*D41/12</f>
        <v>1482.3742050000001</v>
      </c>
      <c r="L41" s="18">
        <f>'C-1 P2'!$K$40*D41/12</f>
        <v>2593.8742050000005</v>
      </c>
      <c r="M41" s="18">
        <f>'C-1 P2'!$L$40*D41/12</f>
        <v>2593.8742050000005</v>
      </c>
      <c r="N41" s="18">
        <f>'C-1 P2'!$M$40*D41/12</f>
        <v>2593.8742050000005</v>
      </c>
      <c r="O41" s="18">
        <f>'C-1 P2'!$N$40*D41/12</f>
        <v>2593.8742050000005</v>
      </c>
      <c r="P41" s="18">
        <f>'C-1 P2'!$O$40*D41/12</f>
        <v>2593.8742050000005</v>
      </c>
      <c r="Q41" s="16">
        <f t="shared" si="0"/>
        <v>23345.990460000001</v>
      </c>
    </row>
    <row r="42" spans="1:17">
      <c r="A42" s="20">
        <f t="shared" si="1"/>
        <v>32</v>
      </c>
      <c r="B42" s="20">
        <v>3922</v>
      </c>
      <c r="C42" s="2" t="s">
        <v>447</v>
      </c>
      <c r="D42" s="198">
        <v>5.8999999999999997E-2</v>
      </c>
      <c r="E42" s="18">
        <f>'C-1 P2'!$D$41*D42/12</f>
        <v>27220.635398333328</v>
      </c>
      <c r="F42" s="18">
        <f>'C-1 P2'!$E$41*D42/12</f>
        <v>27220.635398333328</v>
      </c>
      <c r="G42" s="18">
        <f>'C-1 P2'!$F$41*D42/12</f>
        <v>27220.635398333328</v>
      </c>
      <c r="H42" s="18">
        <f>'C-1 P2'!$G$41*D42/12</f>
        <v>27220.635398333328</v>
      </c>
      <c r="I42" s="18">
        <f>'C-1 P2'!$H$41*D42/12</f>
        <v>27220.635398333328</v>
      </c>
      <c r="J42" s="18">
        <f>'C-1 P2'!$I$41*D42/12</f>
        <v>27220.635398333328</v>
      </c>
      <c r="K42" s="18">
        <f>'C-1 P2'!$J$41*D42/12</f>
        <v>27220.635398333328</v>
      </c>
      <c r="L42" s="18">
        <f>'C-1 P2'!$K$41*D42/12</f>
        <v>29256.781939999997</v>
      </c>
      <c r="M42" s="18">
        <f>'C-1 P2'!$L$41*D42/12</f>
        <v>29256.781939999997</v>
      </c>
      <c r="N42" s="18">
        <f>'C-1 P2'!$M$41*D42/12</f>
        <v>29256.781939999997</v>
      </c>
      <c r="O42" s="18">
        <f>'C-1 P2'!$N$41*D42/12</f>
        <v>29256.781939999997</v>
      </c>
      <c r="P42" s="18">
        <f>'C-1 P2'!$O$41*D42/12</f>
        <v>29256.781939999997</v>
      </c>
      <c r="Q42" s="16">
        <f t="shared" si="0"/>
        <v>336828.35748833331</v>
      </c>
    </row>
    <row r="43" spans="1:17">
      <c r="A43" s="20">
        <f t="shared" si="1"/>
        <v>33</v>
      </c>
      <c r="B43" s="20">
        <v>3924</v>
      </c>
      <c r="C43" s="2" t="s">
        <v>448</v>
      </c>
      <c r="D43" s="198">
        <v>0.02</v>
      </c>
      <c r="E43" s="18">
        <f>'C-1 P2'!$D$42*D43/12</f>
        <v>131.77343333333332</v>
      </c>
      <c r="F43" s="18">
        <f>'C-1 P2'!$E$42*D43/12</f>
        <v>131.77343333333332</v>
      </c>
      <c r="G43" s="18">
        <f>'C-1 P2'!$F$42*D43/12</f>
        <v>131.77343333333332</v>
      </c>
      <c r="H43" s="18">
        <f>'C-1 P2'!$G$42*D43/12</f>
        <v>131.77343333333332</v>
      </c>
      <c r="I43" s="18">
        <f>'C-1 P2'!$H$42*D43/12</f>
        <v>131.77343333333332</v>
      </c>
      <c r="J43" s="18">
        <f>'C-1 P2'!$I$42*D43/12</f>
        <v>131.77343333333332</v>
      </c>
      <c r="K43" s="18">
        <f>'C-1 P2'!$J$42*D43/12</f>
        <v>131.77343333333332</v>
      </c>
      <c r="L43" s="18">
        <f>'C-1 P2'!$K$42*D43/12</f>
        <v>131.77343333333332</v>
      </c>
      <c r="M43" s="18">
        <f>'C-1 P2'!$L$42*D43/12</f>
        <v>131.77343333333332</v>
      </c>
      <c r="N43" s="18">
        <f>'C-1 P2'!$M$42*D43/12</f>
        <v>131.77343333333332</v>
      </c>
      <c r="O43" s="18">
        <f>'C-1 P2'!$N$42*D43/12</f>
        <v>131.77343333333332</v>
      </c>
      <c r="P43" s="18">
        <f>'C-1 P2'!$O$42*D43/12</f>
        <v>131.77343333333332</v>
      </c>
      <c r="Q43" s="16">
        <f t="shared" si="0"/>
        <v>1581.2811999999997</v>
      </c>
    </row>
    <row r="44" spans="1:17">
      <c r="A44" s="20">
        <f t="shared" si="1"/>
        <v>34</v>
      </c>
      <c r="B44" s="20" t="s">
        <v>449</v>
      </c>
      <c r="C44" s="2" t="s">
        <v>450</v>
      </c>
      <c r="D44" s="198">
        <v>3.8461538461538464E-2</v>
      </c>
      <c r="E44" s="18">
        <f>'C-1 P2'!$D$43*D44/12</f>
        <v>94.416858974358988</v>
      </c>
      <c r="F44" s="18">
        <f>'C-1 P2'!$E$43*D44/12</f>
        <v>94.416858974358988</v>
      </c>
      <c r="G44" s="18">
        <f>'C-1 P2'!$F$43*D44/12</f>
        <v>94.416858974358988</v>
      </c>
      <c r="H44" s="18">
        <f>'C-1 P2'!$G$43*D44/12</f>
        <v>94.416858974358988</v>
      </c>
      <c r="I44" s="18">
        <f>'C-1 P2'!$H$43*D44/12</f>
        <v>94.416858974358988</v>
      </c>
      <c r="J44" s="18">
        <f>'C-1 P2'!$I$43*D44/12</f>
        <v>94.416858974358988</v>
      </c>
      <c r="K44" s="18">
        <f>'C-1 P2'!$J$43*D44/12</f>
        <v>94.416858974358988</v>
      </c>
      <c r="L44" s="18">
        <f>'C-1 P2'!$K$43*D44/12</f>
        <v>94.416858974358988</v>
      </c>
      <c r="M44" s="18">
        <f>'C-1 P2'!$L$43*D44/12</f>
        <v>94.416858974358988</v>
      </c>
      <c r="N44" s="18">
        <f>'C-1 P2'!$M$43*D44/12</f>
        <v>94.416858974358988</v>
      </c>
      <c r="O44" s="18">
        <f>'C-1 P2'!$N$43*D44/12</f>
        <v>94.416858974358988</v>
      </c>
      <c r="P44" s="18">
        <f>'C-1 P2'!$O$43*D44/12</f>
        <v>94.416858974358988</v>
      </c>
      <c r="Q44" s="16">
        <f>SUM(E44:P44)</f>
        <v>1133.0023076923078</v>
      </c>
    </row>
    <row r="45" spans="1:17">
      <c r="A45" s="20">
        <f t="shared" si="1"/>
        <v>35</v>
      </c>
      <c r="B45" s="20" t="s">
        <v>451</v>
      </c>
      <c r="C45" s="2" t="s">
        <v>452</v>
      </c>
      <c r="D45" s="198">
        <v>6.6666666666666666E-2</v>
      </c>
      <c r="E45" s="18">
        <f>'C-1 P2'!$D$44*D45/12</f>
        <v>7539.2913888888897</v>
      </c>
      <c r="F45" s="18">
        <f>'C-1 P2'!$E$44*D45/12</f>
        <v>7583.3488888888905</v>
      </c>
      <c r="G45" s="18">
        <f>'C-1 P2'!$F$44*D45/12</f>
        <v>7642.0922222222225</v>
      </c>
      <c r="H45" s="18">
        <f>'C-1 P2'!$G$44*D45/12</f>
        <v>7715.5213888888893</v>
      </c>
      <c r="I45" s="18">
        <f>'C-1 P2'!$H$44*D45/12</f>
        <v>7833.0080555555569</v>
      </c>
      <c r="J45" s="18">
        <f>'C-1 P2'!$I$44*D45/12</f>
        <v>7950.4947222222245</v>
      </c>
      <c r="K45" s="18">
        <f>'C-1 P2'!$J$44*D45/12</f>
        <v>8067.9813888888893</v>
      </c>
      <c r="L45" s="18">
        <f>'C-1 P2'!$K$44*D45/12</f>
        <v>8200.1538888888899</v>
      </c>
      <c r="M45" s="18">
        <f>'C-1 P2'!$L$44*D45/12</f>
        <v>8332.3263888888905</v>
      </c>
      <c r="N45" s="18">
        <f>'C-1 P2'!$M$44*D45/12</f>
        <v>8464.4988888888893</v>
      </c>
      <c r="O45" s="18">
        <f>'C-1 P2'!$N$44*D45/12</f>
        <v>8596.6713888888899</v>
      </c>
      <c r="P45" s="18">
        <f>'C-1 P2'!$O$44*D45/12</f>
        <v>8714.1580555555574</v>
      </c>
      <c r="Q45" s="16">
        <f t="shared" si="0"/>
        <v>96639.546666666691</v>
      </c>
    </row>
    <row r="46" spans="1:17">
      <c r="A46" s="20">
        <f t="shared" si="1"/>
        <v>36</v>
      </c>
      <c r="B46" s="20" t="s">
        <v>453</v>
      </c>
      <c r="C46" s="2" t="s">
        <v>454</v>
      </c>
      <c r="D46" s="198">
        <v>4.4999999999999998E-2</v>
      </c>
      <c r="E46" s="18">
        <f>'C-1 P2'!$D$45*D46/12</f>
        <v>5622.5734875000007</v>
      </c>
      <c r="F46" s="18">
        <f>'C-1 P2'!$E$45*D46/12</f>
        <v>5653.8222375000005</v>
      </c>
      <c r="G46" s="18">
        <f>'C-1 P2'!$F$45*D46/12</f>
        <v>5685.0747375000001</v>
      </c>
      <c r="H46" s="18">
        <f>'C-1 P2'!$G$45*D46/12</f>
        <v>5716.3234875000007</v>
      </c>
      <c r="I46" s="18">
        <f>'C-1 P2'!$H$45*D46/12</f>
        <v>5747.5722375000005</v>
      </c>
      <c r="J46" s="18">
        <f>'C-1 P2'!$I$45*D46/12</f>
        <v>5778.8247375000001</v>
      </c>
      <c r="K46" s="18">
        <f>'C-1 P2'!$J$45*D46/12</f>
        <v>5810.0734875000007</v>
      </c>
      <c r="L46" s="18">
        <f>'C-1 P2'!$K$45*D46/12</f>
        <v>5841.3222375000005</v>
      </c>
      <c r="M46" s="18">
        <f>'C-1 P2'!$L$45*D46/12</f>
        <v>5872.5747375000001</v>
      </c>
      <c r="N46" s="18">
        <f>'C-1 P2'!$M$45*D46/12</f>
        <v>5903.8234875000007</v>
      </c>
      <c r="O46" s="18">
        <f>'C-1 P2'!$N$45*D46/12</f>
        <v>5935.0722375000005</v>
      </c>
      <c r="P46" s="18">
        <f>'C-1 P2'!$O$45*D46/12</f>
        <v>5966.3209875000002</v>
      </c>
      <c r="Q46" s="16">
        <f t="shared" si="0"/>
        <v>69533.378100000002</v>
      </c>
    </row>
    <row r="47" spans="1:17">
      <c r="A47" s="20">
        <f t="shared" si="1"/>
        <v>37</v>
      </c>
      <c r="B47" s="20" t="s">
        <v>455</v>
      </c>
      <c r="C47" s="2" t="s">
        <v>456</v>
      </c>
      <c r="D47" s="198">
        <v>7.6923076923076927E-2</v>
      </c>
      <c r="E47" s="18">
        <f>'C-1 P2'!$D$46*D47/12</f>
        <v>10913.614166666668</v>
      </c>
      <c r="F47" s="18">
        <f>'C-1 P2'!$E$46*D47/12</f>
        <v>10913.614166666668</v>
      </c>
      <c r="G47" s="18">
        <f>'C-1 P2'!$F$46*D47/12</f>
        <v>10913.614166666668</v>
      </c>
      <c r="H47" s="18">
        <f>'C-1 P2'!$G$46*D47/12</f>
        <v>10913.614166666668</v>
      </c>
      <c r="I47" s="18">
        <f>'C-1 P2'!$H$46*D47/12</f>
        <v>10913.614166666668</v>
      </c>
      <c r="J47" s="18">
        <f>'C-1 P2'!$I$46*D47/12</f>
        <v>10913.614166666668</v>
      </c>
      <c r="K47" s="18">
        <f>'C-1 P2'!$J$46*D47/12</f>
        <v>10913.614166666668</v>
      </c>
      <c r="L47" s="18">
        <f>'C-1 P2'!$K$46*D47/12</f>
        <v>10913.614166666668</v>
      </c>
      <c r="M47" s="18">
        <f>'C-1 P2'!$L$46*D47/12</f>
        <v>10913.614166666668</v>
      </c>
      <c r="N47" s="18">
        <f>'C-1 P2'!$M$46*D47/12</f>
        <v>10913.614166666668</v>
      </c>
      <c r="O47" s="18">
        <f>'C-1 P2'!$N$46*D47/12</f>
        <v>10913.614166666668</v>
      </c>
      <c r="P47" s="18">
        <f>'C-1 P2'!$O$46*D47/12</f>
        <v>10913.614166666668</v>
      </c>
      <c r="Q47" s="16">
        <f t="shared" si="0"/>
        <v>130963.37000000001</v>
      </c>
    </row>
    <row r="48" spans="1:17">
      <c r="A48" s="20">
        <f t="shared" si="1"/>
        <v>38</v>
      </c>
      <c r="B48" s="20" t="s">
        <v>457</v>
      </c>
      <c r="C48" s="2" t="s">
        <v>458</v>
      </c>
      <c r="D48" s="198">
        <v>5.8823529411764705E-2</v>
      </c>
      <c r="E48" s="18">
        <f>'C-1 P2'!$D$47*D48/12</f>
        <v>1566.2040686274511</v>
      </c>
      <c r="F48" s="18">
        <f>'C-1 P2'!$E$47*D48/12</f>
        <v>1566.2408333333333</v>
      </c>
      <c r="G48" s="18">
        <f>'C-1 P2'!$F$47*D48/12</f>
        <v>1566.2898529411766</v>
      </c>
      <c r="H48" s="18">
        <f>'C-1 P2'!$G$47*D48/12</f>
        <v>1566.3511274509804</v>
      </c>
      <c r="I48" s="18">
        <f>'C-1 P2'!$H$47*D48/12</f>
        <v>1566.4491666666665</v>
      </c>
      <c r="J48" s="18">
        <f>'C-1 P2'!$I$47*D48/12</f>
        <v>1566.5472058823527</v>
      </c>
      <c r="K48" s="18">
        <f>'C-1 P2'!$J$47*D48/12</f>
        <v>1566.6452450980394</v>
      </c>
      <c r="L48" s="18">
        <f>'C-1 P2'!$K$47*D48/12</f>
        <v>1566.7555392156862</v>
      </c>
      <c r="M48" s="18">
        <f>'C-1 P2'!$L$47*D48/12</f>
        <v>1566.8658333333333</v>
      </c>
      <c r="N48" s="18">
        <f>'C-1 P2'!$M$47*D48/12</f>
        <v>1566.9761274509804</v>
      </c>
      <c r="O48" s="18">
        <f>'C-1 P2'!$N$47*D48/12</f>
        <v>1567.0864215686277</v>
      </c>
      <c r="P48" s="18">
        <f>'C-1 P2'!$O$47*D48/12</f>
        <v>1567.1844607843138</v>
      </c>
      <c r="Q48" s="16">
        <f t="shared" si="0"/>
        <v>18799.59588235294</v>
      </c>
    </row>
    <row r="49" spans="1:18">
      <c r="A49" s="20">
        <f t="shared" si="1"/>
        <v>39</v>
      </c>
      <c r="C49" s="2" t="s">
        <v>468</v>
      </c>
      <c r="E49" s="112">
        <f t="shared" ref="E49:Q49" si="2">SUM(E11:E48)</f>
        <v>1029081.9497786018</v>
      </c>
      <c r="F49" s="112">
        <f t="shared" si="2"/>
        <v>1029971.3835335709</v>
      </c>
      <c r="G49" s="112">
        <f t="shared" si="2"/>
        <v>1031118.2241428411</v>
      </c>
      <c r="H49" s="112">
        <f t="shared" si="2"/>
        <v>1032517.3582100797</v>
      </c>
      <c r="I49" s="112">
        <f t="shared" si="2"/>
        <v>1034693.786187222</v>
      </c>
      <c r="J49" s="112">
        <f t="shared" si="2"/>
        <v>1036870.2181295315</v>
      </c>
      <c r="K49" s="112">
        <f t="shared" si="2"/>
        <v>1039041.5483566738</v>
      </c>
      <c r="L49" s="112">
        <f t="shared" si="2"/>
        <v>1044623.0216851181</v>
      </c>
      <c r="M49" s="112">
        <f t="shared" si="2"/>
        <v>1047056.8520067284</v>
      </c>
      <c r="N49" s="112">
        <f t="shared" si="2"/>
        <v>1051857.2962935062</v>
      </c>
      <c r="O49" s="112">
        <f t="shared" si="2"/>
        <v>1054291.1228651165</v>
      </c>
      <c r="P49" s="112">
        <f t="shared" si="2"/>
        <v>1056468.658244926</v>
      </c>
      <c r="Q49" s="112">
        <f t="shared" si="2"/>
        <v>12487591.419433918</v>
      </c>
      <c r="R49" s="18"/>
    </row>
    <row r="50" spans="1:18">
      <c r="A50" s="20">
        <f t="shared" si="1"/>
        <v>40</v>
      </c>
      <c r="C50" s="2" t="s">
        <v>262</v>
      </c>
      <c r="E50" s="31">
        <v>202955.86349799999</v>
      </c>
      <c r="F50" s="31">
        <v>203739.17701799999</v>
      </c>
      <c r="G50" s="31">
        <v>204441.232242</v>
      </c>
      <c r="H50" s="31">
        <v>205804.740918</v>
      </c>
      <c r="I50" s="31">
        <v>206298.68838000001</v>
      </c>
      <c r="J50" s="31">
        <v>208647.13620799998</v>
      </c>
      <c r="K50" s="31">
        <v>209247.99789999999</v>
      </c>
      <c r="L50" s="31">
        <v>203514.93476400001</v>
      </c>
      <c r="M50" s="31">
        <v>204805.20355599999</v>
      </c>
      <c r="N50" s="31">
        <v>207263.788956</v>
      </c>
      <c r="O50" s="31">
        <v>208435.362708</v>
      </c>
      <c r="P50" s="31">
        <v>209685.85736999998</v>
      </c>
      <c r="Q50" s="187">
        <f t="shared" si="0"/>
        <v>2474839.9835180002</v>
      </c>
    </row>
    <row r="51" spans="1:18">
      <c r="A51" s="20">
        <f t="shared" si="1"/>
        <v>41</v>
      </c>
      <c r="C51" s="2" t="s">
        <v>469</v>
      </c>
      <c r="E51" s="18">
        <f>E49+E50</f>
        <v>1232037.8132766017</v>
      </c>
      <c r="F51" s="18">
        <f t="shared" ref="F51:P51" si="3">F49+F50</f>
        <v>1233710.560551571</v>
      </c>
      <c r="G51" s="18">
        <f t="shared" si="3"/>
        <v>1235559.4563848411</v>
      </c>
      <c r="H51" s="18">
        <f t="shared" si="3"/>
        <v>1238322.0991280796</v>
      </c>
      <c r="I51" s="18">
        <f t="shared" si="3"/>
        <v>1240992.4745672219</v>
      </c>
      <c r="J51" s="18">
        <f t="shared" si="3"/>
        <v>1245517.3543375314</v>
      </c>
      <c r="K51" s="18">
        <f t="shared" si="3"/>
        <v>1248289.5462566738</v>
      </c>
      <c r="L51" s="18">
        <f t="shared" si="3"/>
        <v>1248137.956449118</v>
      </c>
      <c r="M51" s="18">
        <f t="shared" si="3"/>
        <v>1251862.0555627283</v>
      </c>
      <c r="N51" s="18">
        <f t="shared" si="3"/>
        <v>1259121.0852495062</v>
      </c>
      <c r="O51" s="18">
        <f t="shared" si="3"/>
        <v>1262726.4855731165</v>
      </c>
      <c r="P51" s="18">
        <f t="shared" si="3"/>
        <v>1266154.5156149259</v>
      </c>
      <c r="Q51" s="16">
        <f t="shared" si="0"/>
        <v>14962431.402951915</v>
      </c>
    </row>
    <row r="52" spans="1:18">
      <c r="A52" s="20">
        <f t="shared" si="1"/>
        <v>42</v>
      </c>
      <c r="C52" s="2" t="s">
        <v>470</v>
      </c>
      <c r="E52" s="31">
        <v>-12030.869125017001</v>
      </c>
      <c r="F52" s="31">
        <v>-12030.869125017001</v>
      </c>
      <c r="G52" s="31">
        <v>-12030.869125017001</v>
      </c>
      <c r="H52" s="31">
        <v>-12030.869125017001</v>
      </c>
      <c r="I52" s="31">
        <v>-12030.869125017001</v>
      </c>
      <c r="J52" s="31">
        <v>-12030.869125017001</v>
      </c>
      <c r="K52" s="31">
        <v>-12030.869125017001</v>
      </c>
      <c r="L52" s="31">
        <v>-13798.567933617003</v>
      </c>
      <c r="M52" s="31">
        <v>-13798.567933617003</v>
      </c>
      <c r="N52" s="31">
        <v>-13798.567933617003</v>
      </c>
      <c r="O52" s="31">
        <v>-13798.567933617003</v>
      </c>
      <c r="P52" s="31">
        <v>-13798.567933617003</v>
      </c>
      <c r="Q52" s="187">
        <f t="shared" si="0"/>
        <v>-153208.92354320403</v>
      </c>
    </row>
    <row r="53" spans="1:18">
      <c r="A53" s="20">
        <f t="shared" si="1"/>
        <v>43</v>
      </c>
      <c r="C53" s="2" t="s">
        <v>471</v>
      </c>
      <c r="E53" s="18">
        <f>E51+E52</f>
        <v>1220006.9441515848</v>
      </c>
      <c r="F53" s="18">
        <f t="shared" ref="F53:P53" si="4">F51+F52</f>
        <v>1221679.691426554</v>
      </c>
      <c r="G53" s="18">
        <f t="shared" si="4"/>
        <v>1223528.5872598242</v>
      </c>
      <c r="H53" s="18">
        <f t="shared" si="4"/>
        <v>1226291.2300030626</v>
      </c>
      <c r="I53" s="18">
        <f t="shared" si="4"/>
        <v>1228961.605442205</v>
      </c>
      <c r="J53" s="18">
        <f t="shared" si="4"/>
        <v>1233486.4852125144</v>
      </c>
      <c r="K53" s="18">
        <f t="shared" si="4"/>
        <v>1236258.6771316568</v>
      </c>
      <c r="L53" s="18">
        <f t="shared" si="4"/>
        <v>1234339.3885155011</v>
      </c>
      <c r="M53" s="18">
        <f t="shared" si="4"/>
        <v>1238063.4876291114</v>
      </c>
      <c r="N53" s="18">
        <f t="shared" si="4"/>
        <v>1245322.5173158892</v>
      </c>
      <c r="O53" s="18">
        <f t="shared" si="4"/>
        <v>1248927.9176394995</v>
      </c>
      <c r="P53" s="18">
        <f t="shared" si="4"/>
        <v>1252355.947681309</v>
      </c>
      <c r="Q53" s="16">
        <f t="shared" si="0"/>
        <v>14809222.479408711</v>
      </c>
    </row>
    <row r="54" spans="1:18">
      <c r="A54" s="20">
        <f t="shared" si="1"/>
        <v>44</v>
      </c>
      <c r="C54" s="2" t="s">
        <v>472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6">
        <v>760865.82011142757</v>
      </c>
    </row>
    <row r="55" spans="1:18" ht="13.5" thickBot="1">
      <c r="A55" s="20">
        <f t="shared" si="1"/>
        <v>45</v>
      </c>
      <c r="C55" s="2" t="s">
        <v>498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74">
        <f>Q53+Q54</f>
        <v>15570088.299520139</v>
      </c>
    </row>
    <row r="56" spans="1:18" ht="13.5" thickTop="1"/>
    <row r="57" spans="1:18">
      <c r="A57" s="28" t="s">
        <v>11</v>
      </c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1:18">
      <c r="A58" s="2" t="s">
        <v>579</v>
      </c>
    </row>
  </sheetData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35"/>
  <sheetViews>
    <sheetView zoomScaleNormal="100" workbookViewId="0">
      <selection activeCell="H5" sqref="H5"/>
    </sheetView>
  </sheetViews>
  <sheetFormatPr defaultRowHeight="12.75"/>
  <cols>
    <col min="1" max="1" width="5.42578125" style="20" customWidth="1"/>
    <col min="2" max="2" width="1.7109375" style="2" customWidth="1"/>
    <col min="3" max="3" width="41.5703125" style="2" bestFit="1" customWidth="1"/>
    <col min="4" max="4" width="1.42578125" style="2" customWidth="1"/>
    <col min="5" max="5" width="25.140625" style="2" customWidth="1"/>
    <col min="6" max="6" width="1.42578125" style="2" customWidth="1"/>
    <col min="7" max="7" width="15.42578125" style="18" customWidth="1"/>
    <col min="8" max="8" width="1.28515625" style="17" customWidth="1"/>
    <col min="9" max="9" width="15.28515625" style="18" customWidth="1"/>
    <col min="10" max="10" width="1.140625" style="2" customWidth="1"/>
    <col min="11" max="11" width="14.5703125" style="2" customWidth="1"/>
    <col min="12" max="12" width="9.140625" style="2"/>
    <col min="13" max="13" width="13.42578125" style="2" bestFit="1" customWidth="1"/>
    <col min="14" max="14" width="11.85546875" style="2" customWidth="1"/>
    <col min="15" max="16384" width="9.140625" style="2"/>
  </cols>
  <sheetData>
    <row r="1" spans="1:14">
      <c r="A1" s="23" t="str">
        <f>Contents!A1</f>
        <v>Florida Public Utilities Company Consolidated Gas</v>
      </c>
      <c r="K1" s="33" t="str">
        <f>Contents!A2</f>
        <v>Docket No. 20220067-GU</v>
      </c>
    </row>
    <row r="2" spans="1:14">
      <c r="A2" s="23" t="s">
        <v>24</v>
      </c>
      <c r="K2" s="33" t="str">
        <f>Contents!A3</f>
        <v>Exhibit RCS-2R</v>
      </c>
    </row>
    <row r="3" spans="1:14">
      <c r="A3" s="2"/>
      <c r="K3" s="33" t="s">
        <v>54</v>
      </c>
    </row>
    <row r="4" spans="1:14">
      <c r="A4" s="23" t="s">
        <v>239</v>
      </c>
      <c r="I4" s="123"/>
      <c r="K4" s="33" t="s">
        <v>17</v>
      </c>
    </row>
    <row r="5" spans="1:14">
      <c r="A5" s="2"/>
      <c r="K5" s="33" t="s">
        <v>102</v>
      </c>
    </row>
    <row r="6" spans="1:14">
      <c r="A6" s="2"/>
    </row>
    <row r="7" spans="1:14" s="20" customFormat="1">
      <c r="G7" s="36" t="s">
        <v>168</v>
      </c>
      <c r="H7" s="134"/>
      <c r="I7" s="36" t="s">
        <v>168</v>
      </c>
    </row>
    <row r="8" spans="1:14" s="20" customFormat="1">
      <c r="A8" s="20" t="s">
        <v>0</v>
      </c>
      <c r="E8" s="20" t="s">
        <v>183</v>
      </c>
      <c r="G8" s="36" t="s">
        <v>7</v>
      </c>
      <c r="H8" s="134"/>
      <c r="I8" s="36" t="s">
        <v>167</v>
      </c>
    </row>
    <row r="9" spans="1:14" s="20" customFormat="1">
      <c r="A9" s="27" t="s">
        <v>1</v>
      </c>
      <c r="C9" s="28" t="s">
        <v>2</v>
      </c>
      <c r="E9" s="27" t="s">
        <v>3</v>
      </c>
      <c r="G9" s="76" t="s">
        <v>34</v>
      </c>
      <c r="H9" s="135"/>
      <c r="I9" s="76" t="s">
        <v>34</v>
      </c>
      <c r="K9" s="76" t="s">
        <v>63</v>
      </c>
      <c r="M9" s="41" t="s">
        <v>184</v>
      </c>
      <c r="N9" s="27"/>
    </row>
    <row r="10" spans="1:14">
      <c r="E10" s="20"/>
      <c r="G10" s="36" t="s">
        <v>9</v>
      </c>
      <c r="H10" s="134"/>
      <c r="I10" s="36" t="s">
        <v>10</v>
      </c>
      <c r="J10" s="20"/>
      <c r="K10" s="36" t="s">
        <v>185</v>
      </c>
    </row>
    <row r="11" spans="1:14">
      <c r="E11" s="20"/>
      <c r="G11" s="36"/>
      <c r="H11" s="134"/>
      <c r="I11" s="36"/>
      <c r="J11" s="20"/>
    </row>
    <row r="12" spans="1:14">
      <c r="A12" s="20">
        <v>1</v>
      </c>
      <c r="C12" s="2" t="s">
        <v>186</v>
      </c>
      <c r="E12" s="20" t="s">
        <v>187</v>
      </c>
      <c r="G12" s="18">
        <f>B!E36</f>
        <v>454887154.29140115</v>
      </c>
      <c r="H12" s="18"/>
      <c r="I12" s="18">
        <f>B!I36</f>
        <v>435080074.43427122</v>
      </c>
      <c r="K12" s="18">
        <f>I12-G12</f>
        <v>-19807079.857129931</v>
      </c>
      <c r="M12" s="133"/>
    </row>
    <row r="13" spans="1:14">
      <c r="A13" s="20">
        <v>2</v>
      </c>
      <c r="C13" s="2" t="s">
        <v>188</v>
      </c>
      <c r="E13" s="20" t="s">
        <v>189</v>
      </c>
      <c r="G13" s="42">
        <f>D!U19</f>
        <v>6.4299999999999996E-2</v>
      </c>
      <c r="I13" s="42">
        <f>D!U34</f>
        <v>5.2023063482961186E-2</v>
      </c>
      <c r="K13" s="42"/>
      <c r="M13" s="16">
        <f>G15</f>
        <v>29249244.020937093</v>
      </c>
      <c r="N13" s="2" t="s">
        <v>190</v>
      </c>
    </row>
    <row r="14" spans="1:14">
      <c r="E14" s="20"/>
      <c r="K14" s="18"/>
      <c r="M14" s="16">
        <f>G12</f>
        <v>454887154.29140115</v>
      </c>
      <c r="N14" s="2" t="s">
        <v>191</v>
      </c>
    </row>
    <row r="15" spans="1:14" ht="13.5" thickBot="1">
      <c r="A15" s="20">
        <v>3</v>
      </c>
      <c r="C15" s="2" t="s">
        <v>192</v>
      </c>
      <c r="E15" s="20" t="s">
        <v>88</v>
      </c>
      <c r="G15" s="18">
        <f>G12*G13</f>
        <v>29249244.020937093</v>
      </c>
      <c r="H15" s="18"/>
      <c r="I15" s="18">
        <f>I12*I13</f>
        <v>22634198.33246557</v>
      </c>
      <c r="K15" s="18">
        <f>I15-G15</f>
        <v>-6615045.6884715222</v>
      </c>
      <c r="M15" s="201">
        <f>G15/G12</f>
        <v>6.4299999999999996E-2</v>
      </c>
      <c r="N15" s="2" t="s">
        <v>266</v>
      </c>
    </row>
    <row r="16" spans="1:14" ht="13.5" thickTop="1">
      <c r="A16" s="20">
        <v>4</v>
      </c>
      <c r="C16" s="2" t="s">
        <v>193</v>
      </c>
      <c r="E16" s="20" t="s">
        <v>194</v>
      </c>
      <c r="G16" s="31">
        <f>'C'!E24</f>
        <v>11417702.480234116</v>
      </c>
      <c r="H16" s="18"/>
      <c r="I16" s="31">
        <f>'C'!I24</f>
        <v>16795755.587198228</v>
      </c>
      <c r="K16" s="31">
        <f>I16-G16</f>
        <v>5378053.1069641113</v>
      </c>
      <c r="M16" s="136"/>
    </row>
    <row r="17" spans="1:13">
      <c r="E17" s="20"/>
      <c r="H17" s="18"/>
      <c r="K17" s="18"/>
      <c r="M17" s="137"/>
    </row>
    <row r="18" spans="1:13">
      <c r="A18" s="20">
        <v>5</v>
      </c>
      <c r="C18" s="2" t="s">
        <v>195</v>
      </c>
      <c r="E18" s="20" t="s">
        <v>90</v>
      </c>
      <c r="G18" s="18">
        <f>G15-G16</f>
        <v>17831541.540702976</v>
      </c>
      <c r="H18" s="18"/>
      <c r="I18" s="18">
        <f>I15-I16</f>
        <v>5838442.7452673428</v>
      </c>
      <c r="K18" s="18">
        <f>I18-G18</f>
        <v>-11993098.795435634</v>
      </c>
    </row>
    <row r="19" spans="1:13">
      <c r="E19" s="20"/>
      <c r="K19" s="18"/>
    </row>
    <row r="20" spans="1:13">
      <c r="A20" s="20">
        <v>6</v>
      </c>
      <c r="C20" s="2" t="s">
        <v>196</v>
      </c>
      <c r="E20" s="20" t="s">
        <v>197</v>
      </c>
      <c r="G20" s="37">
        <f>G16/G12</f>
        <v>2.510007673885626E-2</v>
      </c>
      <c r="I20" s="37">
        <f>I16/I12</f>
        <v>3.8603826224488727E-2</v>
      </c>
      <c r="K20" s="37"/>
    </row>
    <row r="21" spans="1:13">
      <c r="E21" s="20"/>
      <c r="K21" s="18"/>
    </row>
    <row r="22" spans="1:13">
      <c r="A22" s="20">
        <v>7</v>
      </c>
      <c r="C22" s="2" t="s">
        <v>198</v>
      </c>
      <c r="E22" s="20" t="s">
        <v>284</v>
      </c>
      <c r="G22" s="138">
        <f>'A-1'!G33</f>
        <v>1.3494055909601435</v>
      </c>
      <c r="I22" s="138">
        <f>'A-1'!I33</f>
        <v>1.3494055909601435</v>
      </c>
      <c r="K22" s="138"/>
    </row>
    <row r="23" spans="1:13">
      <c r="E23" s="20"/>
      <c r="K23" s="18"/>
    </row>
    <row r="24" spans="1:13" ht="13.5" thickBot="1">
      <c r="A24" s="20">
        <v>8</v>
      </c>
      <c r="C24" s="2" t="s">
        <v>133</v>
      </c>
      <c r="E24" s="20" t="s">
        <v>199</v>
      </c>
      <c r="G24" s="29">
        <f>ROUND(G18*G22,0)</f>
        <v>24061982</v>
      </c>
      <c r="I24" s="29">
        <f>ROUND(I18*I22,0)</f>
        <v>7878427</v>
      </c>
      <c r="K24" s="29">
        <f>I24-G24</f>
        <v>-16183555</v>
      </c>
      <c r="M24" s="16"/>
    </row>
    <row r="25" spans="1:13" ht="13.5" thickTop="1"/>
    <row r="26" spans="1:13">
      <c r="A26" s="20">
        <f>A24+1</f>
        <v>9</v>
      </c>
      <c r="C26" s="2" t="s">
        <v>285</v>
      </c>
      <c r="E26" s="20"/>
      <c r="G26" s="18">
        <v>19755931</v>
      </c>
      <c r="I26" s="18">
        <f>G26</f>
        <v>19755931</v>
      </c>
      <c r="K26" s="16">
        <f>I26-G26</f>
        <v>0</v>
      </c>
    </row>
    <row r="28" spans="1:13" ht="13.5" thickBot="1">
      <c r="A28" s="20">
        <f>A26+1</f>
        <v>10</v>
      </c>
      <c r="C28" s="2" t="s">
        <v>286</v>
      </c>
      <c r="G28" s="119">
        <f>G24+G26</f>
        <v>43817913</v>
      </c>
      <c r="I28" s="119">
        <f>I24+I26</f>
        <v>27634358</v>
      </c>
      <c r="K28" s="119">
        <f>I28-G28</f>
        <v>-16183555</v>
      </c>
    </row>
    <row r="29" spans="1:13" ht="13.5" thickTop="1"/>
    <row r="30" spans="1:13">
      <c r="A30" s="28" t="s">
        <v>200</v>
      </c>
      <c r="B30" s="28"/>
      <c r="C30" s="28"/>
      <c r="D30" s="28"/>
      <c r="E30" s="28"/>
      <c r="F30" s="28"/>
      <c r="G30" s="31"/>
      <c r="H30" s="139"/>
      <c r="I30" s="31"/>
      <c r="J30" s="28"/>
      <c r="K30" s="28"/>
    </row>
    <row r="31" spans="1:13">
      <c r="A31" s="2" t="s">
        <v>573</v>
      </c>
      <c r="G31" s="30"/>
      <c r="H31" s="140"/>
      <c r="I31" s="30"/>
    </row>
    <row r="33" spans="3:7">
      <c r="C33" s="1"/>
    </row>
    <row r="34" spans="3:7">
      <c r="E34" s="141"/>
    </row>
    <row r="35" spans="3:7">
      <c r="G35" s="37"/>
    </row>
  </sheetData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zoomScaleNormal="100" workbookViewId="0">
      <selection activeCell="H5" sqref="H5"/>
    </sheetView>
  </sheetViews>
  <sheetFormatPr defaultRowHeight="12.75"/>
  <cols>
    <col min="1" max="1" width="5" style="2" customWidth="1"/>
    <col min="2" max="2" width="8.5703125" style="20" customWidth="1"/>
    <col min="3" max="3" width="44.42578125" style="2" customWidth="1"/>
    <col min="4" max="15" width="13.85546875" style="2" bestFit="1" customWidth="1"/>
    <col min="16" max="16" width="12.42578125" style="2" customWidth="1"/>
    <col min="17" max="16384" width="9.140625" style="2"/>
  </cols>
  <sheetData>
    <row r="1" spans="1:16">
      <c r="A1" s="2" t="str">
        <f>Contents!A1</f>
        <v>Florida Public Utilities Company Consolidated Gas</v>
      </c>
      <c r="P1" s="33" t="str">
        <f>Contents!A2</f>
        <v>Docket No. 20220067-GU</v>
      </c>
    </row>
    <row r="2" spans="1:16">
      <c r="A2" s="2" t="s">
        <v>580</v>
      </c>
      <c r="P2" s="33" t="str">
        <f>Contents!A3</f>
        <v>Exhibit RCS-2R</v>
      </c>
    </row>
    <row r="3" spans="1:16">
      <c r="P3" s="33" t="s">
        <v>96</v>
      </c>
    </row>
    <row r="4" spans="1:16">
      <c r="A4" s="2" t="str">
        <f>A!A4</f>
        <v>Projected Test Year Ended December 31, 2023</v>
      </c>
      <c r="P4" s="33" t="s">
        <v>478</v>
      </c>
    </row>
    <row r="5" spans="1:16">
      <c r="P5" s="33" t="s">
        <v>102</v>
      </c>
    </row>
    <row r="6" spans="1:16">
      <c r="P6" s="33"/>
    </row>
    <row r="7" spans="1:16">
      <c r="P7" s="20" t="s">
        <v>499</v>
      </c>
    </row>
    <row r="8" spans="1:16">
      <c r="A8" s="20" t="s">
        <v>392</v>
      </c>
      <c r="B8" s="20" t="s">
        <v>393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 t="s">
        <v>473</v>
      </c>
    </row>
    <row r="9" spans="1:16">
      <c r="A9" s="27" t="s">
        <v>1</v>
      </c>
      <c r="B9" s="27" t="s">
        <v>394</v>
      </c>
      <c r="C9" s="28" t="s">
        <v>2</v>
      </c>
      <c r="D9" s="185">
        <v>44927</v>
      </c>
      <c r="E9" s="185">
        <v>44958</v>
      </c>
      <c r="F9" s="185">
        <v>44986</v>
      </c>
      <c r="G9" s="185">
        <v>45017</v>
      </c>
      <c r="H9" s="185">
        <v>45047</v>
      </c>
      <c r="I9" s="185">
        <v>45078</v>
      </c>
      <c r="J9" s="185">
        <v>45108</v>
      </c>
      <c r="K9" s="185">
        <v>45139</v>
      </c>
      <c r="L9" s="185">
        <v>45170</v>
      </c>
      <c r="M9" s="185">
        <v>45200</v>
      </c>
      <c r="N9" s="185">
        <v>45231</v>
      </c>
      <c r="O9" s="185">
        <v>45261</v>
      </c>
      <c r="P9" s="27" t="s">
        <v>62</v>
      </c>
    </row>
    <row r="10" spans="1:16">
      <c r="A10" s="20"/>
      <c r="D10" s="186" t="s">
        <v>9</v>
      </c>
      <c r="E10" s="186" t="s">
        <v>10</v>
      </c>
      <c r="F10" s="20" t="s">
        <v>26</v>
      </c>
      <c r="G10" s="186" t="s">
        <v>27</v>
      </c>
      <c r="H10" s="186" t="s">
        <v>28</v>
      </c>
      <c r="I10" s="186" t="s">
        <v>29</v>
      </c>
      <c r="J10" s="186" t="s">
        <v>82</v>
      </c>
      <c r="K10" s="186" t="s">
        <v>177</v>
      </c>
      <c r="L10" s="186" t="s">
        <v>460</v>
      </c>
      <c r="M10" s="186" t="s">
        <v>461</v>
      </c>
      <c r="N10" s="186" t="s">
        <v>462</v>
      </c>
      <c r="O10" s="186" t="s">
        <v>463</v>
      </c>
      <c r="P10" s="186" t="s">
        <v>464</v>
      </c>
    </row>
    <row r="11" spans="1:16">
      <c r="A11" s="20">
        <v>1</v>
      </c>
      <c r="B11" s="20" t="s">
        <v>398</v>
      </c>
      <c r="C11" s="2" t="s">
        <v>399</v>
      </c>
      <c r="D11" s="18">
        <f>'C-1 P4'!$E$11-'C-3 P3'!E11</f>
        <v>0</v>
      </c>
      <c r="E11" s="18">
        <f>'C-1 P4'!$F$11-'C-3 P3'!F11</f>
        <v>0</v>
      </c>
      <c r="F11" s="18">
        <f>'C-1 P4'!$G$11-'C-3 P3'!G11</f>
        <v>0</v>
      </c>
      <c r="G11" s="18">
        <f>'C-1 P4'!$H$11-'C-3 P3'!H11</f>
        <v>0</v>
      </c>
      <c r="H11" s="18">
        <f>'C-1 P4'!$I$11-'C-3 P3'!I11</f>
        <v>0</v>
      </c>
      <c r="I11" s="18">
        <f>'C-1 P4'!$J$11-'C-3 P3'!J11</f>
        <v>0</v>
      </c>
      <c r="J11" s="18">
        <f>'C-1 P4'!$K$11-'C-3 P3'!K11</f>
        <v>0</v>
      </c>
      <c r="K11" s="18">
        <f>'C-1 P4'!$L$11-'C-3 P3'!L11</f>
        <v>0</v>
      </c>
      <c r="L11" s="18">
        <f>'C-1 P4'!$M$11-'C-3 P3'!M11</f>
        <v>0</v>
      </c>
      <c r="M11" s="18">
        <f>'C-1 P4'!$N$11-'C-3 P3'!N11</f>
        <v>0</v>
      </c>
      <c r="N11" s="18">
        <f>'C-1 P4'!$O$11-'C-3 P3'!O11</f>
        <v>0</v>
      </c>
      <c r="O11" s="18">
        <f>'C-1 P4'!$P$11-'C-3 P3'!P11</f>
        <v>0</v>
      </c>
      <c r="P11" s="16">
        <f>SUM(D11:O11)</f>
        <v>0</v>
      </c>
    </row>
    <row r="12" spans="1:16">
      <c r="A12" s="20">
        <f>A11+1</f>
        <v>2</v>
      </c>
      <c r="B12" s="20" t="s">
        <v>400</v>
      </c>
      <c r="C12" s="2" t="s">
        <v>401</v>
      </c>
      <c r="D12" s="18">
        <f>'C-1 P4'!$E$12-'C-3 P3'!E12</f>
        <v>0</v>
      </c>
      <c r="E12" s="18">
        <f>'C-1 P4'!$F$12-'C-3 P3'!F12</f>
        <v>0</v>
      </c>
      <c r="F12" s="18">
        <f>'C-1 P4'!$G$12-'C-3 P3'!G12</f>
        <v>0</v>
      </c>
      <c r="G12" s="18">
        <f>'C-1 P4'!$H$12-'C-3 P3'!H12</f>
        <v>0</v>
      </c>
      <c r="H12" s="18">
        <f>'C-1 P4'!$I$12-'C-3 P3'!I12</f>
        <v>0</v>
      </c>
      <c r="I12" s="18">
        <f>'C-1 P4'!$J$12-'C-3 P3'!J12</f>
        <v>0</v>
      </c>
      <c r="J12" s="18">
        <f>'C-1 P4'!$K$12-'C-3 P3'!K12</f>
        <v>0</v>
      </c>
      <c r="K12" s="18">
        <f>'C-1 P4'!$L$12-'C-3 P3'!L12</f>
        <v>0</v>
      </c>
      <c r="L12" s="18">
        <f>'C-1 P4'!$M$12-'C-3 P3'!M12</f>
        <v>0</v>
      </c>
      <c r="M12" s="18">
        <f>'C-1 P4'!$N$12-'C-3 P3'!N12</f>
        <v>0</v>
      </c>
      <c r="N12" s="18">
        <f>'C-1 P4'!$O$12-'C-3 P3'!O12</f>
        <v>0</v>
      </c>
      <c r="O12" s="18">
        <f>'C-1 P4'!$P$12-'C-3 P3'!P12</f>
        <v>0</v>
      </c>
      <c r="P12" s="16">
        <f t="shared" ref="P12:P48" si="0">SUM(D12:O12)</f>
        <v>0</v>
      </c>
    </row>
    <row r="13" spans="1:16">
      <c r="A13" s="20">
        <f t="shared" ref="A13:A49" si="1">A12+1</f>
        <v>3</v>
      </c>
      <c r="B13" s="20" t="s">
        <v>402</v>
      </c>
      <c r="C13" s="2" t="s">
        <v>403</v>
      </c>
      <c r="D13" s="18">
        <f>'C-1 P4'!$E$13-'C-3 P3'!E13</f>
        <v>0</v>
      </c>
      <c r="E13" s="18">
        <f>'C-1 P4'!$F$13-'C-3 P3'!F13</f>
        <v>0</v>
      </c>
      <c r="F13" s="18">
        <f>'C-1 P4'!$G$13-'C-3 P3'!G13</f>
        <v>0</v>
      </c>
      <c r="G13" s="18">
        <f>'C-1 P4'!$H$13-'C-3 P3'!H13</f>
        <v>0</v>
      </c>
      <c r="H13" s="18">
        <f>'C-1 P4'!$I$13-'C-3 P3'!I13</f>
        <v>0</v>
      </c>
      <c r="I13" s="18">
        <f>'C-1 P4'!$J$13-'C-3 P3'!J13</f>
        <v>0</v>
      </c>
      <c r="J13" s="18">
        <f>'C-1 P4'!$K$13-'C-3 P3'!K13</f>
        <v>0</v>
      </c>
      <c r="K13" s="18">
        <f>'C-1 P4'!$L$13-'C-3 P3'!L13</f>
        <v>0</v>
      </c>
      <c r="L13" s="18">
        <f>'C-1 P4'!$M$13-'C-3 P3'!M13</f>
        <v>0</v>
      </c>
      <c r="M13" s="18">
        <f>'C-1 P4'!$N$13-'C-3 P3'!N13</f>
        <v>0</v>
      </c>
      <c r="N13" s="18">
        <f>'C-1 P4'!$O$13-'C-3 P3'!O13</f>
        <v>0</v>
      </c>
      <c r="O13" s="18">
        <f>'C-1 P4'!$P$13-'C-3 P3'!P13</f>
        <v>0</v>
      </c>
      <c r="P13" s="16">
        <f t="shared" si="0"/>
        <v>0</v>
      </c>
    </row>
    <row r="14" spans="1:16">
      <c r="A14" s="20">
        <f t="shared" si="1"/>
        <v>4</v>
      </c>
      <c r="B14" s="20" t="s">
        <v>404</v>
      </c>
      <c r="C14" s="2" t="s">
        <v>405</v>
      </c>
      <c r="D14" s="18">
        <f>'C-1 P4'!$E$14-'C-3 P3'!E14</f>
        <v>0</v>
      </c>
      <c r="E14" s="18">
        <f>'C-1 P4'!$F$14-'C-3 P3'!F14</f>
        <v>0</v>
      </c>
      <c r="F14" s="18">
        <f>'C-1 P4'!$G$14-'C-3 P3'!G14</f>
        <v>0</v>
      </c>
      <c r="G14" s="18">
        <f>'C-1 P4'!$H$14-'C-3 P3'!H14</f>
        <v>0</v>
      </c>
      <c r="H14" s="18">
        <f>'C-1 P4'!$I$14-'C-3 P3'!I14</f>
        <v>0</v>
      </c>
      <c r="I14" s="18">
        <f>'C-1 P4'!$J$14-'C-3 P3'!J14</f>
        <v>0</v>
      </c>
      <c r="J14" s="18">
        <f>'C-1 P4'!$K$14-'C-3 P3'!K14</f>
        <v>0</v>
      </c>
      <c r="K14" s="18">
        <f>'C-1 P4'!$L$14-'C-3 P3'!L14</f>
        <v>0</v>
      </c>
      <c r="L14" s="18">
        <f>'C-1 P4'!$M$14-'C-3 P3'!M14</f>
        <v>0</v>
      </c>
      <c r="M14" s="18">
        <f>'C-1 P4'!$N$14-'C-3 P3'!N14</f>
        <v>0</v>
      </c>
      <c r="N14" s="18">
        <f>'C-1 P4'!$O$14-'C-3 P3'!O14</f>
        <v>0</v>
      </c>
      <c r="O14" s="18">
        <f>'C-1 P4'!$P$14-'C-3 P3'!P14</f>
        <v>0</v>
      </c>
      <c r="P14" s="16">
        <f t="shared" si="0"/>
        <v>0</v>
      </c>
    </row>
    <row r="15" spans="1:16">
      <c r="A15" s="20">
        <f t="shared" si="1"/>
        <v>5</v>
      </c>
      <c r="B15" s="20" t="s">
        <v>406</v>
      </c>
      <c r="C15" s="2" t="s">
        <v>407</v>
      </c>
      <c r="D15" s="18">
        <f>'C-1 P4'!$E$15-'C-3 P3'!E15</f>
        <v>-1469.9124658333333</v>
      </c>
      <c r="E15" s="18">
        <f>'C-1 P4'!$F$15-'C-3 P3'!F15</f>
        <v>-1469.9124658333333</v>
      </c>
      <c r="F15" s="18">
        <f>'C-1 P4'!$G$15-'C-3 P3'!G15</f>
        <v>-1469.9124658333333</v>
      </c>
      <c r="G15" s="18">
        <f>'C-1 P4'!$H$15-'C-3 P3'!H15</f>
        <v>-1469.9124658333333</v>
      </c>
      <c r="H15" s="18">
        <f>'C-1 P4'!$I$15-'C-3 P3'!I15</f>
        <v>-1469.9124658333333</v>
      </c>
      <c r="I15" s="18">
        <f>'C-1 P4'!$J$15-'C-3 P3'!J15</f>
        <v>-1469.9124658333333</v>
      </c>
      <c r="J15" s="18">
        <f>'C-1 P4'!$K$15-'C-3 P3'!K15</f>
        <v>-1469.9124658333333</v>
      </c>
      <c r="K15" s="18">
        <f>'C-1 P4'!$L$15-'C-3 P3'!L15</f>
        <v>-1469.9124658333333</v>
      </c>
      <c r="L15" s="18">
        <f>'C-1 P4'!$M$15-'C-3 P3'!M15</f>
        <v>-1469.9124658333333</v>
      </c>
      <c r="M15" s="18">
        <f>'C-1 P4'!$N$15-'C-3 P3'!N15</f>
        <v>-1469.9124658333333</v>
      </c>
      <c r="N15" s="18">
        <f>'C-1 P4'!$O$15-'C-3 P3'!O15</f>
        <v>-1469.9124658333333</v>
      </c>
      <c r="O15" s="18">
        <f>'C-1 P4'!$P$15-'C-3 P3'!P15</f>
        <v>-1469.9124658333333</v>
      </c>
      <c r="P15" s="16">
        <f t="shared" si="0"/>
        <v>-17638.94959</v>
      </c>
    </row>
    <row r="16" spans="1:16">
      <c r="A16" s="20">
        <f t="shared" si="1"/>
        <v>6</v>
      </c>
      <c r="B16" s="20" t="s">
        <v>408</v>
      </c>
      <c r="C16" s="2" t="s">
        <v>405</v>
      </c>
      <c r="D16" s="18">
        <f>'C-1 P4'!$E$16-'C-3 P3'!E16</f>
        <v>395.9894075000002</v>
      </c>
      <c r="E16" s="18">
        <f>'C-1 P4'!$F$16-'C-3 P3'!F16</f>
        <v>395.9894075000002</v>
      </c>
      <c r="F16" s="18">
        <f>'C-1 P4'!$G$16-'C-3 P3'!G16</f>
        <v>395.9894075000002</v>
      </c>
      <c r="G16" s="18">
        <f>'C-1 P4'!$H$16-'C-3 P3'!H16</f>
        <v>395.9894075000002</v>
      </c>
      <c r="H16" s="18">
        <f>'C-1 P4'!$I$16-'C-3 P3'!I16</f>
        <v>395.9894075000002</v>
      </c>
      <c r="I16" s="18">
        <f>'C-1 P4'!$J$16-'C-3 P3'!J16</f>
        <v>395.9894075000002</v>
      </c>
      <c r="J16" s="18">
        <f>'C-1 P4'!$K$16-'C-3 P3'!K16</f>
        <v>395.9894075000002</v>
      </c>
      <c r="K16" s="18">
        <f>'C-1 P4'!$L$16-'C-3 P3'!L16</f>
        <v>395.9894075000002</v>
      </c>
      <c r="L16" s="18">
        <f>'C-1 P4'!$M$16-'C-3 P3'!M16</f>
        <v>395.9894075000002</v>
      </c>
      <c r="M16" s="18">
        <f>'C-1 P4'!$N$16-'C-3 P3'!N16</f>
        <v>395.9894075000002</v>
      </c>
      <c r="N16" s="18">
        <f>'C-1 P4'!$O$16-'C-3 P3'!O16</f>
        <v>395.9894075000002</v>
      </c>
      <c r="O16" s="18">
        <f>'C-1 P4'!$P$16-'C-3 P3'!P16</f>
        <v>395.9894075000002</v>
      </c>
      <c r="P16" s="16">
        <f t="shared" si="0"/>
        <v>4751.8728900000024</v>
      </c>
    </row>
    <row r="17" spans="1:16">
      <c r="A17" s="20">
        <f t="shared" si="1"/>
        <v>7</v>
      </c>
      <c r="B17" s="20">
        <v>3761</v>
      </c>
      <c r="C17" s="2" t="s">
        <v>409</v>
      </c>
      <c r="D17" s="18">
        <f>'C-1 P4'!$E$17-'C-3 P3'!E17</f>
        <v>-62365.86512000006</v>
      </c>
      <c r="E17" s="18">
        <f>'C-1 P4'!$F$17-'C-3 P3'!F17</f>
        <v>-62470.574630000046</v>
      </c>
      <c r="F17" s="18">
        <f>'C-1 P4'!$G$17-'C-3 P3'!G17</f>
        <v>-62601.259350000037</v>
      </c>
      <c r="G17" s="18">
        <f>'C-1 P4'!$H$17-'C-3 P3'!H17</f>
        <v>-62757.917790000065</v>
      </c>
      <c r="H17" s="18">
        <f>'C-1 P4'!$I$17-'C-3 P3'!I17</f>
        <v>-62992.500360000035</v>
      </c>
      <c r="I17" s="18">
        <f>'C-1 P4'!$J$17-'C-3 P3'!J17</f>
        <v>-63227.082930000033</v>
      </c>
      <c r="J17" s="18">
        <f>'C-1 P4'!$K$17-'C-3 P3'!K17</f>
        <v>-63461.665500000032</v>
      </c>
      <c r="K17" s="18">
        <f>'C-1 P4'!$L$17-'C-3 P3'!L17</f>
        <v>-63722.222790000058</v>
      </c>
      <c r="L17" s="18">
        <f>'C-1 P4'!$M$17-'C-3 P3'!M17</f>
        <v>-63982.780080000055</v>
      </c>
      <c r="M17" s="18">
        <f>'C-1 P4'!$N$17-'C-3 P3'!N17</f>
        <v>-65189.984370000049</v>
      </c>
      <c r="N17" s="18">
        <f>'C-1 P4'!$O$17-'C-3 P3'!O17</f>
        <v>-65450.541660000046</v>
      </c>
      <c r="O17" s="18">
        <f>'C-1 P4'!$P$17-'C-3 P3'!P17</f>
        <v>-65685.567105000053</v>
      </c>
      <c r="P17" s="16">
        <f t="shared" si="0"/>
        <v>-763907.96168500057</v>
      </c>
    </row>
    <row r="18" spans="1:16">
      <c r="A18" s="20">
        <f t="shared" si="1"/>
        <v>8</v>
      </c>
      <c r="B18" s="20">
        <v>3762</v>
      </c>
      <c r="C18" s="2" t="s">
        <v>410</v>
      </c>
      <c r="D18" s="18">
        <f>'C-1 P4'!$E$18-'C-3 P3'!E18</f>
        <v>-5152.0182416666357</v>
      </c>
      <c r="E18" s="18">
        <f>'C-1 P4'!$F$18-'C-3 P3'!F18</f>
        <v>-5152.0182416666357</v>
      </c>
      <c r="F18" s="18">
        <f>'C-1 P4'!$G$18-'C-3 P3'!G18</f>
        <v>-5152.0182416666357</v>
      </c>
      <c r="G18" s="18">
        <f>'C-1 P4'!$H$18-'C-3 P3'!H18</f>
        <v>-5151.7754916666454</v>
      </c>
      <c r="H18" s="18">
        <f>'C-1 P4'!$I$18-'C-3 P3'!I18</f>
        <v>-5151.7754916666454</v>
      </c>
      <c r="I18" s="18">
        <f>'C-1 P4'!$J$18-'C-3 P3'!J18</f>
        <v>-5151.7754916666454</v>
      </c>
      <c r="J18" s="18">
        <f>'C-1 P4'!$K$18-'C-3 P3'!K18</f>
        <v>-5151.5327416666551</v>
      </c>
      <c r="K18" s="18">
        <f>'C-1 P4'!$L$18-'C-3 P3'!L18</f>
        <v>-5151.5327416666551</v>
      </c>
      <c r="L18" s="18">
        <f>'C-1 P4'!$M$18-'C-3 P3'!M18</f>
        <v>-5151.5327416666551</v>
      </c>
      <c r="M18" s="18">
        <f>'C-1 P4'!$N$18-'C-3 P3'!N18</f>
        <v>-5151.5327416666551</v>
      </c>
      <c r="N18" s="18">
        <f>'C-1 P4'!$O$18-'C-3 P3'!O18</f>
        <v>-5151.5327416666551</v>
      </c>
      <c r="O18" s="18">
        <f>'C-1 P4'!$P$18-'C-3 P3'!P18</f>
        <v>-5151.5327416666551</v>
      </c>
      <c r="P18" s="16">
        <f t="shared" si="0"/>
        <v>-61820.577649999774</v>
      </c>
    </row>
    <row r="19" spans="1:16">
      <c r="A19" s="20">
        <f t="shared" si="1"/>
        <v>9</v>
      </c>
      <c r="B19" s="20" t="s">
        <v>411</v>
      </c>
      <c r="C19" s="2" t="s">
        <v>412</v>
      </c>
      <c r="D19" s="18">
        <f>'C-1 P4'!$E$19-'C-3 P3'!E19</f>
        <v>-48964.224209999986</v>
      </c>
      <c r="E19" s="18">
        <f>'C-1 P4'!$F$19-'C-3 P3'!F19</f>
        <v>-48964.224209999986</v>
      </c>
      <c r="F19" s="18">
        <f>'C-1 P4'!$G$19-'C-3 P3'!G19</f>
        <v>-48964.224209999986</v>
      </c>
      <c r="G19" s="18">
        <f>'C-1 P4'!$H$19-'C-3 P3'!H19</f>
        <v>-48964.224209999986</v>
      </c>
      <c r="H19" s="18">
        <f>'C-1 P4'!$I$19-'C-3 P3'!I19</f>
        <v>-48964.224209999986</v>
      </c>
      <c r="I19" s="18">
        <f>'C-1 P4'!$J$19-'C-3 P3'!J19</f>
        <v>-48964.224209999986</v>
      </c>
      <c r="J19" s="18">
        <f>'C-1 P4'!$K$19-'C-3 P3'!K19</f>
        <v>-48964.224209999986</v>
      </c>
      <c r="K19" s="18">
        <f>'C-1 P4'!$L$19-'C-3 P3'!L19</f>
        <v>-48964.224209999986</v>
      </c>
      <c r="L19" s="18">
        <f>'C-1 P4'!$M$19-'C-3 P3'!M19</f>
        <v>-48964.224209999986</v>
      </c>
      <c r="M19" s="18">
        <f>'C-1 P4'!$N$19-'C-3 P3'!N19</f>
        <v>-48964.224209999986</v>
      </c>
      <c r="N19" s="18">
        <f>'C-1 P4'!$O$19-'C-3 P3'!O19</f>
        <v>-48964.224209999986</v>
      </c>
      <c r="O19" s="18">
        <f>'C-1 P4'!$P$19-'C-3 P3'!P19</f>
        <v>-48964.224209999986</v>
      </c>
      <c r="P19" s="16">
        <f t="shared" si="0"/>
        <v>-587570.69051999995</v>
      </c>
    </row>
    <row r="20" spans="1:16">
      <c r="A20" s="20">
        <f t="shared" si="1"/>
        <v>10</v>
      </c>
      <c r="B20" s="20" t="s">
        <v>413</v>
      </c>
      <c r="C20" s="2" t="s">
        <v>414</v>
      </c>
      <c r="D20" s="18">
        <f>'C-1 P4'!$E$20-'C-3 P3'!E20</f>
        <v>-7480.019159166668</v>
      </c>
      <c r="E20" s="18">
        <f>'C-1 P4'!$F$20-'C-3 P3'!F20</f>
        <v>-7542.6477641666679</v>
      </c>
      <c r="F20" s="18">
        <f>'C-1 P4'!$G$20-'C-3 P3'!G20</f>
        <v>-7626.1525708333356</v>
      </c>
      <c r="G20" s="18">
        <f>'C-1 P4'!$H$20-'C-3 P3'!H20</f>
        <v>-7730.5335683333342</v>
      </c>
      <c r="H20" s="18">
        <f>'C-1 P4'!$I$20-'C-3 P3'!I20</f>
        <v>-7897.5431708333363</v>
      </c>
      <c r="I20" s="18">
        <f>'C-1 P4'!$J$20-'C-3 P3'!J20</f>
        <v>-8064.5527733333347</v>
      </c>
      <c r="J20" s="18">
        <f>'C-1 P4'!$K$20-'C-3 P3'!K20</f>
        <v>-8231.5623758333368</v>
      </c>
      <c r="K20" s="18">
        <f>'C-1 P4'!$L$20-'C-3 P3'!L20</f>
        <v>-8419.448180000003</v>
      </c>
      <c r="L20" s="18">
        <f>'C-1 P4'!$M$20-'C-3 P3'!M20</f>
        <v>-8607.3339841666693</v>
      </c>
      <c r="M20" s="18">
        <f>'C-1 P4'!$N$20-'C-3 P3'!N20</f>
        <v>-8795.2197883333374</v>
      </c>
      <c r="N20" s="18">
        <f>'C-1 P4'!$O$20-'C-3 P3'!O20</f>
        <v>-8983.1055925000037</v>
      </c>
      <c r="O20" s="18">
        <f>'C-1 P4'!$P$20-'C-3 P3'!P20</f>
        <v>-9150.1151950000076</v>
      </c>
      <c r="P20" s="16">
        <f t="shared" si="0"/>
        <v>-98528.234122500042</v>
      </c>
    </row>
    <row r="21" spans="1:16">
      <c r="A21" s="20">
        <f t="shared" si="1"/>
        <v>11</v>
      </c>
      <c r="B21" s="20" t="s">
        <v>415</v>
      </c>
      <c r="C21" s="2" t="s">
        <v>416</v>
      </c>
      <c r="D21" s="18">
        <f>'C-1 P4'!$E$21-'C-3 P3'!E21</f>
        <v>-14066.853170000002</v>
      </c>
      <c r="E21" s="18">
        <f>'C-1 P4'!$F$21-'C-3 P3'!F21</f>
        <v>-14066.853170000002</v>
      </c>
      <c r="F21" s="18">
        <f>'C-1 P4'!$G$21-'C-3 P3'!G21</f>
        <v>-14066.853170000002</v>
      </c>
      <c r="G21" s="18">
        <f>'C-1 P4'!$H$21-'C-3 P3'!H21</f>
        <v>-14066.853170000002</v>
      </c>
      <c r="H21" s="18">
        <f>'C-1 P4'!$I$21-'C-3 P3'!I21</f>
        <v>-14066.853170000002</v>
      </c>
      <c r="I21" s="18">
        <f>'C-1 P4'!$J$21-'C-3 P3'!J21</f>
        <v>-14066.853170000002</v>
      </c>
      <c r="J21" s="18">
        <f>'C-1 P4'!$K$21-'C-3 P3'!K21</f>
        <v>-14066.853170000002</v>
      </c>
      <c r="K21" s="18">
        <f>'C-1 P4'!$L$21-'C-3 P3'!L21</f>
        <v>-14066.853170000002</v>
      </c>
      <c r="L21" s="18">
        <f>'C-1 P4'!$M$21-'C-3 P3'!M21</f>
        <v>-14066.853170000002</v>
      </c>
      <c r="M21" s="18">
        <f>'C-1 P4'!$N$21-'C-3 P3'!N21</f>
        <v>-14066.853170000002</v>
      </c>
      <c r="N21" s="18">
        <f>'C-1 P4'!$O$21-'C-3 P3'!O21</f>
        <v>-14066.853170000002</v>
      </c>
      <c r="O21" s="18">
        <f>'C-1 P4'!$P$21-'C-3 P3'!P21</f>
        <v>-14066.853170000002</v>
      </c>
      <c r="P21" s="16">
        <f t="shared" si="0"/>
        <v>-168802.23804000003</v>
      </c>
    </row>
    <row r="22" spans="1:16">
      <c r="A22" s="20">
        <f t="shared" si="1"/>
        <v>12</v>
      </c>
      <c r="B22" s="20">
        <v>3801</v>
      </c>
      <c r="C22" s="2" t="s">
        <v>417</v>
      </c>
      <c r="D22" s="18">
        <f>'C-1 P4'!$E$22-'C-3 P3'!E22</f>
        <v>0</v>
      </c>
      <c r="E22" s="18">
        <f>'C-1 P4'!$F$22-'C-3 P3'!F22</f>
        <v>0</v>
      </c>
      <c r="F22" s="18">
        <f>'C-1 P4'!$G$22-'C-3 P3'!G22</f>
        <v>0</v>
      </c>
      <c r="G22" s="18">
        <f>'C-1 P4'!$H$22-'C-3 P3'!H22</f>
        <v>0</v>
      </c>
      <c r="H22" s="18">
        <f>'C-1 P4'!$I$22-'C-3 P3'!I22</f>
        <v>0</v>
      </c>
      <c r="I22" s="18">
        <f>'C-1 P4'!$J$22-'C-3 P3'!J22</f>
        <v>0</v>
      </c>
      <c r="J22" s="18">
        <f>'C-1 P4'!$K$22-'C-3 P3'!K22</f>
        <v>0</v>
      </c>
      <c r="K22" s="18">
        <f>'C-1 P4'!$L$22-'C-3 P3'!L22</f>
        <v>0</v>
      </c>
      <c r="L22" s="18">
        <f>'C-1 P4'!$M$22-'C-3 P3'!M22</f>
        <v>0</v>
      </c>
      <c r="M22" s="18">
        <f>'C-1 P4'!$N$22-'C-3 P3'!N22</f>
        <v>0</v>
      </c>
      <c r="N22" s="18">
        <f>'C-1 P4'!$O$22-'C-3 P3'!O22</f>
        <v>0</v>
      </c>
      <c r="O22" s="18">
        <f>'C-1 P4'!$P$22-'C-3 P3'!P22</f>
        <v>0</v>
      </c>
      <c r="P22" s="16">
        <f t="shared" si="0"/>
        <v>0</v>
      </c>
    </row>
    <row r="23" spans="1:16">
      <c r="A23" s="20">
        <f t="shared" si="1"/>
        <v>13</v>
      </c>
      <c r="B23" s="20">
        <v>3802</v>
      </c>
      <c r="C23" s="2" t="s">
        <v>418</v>
      </c>
      <c r="D23" s="18">
        <f>'C-1 P4'!$E$23-'C-3 P3'!E23</f>
        <v>-6177.3470266666682</v>
      </c>
      <c r="E23" s="18">
        <f>'C-1 P4'!$F$23-'C-3 P3'!F23</f>
        <v>-6177.3470266666682</v>
      </c>
      <c r="F23" s="18">
        <f>'C-1 P4'!$G$23-'C-3 P3'!G23</f>
        <v>-6177.3470266666682</v>
      </c>
      <c r="G23" s="18">
        <f>'C-1 P4'!$H$23-'C-3 P3'!H23</f>
        <v>-6177.3470266666682</v>
      </c>
      <c r="H23" s="18">
        <f>'C-1 P4'!$I$23-'C-3 P3'!I23</f>
        <v>-6177.3470266666682</v>
      </c>
      <c r="I23" s="18">
        <f>'C-1 P4'!$J$23-'C-3 P3'!J23</f>
        <v>-6177.3470266666682</v>
      </c>
      <c r="J23" s="18">
        <f>'C-1 P4'!$K$23-'C-3 P3'!K23</f>
        <v>-6177.3470266666682</v>
      </c>
      <c r="K23" s="18">
        <f>'C-1 P4'!$L$23-'C-3 P3'!L23</f>
        <v>-6177.3470266666682</v>
      </c>
      <c r="L23" s="18">
        <f>'C-1 P4'!$M$23-'C-3 P3'!M23</f>
        <v>-6177.3470266666682</v>
      </c>
      <c r="M23" s="18">
        <f>'C-1 P4'!$N$23-'C-3 P3'!N23</f>
        <v>-6177.3470266666682</v>
      </c>
      <c r="N23" s="18">
        <f>'C-1 P4'!$O$23-'C-3 P3'!O23</f>
        <v>-6177.3470266666682</v>
      </c>
      <c r="O23" s="18">
        <f>'C-1 P4'!$P$23-'C-3 P3'!P23</f>
        <v>-6177.3470266666682</v>
      </c>
      <c r="P23" s="16">
        <f t="shared" si="0"/>
        <v>-74128.164320000025</v>
      </c>
    </row>
    <row r="24" spans="1:16">
      <c r="A24" s="20">
        <f t="shared" si="1"/>
        <v>14</v>
      </c>
      <c r="B24" s="20" t="s">
        <v>419</v>
      </c>
      <c r="C24" s="2" t="s">
        <v>420</v>
      </c>
      <c r="D24" s="18">
        <f>'C-1 P4'!$E$24-'C-3 P3'!E24</f>
        <v>12248.457685000001</v>
      </c>
      <c r="E24" s="18">
        <f>'C-1 P4'!$F$24-'C-3 P3'!F24</f>
        <v>12248.457685000001</v>
      </c>
      <c r="F24" s="18">
        <f>'C-1 P4'!$G$24-'C-3 P3'!G24</f>
        <v>12248.457685000001</v>
      </c>
      <c r="G24" s="18">
        <f>'C-1 P4'!$H$24-'C-3 P3'!H24</f>
        <v>12248.457685000001</v>
      </c>
      <c r="H24" s="18">
        <f>'C-1 P4'!$I$24-'C-3 P3'!I24</f>
        <v>12248.457685000001</v>
      </c>
      <c r="I24" s="18">
        <f>'C-1 P4'!$J$24-'C-3 P3'!J24</f>
        <v>12248.457685000001</v>
      </c>
      <c r="J24" s="18">
        <f>'C-1 P4'!$K$24-'C-3 P3'!K24</f>
        <v>12248.457685000001</v>
      </c>
      <c r="K24" s="18">
        <f>'C-1 P4'!$L$24-'C-3 P3'!L24</f>
        <v>12248.457685000001</v>
      </c>
      <c r="L24" s="18">
        <f>'C-1 P4'!$M$24-'C-3 P3'!M24</f>
        <v>12248.457685000001</v>
      </c>
      <c r="M24" s="18">
        <f>'C-1 P4'!$N$24-'C-3 P3'!N24</f>
        <v>12248.457685000001</v>
      </c>
      <c r="N24" s="18">
        <f>'C-1 P4'!$O$24-'C-3 P3'!O24</f>
        <v>12248.457685000001</v>
      </c>
      <c r="O24" s="18">
        <f>'C-1 P4'!$P$24-'C-3 P3'!P24</f>
        <v>12248.457685000001</v>
      </c>
      <c r="P24" s="16">
        <f t="shared" si="0"/>
        <v>146981.49222000001</v>
      </c>
    </row>
    <row r="25" spans="1:16">
      <c r="A25" s="20">
        <f t="shared" si="1"/>
        <v>15</v>
      </c>
      <c r="B25" s="20" t="s">
        <v>421</v>
      </c>
      <c r="C25" s="2" t="s">
        <v>422</v>
      </c>
      <c r="D25" s="18">
        <f>'C-1 P4'!$E$25-'C-3 P3'!E25</f>
        <v>3878.0097164321924</v>
      </c>
      <c r="E25" s="18">
        <f>'C-1 P4'!$F$25-'C-3 P3'!F25</f>
        <v>3882.814762275244</v>
      </c>
      <c r="F25" s="18">
        <f>'C-1 P4'!$G$25-'C-3 P3'!G25</f>
        <v>3889.2115130181919</v>
      </c>
      <c r="G25" s="18">
        <f>'C-1 P4'!$H$25-'C-3 P3'!H25</f>
        <v>3897.1998019943858</v>
      </c>
      <c r="H25" s="18">
        <f>'C-1 P4'!$I$25-'C-3 P3'!I25</f>
        <v>3909.962872336997</v>
      </c>
      <c r="I25" s="18">
        <f>'C-1 P4'!$J$25-'C-3 P3'!J25</f>
        <v>3922.725942679579</v>
      </c>
      <c r="J25" s="18">
        <f>'C-1 P4'!$K$25-'C-3 P3'!K25</f>
        <v>3935.4890130221902</v>
      </c>
      <c r="K25" s="18">
        <f>'C-1 P4'!$L$25-'C-3 P3'!L25</f>
        <v>3949.8437882647122</v>
      </c>
      <c r="L25" s="18">
        <f>'C-1 P4'!$M$25-'C-3 P3'!M25</f>
        <v>3964.1985635072342</v>
      </c>
      <c r="M25" s="18">
        <f>'C-1 P4'!$N$25-'C-3 P3'!N25</f>
        <v>3978.5533387497417</v>
      </c>
      <c r="N25" s="18">
        <f>'C-1 P4'!$O$25-'C-3 P3'!O25</f>
        <v>3992.9081139922491</v>
      </c>
      <c r="O25" s="18">
        <f>'C-1 P4'!$P$25-'C-3 P3'!P25</f>
        <v>4005.6711843348603</v>
      </c>
      <c r="P25" s="16">
        <f t="shared" si="0"/>
        <v>47206.588610607578</v>
      </c>
    </row>
    <row r="26" spans="1:16">
      <c r="A26" s="20">
        <f t="shared" si="1"/>
        <v>16</v>
      </c>
      <c r="B26" s="20">
        <v>3811</v>
      </c>
      <c r="C26" s="2" t="s">
        <v>423</v>
      </c>
      <c r="D26" s="18">
        <f>'C-1 P4'!$E$26-'C-3 P3'!E26</f>
        <v>-3727.559166666666</v>
      </c>
      <c r="E26" s="18">
        <f>'C-1 P4'!$F$26-'C-3 P3'!F26</f>
        <v>-3727.559166666666</v>
      </c>
      <c r="F26" s="18">
        <f>'C-1 P4'!$G$26-'C-3 P3'!G26</f>
        <v>-3727.559166666666</v>
      </c>
      <c r="G26" s="18">
        <f>'C-1 P4'!$H$26-'C-3 P3'!H26</f>
        <v>-3727.559166666666</v>
      </c>
      <c r="H26" s="18">
        <f>'C-1 P4'!$I$26-'C-3 P3'!I26</f>
        <v>-3727.559166666666</v>
      </c>
      <c r="I26" s="18">
        <f>'C-1 P4'!$J$26-'C-3 P3'!J26</f>
        <v>-3727.559166666666</v>
      </c>
      <c r="J26" s="18">
        <f>'C-1 P4'!$K$26-'C-3 P3'!K26</f>
        <v>-3727.559166666666</v>
      </c>
      <c r="K26" s="18">
        <f>'C-1 P4'!$L$26-'C-3 P3'!L26</f>
        <v>-3727.559166666666</v>
      </c>
      <c r="L26" s="18">
        <f>'C-1 P4'!$M$26-'C-3 P3'!M26</f>
        <v>-3727.559166666666</v>
      </c>
      <c r="M26" s="18">
        <f>'C-1 P4'!$N$26-'C-3 P3'!N26</f>
        <v>-3727.559166666666</v>
      </c>
      <c r="N26" s="18">
        <f>'C-1 P4'!$O$26-'C-3 P3'!O26</f>
        <v>-3727.559166666666</v>
      </c>
      <c r="O26" s="18">
        <f>'C-1 P4'!$P$26-'C-3 P3'!P26</f>
        <v>-3727.559166666666</v>
      </c>
      <c r="P26" s="16">
        <f t="shared" si="0"/>
        <v>-44730.709999999992</v>
      </c>
    </row>
    <row r="27" spans="1:16">
      <c r="A27" s="20">
        <f t="shared" si="1"/>
        <v>17</v>
      </c>
      <c r="B27" s="20" t="s">
        <v>424</v>
      </c>
      <c r="C27" s="2" t="s">
        <v>425</v>
      </c>
      <c r="D27" s="18">
        <f>'C-1 P4'!$E$27-'C-3 P3'!E27</f>
        <v>-9119.9613887476444</v>
      </c>
      <c r="E27" s="18">
        <f>'C-1 P4'!$F$27-'C-3 P3'!F27</f>
        <v>-9125.4363012963222</v>
      </c>
      <c r="F27" s="18">
        <f>'C-1 P4'!$G$27-'C-3 P3'!G27</f>
        <v>-9131.9950128251003</v>
      </c>
      <c r="G27" s="18">
        <f>'C-1 P4'!$H$27-'C-3 P3'!H27</f>
        <v>-9139.6375233339859</v>
      </c>
      <c r="H27" s="18">
        <f>'C-1 P4'!$I$27-'C-3 P3'!I27</f>
        <v>-9150.5314307831868</v>
      </c>
      <c r="I27" s="18">
        <f>'C-1 P4'!$J$27-'C-3 P3'!J27</f>
        <v>-9161.4253382323877</v>
      </c>
      <c r="J27" s="18">
        <f>'C-1 P4'!$K$27-'C-3 P3'!K27</f>
        <v>-9172.3192456815814</v>
      </c>
      <c r="K27" s="18">
        <f>'C-1 P4'!$L$27-'C-3 P3'!L27</f>
        <v>-9184.2969521108898</v>
      </c>
      <c r="L27" s="18">
        <f>'C-1 P4'!$M$27-'C-3 P3'!M27</f>
        <v>-9196.274658540191</v>
      </c>
      <c r="M27" s="18">
        <f>'C-1 P4'!$N$27-'C-3 P3'!N27</f>
        <v>-9208.2523649695067</v>
      </c>
      <c r="N27" s="18">
        <f>'C-1 P4'!$O$27-'C-3 P3'!O27</f>
        <v>-9220.2300713988079</v>
      </c>
      <c r="O27" s="18">
        <f>'C-1 P4'!$P$27-'C-3 P3'!P27</f>
        <v>-9231.1239788480161</v>
      </c>
      <c r="P27" s="16">
        <f t="shared" si="0"/>
        <v>-110041.48426676763</v>
      </c>
    </row>
    <row r="28" spans="1:16">
      <c r="A28" s="20">
        <f t="shared" si="1"/>
        <v>18</v>
      </c>
      <c r="B28" s="20">
        <v>3821</v>
      </c>
      <c r="C28" s="2" t="s">
        <v>426</v>
      </c>
      <c r="D28" s="18">
        <f>'C-1 P4'!$E$28-'C-3 P3'!E28</f>
        <v>-197.68002999999999</v>
      </c>
      <c r="E28" s="18">
        <f>'C-1 P4'!$F$28-'C-3 P3'!F28</f>
        <v>-197.68002999999999</v>
      </c>
      <c r="F28" s="18">
        <f>'C-1 P4'!$G$28-'C-3 P3'!G28</f>
        <v>-197.68002999999999</v>
      </c>
      <c r="G28" s="18">
        <f>'C-1 P4'!$H$28-'C-3 P3'!H28</f>
        <v>-197.68002999999999</v>
      </c>
      <c r="H28" s="18">
        <f>'C-1 P4'!$I$28-'C-3 P3'!I28</f>
        <v>-197.68002999999999</v>
      </c>
      <c r="I28" s="18">
        <f>'C-1 P4'!$J$28-'C-3 P3'!J28</f>
        <v>-197.68002999999999</v>
      </c>
      <c r="J28" s="18">
        <f>'C-1 P4'!$K$28-'C-3 P3'!K28</f>
        <v>-197.68002999999999</v>
      </c>
      <c r="K28" s="18">
        <f>'C-1 P4'!$L$28-'C-3 P3'!L28</f>
        <v>-197.68002999999999</v>
      </c>
      <c r="L28" s="18">
        <f>'C-1 P4'!$M$28-'C-3 P3'!M28</f>
        <v>-197.68002999999999</v>
      </c>
      <c r="M28" s="18">
        <f>'C-1 P4'!$N$28-'C-3 P3'!N28</f>
        <v>-197.68002999999999</v>
      </c>
      <c r="N28" s="18">
        <f>'C-1 P4'!$O$28-'C-3 P3'!O28</f>
        <v>-197.68002999999999</v>
      </c>
      <c r="O28" s="18">
        <f>'C-1 P4'!$P$28-'C-3 P3'!P28</f>
        <v>-197.68002999999999</v>
      </c>
      <c r="P28" s="16">
        <f t="shared" si="0"/>
        <v>-2372.1603599999999</v>
      </c>
    </row>
    <row r="29" spans="1:16">
      <c r="A29" s="20">
        <f t="shared" si="1"/>
        <v>19</v>
      </c>
      <c r="B29" s="20" t="s">
        <v>427</v>
      </c>
      <c r="C29" s="2" t="s">
        <v>428</v>
      </c>
      <c r="D29" s="18">
        <f>'C-1 P4'!$E$29-'C-3 P3'!E29</f>
        <v>-7430.7007429126752</v>
      </c>
      <c r="E29" s="18">
        <f>'C-1 P4'!$F$29-'C-3 P3'!F29</f>
        <v>-7438.3411258091455</v>
      </c>
      <c r="F29" s="18">
        <f>'C-1 P4'!$G$29-'C-3 P3'!G29</f>
        <v>-7447.5516485931203</v>
      </c>
      <c r="G29" s="18">
        <f>'C-1 P4'!$H$29-'C-3 P3'!H29</f>
        <v>-7458.3312279312686</v>
      </c>
      <c r="H29" s="18">
        <f>'C-1 P4'!$I$29-'C-3 P3'!I29</f>
        <v>-7473.8201435985939</v>
      </c>
      <c r="I29" s="18">
        <f>'C-1 P4'!$J$29-'C-3 P3'!J29</f>
        <v>-7489.3090592659191</v>
      </c>
      <c r="J29" s="18">
        <f>'C-1 P4'!$K$29-'C-3 P3'!K29</f>
        <v>-7504.7979749332426</v>
      </c>
      <c r="K29" s="18">
        <f>'C-1 P4'!$L$29-'C-3 P3'!L29</f>
        <v>-7521.8559471547433</v>
      </c>
      <c r="L29" s="18">
        <f>'C-1 P4'!$M$29-'C-3 P3'!M29</f>
        <v>-7538.9139193762403</v>
      </c>
      <c r="M29" s="18">
        <f>'C-1 P4'!$N$29-'C-3 P3'!N29</f>
        <v>-7555.9718915977337</v>
      </c>
      <c r="N29" s="18">
        <f>'C-1 P4'!$O$29-'C-3 P3'!O29</f>
        <v>-7573.029863819238</v>
      </c>
      <c r="O29" s="18">
        <f>'C-1 P4'!$P$29-'C-3 P3'!P29</f>
        <v>-7588.5187794865615</v>
      </c>
      <c r="P29" s="16">
        <f t="shared" si="0"/>
        <v>-90021.142324478467</v>
      </c>
    </row>
    <row r="30" spans="1:16">
      <c r="A30" s="20">
        <f t="shared" si="1"/>
        <v>20</v>
      </c>
      <c r="B30" s="20" t="s">
        <v>429</v>
      </c>
      <c r="C30" s="2" t="s">
        <v>430</v>
      </c>
      <c r="D30" s="18">
        <f>'C-1 P4'!$E$30-'C-3 P3'!E30</f>
        <v>-180.23314995361307</v>
      </c>
      <c r="E30" s="18">
        <f>'C-1 P4'!$F$30-'C-3 P3'!F30</f>
        <v>-180.43592449245261</v>
      </c>
      <c r="F30" s="18">
        <f>'C-1 P4'!$G$30-'C-3 P3'!G30</f>
        <v>-180.67883973425933</v>
      </c>
      <c r="G30" s="18">
        <f>'C-1 P4'!$H$30-'C-3 P3'!H30</f>
        <v>-180.9618956790332</v>
      </c>
      <c r="H30" s="18">
        <f>'C-1 P4'!$I$30-'C-3 P3'!I30</f>
        <v>-181.36537373270676</v>
      </c>
      <c r="I30" s="18">
        <f>'C-1 P4'!$J$30-'C-3 P3'!J30</f>
        <v>-181.76885178638031</v>
      </c>
      <c r="J30" s="18">
        <f>'C-1 P4'!$K$30-'C-3 P3'!K30</f>
        <v>-182.17232984005432</v>
      </c>
      <c r="K30" s="18">
        <f>'C-1 P4'!$L$30-'C-3 P3'!L30</f>
        <v>-182.61594859669503</v>
      </c>
      <c r="L30" s="18">
        <f>'C-1 P4'!$M$30-'C-3 P3'!M30</f>
        <v>-183.05956735333621</v>
      </c>
      <c r="M30" s="18">
        <f>'C-1 P4'!$N$30-'C-3 P3'!N30</f>
        <v>-183.50318610997647</v>
      </c>
      <c r="N30" s="18">
        <f>'C-1 P4'!$O$30-'C-3 P3'!O30</f>
        <v>-183.94680486661719</v>
      </c>
      <c r="O30" s="18">
        <f>'C-1 P4'!$P$30-'C-3 P3'!P30</f>
        <v>-184.35028292029119</v>
      </c>
      <c r="P30" s="16">
        <f t="shared" si="0"/>
        <v>-2185.0921550654157</v>
      </c>
    </row>
    <row r="31" spans="1:16">
      <c r="A31" s="20">
        <f t="shared" si="1"/>
        <v>21</v>
      </c>
      <c r="B31" s="20" t="s">
        <v>431</v>
      </c>
      <c r="C31" s="2" t="s">
        <v>432</v>
      </c>
      <c r="D31" s="18">
        <f>'C-1 P4'!$E$31-'C-3 P3'!E31</f>
        <v>-211.27523500000007</v>
      </c>
      <c r="E31" s="18">
        <f>'C-1 P4'!$F$31-'C-3 P3'!F31</f>
        <v>-211.27523500000007</v>
      </c>
      <c r="F31" s="18">
        <f>'C-1 P4'!$G$31-'C-3 P3'!G31</f>
        <v>-211.27523500000007</v>
      </c>
      <c r="G31" s="18">
        <f>'C-1 P4'!$H$31-'C-3 P3'!H31</f>
        <v>-211.27523500000007</v>
      </c>
      <c r="H31" s="18">
        <f>'C-1 P4'!$I$31-'C-3 P3'!I31</f>
        <v>-211.27523500000007</v>
      </c>
      <c r="I31" s="18">
        <f>'C-1 P4'!$J$31-'C-3 P3'!J31</f>
        <v>-211.27523500000007</v>
      </c>
      <c r="J31" s="18">
        <f>'C-1 P4'!$K$31-'C-3 P3'!K31</f>
        <v>-211.27523500000007</v>
      </c>
      <c r="K31" s="18">
        <f>'C-1 P4'!$L$31-'C-3 P3'!L31</f>
        <v>-211.27523500000007</v>
      </c>
      <c r="L31" s="18">
        <f>'C-1 P4'!$M$31-'C-3 P3'!M31</f>
        <v>-211.27523500000007</v>
      </c>
      <c r="M31" s="18">
        <f>'C-1 P4'!$N$31-'C-3 P3'!N31</f>
        <v>-211.27523500000007</v>
      </c>
      <c r="N31" s="18">
        <f>'C-1 P4'!$O$31-'C-3 P3'!O31</f>
        <v>-211.27523500000007</v>
      </c>
      <c r="O31" s="18">
        <f>'C-1 P4'!$P$31-'C-3 P3'!P31</f>
        <v>-211.27523500000007</v>
      </c>
      <c r="P31" s="16">
        <f t="shared" si="0"/>
        <v>-2535.3028200000008</v>
      </c>
    </row>
    <row r="32" spans="1:16">
      <c r="A32" s="20">
        <f t="shared" si="1"/>
        <v>22</v>
      </c>
      <c r="B32" s="20" t="s">
        <v>433</v>
      </c>
      <c r="C32" s="2" t="s">
        <v>434</v>
      </c>
      <c r="D32" s="18">
        <f>'C-1 P4'!$E$32-'C-3 P3'!E32</f>
        <v>-3482.8352000000014</v>
      </c>
      <c r="E32" s="18">
        <f>'C-1 P4'!$F$32-'C-3 P3'!F32</f>
        <v>-3508.2952000000023</v>
      </c>
      <c r="F32" s="18">
        <f>'C-1 P4'!$G$32-'C-3 P3'!G32</f>
        <v>-3542.241866666669</v>
      </c>
      <c r="G32" s="18">
        <f>'C-1 P4'!$H$32-'C-3 P3'!H32</f>
        <v>-3584.6752000000015</v>
      </c>
      <c r="H32" s="18">
        <f>'C-1 P4'!$I$32-'C-3 P3'!I32</f>
        <v>-3652.5685333333331</v>
      </c>
      <c r="I32" s="18">
        <f>'C-1 P4'!$J$32-'C-3 P3'!J32</f>
        <v>-3720.4618666666684</v>
      </c>
      <c r="J32" s="18">
        <f>'C-1 P4'!$K$32-'C-3 P3'!K32</f>
        <v>-3788.3552</v>
      </c>
      <c r="K32" s="18">
        <f>'C-1 P4'!$L$32-'C-3 P3'!L32</f>
        <v>-3864.735200000001</v>
      </c>
      <c r="L32" s="18">
        <f>'C-1 P4'!$M$32-'C-3 P3'!M32</f>
        <v>-3941.1152000000002</v>
      </c>
      <c r="M32" s="18">
        <f>'C-1 P4'!$N$32-'C-3 P3'!N32</f>
        <v>-4017.4951999999994</v>
      </c>
      <c r="N32" s="18">
        <f>'C-1 P4'!$O$32-'C-3 P3'!O32</f>
        <v>-4093.8752000000022</v>
      </c>
      <c r="O32" s="18">
        <f>'C-1 P4'!$P$32-'C-3 P3'!P32</f>
        <v>-4161.7685333333357</v>
      </c>
      <c r="P32" s="16">
        <f t="shared" si="0"/>
        <v>-45358.422400000018</v>
      </c>
    </row>
    <row r="33" spans="1:16">
      <c r="A33" s="20">
        <f t="shared" si="1"/>
        <v>23</v>
      </c>
      <c r="B33" s="20" t="s">
        <v>435</v>
      </c>
      <c r="C33" s="2" t="s">
        <v>407</v>
      </c>
      <c r="D33" s="18">
        <f>'C-1 P4'!$E$33-'C-3 P3'!E33</f>
        <v>0</v>
      </c>
      <c r="E33" s="18">
        <f>'C-1 P4'!$F$33-'C-3 P3'!F33</f>
        <v>0</v>
      </c>
      <c r="F33" s="18">
        <f>'C-1 P4'!$G$33-'C-3 P3'!G33</f>
        <v>0</v>
      </c>
      <c r="G33" s="18">
        <f>'C-1 P4'!$H$33-'C-3 P3'!H33</f>
        <v>0</v>
      </c>
      <c r="H33" s="18">
        <f>'C-1 P4'!$I$33-'C-3 P3'!I33</f>
        <v>0</v>
      </c>
      <c r="I33" s="18">
        <f>'C-1 P4'!$J$33-'C-3 P3'!J33</f>
        <v>0</v>
      </c>
      <c r="J33" s="18">
        <f>'C-1 P4'!$K$33-'C-3 P3'!K33</f>
        <v>0</v>
      </c>
      <c r="K33" s="18">
        <f>'C-1 P4'!$L$33-'C-3 P3'!L33</f>
        <v>0</v>
      </c>
      <c r="L33" s="18">
        <f>'C-1 P4'!$M$33-'C-3 P3'!M33</f>
        <v>0</v>
      </c>
      <c r="M33" s="18">
        <f>'C-1 P4'!$N$33-'C-3 P3'!N33</f>
        <v>0</v>
      </c>
      <c r="N33" s="18">
        <f>'C-1 P4'!$O$33-'C-3 P3'!O33</f>
        <v>0</v>
      </c>
      <c r="O33" s="18">
        <f>'C-1 P4'!$P$33-'C-3 P3'!P33</f>
        <v>0</v>
      </c>
      <c r="P33" s="16">
        <f t="shared" si="0"/>
        <v>0</v>
      </c>
    </row>
    <row r="34" spans="1:16">
      <c r="A34" s="20">
        <f t="shared" si="1"/>
        <v>24</v>
      </c>
      <c r="B34" s="20" t="s">
        <v>436</v>
      </c>
      <c r="C34" s="2" t="s">
        <v>405</v>
      </c>
      <c r="D34" s="18">
        <f>'C-1 P4'!$E$34-'C-3 P3'!E34</f>
        <v>0</v>
      </c>
      <c r="E34" s="18">
        <f>'C-1 P4'!$F$34-'C-3 P3'!F34</f>
        <v>0</v>
      </c>
      <c r="F34" s="18">
        <f>'C-1 P4'!$G$34-'C-3 P3'!G34</f>
        <v>0</v>
      </c>
      <c r="G34" s="18">
        <f>'C-1 P4'!$H$34-'C-3 P3'!H34</f>
        <v>0</v>
      </c>
      <c r="H34" s="18">
        <f>'C-1 P4'!$I$34-'C-3 P3'!I34</f>
        <v>0</v>
      </c>
      <c r="I34" s="18">
        <f>'C-1 P4'!$J$34-'C-3 P3'!J34</f>
        <v>0</v>
      </c>
      <c r="J34" s="18">
        <f>'C-1 P4'!$K$34-'C-3 P3'!K34</f>
        <v>0</v>
      </c>
      <c r="K34" s="18">
        <f>'C-1 P4'!$L$34-'C-3 P3'!L34</f>
        <v>0</v>
      </c>
      <c r="L34" s="18">
        <f>'C-1 P4'!$M$34-'C-3 P3'!M34</f>
        <v>0</v>
      </c>
      <c r="M34" s="18">
        <f>'C-1 P4'!$N$34-'C-3 P3'!N34</f>
        <v>0</v>
      </c>
      <c r="N34" s="18">
        <f>'C-1 P4'!$O$34-'C-3 P3'!O34</f>
        <v>0</v>
      </c>
      <c r="O34" s="18">
        <f>'C-1 P4'!$P$34-'C-3 P3'!P34</f>
        <v>0</v>
      </c>
      <c r="P34" s="16">
        <f t="shared" si="0"/>
        <v>0</v>
      </c>
    </row>
    <row r="35" spans="1:16">
      <c r="A35" s="20">
        <f t="shared" si="1"/>
        <v>25</v>
      </c>
      <c r="B35" s="20" t="s">
        <v>437</v>
      </c>
      <c r="C35" s="2" t="s">
        <v>438</v>
      </c>
      <c r="D35" s="18">
        <f>'C-1 P4'!$E$35-'C-3 P3'!E35</f>
        <v>0</v>
      </c>
      <c r="E35" s="18">
        <f>'C-1 P4'!$F$35-'C-3 P3'!F35</f>
        <v>0</v>
      </c>
      <c r="F35" s="18">
        <f>'C-1 P4'!$G$35-'C-3 P3'!G35</f>
        <v>0</v>
      </c>
      <c r="G35" s="18">
        <f>'C-1 P4'!$H$35-'C-3 P3'!H35</f>
        <v>0</v>
      </c>
      <c r="H35" s="18">
        <f>'C-1 P4'!$I$35-'C-3 P3'!I35</f>
        <v>0</v>
      </c>
      <c r="I35" s="18">
        <f>'C-1 P4'!$J$35-'C-3 P3'!J35</f>
        <v>0</v>
      </c>
      <c r="J35" s="18">
        <f>'C-1 P4'!$K$35-'C-3 P3'!K35</f>
        <v>0</v>
      </c>
      <c r="K35" s="18">
        <f>'C-1 P4'!$L$35-'C-3 P3'!L35</f>
        <v>0</v>
      </c>
      <c r="L35" s="18">
        <f>'C-1 P4'!$M$35-'C-3 P3'!M35</f>
        <v>0</v>
      </c>
      <c r="M35" s="18">
        <f>'C-1 P4'!$N$35-'C-3 P3'!N35</f>
        <v>0</v>
      </c>
      <c r="N35" s="18">
        <f>'C-1 P4'!$O$35-'C-3 P3'!O35</f>
        <v>0</v>
      </c>
      <c r="O35" s="18">
        <f>'C-1 P4'!$P$35-'C-3 P3'!P35</f>
        <v>0</v>
      </c>
      <c r="P35" s="16">
        <f t="shared" si="0"/>
        <v>0</v>
      </c>
    </row>
    <row r="36" spans="1:16">
      <c r="A36" s="20">
        <f t="shared" si="1"/>
        <v>26</v>
      </c>
      <c r="B36" s="20" t="s">
        <v>439</v>
      </c>
      <c r="C36" s="2" t="s">
        <v>440</v>
      </c>
      <c r="D36" s="18">
        <f>'C-1 P4'!$E$36-'C-3 P3'!E36</f>
        <v>0</v>
      </c>
      <c r="E36" s="18">
        <f>'C-1 P4'!$F$36-'C-3 P3'!F36</f>
        <v>0</v>
      </c>
      <c r="F36" s="18">
        <f>'C-1 P4'!$G$36-'C-3 P3'!G36</f>
        <v>0</v>
      </c>
      <c r="G36" s="18">
        <f>'C-1 P4'!$H$36-'C-3 P3'!H36</f>
        <v>0</v>
      </c>
      <c r="H36" s="18">
        <f>'C-1 P4'!$I$36-'C-3 P3'!I36</f>
        <v>0</v>
      </c>
      <c r="I36" s="18">
        <f>'C-1 P4'!$J$36-'C-3 P3'!J36</f>
        <v>0</v>
      </c>
      <c r="J36" s="18">
        <f>'C-1 P4'!$K$36-'C-3 P3'!K36</f>
        <v>0</v>
      </c>
      <c r="K36" s="18">
        <f>'C-1 P4'!$L$36-'C-3 P3'!L36</f>
        <v>0</v>
      </c>
      <c r="L36" s="18">
        <f>'C-1 P4'!$M$36-'C-3 P3'!M36</f>
        <v>0</v>
      </c>
      <c r="M36" s="18">
        <f>'C-1 P4'!$N$36-'C-3 P3'!N36</f>
        <v>0</v>
      </c>
      <c r="N36" s="18">
        <f>'C-1 P4'!$O$36-'C-3 P3'!O36</f>
        <v>0</v>
      </c>
      <c r="O36" s="18">
        <f>'C-1 P4'!$P$36-'C-3 P3'!P36</f>
        <v>0</v>
      </c>
      <c r="P36" s="16">
        <f t="shared" si="0"/>
        <v>0</v>
      </c>
    </row>
    <row r="37" spans="1:16">
      <c r="A37" s="20">
        <f t="shared" si="1"/>
        <v>27</v>
      </c>
      <c r="B37" s="20" t="s">
        <v>441</v>
      </c>
      <c r="C37" s="2" t="s">
        <v>442</v>
      </c>
      <c r="D37" s="18">
        <f>'C-1 P4'!$E$37-'C-3 P3'!E37</f>
        <v>0</v>
      </c>
      <c r="E37" s="18">
        <f>'C-1 P4'!$F$37-'C-3 P3'!F37</f>
        <v>0</v>
      </c>
      <c r="F37" s="18">
        <f>'C-1 P4'!$G$37-'C-3 P3'!G37</f>
        <v>0</v>
      </c>
      <c r="G37" s="18">
        <f>'C-1 P4'!$H$37-'C-3 P3'!H37</f>
        <v>0</v>
      </c>
      <c r="H37" s="18">
        <f>'C-1 P4'!$I$37-'C-3 P3'!I37</f>
        <v>0</v>
      </c>
      <c r="I37" s="18">
        <f>'C-1 P4'!$J$37-'C-3 P3'!J37</f>
        <v>0</v>
      </c>
      <c r="J37" s="18">
        <f>'C-1 P4'!$K$37-'C-3 P3'!K37</f>
        <v>0</v>
      </c>
      <c r="K37" s="18">
        <f>'C-1 P4'!$L$37-'C-3 P3'!L37</f>
        <v>0</v>
      </c>
      <c r="L37" s="18">
        <f>'C-1 P4'!$M$37-'C-3 P3'!M37</f>
        <v>0</v>
      </c>
      <c r="M37" s="18">
        <f>'C-1 P4'!$N$37-'C-3 P3'!N37</f>
        <v>0</v>
      </c>
      <c r="N37" s="18">
        <f>'C-1 P4'!$O$37-'C-3 P3'!O37</f>
        <v>0</v>
      </c>
      <c r="O37" s="18">
        <f>'C-1 P4'!$P$37-'C-3 P3'!P37</f>
        <v>0</v>
      </c>
      <c r="P37" s="16">
        <f t="shared" si="0"/>
        <v>0</v>
      </c>
    </row>
    <row r="38" spans="1:16">
      <c r="A38" s="20">
        <f t="shared" si="1"/>
        <v>28</v>
      </c>
      <c r="B38" s="20">
        <v>3913</v>
      </c>
      <c r="C38" s="2" t="s">
        <v>443</v>
      </c>
      <c r="D38" s="18">
        <f>'C-1 P4'!$E$38-'C-3 P3'!E38</f>
        <v>0</v>
      </c>
      <c r="E38" s="18">
        <f>'C-1 P4'!$F$38-'C-3 P3'!F38</f>
        <v>0</v>
      </c>
      <c r="F38" s="18">
        <f>'C-1 P4'!$G$38-'C-3 P3'!G38</f>
        <v>0</v>
      </c>
      <c r="G38" s="18">
        <f>'C-1 P4'!$H$38-'C-3 P3'!H38</f>
        <v>0</v>
      </c>
      <c r="H38" s="18">
        <f>'C-1 P4'!$I$38-'C-3 P3'!I38</f>
        <v>0</v>
      </c>
      <c r="I38" s="18">
        <f>'C-1 P4'!$J$38-'C-3 P3'!J38</f>
        <v>0</v>
      </c>
      <c r="J38" s="18">
        <f>'C-1 P4'!$K$38-'C-3 P3'!K38</f>
        <v>0</v>
      </c>
      <c r="K38" s="18">
        <f>'C-1 P4'!$L$38-'C-3 P3'!L38</f>
        <v>0</v>
      </c>
      <c r="L38" s="18">
        <f>'C-1 P4'!$M$38-'C-3 P3'!M38</f>
        <v>0</v>
      </c>
      <c r="M38" s="18">
        <f>'C-1 P4'!$N$38-'C-3 P3'!N38</f>
        <v>0</v>
      </c>
      <c r="N38" s="18">
        <f>'C-1 P4'!$O$38-'C-3 P3'!O38</f>
        <v>0</v>
      </c>
      <c r="O38" s="18">
        <f>'C-1 P4'!$P$38-'C-3 P3'!P38</f>
        <v>0</v>
      </c>
      <c r="P38" s="16">
        <f t="shared" si="0"/>
        <v>0</v>
      </c>
    </row>
    <row r="39" spans="1:16">
      <c r="A39" s="20">
        <f t="shared" si="1"/>
        <v>29</v>
      </c>
      <c r="B39" s="20">
        <v>3914</v>
      </c>
      <c r="C39" s="2" t="s">
        <v>444</v>
      </c>
      <c r="D39" s="18">
        <f>'C-1 P4'!$E$39-'C-3 P3'!E39</f>
        <v>0</v>
      </c>
      <c r="E39" s="18">
        <f>'C-1 P4'!$F$39-'C-3 P3'!F39</f>
        <v>0</v>
      </c>
      <c r="F39" s="18">
        <f>'C-1 P4'!$G$39-'C-3 P3'!G39</f>
        <v>0</v>
      </c>
      <c r="G39" s="18">
        <f>'C-1 P4'!$H$39-'C-3 P3'!H39</f>
        <v>0</v>
      </c>
      <c r="H39" s="18">
        <f>'C-1 P4'!$I$39-'C-3 P3'!I39</f>
        <v>0</v>
      </c>
      <c r="I39" s="18">
        <f>'C-1 P4'!$J$39-'C-3 P3'!J39</f>
        <v>0</v>
      </c>
      <c r="J39" s="18">
        <f>'C-1 P4'!$K$39-'C-3 P3'!K39</f>
        <v>0</v>
      </c>
      <c r="K39" s="18">
        <f>'C-1 P4'!$L$39-'C-3 P3'!L39</f>
        <v>0</v>
      </c>
      <c r="L39" s="18">
        <f>'C-1 P4'!$M$39-'C-3 P3'!M39</f>
        <v>0</v>
      </c>
      <c r="M39" s="18">
        <f>'C-1 P4'!$N$39-'C-3 P3'!N39</f>
        <v>0</v>
      </c>
      <c r="N39" s="18">
        <f>'C-1 P4'!$O$39-'C-3 P3'!O39</f>
        <v>0</v>
      </c>
      <c r="O39" s="18">
        <f>'C-1 P4'!$P$39-'C-3 P3'!P39</f>
        <v>0</v>
      </c>
      <c r="P39" s="16">
        <f t="shared" si="0"/>
        <v>0</v>
      </c>
    </row>
    <row r="40" spans="1:16">
      <c r="A40" s="20">
        <f t="shared" si="1"/>
        <v>30</v>
      </c>
      <c r="B40" s="20">
        <v>392</v>
      </c>
      <c r="C40" s="2" t="s">
        <v>445</v>
      </c>
      <c r="D40" s="18">
        <f>'C-1 P4'!$E$40-'C-3 P3'!E40</f>
        <v>0</v>
      </c>
      <c r="E40" s="18">
        <f>'C-1 P4'!$F$40-'C-3 P3'!F40</f>
        <v>0</v>
      </c>
      <c r="F40" s="18">
        <f>'C-1 P4'!$G$40-'C-3 P3'!G40</f>
        <v>0</v>
      </c>
      <c r="G40" s="18">
        <f>'C-1 P4'!$H$40-'C-3 P3'!H40</f>
        <v>0</v>
      </c>
      <c r="H40" s="18">
        <f>'C-1 P4'!$I$40-'C-3 P3'!I40</f>
        <v>0</v>
      </c>
      <c r="I40" s="18">
        <f>'C-1 P4'!$J$40-'C-3 P3'!J40</f>
        <v>0</v>
      </c>
      <c r="J40" s="18">
        <f>'C-1 P4'!$K$40-'C-3 P3'!K40</f>
        <v>0</v>
      </c>
      <c r="K40" s="18">
        <f>'C-1 P4'!$L$40-'C-3 P3'!L40</f>
        <v>0</v>
      </c>
      <c r="L40" s="18">
        <f>'C-1 P4'!$M$40-'C-3 P3'!M40</f>
        <v>0</v>
      </c>
      <c r="M40" s="18">
        <f>'C-1 P4'!$N$40-'C-3 P3'!N40</f>
        <v>0</v>
      </c>
      <c r="N40" s="18">
        <f>'C-1 P4'!$O$40-'C-3 P3'!O40</f>
        <v>0</v>
      </c>
      <c r="O40" s="18">
        <f>'C-1 P4'!$P$40-'C-3 P3'!P40</f>
        <v>0</v>
      </c>
      <c r="P40" s="16">
        <f t="shared" si="0"/>
        <v>0</v>
      </c>
    </row>
    <row r="41" spans="1:16">
      <c r="A41" s="20">
        <f t="shared" si="1"/>
        <v>31</v>
      </c>
      <c r="B41" s="20">
        <v>3921</v>
      </c>
      <c r="C41" s="2" t="s">
        <v>446</v>
      </c>
      <c r="D41" s="18">
        <f>'C-1 P4'!$E$41-'C-3 P3'!E41</f>
        <v>-3042.7681050000001</v>
      </c>
      <c r="E41" s="18">
        <f>'C-1 P4'!$F$41-'C-3 P3'!F41</f>
        <v>-3042.7681050000001</v>
      </c>
      <c r="F41" s="18">
        <f>'C-1 P4'!$G$41-'C-3 P3'!G41</f>
        <v>-3042.7681050000001</v>
      </c>
      <c r="G41" s="18">
        <f>'C-1 P4'!$H$41-'C-3 P3'!H41</f>
        <v>-3042.7681050000001</v>
      </c>
      <c r="H41" s="18">
        <f>'C-1 P4'!$I$41-'C-3 P3'!I41</f>
        <v>-3042.7681050000001</v>
      </c>
      <c r="I41" s="18">
        <f>'C-1 P4'!$J$41-'C-3 P3'!J41</f>
        <v>-3042.7681050000001</v>
      </c>
      <c r="J41" s="18">
        <f>'C-1 P4'!$K$41-'C-3 P3'!K41</f>
        <v>-3042.7681050000001</v>
      </c>
      <c r="K41" s="18">
        <f>'C-1 P4'!$L$41-'C-3 P3'!L41</f>
        <v>-5324.2681049999992</v>
      </c>
      <c r="L41" s="18">
        <f>'C-1 P4'!$M$41-'C-3 P3'!M41</f>
        <v>-5324.2681049999992</v>
      </c>
      <c r="M41" s="18">
        <f>'C-1 P4'!$N$41-'C-3 P3'!N41</f>
        <v>-5324.2681049999992</v>
      </c>
      <c r="N41" s="18">
        <f>'C-1 P4'!$O$41-'C-3 P3'!O41</f>
        <v>-5324.2681049999992</v>
      </c>
      <c r="O41" s="18">
        <f>'C-1 P4'!$P$41-'C-3 P3'!P41</f>
        <v>-5324.2681049999992</v>
      </c>
      <c r="P41" s="16">
        <f t="shared" si="0"/>
        <v>-47920.71725999999</v>
      </c>
    </row>
    <row r="42" spans="1:16">
      <c r="A42" s="20">
        <f t="shared" si="1"/>
        <v>32</v>
      </c>
      <c r="B42" s="20">
        <v>3922</v>
      </c>
      <c r="C42" s="2" t="s">
        <v>447</v>
      </c>
      <c r="D42" s="18">
        <f>'C-1 P4'!$E$42-'C-3 P3'!E42</f>
        <v>-11534.167541666673</v>
      </c>
      <c r="E42" s="18">
        <f>'C-1 P4'!$F$42-'C-3 P3'!F42</f>
        <v>-11534.167541666673</v>
      </c>
      <c r="F42" s="18">
        <f>'C-1 P4'!$G$42-'C-3 P3'!G42</f>
        <v>-11534.167541666673</v>
      </c>
      <c r="G42" s="18">
        <f>'C-1 P4'!$H$42-'C-3 P3'!H42</f>
        <v>-11534.167541666673</v>
      </c>
      <c r="H42" s="18">
        <f>'C-1 P4'!$I$42-'C-3 P3'!I42</f>
        <v>-11534.167541666673</v>
      </c>
      <c r="I42" s="18">
        <f>'C-1 P4'!$J$42-'C-3 P3'!J42</f>
        <v>-11534.167541666673</v>
      </c>
      <c r="J42" s="18">
        <f>'C-1 P4'!$K$42-'C-3 P3'!K42</f>
        <v>-11534.167541666673</v>
      </c>
      <c r="K42" s="18">
        <f>'C-1 P4'!$L$42-'C-3 P3'!L42</f>
        <v>-12396.941500000004</v>
      </c>
      <c r="L42" s="18">
        <f>'C-1 P4'!$M$42-'C-3 P3'!M42</f>
        <v>-12396.941500000004</v>
      </c>
      <c r="M42" s="18">
        <f>'C-1 P4'!$N$42-'C-3 P3'!N42</f>
        <v>-12396.941500000004</v>
      </c>
      <c r="N42" s="18">
        <f>'C-1 P4'!$O$42-'C-3 P3'!O42</f>
        <v>-12396.941500000004</v>
      </c>
      <c r="O42" s="18">
        <f>'C-1 P4'!$P$42-'C-3 P3'!P42</f>
        <v>-12396.941500000004</v>
      </c>
      <c r="P42" s="16">
        <f t="shared" si="0"/>
        <v>-142723.88029166672</v>
      </c>
    </row>
    <row r="43" spans="1:16">
      <c r="A43" s="20">
        <f t="shared" si="1"/>
        <v>33</v>
      </c>
      <c r="B43" s="20">
        <v>3924</v>
      </c>
      <c r="C43" s="2" t="s">
        <v>448</v>
      </c>
      <c r="D43" s="18">
        <f>'C-1 P4'!$E$43-'C-3 P3'!E43</f>
        <v>-250.36952333333332</v>
      </c>
      <c r="E43" s="18">
        <f>'C-1 P4'!$F$43-'C-3 P3'!F43</f>
        <v>-250.36952333333332</v>
      </c>
      <c r="F43" s="18">
        <f>'C-1 P4'!$G$43-'C-3 P3'!G43</f>
        <v>-250.36952333333332</v>
      </c>
      <c r="G43" s="18">
        <f>'C-1 P4'!$H$43-'C-3 P3'!H43</f>
        <v>-250.36952333333332</v>
      </c>
      <c r="H43" s="18">
        <f>'C-1 P4'!$I$43-'C-3 P3'!I43</f>
        <v>-250.36952333333332</v>
      </c>
      <c r="I43" s="18">
        <f>'C-1 P4'!$J$43-'C-3 P3'!J43</f>
        <v>-250.36952333333332</v>
      </c>
      <c r="J43" s="18">
        <f>'C-1 P4'!$K$43-'C-3 P3'!K43</f>
        <v>-250.36952333333332</v>
      </c>
      <c r="K43" s="18">
        <f>'C-1 P4'!$L$43-'C-3 P3'!L43</f>
        <v>-250.36952333333332</v>
      </c>
      <c r="L43" s="18">
        <f>'C-1 P4'!$M$43-'C-3 P3'!M43</f>
        <v>-250.36952333333332</v>
      </c>
      <c r="M43" s="18">
        <f>'C-1 P4'!$N$43-'C-3 P3'!N43</f>
        <v>-250.36952333333332</v>
      </c>
      <c r="N43" s="18">
        <f>'C-1 P4'!$O$43-'C-3 P3'!O43</f>
        <v>-250.36952333333332</v>
      </c>
      <c r="O43" s="18">
        <f>'C-1 P4'!$P$43-'C-3 P3'!P43</f>
        <v>-250.36952333333332</v>
      </c>
      <c r="P43" s="16">
        <f t="shared" si="0"/>
        <v>-3004.4342799999999</v>
      </c>
    </row>
    <row r="44" spans="1:16">
      <c r="A44" s="20">
        <f t="shared" si="1"/>
        <v>34</v>
      </c>
      <c r="B44" s="20" t="s">
        <v>449</v>
      </c>
      <c r="C44" s="2" t="s">
        <v>450</v>
      </c>
      <c r="D44" s="18">
        <f>'C-1 P4'!$E$44-'C-3 P3'!E44</f>
        <v>0</v>
      </c>
      <c r="E44" s="18">
        <f>'C-1 P4'!$F$44-'C-3 P3'!F44</f>
        <v>0</v>
      </c>
      <c r="F44" s="18">
        <f>'C-1 P4'!$G$44-'C-3 P3'!G44</f>
        <v>0</v>
      </c>
      <c r="G44" s="18">
        <f>'C-1 P4'!$H$44-'C-3 P3'!H44</f>
        <v>0</v>
      </c>
      <c r="H44" s="18">
        <f>'C-1 P4'!$I$44-'C-3 P3'!I44</f>
        <v>0</v>
      </c>
      <c r="I44" s="18">
        <f>'C-1 P4'!$J$44-'C-3 P3'!J44</f>
        <v>0</v>
      </c>
      <c r="J44" s="18">
        <f>'C-1 P4'!$K$44-'C-3 P3'!K44</f>
        <v>0</v>
      </c>
      <c r="K44" s="18">
        <f>'C-1 P4'!$L$44-'C-3 P3'!L44</f>
        <v>0</v>
      </c>
      <c r="L44" s="18">
        <f>'C-1 P4'!$M$44-'C-3 P3'!M44</f>
        <v>0</v>
      </c>
      <c r="M44" s="18">
        <f>'C-1 P4'!$N$44-'C-3 P3'!N44</f>
        <v>0</v>
      </c>
      <c r="N44" s="18">
        <f>'C-1 P4'!$O$44-'C-3 P3'!O44</f>
        <v>0</v>
      </c>
      <c r="O44" s="18">
        <f>'C-1 P4'!$P$44-'C-3 P3'!P44</f>
        <v>0</v>
      </c>
      <c r="P44" s="16">
        <f>SUM(D44:O44)</f>
        <v>0</v>
      </c>
    </row>
    <row r="45" spans="1:16">
      <c r="A45" s="20">
        <f t="shared" si="1"/>
        <v>35</v>
      </c>
      <c r="B45" s="20" t="s">
        <v>451</v>
      </c>
      <c r="C45" s="2" t="s">
        <v>452</v>
      </c>
      <c r="D45" s="18">
        <f>'C-1 P4'!$E$45-'C-3 P3'!E45</f>
        <v>0</v>
      </c>
      <c r="E45" s="18">
        <f>'C-1 P4'!$F$45-'C-3 P3'!F45</f>
        <v>0</v>
      </c>
      <c r="F45" s="18">
        <f>'C-1 P4'!$G$45-'C-3 P3'!G45</f>
        <v>0</v>
      </c>
      <c r="G45" s="18">
        <f>'C-1 P4'!$H$45-'C-3 P3'!H45</f>
        <v>0</v>
      </c>
      <c r="H45" s="18">
        <f>'C-1 P4'!$I$45-'C-3 P3'!I45</f>
        <v>0</v>
      </c>
      <c r="I45" s="18">
        <f>'C-1 P4'!$J$45-'C-3 P3'!J45</f>
        <v>0</v>
      </c>
      <c r="J45" s="18">
        <f>'C-1 P4'!$K$45-'C-3 P3'!K45</f>
        <v>0</v>
      </c>
      <c r="K45" s="18">
        <f>'C-1 P4'!$L$45-'C-3 P3'!L45</f>
        <v>0</v>
      </c>
      <c r="L45" s="18">
        <f>'C-1 P4'!$M$45-'C-3 P3'!M45</f>
        <v>0</v>
      </c>
      <c r="M45" s="18">
        <f>'C-1 P4'!$N$45-'C-3 P3'!N45</f>
        <v>0</v>
      </c>
      <c r="N45" s="18">
        <f>'C-1 P4'!$O$45-'C-3 P3'!O45</f>
        <v>0</v>
      </c>
      <c r="O45" s="18">
        <f>'C-1 P4'!$P$45-'C-3 P3'!P45</f>
        <v>0</v>
      </c>
      <c r="P45" s="16">
        <f t="shared" si="0"/>
        <v>0</v>
      </c>
    </row>
    <row r="46" spans="1:16">
      <c r="A46" s="20">
        <f t="shared" si="1"/>
        <v>36</v>
      </c>
      <c r="B46" s="20" t="s">
        <v>453</v>
      </c>
      <c r="C46" s="2" t="s">
        <v>454</v>
      </c>
      <c r="D46" s="18">
        <f>'C-1 P4'!$E$46-'C-3 P3'!E46</f>
        <v>-749.67646500000046</v>
      </c>
      <c r="E46" s="18">
        <f>'C-1 P4'!$F$46-'C-3 P3'!F46</f>
        <v>-753.84296499999982</v>
      </c>
      <c r="F46" s="18">
        <f>'C-1 P4'!$G$46-'C-3 P3'!G46</f>
        <v>-758.00996500000019</v>
      </c>
      <c r="G46" s="18">
        <f>'C-1 P4'!$H$46-'C-3 P3'!H46</f>
        <v>-762.17646500000046</v>
      </c>
      <c r="H46" s="18">
        <f>'C-1 P4'!$I$46-'C-3 P3'!I46</f>
        <v>-766.34296499999982</v>
      </c>
      <c r="I46" s="18">
        <f>'C-1 P4'!$J$46-'C-3 P3'!J46</f>
        <v>-770.50996500000019</v>
      </c>
      <c r="J46" s="18">
        <f>'C-1 P4'!$K$46-'C-3 P3'!K46</f>
        <v>-774.67646499999864</v>
      </c>
      <c r="K46" s="18">
        <f>'C-1 P4'!$L$46-'C-3 P3'!L46</f>
        <v>-778.84296499999982</v>
      </c>
      <c r="L46" s="18">
        <f>'C-1 P4'!$M$46-'C-3 P3'!M46</f>
        <v>-783.00996500000019</v>
      </c>
      <c r="M46" s="18">
        <f>'C-1 P4'!$N$46-'C-3 P3'!N46</f>
        <v>-787.17646499999864</v>
      </c>
      <c r="N46" s="18">
        <f>'C-1 P4'!$O$46-'C-3 P3'!O46</f>
        <v>-791.34296499999982</v>
      </c>
      <c r="O46" s="18">
        <f>'C-1 P4'!$P$46-'C-3 P3'!P46</f>
        <v>-795.50946499999918</v>
      </c>
      <c r="P46" s="16">
        <f t="shared" si="0"/>
        <v>-9271.1170799999963</v>
      </c>
    </row>
    <row r="47" spans="1:16">
      <c r="A47" s="20">
        <f t="shared" si="1"/>
        <v>37</v>
      </c>
      <c r="B47" s="20" t="s">
        <v>455</v>
      </c>
      <c r="C47" s="2" t="s">
        <v>456</v>
      </c>
      <c r="D47" s="18">
        <f>'C-1 P4'!$E$47-'C-3 P3'!E47</f>
        <v>0</v>
      </c>
      <c r="E47" s="18">
        <f>'C-1 P4'!$F$47-'C-3 P3'!F47</f>
        <v>0</v>
      </c>
      <c r="F47" s="18">
        <f>'C-1 P4'!$G$47-'C-3 P3'!G47</f>
        <v>0</v>
      </c>
      <c r="G47" s="18">
        <f>'C-1 P4'!$H$47-'C-3 P3'!H47</f>
        <v>0</v>
      </c>
      <c r="H47" s="18">
        <f>'C-1 P4'!$I$47-'C-3 P3'!I47</f>
        <v>0</v>
      </c>
      <c r="I47" s="18">
        <f>'C-1 P4'!$J$47-'C-3 P3'!J47</f>
        <v>0</v>
      </c>
      <c r="J47" s="18">
        <f>'C-1 P4'!$K$47-'C-3 P3'!K47</f>
        <v>0</v>
      </c>
      <c r="K47" s="18">
        <f>'C-1 P4'!$L$47-'C-3 P3'!L47</f>
        <v>0</v>
      </c>
      <c r="L47" s="18">
        <f>'C-1 P4'!$M$47-'C-3 P3'!M47</f>
        <v>0</v>
      </c>
      <c r="M47" s="18">
        <f>'C-1 P4'!$N$47-'C-3 P3'!N47</f>
        <v>0</v>
      </c>
      <c r="N47" s="18">
        <f>'C-1 P4'!$O$47-'C-3 P3'!O47</f>
        <v>0</v>
      </c>
      <c r="O47" s="18">
        <f>'C-1 P4'!$P$47-'C-3 P3'!P47</f>
        <v>0</v>
      </c>
      <c r="P47" s="16">
        <f t="shared" si="0"/>
        <v>0</v>
      </c>
    </row>
    <row r="48" spans="1:16">
      <c r="A48" s="20">
        <f t="shared" si="1"/>
        <v>38</v>
      </c>
      <c r="B48" s="20" t="s">
        <v>457</v>
      </c>
      <c r="C48" s="2" t="s">
        <v>458</v>
      </c>
      <c r="D48" s="18">
        <f>'C-1 P4'!$E$48-'C-3 P3'!E48</f>
        <v>0</v>
      </c>
      <c r="E48" s="18">
        <f>'C-1 P4'!$F$48-'C-3 P3'!F48</f>
        <v>0</v>
      </c>
      <c r="F48" s="18">
        <f>'C-1 P4'!$G$48-'C-3 P3'!G48</f>
        <v>0</v>
      </c>
      <c r="G48" s="18">
        <f>'C-1 P4'!$H$48-'C-3 P3'!H48</f>
        <v>0</v>
      </c>
      <c r="H48" s="18">
        <f>'C-1 P4'!$I$48-'C-3 P3'!I48</f>
        <v>0</v>
      </c>
      <c r="I48" s="18">
        <f>'C-1 P4'!$J$48-'C-3 P3'!J48</f>
        <v>0</v>
      </c>
      <c r="J48" s="18">
        <f>'C-1 P4'!$K$48-'C-3 P3'!K48</f>
        <v>0</v>
      </c>
      <c r="K48" s="18">
        <f>'C-1 P4'!$L$48-'C-3 P3'!L48</f>
        <v>0</v>
      </c>
      <c r="L48" s="18">
        <f>'C-1 P4'!$M$48-'C-3 P3'!M48</f>
        <v>0</v>
      </c>
      <c r="M48" s="18">
        <f>'C-1 P4'!$N$48-'C-3 P3'!N48</f>
        <v>0</v>
      </c>
      <c r="N48" s="18">
        <f>'C-1 P4'!$O$48-'C-3 P3'!O48</f>
        <v>0</v>
      </c>
      <c r="O48" s="18">
        <f>'C-1 P4'!$P$48-'C-3 P3'!P48</f>
        <v>0</v>
      </c>
      <c r="P48" s="16">
        <f t="shared" si="0"/>
        <v>0</v>
      </c>
    </row>
    <row r="49" spans="1:17" ht="13.5" thickBot="1">
      <c r="A49" s="20">
        <f t="shared" si="1"/>
        <v>39</v>
      </c>
      <c r="C49" s="2" t="s">
        <v>345</v>
      </c>
      <c r="D49" s="119">
        <f t="shared" ref="D49:O49" si="2">SUM(D11:D48)</f>
        <v>-169081.00913268176</v>
      </c>
      <c r="E49" s="119">
        <f t="shared" si="2"/>
        <v>-169286.48677182265</v>
      </c>
      <c r="F49" s="119">
        <f t="shared" si="2"/>
        <v>-169548.40536396761</v>
      </c>
      <c r="G49" s="119">
        <f t="shared" si="2"/>
        <v>-169866.51874161657</v>
      </c>
      <c r="H49" s="119">
        <f t="shared" si="2"/>
        <v>-170354.19397827747</v>
      </c>
      <c r="I49" s="119">
        <f t="shared" si="2"/>
        <v>-170841.86971493842</v>
      </c>
      <c r="J49" s="119">
        <f t="shared" si="2"/>
        <v>-171329.30220159935</v>
      </c>
      <c r="K49" s="119">
        <f t="shared" si="2"/>
        <v>-175017.69027626433</v>
      </c>
      <c r="L49" s="119">
        <f t="shared" si="2"/>
        <v>-175561.80489259589</v>
      </c>
      <c r="M49" s="119">
        <f t="shared" si="2"/>
        <v>-177052.5660089275</v>
      </c>
      <c r="N49" s="119">
        <f t="shared" si="2"/>
        <v>-177596.68012525912</v>
      </c>
      <c r="O49" s="119">
        <f t="shared" si="2"/>
        <v>-178084.79823692006</v>
      </c>
      <c r="P49" s="119">
        <f>SUM(P11:P48)</f>
        <v>-2073621.3254448711</v>
      </c>
      <c r="Q49" s="18"/>
    </row>
    <row r="50" spans="1:17" ht="13.5" thickTop="1"/>
    <row r="51" spans="1:17">
      <c r="A51" s="28" t="s">
        <v>11</v>
      </c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7">
      <c r="A52" s="2" t="s">
        <v>496</v>
      </c>
    </row>
    <row r="53" spans="1:17">
      <c r="N53" s="175"/>
      <c r="O53" s="175"/>
      <c r="P53" s="16"/>
    </row>
    <row r="54" spans="1:17">
      <c r="G54" s="16"/>
    </row>
    <row r="55" spans="1:17">
      <c r="E55" s="175"/>
      <c r="F55" s="175"/>
    </row>
  </sheetData>
  <pageMargins left="0.7" right="0.7" top="0.75" bottom="0.75" header="0.3" footer="0.3"/>
  <pageSetup scale="5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workbookViewId="0">
      <selection activeCell="H5" sqref="H5"/>
    </sheetView>
  </sheetViews>
  <sheetFormatPr defaultRowHeight="12.75"/>
  <cols>
    <col min="1" max="1" width="5.42578125" style="2" customWidth="1"/>
    <col min="2" max="2" width="1.42578125" style="2" customWidth="1"/>
    <col min="3" max="3" width="63.42578125" style="2" bestFit="1" customWidth="1"/>
    <col min="4" max="4" width="1.28515625" style="2" customWidth="1"/>
    <col min="5" max="5" width="11.5703125" style="2" customWidth="1"/>
    <col min="6" max="6" width="1.140625" style="2" customWidth="1"/>
    <col min="7" max="16384" width="9.140625" style="2"/>
  </cols>
  <sheetData>
    <row r="1" spans="1:7">
      <c r="A1" s="2" t="str">
        <f>Contents!A1</f>
        <v>Florida Public Utilities Company Consolidated Gas</v>
      </c>
      <c r="G1" s="33" t="str">
        <f>Contents!A2</f>
        <v>Docket No. 20220067-GU</v>
      </c>
    </row>
    <row r="2" spans="1:7">
      <c r="A2" s="2" t="s">
        <v>565</v>
      </c>
      <c r="G2" s="33" t="str">
        <f>Contents!A3</f>
        <v>Exhibit RCS-2R</v>
      </c>
    </row>
    <row r="3" spans="1:7">
      <c r="G3" s="33" t="s">
        <v>119</v>
      </c>
    </row>
    <row r="4" spans="1:7">
      <c r="A4" s="2" t="str">
        <f>A!A4</f>
        <v>Projected Test Year Ended December 31, 2023</v>
      </c>
      <c r="G4" s="33" t="s">
        <v>39</v>
      </c>
    </row>
    <row r="6" spans="1:7">
      <c r="A6" s="20" t="s">
        <v>0</v>
      </c>
    </row>
    <row r="7" spans="1:7">
      <c r="A7" s="27" t="s">
        <v>1</v>
      </c>
      <c r="C7" s="28" t="s">
        <v>566</v>
      </c>
      <c r="E7" s="27" t="s">
        <v>34</v>
      </c>
      <c r="F7" s="20"/>
      <c r="G7" s="27" t="s">
        <v>3</v>
      </c>
    </row>
    <row r="8" spans="1:7">
      <c r="A8" s="20"/>
      <c r="E8" s="20" t="s">
        <v>9</v>
      </c>
    </row>
    <row r="9" spans="1:7">
      <c r="A9" s="20"/>
    </row>
    <row r="10" spans="1:7" ht="13.5" thickBot="1">
      <c r="A10" s="20">
        <v>1</v>
      </c>
      <c r="C10" s="2" t="s">
        <v>567</v>
      </c>
      <c r="E10" s="29">
        <v>-1139750</v>
      </c>
      <c r="G10" s="20" t="s">
        <v>60</v>
      </c>
    </row>
    <row r="11" spans="1:7" ht="13.5" thickTop="1">
      <c r="A11" s="20"/>
    </row>
    <row r="12" spans="1:7">
      <c r="A12" s="20"/>
    </row>
    <row r="15" spans="1:7">
      <c r="A15" s="28" t="s">
        <v>11</v>
      </c>
      <c r="B15" s="28"/>
      <c r="C15" s="28"/>
      <c r="D15" s="28"/>
      <c r="E15" s="28"/>
      <c r="F15" s="28"/>
      <c r="G15" s="28"/>
    </row>
    <row r="16" spans="1:7">
      <c r="A16" s="2" t="s">
        <v>568</v>
      </c>
    </row>
  </sheetData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35"/>
  <sheetViews>
    <sheetView zoomScaleNormal="100" workbookViewId="0">
      <selection activeCell="H5" sqref="H5"/>
    </sheetView>
  </sheetViews>
  <sheetFormatPr defaultRowHeight="12.75"/>
  <cols>
    <col min="1" max="1" width="5.5703125" style="114" customWidth="1"/>
    <col min="2" max="2" width="1.7109375" style="114" customWidth="1"/>
    <col min="3" max="3" width="65.5703125" style="114" customWidth="1"/>
    <col min="4" max="4" width="1.140625" style="114" customWidth="1"/>
    <col min="5" max="5" width="12.5703125" style="114" customWidth="1"/>
    <col min="6" max="6" width="1" style="114" customWidth="1"/>
    <col min="7" max="7" width="12.7109375" style="114" customWidth="1"/>
    <col min="8" max="16384" width="9.140625" style="114"/>
  </cols>
  <sheetData>
    <row r="1" spans="1:11">
      <c r="A1" s="2" t="str">
        <f>A!$A$1</f>
        <v>Florida Public Utilities Company Consolidated Gas</v>
      </c>
      <c r="B1" s="2"/>
      <c r="C1" s="2"/>
      <c r="D1" s="2"/>
      <c r="E1" s="2"/>
      <c r="F1" s="2"/>
      <c r="G1" s="33" t="str">
        <f>Contents!A2</f>
        <v>Docket No. 20220067-GU</v>
      </c>
      <c r="H1" s="2"/>
      <c r="I1" s="2"/>
      <c r="J1" s="2"/>
    </row>
    <row r="2" spans="1:11">
      <c r="A2" s="2" t="s">
        <v>164</v>
      </c>
      <c r="B2" s="2"/>
      <c r="C2" s="2"/>
      <c r="D2" s="2"/>
      <c r="E2" s="2"/>
      <c r="F2" s="2"/>
      <c r="G2" s="33" t="str">
        <f>Contents!A3</f>
        <v>Exhibit RCS-2R</v>
      </c>
      <c r="H2" s="2"/>
      <c r="I2" s="2"/>
      <c r="J2" s="2"/>
    </row>
    <row r="3" spans="1:11">
      <c r="A3" s="2"/>
      <c r="B3" s="2"/>
      <c r="C3" s="2"/>
      <c r="D3" s="2"/>
      <c r="E3" s="2"/>
      <c r="F3" s="2"/>
      <c r="G3" s="33" t="s">
        <v>120</v>
      </c>
      <c r="H3" s="2"/>
      <c r="I3" s="2"/>
      <c r="J3" s="2"/>
    </row>
    <row r="4" spans="1:11">
      <c r="A4" s="23" t="str">
        <f>A!A4</f>
        <v>Projected Test Year Ended December 31, 2023</v>
      </c>
      <c r="B4" s="2"/>
      <c r="C4" s="2"/>
      <c r="D4" s="2"/>
      <c r="E4" s="2"/>
      <c r="F4" s="2"/>
      <c r="G4" s="33" t="s">
        <v>39</v>
      </c>
      <c r="H4" s="2"/>
      <c r="I4" s="2"/>
      <c r="J4" s="2"/>
      <c r="K4" s="2"/>
    </row>
    <row r="5" spans="1:11">
      <c r="A5" s="2" t="s">
        <v>116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117" t="s">
        <v>0</v>
      </c>
    </row>
    <row r="8" spans="1:11">
      <c r="A8" s="115" t="s">
        <v>1</v>
      </c>
      <c r="C8" s="116" t="s">
        <v>2</v>
      </c>
      <c r="E8" s="115" t="s">
        <v>34</v>
      </c>
      <c r="G8" s="115" t="s">
        <v>3</v>
      </c>
    </row>
    <row r="9" spans="1:11">
      <c r="E9" s="117" t="s">
        <v>9</v>
      </c>
      <c r="G9" s="117"/>
    </row>
    <row r="10" spans="1:11">
      <c r="E10" s="117"/>
      <c r="G10" s="117"/>
    </row>
    <row r="11" spans="1:11" ht="13.5" thickBot="1">
      <c r="A11" s="117">
        <v>1</v>
      </c>
      <c r="C11" s="114" t="s">
        <v>306</v>
      </c>
      <c r="E11" s="167">
        <f>E21</f>
        <v>-1090100.5</v>
      </c>
      <c r="G11" s="117" t="s">
        <v>60</v>
      </c>
    </row>
    <row r="12" spans="1:11" ht="13.5" thickTop="1">
      <c r="A12" s="117"/>
      <c r="E12" s="165"/>
      <c r="G12" s="117"/>
    </row>
    <row r="15" spans="1:11">
      <c r="A15" s="116" t="s">
        <v>150</v>
      </c>
      <c r="B15" s="116"/>
      <c r="C15" s="116"/>
      <c r="D15" s="116"/>
      <c r="E15" s="116"/>
      <c r="F15" s="116"/>
      <c r="G15" s="116"/>
    </row>
    <row r="16" spans="1:11">
      <c r="A16" s="114" t="s">
        <v>309</v>
      </c>
    </row>
    <row r="18" spans="1:7">
      <c r="C18" s="116" t="s">
        <v>2</v>
      </c>
      <c r="E18" s="115" t="s">
        <v>34</v>
      </c>
      <c r="G18" s="117"/>
    </row>
    <row r="19" spans="1:7">
      <c r="A19" s="117">
        <f>A11+1</f>
        <v>2</v>
      </c>
      <c r="C19" s="114" t="s">
        <v>307</v>
      </c>
      <c r="E19" s="166">
        <v>2180201</v>
      </c>
      <c r="G19" s="117"/>
    </row>
    <row r="20" spans="1:7">
      <c r="A20" s="117">
        <f>A19+1</f>
        <v>3</v>
      </c>
      <c r="C20" s="114" t="s">
        <v>308</v>
      </c>
      <c r="E20" s="164">
        <v>0.5</v>
      </c>
      <c r="G20" s="117"/>
    </row>
    <row r="21" spans="1:7" ht="13.5" thickBot="1">
      <c r="A21" s="117">
        <f>A20+1</f>
        <v>4</v>
      </c>
      <c r="C21" s="114" t="s">
        <v>306</v>
      </c>
      <c r="E21" s="168">
        <f>-E19*E20</f>
        <v>-1090100.5</v>
      </c>
    </row>
    <row r="22" spans="1:7" ht="13.5" thickTop="1"/>
    <row r="24" spans="1:7">
      <c r="A24" s="114" t="s">
        <v>310</v>
      </c>
    </row>
    <row r="25" spans="1:7">
      <c r="A25" s="169" t="s">
        <v>581</v>
      </c>
    </row>
    <row r="32" spans="1:7" hidden="1">
      <c r="C32" s="114">
        <v>1</v>
      </c>
    </row>
    <row r="33" hidden="1"/>
    <row r="34" hidden="1"/>
    <row r="35" hidden="1"/>
  </sheetData>
  <pageMargins left="0.7" right="0.7" top="0.75" bottom="0.41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zoomScaleNormal="100" zoomScaleSheetLayoutView="80" workbookViewId="0">
      <selection activeCell="H5" sqref="H5"/>
    </sheetView>
  </sheetViews>
  <sheetFormatPr defaultRowHeight="12.75"/>
  <cols>
    <col min="1" max="1" width="4" style="2" customWidth="1"/>
    <col min="2" max="2" width="0.7109375" style="2" customWidth="1"/>
    <col min="3" max="3" width="57.7109375" style="2" customWidth="1"/>
    <col min="4" max="4" width="1" style="2" customWidth="1"/>
    <col min="5" max="5" width="12.5703125" style="2" customWidth="1"/>
    <col min="6" max="6" width="1" style="2" customWidth="1"/>
    <col min="7" max="7" width="10.28515625" style="2" customWidth="1"/>
    <col min="8" max="8" width="1" style="2" customWidth="1"/>
    <col min="9" max="10" width="9.140625" style="2"/>
    <col min="11" max="11" width="9.85546875" style="2" bestFit="1" customWidth="1"/>
    <col min="12" max="12" width="11.28515625" style="2" bestFit="1" customWidth="1"/>
    <col min="13" max="13" width="9.42578125" style="2" bestFit="1" customWidth="1"/>
    <col min="14" max="16384" width="9.140625" style="2"/>
  </cols>
  <sheetData>
    <row r="1" spans="1:9">
      <c r="A1" s="2" t="str">
        <f>A!$A$1</f>
        <v>Florida Public Utilities Company Consolidated Gas</v>
      </c>
      <c r="G1" s="33" t="str">
        <f>Contents!A2</f>
        <v>Docket No. 20220067-GU</v>
      </c>
    </row>
    <row r="2" spans="1:9">
      <c r="A2" s="2" t="s">
        <v>296</v>
      </c>
      <c r="G2" s="33" t="str">
        <f>Contents!A3</f>
        <v>Exhibit RCS-2R</v>
      </c>
    </row>
    <row r="3" spans="1:9">
      <c r="G3" s="33" t="s">
        <v>121</v>
      </c>
    </row>
    <row r="4" spans="1:9">
      <c r="A4" s="23" t="str">
        <f>A!A4</f>
        <v>Projected Test Year Ended December 31, 2023</v>
      </c>
      <c r="G4" s="22" t="s">
        <v>39</v>
      </c>
    </row>
    <row r="6" spans="1:9">
      <c r="E6" s="20"/>
      <c r="G6" s="20"/>
    </row>
    <row r="7" spans="1:9">
      <c r="A7" s="20" t="s">
        <v>0</v>
      </c>
      <c r="E7" s="20"/>
      <c r="F7" s="20"/>
      <c r="G7" s="20"/>
      <c r="H7" s="20"/>
      <c r="I7" s="20"/>
    </row>
    <row r="8" spans="1:9">
      <c r="A8" s="27" t="s">
        <v>1</v>
      </c>
      <c r="C8" s="28" t="s">
        <v>2</v>
      </c>
      <c r="E8" s="27" t="s">
        <v>34</v>
      </c>
      <c r="F8" s="20"/>
      <c r="G8" s="27"/>
      <c r="H8" s="20"/>
      <c r="I8" s="20"/>
    </row>
    <row r="9" spans="1:9">
      <c r="C9" s="103"/>
      <c r="E9" s="20" t="s">
        <v>9</v>
      </c>
      <c r="F9" s="20"/>
      <c r="G9" s="20" t="s">
        <v>3</v>
      </c>
    </row>
    <row r="10" spans="1:9">
      <c r="A10" s="20"/>
      <c r="E10" s="30"/>
      <c r="F10" s="18"/>
      <c r="G10" s="30"/>
    </row>
    <row r="11" spans="1:9">
      <c r="A11" s="20">
        <v>1</v>
      </c>
      <c r="C11" s="2" t="s">
        <v>299</v>
      </c>
      <c r="E11" s="18">
        <v>-1405</v>
      </c>
      <c r="G11" s="20" t="s">
        <v>60</v>
      </c>
    </row>
    <row r="12" spans="1:9">
      <c r="A12" s="20">
        <f t="shared" ref="A12:A17" si="0">A11+1</f>
        <v>2</v>
      </c>
      <c r="C12" s="2" t="s">
        <v>300</v>
      </c>
      <c r="E12" s="18">
        <v>-16827</v>
      </c>
      <c r="G12" s="20" t="s">
        <v>60</v>
      </c>
    </row>
    <row r="13" spans="1:9">
      <c r="A13" s="20">
        <f t="shared" si="0"/>
        <v>3</v>
      </c>
      <c r="C13" s="2" t="s">
        <v>301</v>
      </c>
      <c r="E13" s="18">
        <v>-128</v>
      </c>
      <c r="G13" s="20" t="s">
        <v>60</v>
      </c>
    </row>
    <row r="14" spans="1:9">
      <c r="A14" s="20">
        <f t="shared" si="0"/>
        <v>4</v>
      </c>
      <c r="C14" s="2" t="s">
        <v>302</v>
      </c>
      <c r="E14" s="18">
        <v>-17477</v>
      </c>
      <c r="G14" s="20" t="s">
        <v>60</v>
      </c>
    </row>
    <row r="15" spans="1:9">
      <c r="A15" s="20">
        <f t="shared" si="0"/>
        <v>5</v>
      </c>
      <c r="C15" s="2" t="s">
        <v>303</v>
      </c>
      <c r="E15" s="18">
        <v>-1170560</v>
      </c>
      <c r="G15" s="20" t="s">
        <v>60</v>
      </c>
    </row>
    <row r="16" spans="1:9">
      <c r="A16" s="20">
        <f t="shared" si="0"/>
        <v>6</v>
      </c>
      <c r="C16" s="2" t="s">
        <v>304</v>
      </c>
      <c r="E16" s="18">
        <v>-169107</v>
      </c>
      <c r="G16" s="20" t="s">
        <v>61</v>
      </c>
    </row>
    <row r="17" spans="1:7" ht="13.5" thickBot="1">
      <c r="A17" s="20">
        <f t="shared" si="0"/>
        <v>7</v>
      </c>
      <c r="C17" s="2" t="s">
        <v>305</v>
      </c>
      <c r="E17" s="119">
        <f>SUM(E11:E16)-1</f>
        <v>-1375505</v>
      </c>
    </row>
    <row r="18" spans="1:7" ht="13.5" thickTop="1">
      <c r="E18" s="18"/>
    </row>
    <row r="21" spans="1:7">
      <c r="A21" s="28" t="s">
        <v>11</v>
      </c>
      <c r="B21" s="28"/>
      <c r="C21" s="28"/>
      <c r="D21" s="28"/>
      <c r="E21" s="28"/>
      <c r="F21" s="28"/>
      <c r="G21" s="28"/>
    </row>
    <row r="22" spans="1:7">
      <c r="A22" s="2" t="s">
        <v>582</v>
      </c>
    </row>
    <row r="23" spans="1:7">
      <c r="A23" s="2" t="s">
        <v>583</v>
      </c>
    </row>
    <row r="41" spans="3:3" hidden="1">
      <c r="C41" s="2">
        <v>1</v>
      </c>
    </row>
    <row r="42" spans="3:3" hidden="1"/>
    <row r="43" spans="3:3" hidden="1"/>
    <row r="44" spans="3:3" hidden="1"/>
  </sheetData>
  <pageMargins left="0.7" right="0.7" top="0.75" bottom="0.38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G31"/>
  <sheetViews>
    <sheetView view="pageBreakPreview" zoomScale="60" zoomScaleNormal="100" workbookViewId="0">
      <selection activeCell="H5" sqref="H5"/>
    </sheetView>
  </sheetViews>
  <sheetFormatPr defaultRowHeight="12.75"/>
  <cols>
    <col min="1" max="1" width="4" style="2" customWidth="1"/>
    <col min="2" max="2" width="0.7109375" style="2" customWidth="1"/>
    <col min="3" max="3" width="70.7109375" style="2" bestFit="1" customWidth="1"/>
    <col min="4" max="4" width="1" style="2" customWidth="1"/>
    <col min="5" max="5" width="13.85546875" style="2" customWidth="1"/>
    <col min="6" max="6" width="1" style="2" customWidth="1"/>
    <col min="7" max="7" width="14.85546875" style="2" customWidth="1"/>
    <col min="8" max="16384" width="9.140625" style="2"/>
  </cols>
  <sheetData>
    <row r="1" spans="1:7">
      <c r="A1" s="2" t="str">
        <f>A!$A$1</f>
        <v>Florida Public Utilities Company Consolidated Gas</v>
      </c>
      <c r="G1" s="33" t="str">
        <f>Contents!A2</f>
        <v>Docket No. 20220067-GU</v>
      </c>
    </row>
    <row r="2" spans="1:7">
      <c r="A2" s="2" t="s">
        <v>297</v>
      </c>
      <c r="G2" s="33" t="str">
        <f>Contents!A3</f>
        <v>Exhibit RCS-2R</v>
      </c>
    </row>
    <row r="3" spans="1:7">
      <c r="G3" s="33" t="s">
        <v>122</v>
      </c>
    </row>
    <row r="4" spans="1:7">
      <c r="A4" s="23" t="str">
        <f>A!A4</f>
        <v>Projected Test Year Ended December 31, 2023</v>
      </c>
      <c r="G4" s="33" t="s">
        <v>39</v>
      </c>
    </row>
    <row r="5" spans="1:7">
      <c r="A5" s="2" t="s">
        <v>116</v>
      </c>
    </row>
    <row r="7" spans="1:7">
      <c r="A7" s="20"/>
      <c r="E7" s="208"/>
      <c r="F7" s="208"/>
    </row>
    <row r="8" spans="1:7" ht="27" customHeight="1">
      <c r="A8" s="54" t="s">
        <v>94</v>
      </c>
      <c r="C8" s="28" t="s">
        <v>2</v>
      </c>
      <c r="E8" s="54" t="s">
        <v>34</v>
      </c>
      <c r="F8" s="97"/>
      <c r="G8" s="27" t="s">
        <v>3</v>
      </c>
    </row>
    <row r="9" spans="1:7">
      <c r="C9" s="103"/>
      <c r="E9" s="20" t="s">
        <v>9</v>
      </c>
      <c r="F9" s="20"/>
      <c r="G9" s="20"/>
    </row>
    <row r="10" spans="1:7">
      <c r="E10" s="50"/>
      <c r="F10" s="50"/>
    </row>
    <row r="11" spans="1:7">
      <c r="A11" s="20">
        <v>1</v>
      </c>
      <c r="C11" s="2" t="s">
        <v>306</v>
      </c>
      <c r="E11" s="18">
        <f>'C-3'!E11</f>
        <v>-1090100.5</v>
      </c>
      <c r="G11" s="20" t="s">
        <v>120</v>
      </c>
    </row>
    <row r="12" spans="1:7">
      <c r="A12" s="20">
        <f>A11+1</f>
        <v>2</v>
      </c>
      <c r="C12" s="2" t="s">
        <v>366</v>
      </c>
      <c r="E12" s="18">
        <f>'C-4'!E17</f>
        <v>-1375505</v>
      </c>
      <c r="G12" s="20" t="s">
        <v>121</v>
      </c>
    </row>
    <row r="13" spans="1:7" ht="13.5" thickBot="1">
      <c r="A13" s="20">
        <f>A12+1</f>
        <v>3</v>
      </c>
      <c r="C13" s="2" t="s">
        <v>33</v>
      </c>
      <c r="E13" s="119">
        <f>E11+E12</f>
        <v>-2465605.5</v>
      </c>
    </row>
    <row r="14" spans="1:7" ht="13.5" thickTop="1">
      <c r="A14" s="20"/>
    </row>
    <row r="15" spans="1:7">
      <c r="A15" s="20">
        <f>A13+1</f>
        <v>4</v>
      </c>
      <c r="C15" s="2" t="s">
        <v>585</v>
      </c>
      <c r="E15" s="16">
        <f>E13</f>
        <v>-2465605.5</v>
      </c>
    </row>
    <row r="16" spans="1:7">
      <c r="A16" s="20">
        <f>A15+1</f>
        <v>5</v>
      </c>
      <c r="C16" s="2" t="s">
        <v>371</v>
      </c>
      <c r="E16" s="37">
        <v>6.2E-2</v>
      </c>
      <c r="G16" s="20" t="s">
        <v>584</v>
      </c>
    </row>
    <row r="17" spans="1:7" ht="13.5" thickBot="1">
      <c r="A17" s="20">
        <f>A16+1</f>
        <v>6</v>
      </c>
      <c r="C17" s="2" t="s">
        <v>367</v>
      </c>
      <c r="E17" s="174">
        <f>E15*E16</f>
        <v>-152867.541</v>
      </c>
      <c r="G17" s="20"/>
    </row>
    <row r="18" spans="1:7" ht="13.5" thickTop="1">
      <c r="A18" s="20"/>
      <c r="G18" s="20"/>
    </row>
    <row r="19" spans="1:7">
      <c r="A19" s="20">
        <f>A17+1</f>
        <v>7</v>
      </c>
      <c r="C19" s="2" t="s">
        <v>372</v>
      </c>
      <c r="E19" s="16">
        <f>E13</f>
        <v>-2465605.5</v>
      </c>
      <c r="G19" s="20"/>
    </row>
    <row r="20" spans="1:7">
      <c r="A20" s="20">
        <f>A19+1</f>
        <v>8</v>
      </c>
      <c r="C20" s="2" t="s">
        <v>368</v>
      </c>
      <c r="E20" s="37">
        <v>1.4500000000000001E-2</v>
      </c>
      <c r="G20" s="20" t="s">
        <v>584</v>
      </c>
    </row>
    <row r="21" spans="1:7" ht="13.5" thickBot="1">
      <c r="A21" s="20">
        <f>A20+1</f>
        <v>9</v>
      </c>
      <c r="C21" s="2" t="s">
        <v>369</v>
      </c>
      <c r="E21" s="174">
        <f>E19*E20</f>
        <v>-35751.279750000002</v>
      </c>
    </row>
    <row r="22" spans="1:7" ht="13.5" thickTop="1">
      <c r="A22" s="20"/>
    </row>
    <row r="23" spans="1:7" ht="13.5" thickBot="1">
      <c r="A23" s="20">
        <f>A21+1</f>
        <v>10</v>
      </c>
      <c r="C23" s="2" t="s">
        <v>370</v>
      </c>
      <c r="E23" s="184">
        <f>E17+E21</f>
        <v>-188618.82075000001</v>
      </c>
      <c r="G23" s="20" t="s">
        <v>373</v>
      </c>
    </row>
    <row r="24" spans="1:7" ht="13.5" thickTop="1"/>
    <row r="25" spans="1:7">
      <c r="A25" s="28" t="s">
        <v>11</v>
      </c>
      <c r="B25" s="28"/>
      <c r="C25" s="28"/>
      <c r="D25" s="28"/>
      <c r="E25" s="28"/>
      <c r="F25" s="28"/>
      <c r="G25" s="28"/>
    </row>
    <row r="26" spans="1:7">
      <c r="A26" s="2" t="s">
        <v>595</v>
      </c>
    </row>
    <row r="28" spans="1:7" hidden="1">
      <c r="C28" s="2">
        <v>1</v>
      </c>
    </row>
    <row r="29" spans="1:7" hidden="1"/>
    <row r="30" spans="1:7" hidden="1"/>
    <row r="31" spans="1:7" hidden="1"/>
  </sheetData>
  <mergeCells count="1">
    <mergeCell ref="E7:F7"/>
  </mergeCells>
  <pageMargins left="0.7" right="0.7" top="0.75" bottom="0.41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I21"/>
  <sheetViews>
    <sheetView zoomScaleNormal="100" workbookViewId="0">
      <selection activeCell="H5" sqref="H5"/>
    </sheetView>
  </sheetViews>
  <sheetFormatPr defaultRowHeight="12.75"/>
  <cols>
    <col min="1" max="1" width="4" style="2" customWidth="1"/>
    <col min="2" max="2" width="0.7109375" style="2" customWidth="1"/>
    <col min="3" max="3" width="62.140625" style="2" customWidth="1"/>
    <col min="4" max="4" width="1" style="2" customWidth="1"/>
    <col min="5" max="5" width="13.140625" style="2" customWidth="1"/>
    <col min="6" max="6" width="1" style="2" customWidth="1"/>
    <col min="7" max="7" width="11.28515625" style="2" customWidth="1"/>
    <col min="8" max="8" width="1" style="2" customWidth="1"/>
    <col min="9" max="10" width="9.140625" style="2"/>
    <col min="11" max="11" width="9.28515625" style="2" bestFit="1" customWidth="1"/>
    <col min="12" max="12" width="11.28515625" style="2" bestFit="1" customWidth="1"/>
    <col min="13" max="16384" width="9.140625" style="2"/>
  </cols>
  <sheetData>
    <row r="1" spans="1:9">
      <c r="A1" s="2" t="str">
        <f>A!$A$1</f>
        <v>Florida Public Utilities Company Consolidated Gas</v>
      </c>
      <c r="G1" s="33" t="str">
        <f>Contents!A2</f>
        <v>Docket No. 20220067-GU</v>
      </c>
    </row>
    <row r="2" spans="1:9">
      <c r="A2" s="2" t="s">
        <v>298</v>
      </c>
      <c r="G2" s="33" t="str">
        <f>Contents!A3</f>
        <v>Exhibit RCS-2R</v>
      </c>
    </row>
    <row r="3" spans="1:9">
      <c r="G3" s="33" t="s">
        <v>163</v>
      </c>
    </row>
    <row r="4" spans="1:9">
      <c r="A4" s="23" t="str">
        <f>A!A4</f>
        <v>Projected Test Year Ended December 31, 2023</v>
      </c>
      <c r="G4" s="33" t="s">
        <v>39</v>
      </c>
    </row>
    <row r="6" spans="1:9">
      <c r="E6" s="20"/>
      <c r="G6" s="20"/>
    </row>
    <row r="7" spans="1:9">
      <c r="A7" s="20" t="s">
        <v>0</v>
      </c>
      <c r="E7" s="20"/>
      <c r="F7" s="20"/>
      <c r="G7" s="20"/>
      <c r="H7" s="20"/>
      <c r="I7" s="20"/>
    </row>
    <row r="8" spans="1:9">
      <c r="A8" s="27" t="s">
        <v>1</v>
      </c>
      <c r="C8" s="28" t="s">
        <v>2</v>
      </c>
      <c r="E8" s="27" t="s">
        <v>34</v>
      </c>
      <c r="F8" s="20"/>
      <c r="G8" s="27" t="s">
        <v>3</v>
      </c>
      <c r="H8" s="20"/>
      <c r="I8" s="20"/>
    </row>
    <row r="9" spans="1:9">
      <c r="C9" s="103"/>
      <c r="E9" s="20" t="s">
        <v>9</v>
      </c>
      <c r="F9" s="20"/>
      <c r="G9" s="20"/>
    </row>
    <row r="10" spans="1:9">
      <c r="A10" s="20"/>
      <c r="E10" s="30"/>
      <c r="F10" s="18"/>
      <c r="G10" s="30"/>
    </row>
    <row r="11" spans="1:9" ht="13.5" thickBot="1">
      <c r="A11" s="20">
        <v>1</v>
      </c>
      <c r="C11" s="2" t="s">
        <v>313</v>
      </c>
      <c r="E11" s="29">
        <v>-1762</v>
      </c>
      <c r="F11" s="50"/>
      <c r="G11" s="20" t="s">
        <v>60</v>
      </c>
    </row>
    <row r="12" spans="1:9" ht="13.5" thickTop="1">
      <c r="E12" s="50"/>
      <c r="F12" s="50"/>
    </row>
    <row r="13" spans="1:9">
      <c r="E13" s="50"/>
      <c r="F13" s="50"/>
    </row>
    <row r="14" spans="1:9">
      <c r="E14" s="50"/>
      <c r="F14" s="50"/>
    </row>
    <row r="15" spans="1:9">
      <c r="E15" s="50"/>
      <c r="F15" s="50"/>
    </row>
    <row r="16" spans="1:9">
      <c r="A16" s="28" t="s">
        <v>11</v>
      </c>
      <c r="B16" s="28"/>
      <c r="C16" s="28"/>
      <c r="D16" s="28"/>
      <c r="E16" s="28"/>
      <c r="F16" s="28"/>
      <c r="G16" s="28"/>
    </row>
    <row r="17" spans="1:3" hidden="1">
      <c r="C17" s="2">
        <v>1</v>
      </c>
    </row>
    <row r="18" spans="1:3" hidden="1"/>
    <row r="19" spans="1:3" hidden="1"/>
    <row r="20" spans="1:3" hidden="1"/>
    <row r="21" spans="1:3">
      <c r="A21" s="2" t="s">
        <v>314</v>
      </c>
    </row>
  </sheetData>
  <pageMargins left="0.7" right="0.7" top="0.52" bottom="0.34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I55"/>
  <sheetViews>
    <sheetView zoomScaleNormal="100" workbookViewId="0">
      <selection activeCell="H5" sqref="H5"/>
    </sheetView>
  </sheetViews>
  <sheetFormatPr defaultRowHeight="12.75"/>
  <cols>
    <col min="1" max="1" width="4" style="2" customWidth="1"/>
    <col min="2" max="2" width="1.5703125" style="2" customWidth="1"/>
    <col min="3" max="3" width="49.28515625" style="2" customWidth="1"/>
    <col min="4" max="4" width="1" style="2" customWidth="1"/>
    <col min="5" max="5" width="14.7109375" style="2" customWidth="1"/>
    <col min="6" max="6" width="1.28515625" style="2" customWidth="1"/>
    <col min="7" max="7" width="14.7109375" style="2" customWidth="1"/>
    <col min="8" max="8" width="1" style="2" customWidth="1"/>
    <col min="9" max="9" width="11.7109375" style="2" customWidth="1"/>
    <col min="10" max="16384" width="9.140625" style="2"/>
  </cols>
  <sheetData>
    <row r="1" spans="1:9">
      <c r="A1" s="2" t="str">
        <f>A!A1</f>
        <v>Florida Public Utilities Company Consolidated Gas</v>
      </c>
      <c r="I1" s="33" t="str">
        <f>Contents!A2</f>
        <v>Docket No. 20220067-GU</v>
      </c>
    </row>
    <row r="2" spans="1:9">
      <c r="A2" s="2" t="s">
        <v>323</v>
      </c>
      <c r="I2" s="33" t="str">
        <f>Contents!A3</f>
        <v>Exhibit RCS-2R</v>
      </c>
    </row>
    <row r="3" spans="1:9">
      <c r="I3" s="33" t="s">
        <v>124</v>
      </c>
    </row>
    <row r="4" spans="1:9">
      <c r="A4" s="2" t="str">
        <f>A!A4</f>
        <v>Projected Test Year Ended December 31, 2023</v>
      </c>
      <c r="I4" s="33" t="s">
        <v>39</v>
      </c>
    </row>
    <row r="8" spans="1:9">
      <c r="A8" s="20" t="s">
        <v>0</v>
      </c>
      <c r="D8" s="20"/>
      <c r="E8" s="20"/>
      <c r="F8" s="20"/>
      <c r="G8" s="20"/>
      <c r="H8" s="20"/>
      <c r="I8" s="20" t="s">
        <v>167</v>
      </c>
    </row>
    <row r="9" spans="1:9">
      <c r="A9" s="27" t="s">
        <v>1</v>
      </c>
      <c r="C9" s="28" t="s">
        <v>2</v>
      </c>
      <c r="D9" s="20"/>
      <c r="E9" s="27" t="s">
        <v>266</v>
      </c>
      <c r="F9" s="20"/>
      <c r="G9" s="27" t="s">
        <v>170</v>
      </c>
      <c r="H9" s="20"/>
      <c r="I9" s="27" t="s">
        <v>95</v>
      </c>
    </row>
    <row r="10" spans="1:9">
      <c r="E10" s="20" t="s">
        <v>9</v>
      </c>
      <c r="F10" s="20"/>
      <c r="G10" s="20" t="s">
        <v>10</v>
      </c>
      <c r="H10" s="20"/>
      <c r="I10" s="20" t="s">
        <v>26</v>
      </c>
    </row>
    <row r="11" spans="1:9">
      <c r="A11" s="20"/>
    </row>
    <row r="12" spans="1:9" ht="13.5" thickBot="1">
      <c r="A12" s="20">
        <v>1</v>
      </c>
      <c r="C12" s="2" t="s">
        <v>316</v>
      </c>
      <c r="E12" s="29">
        <v>171055</v>
      </c>
      <c r="F12" s="18"/>
      <c r="G12" s="29">
        <f>E22</f>
        <v>85527.5</v>
      </c>
      <c r="H12" s="18"/>
      <c r="I12" s="29">
        <f>G12-E12</f>
        <v>-85527.5</v>
      </c>
    </row>
    <row r="13" spans="1:9" ht="13.5" thickTop="1"/>
    <row r="17" spans="1:9">
      <c r="A17" s="28" t="s">
        <v>11</v>
      </c>
      <c r="B17" s="28"/>
      <c r="C17" s="28"/>
      <c r="D17" s="28"/>
      <c r="E17" s="28"/>
      <c r="F17" s="28"/>
      <c r="G17" s="28"/>
      <c r="H17" s="28"/>
      <c r="I17" s="28"/>
    </row>
    <row r="18" spans="1:9">
      <c r="A18" s="2" t="s">
        <v>321</v>
      </c>
    </row>
    <row r="19" spans="1:9">
      <c r="A19" s="2" t="s">
        <v>317</v>
      </c>
    </row>
    <row r="20" spans="1:9">
      <c r="C20" s="147" t="s">
        <v>319</v>
      </c>
      <c r="E20" s="16">
        <f>E12</f>
        <v>171055</v>
      </c>
    </row>
    <row r="21" spans="1:9">
      <c r="C21" s="147" t="s">
        <v>320</v>
      </c>
      <c r="E21" s="172">
        <v>0.5</v>
      </c>
    </row>
    <row r="22" spans="1:9" ht="13.5" thickBot="1">
      <c r="C22" s="147" t="s">
        <v>318</v>
      </c>
      <c r="E22" s="174">
        <f>E20*E21</f>
        <v>85527.5</v>
      </c>
    </row>
    <row r="23" spans="1:9" ht="13.5" thickTop="1"/>
    <row r="52" spans="3:3" hidden="1">
      <c r="C52" s="2">
        <v>1</v>
      </c>
    </row>
    <row r="53" spans="3:3" hidden="1"/>
    <row r="54" spans="3:3" hidden="1"/>
    <row r="55" spans="3:3" hidden="1"/>
  </sheetData>
  <pageMargins left="0.7" right="0.7" top="0.75" bottom="0.39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G29"/>
  <sheetViews>
    <sheetView zoomScaleNormal="100" workbookViewId="0">
      <selection activeCell="H5" sqref="H5"/>
    </sheetView>
  </sheetViews>
  <sheetFormatPr defaultRowHeight="12.75"/>
  <cols>
    <col min="1" max="1" width="4.42578125" style="2" customWidth="1"/>
    <col min="2" max="2" width="0.85546875" style="2" customWidth="1"/>
    <col min="3" max="3" width="54.42578125" style="2" customWidth="1"/>
    <col min="4" max="4" width="0.7109375" style="2" customWidth="1"/>
    <col min="5" max="5" width="11.42578125" style="2" customWidth="1"/>
    <col min="6" max="6" width="1" style="2" customWidth="1"/>
    <col min="7" max="7" width="10.28515625" style="2" customWidth="1"/>
    <col min="8" max="10" width="9.140625" style="2"/>
    <col min="11" max="11" width="9.7109375" style="2" bestFit="1" customWidth="1"/>
    <col min="12" max="12" width="9.140625" style="2"/>
    <col min="13" max="13" width="10.85546875" style="2" bestFit="1" customWidth="1"/>
    <col min="14" max="16384" width="9.140625" style="2"/>
  </cols>
  <sheetData>
    <row r="1" spans="1:7">
      <c r="A1" s="2" t="str">
        <f>A!$A$1</f>
        <v>Florida Public Utilities Company Consolidated Gas</v>
      </c>
      <c r="G1" s="33" t="str">
        <f>Contents!A2</f>
        <v>Docket No. 20220067-GU</v>
      </c>
    </row>
    <row r="2" spans="1:7">
      <c r="A2" s="2" t="s">
        <v>322</v>
      </c>
      <c r="G2" s="33" t="str">
        <f>Contents!A3</f>
        <v>Exhibit RCS-2R</v>
      </c>
    </row>
    <row r="3" spans="1:7">
      <c r="G3" s="33" t="s">
        <v>166</v>
      </c>
    </row>
    <row r="4" spans="1:7">
      <c r="A4" s="23" t="str">
        <f>A!A4</f>
        <v>Projected Test Year Ended December 31, 2023</v>
      </c>
      <c r="G4" s="33" t="s">
        <v>39</v>
      </c>
    </row>
    <row r="6" spans="1:7">
      <c r="E6" s="20"/>
      <c r="F6" s="20"/>
    </row>
    <row r="7" spans="1:7">
      <c r="A7" s="20" t="s">
        <v>0</v>
      </c>
      <c r="E7" s="20"/>
      <c r="F7" s="20"/>
    </row>
    <row r="8" spans="1:7">
      <c r="A8" s="27" t="s">
        <v>1</v>
      </c>
      <c r="C8" s="28" t="s">
        <v>2</v>
      </c>
      <c r="E8" s="27" t="s">
        <v>34</v>
      </c>
      <c r="F8" s="20"/>
      <c r="G8" s="27" t="s">
        <v>3</v>
      </c>
    </row>
    <row r="9" spans="1:7">
      <c r="E9" s="20"/>
      <c r="F9" s="20"/>
    </row>
    <row r="10" spans="1:7">
      <c r="E10" s="20"/>
      <c r="F10" s="20"/>
    </row>
    <row r="11" spans="1:7" ht="13.5" thickBot="1">
      <c r="A11" s="20">
        <v>1</v>
      </c>
      <c r="C11" s="2" t="s">
        <v>347</v>
      </c>
      <c r="E11" s="29">
        <v>-78249</v>
      </c>
      <c r="G11" s="20" t="s">
        <v>60</v>
      </c>
    </row>
    <row r="12" spans="1:7" ht="13.5" thickTop="1"/>
    <row r="17" spans="1:7">
      <c r="A17" s="28"/>
      <c r="B17" s="28"/>
      <c r="C17" s="28"/>
      <c r="D17" s="28"/>
      <c r="E17" s="28"/>
      <c r="F17" s="28"/>
      <c r="G17" s="28"/>
    </row>
    <row r="18" spans="1:7">
      <c r="A18" s="2" t="s">
        <v>348</v>
      </c>
    </row>
    <row r="26" spans="1:7" hidden="1">
      <c r="C26" s="2">
        <v>1</v>
      </c>
    </row>
    <row r="27" spans="1:7" hidden="1"/>
    <row r="28" spans="1:7" hidden="1"/>
    <row r="29" spans="1:7" hidden="1"/>
  </sheetData>
  <pageMargins left="0.7" right="0.7" top="0.75" bottom="0.44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zoomScaleNormal="100" zoomScaleSheetLayoutView="100" workbookViewId="0">
      <selection activeCell="H5" sqref="H5"/>
    </sheetView>
  </sheetViews>
  <sheetFormatPr defaultRowHeight="12.75"/>
  <cols>
    <col min="1" max="1" width="4" style="2" customWidth="1"/>
    <col min="2" max="2" width="0.85546875" style="2" customWidth="1"/>
    <col min="3" max="3" width="54.140625" style="2" customWidth="1"/>
    <col min="4" max="4" width="0.7109375" style="2" customWidth="1"/>
    <col min="5" max="5" width="13" style="2" customWidth="1"/>
    <col min="6" max="6" width="0.7109375" style="2" customWidth="1"/>
    <col min="7" max="7" width="12.5703125" style="2" customWidth="1"/>
    <col min="8" max="8" width="1" style="2" customWidth="1"/>
    <col min="9" max="9" width="10.28515625" style="2" customWidth="1"/>
    <col min="10" max="12" width="9.140625" style="2"/>
    <col min="13" max="13" width="9.7109375" style="2" bestFit="1" customWidth="1"/>
    <col min="14" max="14" width="9.140625" style="2"/>
    <col min="15" max="15" width="10.85546875" style="2" bestFit="1" customWidth="1"/>
    <col min="16" max="16384" width="9.140625" style="2"/>
  </cols>
  <sheetData>
    <row r="1" spans="1:8">
      <c r="A1" s="2" t="str">
        <f>A!$A$1</f>
        <v>Florida Public Utilities Company Consolidated Gas</v>
      </c>
      <c r="G1" s="33" t="str">
        <f>Contents!A2</f>
        <v>Docket No. 20220067-GU</v>
      </c>
    </row>
    <row r="2" spans="1:8">
      <c r="A2" s="2" t="s">
        <v>353</v>
      </c>
      <c r="G2" s="33" t="str">
        <f>Contents!A3</f>
        <v>Exhibit RCS-2R</v>
      </c>
    </row>
    <row r="3" spans="1:8">
      <c r="G3" s="33" t="s">
        <v>134</v>
      </c>
    </row>
    <row r="4" spans="1:8">
      <c r="A4" s="23" t="str">
        <f>A!A4</f>
        <v>Projected Test Year Ended December 31, 2023</v>
      </c>
      <c r="G4" s="33" t="s">
        <v>39</v>
      </c>
    </row>
    <row r="5" spans="1:8">
      <c r="G5" s="20"/>
    </row>
    <row r="6" spans="1:8">
      <c r="A6" s="20" t="s">
        <v>0</v>
      </c>
      <c r="G6" s="20"/>
      <c r="H6" s="20"/>
    </row>
    <row r="7" spans="1:8">
      <c r="A7" s="27" t="s">
        <v>1</v>
      </c>
      <c r="C7" s="28" t="s">
        <v>2</v>
      </c>
      <c r="E7" s="27" t="s">
        <v>34</v>
      </c>
      <c r="G7" s="27" t="s">
        <v>3</v>
      </c>
      <c r="H7" s="20"/>
    </row>
    <row r="8" spans="1:8">
      <c r="E8" s="20" t="s">
        <v>9</v>
      </c>
      <c r="G8" s="20"/>
      <c r="H8" s="20"/>
    </row>
    <row r="9" spans="1:8">
      <c r="G9" s="20"/>
      <c r="H9" s="20"/>
    </row>
    <row r="10" spans="1:8" ht="13.5" thickBot="1">
      <c r="A10" s="20">
        <v>1</v>
      </c>
      <c r="C10" s="2" t="s">
        <v>349</v>
      </c>
      <c r="E10" s="29">
        <f>E25</f>
        <v>-41881</v>
      </c>
      <c r="G10" s="20" t="s">
        <v>60</v>
      </c>
    </row>
    <row r="11" spans="1:8" ht="13.5" thickTop="1"/>
    <row r="16" spans="1:8">
      <c r="A16" s="28"/>
      <c r="B16" s="28"/>
      <c r="C16" s="28"/>
      <c r="D16" s="28"/>
      <c r="E16" s="28"/>
      <c r="F16" s="28"/>
      <c r="G16" s="28"/>
      <c r="H16" s="28"/>
    </row>
    <row r="17" spans="1:7">
      <c r="A17" s="2" t="s">
        <v>548</v>
      </c>
    </row>
    <row r="19" spans="1:7">
      <c r="C19" s="28" t="s">
        <v>2</v>
      </c>
      <c r="E19" s="27" t="s">
        <v>34</v>
      </c>
      <c r="G19" s="27" t="s">
        <v>3</v>
      </c>
    </row>
    <row r="20" spans="1:7">
      <c r="A20" s="20">
        <f>A10+1</f>
        <v>2</v>
      </c>
      <c r="C20" s="2" t="s">
        <v>350</v>
      </c>
      <c r="E20" s="18">
        <v>-4373</v>
      </c>
      <c r="G20" s="20" t="s">
        <v>549</v>
      </c>
    </row>
    <row r="21" spans="1:7">
      <c r="A21" s="20">
        <f>A20+1</f>
        <v>3</v>
      </c>
      <c r="C21" s="2" t="s">
        <v>351</v>
      </c>
      <c r="E21" s="18">
        <v>-27293</v>
      </c>
      <c r="G21" s="20" t="s">
        <v>549</v>
      </c>
    </row>
    <row r="22" spans="1:7">
      <c r="A22" s="20">
        <f>A21+1</f>
        <v>4</v>
      </c>
      <c r="C22" s="2" t="s">
        <v>352</v>
      </c>
      <c r="E22" s="18">
        <v>-3700</v>
      </c>
      <c r="G22" s="20" t="s">
        <v>549</v>
      </c>
    </row>
    <row r="23" spans="1:7">
      <c r="A23" s="20">
        <f t="shared" ref="A23:A25" si="0">A22+1</f>
        <v>5</v>
      </c>
      <c r="C23" s="2" t="s">
        <v>552</v>
      </c>
      <c r="E23" s="18">
        <v>-109</v>
      </c>
      <c r="G23" s="20" t="s">
        <v>550</v>
      </c>
    </row>
    <row r="24" spans="1:7">
      <c r="A24" s="20">
        <f t="shared" si="0"/>
        <v>6</v>
      </c>
      <c r="C24" s="2" t="s">
        <v>551</v>
      </c>
      <c r="E24" s="18">
        <v>-6406</v>
      </c>
      <c r="G24" s="20" t="s">
        <v>550</v>
      </c>
    </row>
    <row r="25" spans="1:7" ht="13.5" thickBot="1">
      <c r="A25" s="20">
        <f t="shared" si="0"/>
        <v>7</v>
      </c>
      <c r="C25" s="2" t="s">
        <v>33</v>
      </c>
      <c r="E25" s="119">
        <f>SUM(E20:E24)</f>
        <v>-41881</v>
      </c>
    </row>
    <row r="26" spans="1:7" ht="13.5" thickTop="1">
      <c r="E26" s="18"/>
    </row>
    <row r="50" spans="3:3" hidden="1">
      <c r="C50" s="2">
        <v>1</v>
      </c>
    </row>
    <row r="51" spans="3:3" hidden="1"/>
    <row r="52" spans="3:3" hidden="1"/>
    <row r="53" spans="3:3" hidden="1"/>
  </sheetData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G67"/>
  <sheetViews>
    <sheetView zoomScaleNormal="100" zoomScaleSheetLayoutView="110" workbookViewId="0">
      <selection activeCell="H5" sqref="H5"/>
    </sheetView>
  </sheetViews>
  <sheetFormatPr defaultRowHeight="12.75"/>
  <cols>
    <col min="1" max="1" width="4" style="2" customWidth="1"/>
    <col min="2" max="2" width="0.7109375" style="2" customWidth="1"/>
    <col min="3" max="3" width="44.140625" style="2" customWidth="1"/>
    <col min="4" max="4" width="1.28515625" style="2" customWidth="1"/>
    <col min="5" max="5" width="14.42578125" style="2" bestFit="1" customWidth="1"/>
    <col min="6" max="6" width="0.7109375" style="2" customWidth="1"/>
    <col min="7" max="7" width="16" style="2" customWidth="1"/>
    <col min="8" max="16384" width="9.140625" style="2"/>
  </cols>
  <sheetData>
    <row r="1" spans="1:7">
      <c r="A1" s="2" t="str">
        <f>A!$A$1</f>
        <v>Florida Public Utilities Company Consolidated Gas</v>
      </c>
      <c r="C1" s="21"/>
      <c r="F1" s="23"/>
      <c r="G1" s="33" t="str">
        <f>A!K1</f>
        <v>Docket No. 20220067-GU</v>
      </c>
    </row>
    <row r="2" spans="1:7">
      <c r="A2" s="2" t="str">
        <f>Contents!B43</f>
        <v>Interest Synchronization</v>
      </c>
      <c r="C2" s="24"/>
      <c r="F2" s="20"/>
      <c r="G2" s="33" t="str">
        <f>Contents!A3</f>
        <v>Exhibit RCS-2R</v>
      </c>
    </row>
    <row r="3" spans="1:7">
      <c r="C3" s="25"/>
      <c r="G3" s="33" t="s">
        <v>165</v>
      </c>
    </row>
    <row r="4" spans="1:7">
      <c r="A4" s="23" t="str">
        <f>A!A4</f>
        <v>Projected Test Year Ended December 31, 2023</v>
      </c>
      <c r="C4" s="26"/>
      <c r="G4" s="33" t="s">
        <v>39</v>
      </c>
    </row>
    <row r="5" spans="1:7">
      <c r="A5" s="23"/>
      <c r="C5" s="26"/>
      <c r="G5" s="33" t="s">
        <v>102</v>
      </c>
    </row>
    <row r="6" spans="1:7">
      <c r="E6" s="20"/>
    </row>
    <row r="7" spans="1:7">
      <c r="A7" s="20" t="s">
        <v>0</v>
      </c>
      <c r="D7" s="20"/>
      <c r="E7" s="20"/>
      <c r="F7" s="20"/>
      <c r="G7" s="20"/>
    </row>
    <row r="8" spans="1:7">
      <c r="A8" s="27" t="s">
        <v>1</v>
      </c>
      <c r="C8" s="28" t="s">
        <v>2</v>
      </c>
      <c r="D8" s="20"/>
      <c r="E8" s="27" t="s">
        <v>34</v>
      </c>
      <c r="F8" s="20"/>
      <c r="G8" s="27" t="s">
        <v>3</v>
      </c>
    </row>
    <row r="9" spans="1:7">
      <c r="A9" s="20"/>
      <c r="D9" s="20"/>
      <c r="E9" s="20"/>
    </row>
    <row r="10" spans="1:7">
      <c r="A10" s="20">
        <v>1</v>
      </c>
      <c r="C10" s="2" t="s">
        <v>85</v>
      </c>
      <c r="D10" s="18"/>
      <c r="E10" s="18">
        <f>B!I36</f>
        <v>435080074.43427122</v>
      </c>
      <c r="G10" s="20" t="s">
        <v>16</v>
      </c>
    </row>
    <row r="11" spans="1:7">
      <c r="A11" s="20"/>
      <c r="D11" s="18"/>
      <c r="E11" s="18"/>
      <c r="G11" s="20"/>
    </row>
    <row r="12" spans="1:7">
      <c r="A12" s="20">
        <f>A10+1</f>
        <v>2</v>
      </c>
      <c r="C12" s="2" t="s">
        <v>86</v>
      </c>
      <c r="D12" s="40"/>
      <c r="E12" s="38">
        <f>D!G55</f>
        <v>1.5328660776551532E-2</v>
      </c>
      <c r="G12" s="20" t="s">
        <v>38</v>
      </c>
    </row>
    <row r="13" spans="1:7">
      <c r="A13" s="20"/>
      <c r="D13" s="40"/>
      <c r="E13" s="40"/>
      <c r="G13" s="20"/>
    </row>
    <row r="14" spans="1:7">
      <c r="A14" s="20">
        <f>A12+1</f>
        <v>3</v>
      </c>
      <c r="C14" s="2" t="s">
        <v>87</v>
      </c>
      <c r="D14" s="18"/>
      <c r="E14" s="18">
        <f>ROUND(E10*E12,0)</f>
        <v>6669195</v>
      </c>
      <c r="G14" s="20" t="s">
        <v>88</v>
      </c>
    </row>
    <row r="15" spans="1:7">
      <c r="A15" s="20"/>
      <c r="D15" s="18"/>
      <c r="E15" s="18"/>
      <c r="G15" s="20"/>
    </row>
    <row r="16" spans="1:7">
      <c r="A16" s="20">
        <f>A14+1</f>
        <v>4</v>
      </c>
      <c r="C16" s="2" t="s">
        <v>292</v>
      </c>
      <c r="D16" s="30"/>
      <c r="E16" s="31">
        <f>E37</f>
        <v>6140976.5829339158</v>
      </c>
      <c r="G16" s="20" t="s">
        <v>162</v>
      </c>
    </row>
    <row r="17" spans="1:7">
      <c r="A17" s="20"/>
      <c r="D17" s="30"/>
      <c r="E17" s="30"/>
      <c r="G17" s="20"/>
    </row>
    <row r="18" spans="1:7">
      <c r="A18" s="20">
        <f t="shared" ref="A18" si="0">A16+1</f>
        <v>5</v>
      </c>
      <c r="C18" s="2" t="s">
        <v>89</v>
      </c>
      <c r="D18" s="18"/>
      <c r="E18" s="18">
        <f>E14-E16</f>
        <v>528218.41706608422</v>
      </c>
      <c r="G18" s="20" t="s">
        <v>90</v>
      </c>
    </row>
    <row r="19" spans="1:7">
      <c r="A19" s="20"/>
      <c r="D19" s="18"/>
      <c r="E19" s="18"/>
      <c r="G19" s="20"/>
    </row>
    <row r="20" spans="1:7">
      <c r="A20" s="20">
        <f>A18+1</f>
        <v>6</v>
      </c>
      <c r="C20" s="2" t="s">
        <v>220</v>
      </c>
      <c r="D20" s="18"/>
      <c r="E20" s="42">
        <v>5.5E-2</v>
      </c>
      <c r="G20" s="20" t="s">
        <v>55</v>
      </c>
    </row>
    <row r="21" spans="1:7">
      <c r="A21" s="20"/>
      <c r="D21" s="18"/>
      <c r="E21" s="37"/>
      <c r="G21" s="20"/>
    </row>
    <row r="22" spans="1:7">
      <c r="A22" s="20">
        <f>A20+1</f>
        <v>7</v>
      </c>
      <c r="C22" s="2" t="s">
        <v>361</v>
      </c>
      <c r="D22" s="18"/>
      <c r="E22" s="30">
        <f>-E18*E20</f>
        <v>-29052.012938634631</v>
      </c>
      <c r="G22" s="20" t="s">
        <v>294</v>
      </c>
    </row>
    <row r="23" spans="1:7">
      <c r="A23" s="20"/>
      <c r="D23" s="18"/>
      <c r="E23" s="30"/>
      <c r="G23" s="20"/>
    </row>
    <row r="24" spans="1:7">
      <c r="A24" s="20">
        <f>A22+1</f>
        <v>8</v>
      </c>
      <c r="C24" s="2" t="s">
        <v>360</v>
      </c>
      <c r="D24" s="18"/>
      <c r="E24" s="30">
        <f>E18+E22</f>
        <v>499166.40412744961</v>
      </c>
      <c r="G24" s="20" t="s">
        <v>362</v>
      </c>
    </row>
    <row r="25" spans="1:7">
      <c r="A25" s="20"/>
      <c r="D25" s="18"/>
      <c r="E25" s="30"/>
      <c r="G25" s="20"/>
    </row>
    <row r="26" spans="1:7">
      <c r="A26" s="20">
        <f>A24+1</f>
        <v>9</v>
      </c>
      <c r="C26" s="2" t="s">
        <v>222</v>
      </c>
      <c r="D26" s="18"/>
      <c r="E26" s="42">
        <v>0.21</v>
      </c>
      <c r="G26" s="20" t="s">
        <v>55</v>
      </c>
    </row>
    <row r="27" spans="1:7">
      <c r="A27" s="20"/>
      <c r="D27" s="18"/>
      <c r="E27" s="37"/>
      <c r="G27" s="20"/>
    </row>
    <row r="28" spans="1:7">
      <c r="A28" s="20">
        <f>A26+1</f>
        <v>10</v>
      </c>
      <c r="C28" s="2" t="s">
        <v>293</v>
      </c>
      <c r="D28" s="18"/>
      <c r="E28" s="18">
        <f>-E24*E26</f>
        <v>-104824.94486676442</v>
      </c>
      <c r="G28" s="20" t="s">
        <v>363</v>
      </c>
    </row>
    <row r="29" spans="1:7">
      <c r="A29" s="20"/>
      <c r="D29" s="18"/>
      <c r="E29" s="18"/>
      <c r="G29" s="20"/>
    </row>
    <row r="30" spans="1:7" ht="13.5" thickBot="1">
      <c r="A30" s="20">
        <f>A28+1</f>
        <v>11</v>
      </c>
      <c r="C30" s="2" t="s">
        <v>93</v>
      </c>
      <c r="D30" s="30"/>
      <c r="E30" s="35">
        <f>E22+E28</f>
        <v>-133876.95780539906</v>
      </c>
      <c r="G30" s="20" t="s">
        <v>364</v>
      </c>
    </row>
    <row r="31" spans="1:7" ht="13.5" thickTop="1">
      <c r="A31" s="20"/>
      <c r="G31" s="20"/>
    </row>
    <row r="32" spans="1:7">
      <c r="A32" s="20"/>
      <c r="G32" s="20"/>
    </row>
    <row r="33" spans="1:7">
      <c r="A33" s="28" t="s">
        <v>11</v>
      </c>
      <c r="B33" s="28"/>
      <c r="C33" s="28"/>
      <c r="D33" s="28"/>
      <c r="E33" s="28"/>
      <c r="F33" s="28"/>
      <c r="G33" s="27"/>
    </row>
    <row r="34" spans="1:7">
      <c r="A34" s="2" t="s">
        <v>161</v>
      </c>
      <c r="G34" s="20"/>
    </row>
    <row r="35" spans="1:7">
      <c r="A35" s="20">
        <f>A30+1</f>
        <v>12</v>
      </c>
      <c r="C35" s="2" t="s">
        <v>289</v>
      </c>
      <c r="D35" s="30"/>
      <c r="E35" s="91">
        <f>B!E36</f>
        <v>454887154.29140115</v>
      </c>
      <c r="G35" s="20" t="s">
        <v>16</v>
      </c>
    </row>
    <row r="36" spans="1:7">
      <c r="A36" s="20">
        <f>A35+1</f>
        <v>13</v>
      </c>
      <c r="C36" s="2" t="s">
        <v>290</v>
      </c>
      <c r="E36" s="104">
        <f>D!G54</f>
        <v>1.35E-2</v>
      </c>
      <c r="G36" s="20" t="s">
        <v>38</v>
      </c>
    </row>
    <row r="37" spans="1:7" ht="13.5" thickBot="1">
      <c r="A37" s="20">
        <f>A36+1</f>
        <v>14</v>
      </c>
      <c r="C37" s="2" t="s">
        <v>291</v>
      </c>
      <c r="D37" s="30"/>
      <c r="E37" s="102">
        <f>E35*E36</f>
        <v>6140976.5829339158</v>
      </c>
    </row>
    <row r="38" spans="1:7" ht="13.5" thickTop="1"/>
    <row r="40" spans="1:7">
      <c r="D40" s="30"/>
      <c r="E40" s="30"/>
    </row>
    <row r="41" spans="1:7">
      <c r="D41" s="30"/>
      <c r="E41" s="30"/>
    </row>
    <row r="63" spans="3:7">
      <c r="D63" s="18"/>
      <c r="E63" s="18"/>
      <c r="F63" s="18"/>
      <c r="G63" s="18"/>
    </row>
    <row r="64" spans="3:7" hidden="1">
      <c r="C64" s="2">
        <v>1</v>
      </c>
      <c r="D64" s="18"/>
      <c r="E64" s="18"/>
      <c r="F64" s="18"/>
      <c r="G64" s="18"/>
    </row>
    <row r="65" hidden="1"/>
    <row r="66" hidden="1"/>
    <row r="67" hidden="1"/>
  </sheetData>
  <pageMargins left="0.7" right="0.7" top="0.75" bottom="0.46" header="0.3" footer="0.3"/>
  <pageSetup scale="10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V78"/>
  <sheetViews>
    <sheetView zoomScaleNormal="100" zoomScaleSheetLayoutView="80" workbookViewId="0">
      <selection activeCell="H5" sqref="H5"/>
    </sheetView>
  </sheetViews>
  <sheetFormatPr defaultRowHeight="12.75"/>
  <cols>
    <col min="1" max="1" width="5.85546875" style="2" customWidth="1"/>
    <col min="2" max="2" width="0.7109375" style="2" customWidth="1"/>
    <col min="3" max="3" width="55.140625" style="2" customWidth="1"/>
    <col min="4" max="4" width="0.7109375" style="2" customWidth="1"/>
    <col min="5" max="5" width="13.28515625" style="2" customWidth="1"/>
    <col min="6" max="6" width="1" style="2" customWidth="1"/>
    <col min="7" max="7" width="14.85546875" style="2" customWidth="1"/>
    <col min="8" max="8" width="1" style="2" customWidth="1"/>
    <col min="9" max="9" width="15.5703125" style="2" customWidth="1"/>
    <col min="10" max="10" width="1" style="2" customWidth="1"/>
    <col min="11" max="11" width="14.42578125" style="2" customWidth="1"/>
    <col min="12" max="12" width="3.140625" style="2" customWidth="1"/>
    <col min="13" max="13" width="13.42578125" style="2" bestFit="1" customWidth="1"/>
    <col min="14" max="14" width="17.28515625" style="2" customWidth="1"/>
    <col min="15" max="16" width="14" style="2" customWidth="1"/>
    <col min="17" max="17" width="12" style="2" bestFit="1" customWidth="1"/>
    <col min="18" max="18" width="9.140625" style="2"/>
    <col min="19" max="19" width="10.42578125" style="2" bestFit="1" customWidth="1"/>
    <col min="20" max="16384" width="9.140625" style="2"/>
  </cols>
  <sheetData>
    <row r="1" spans="1:22">
      <c r="A1" s="2" t="str">
        <f>A!A1</f>
        <v>Florida Public Utilities Company Consolidated Gas</v>
      </c>
      <c r="M1" s="33" t="str">
        <f>Contents!A2</f>
        <v>Docket No. 20220067-GU</v>
      </c>
    </row>
    <row r="2" spans="1:22">
      <c r="A2" s="2" t="s">
        <v>137</v>
      </c>
      <c r="M2" s="33" t="str">
        <f>A!K2</f>
        <v>Exhibit RCS-2R</v>
      </c>
    </row>
    <row r="3" spans="1:22">
      <c r="A3" s="23" t="str">
        <f>A!A4</f>
        <v>Projected Test Year Ended December 31, 2023</v>
      </c>
      <c r="M3" s="33" t="s">
        <v>54</v>
      </c>
    </row>
    <row r="4" spans="1:22">
      <c r="A4" s="23"/>
      <c r="M4" s="33" t="s">
        <v>57</v>
      </c>
    </row>
    <row r="5" spans="1:22">
      <c r="M5" s="33" t="s">
        <v>102</v>
      </c>
    </row>
    <row r="6" spans="1:22">
      <c r="M6" s="33"/>
    </row>
    <row r="7" spans="1:22">
      <c r="J7" s="20"/>
      <c r="K7" s="20"/>
      <c r="L7" s="20"/>
      <c r="M7" s="20" t="s">
        <v>149</v>
      </c>
      <c r="N7"/>
      <c r="O7"/>
      <c r="P7"/>
      <c r="Q7"/>
      <c r="R7"/>
      <c r="S7"/>
      <c r="T7"/>
      <c r="U7"/>
      <c r="V7"/>
    </row>
    <row r="8" spans="1:22">
      <c r="E8" s="20"/>
      <c r="F8" s="20"/>
      <c r="G8" s="20"/>
      <c r="H8" s="20"/>
      <c r="I8" s="20" t="s">
        <v>167</v>
      </c>
      <c r="J8" s="20"/>
      <c r="K8" s="20"/>
      <c r="L8" s="20"/>
      <c r="M8" s="20" t="s">
        <v>105</v>
      </c>
      <c r="N8"/>
      <c r="O8"/>
      <c r="P8"/>
      <c r="Q8"/>
      <c r="R8"/>
      <c r="S8"/>
      <c r="T8"/>
      <c r="U8"/>
      <c r="V8"/>
    </row>
    <row r="9" spans="1:22">
      <c r="A9" s="20" t="s">
        <v>0</v>
      </c>
      <c r="E9" s="20"/>
      <c r="F9" s="20"/>
      <c r="H9" s="20"/>
      <c r="I9" s="20" t="s">
        <v>123</v>
      </c>
      <c r="J9" s="20"/>
      <c r="K9" s="20" t="s">
        <v>147</v>
      </c>
      <c r="L9" s="20"/>
      <c r="M9" s="20" t="s">
        <v>138</v>
      </c>
      <c r="N9"/>
      <c r="O9"/>
      <c r="P9"/>
      <c r="Q9"/>
      <c r="R9"/>
      <c r="S9"/>
      <c r="T9"/>
      <c r="U9"/>
      <c r="V9"/>
    </row>
    <row r="10" spans="1:22">
      <c r="A10" s="27" t="s">
        <v>1</v>
      </c>
      <c r="C10" s="28" t="s">
        <v>2</v>
      </c>
      <c r="E10" s="27" t="s">
        <v>64</v>
      </c>
      <c r="F10" s="20"/>
      <c r="G10"/>
      <c r="H10" s="20"/>
      <c r="I10" s="27" t="s">
        <v>131</v>
      </c>
      <c r="J10" s="27"/>
      <c r="K10" s="27" t="s">
        <v>128</v>
      </c>
      <c r="L10" s="20"/>
      <c r="M10" s="27" t="s">
        <v>34</v>
      </c>
      <c r="N10"/>
      <c r="O10"/>
      <c r="P10"/>
      <c r="Q10"/>
      <c r="R10"/>
      <c r="S10"/>
      <c r="T10"/>
      <c r="U10"/>
      <c r="V10"/>
    </row>
    <row r="11" spans="1:22">
      <c r="A11" s="20"/>
      <c r="E11" s="20"/>
      <c r="F11" s="20"/>
      <c r="G11" s="20"/>
      <c r="H11" s="20"/>
      <c r="I11" s="20" t="s">
        <v>9</v>
      </c>
      <c r="J11" s="20"/>
      <c r="K11" s="20" t="s">
        <v>10</v>
      </c>
      <c r="L11" s="20"/>
      <c r="M11" s="20" t="s">
        <v>26</v>
      </c>
      <c r="N11"/>
      <c r="O11"/>
      <c r="P11"/>
      <c r="Q11"/>
      <c r="R11"/>
      <c r="S11"/>
      <c r="T11"/>
      <c r="U11"/>
      <c r="V11"/>
    </row>
    <row r="12" spans="1:22">
      <c r="A12" s="20"/>
      <c r="E12" s="20"/>
      <c r="F12" s="20"/>
      <c r="G12" s="20"/>
      <c r="H12" s="20"/>
      <c r="I12" s="20"/>
      <c r="J12" s="20"/>
      <c r="K12" s="20"/>
      <c r="L12" s="20"/>
      <c r="M12" s="20"/>
      <c r="N12"/>
      <c r="O12"/>
      <c r="P12"/>
      <c r="Q12"/>
      <c r="R12"/>
      <c r="S12"/>
      <c r="T12"/>
      <c r="U12"/>
      <c r="V12"/>
    </row>
    <row r="13" spans="1:22">
      <c r="A13" s="20">
        <v>1</v>
      </c>
      <c r="C13" s="1" t="s">
        <v>145</v>
      </c>
      <c r="E13" s="20" t="s">
        <v>72</v>
      </c>
      <c r="F13" s="20"/>
      <c r="G13" s="20"/>
      <c r="H13" s="20"/>
      <c r="J13" s="20"/>
      <c r="K13" s="87">
        <f>D!U36</f>
        <v>-1.227693651703881E-2</v>
      </c>
      <c r="L13" s="20"/>
      <c r="M13" s="20"/>
      <c r="N13"/>
      <c r="O13"/>
      <c r="P13"/>
      <c r="Q13"/>
      <c r="R13"/>
      <c r="S13"/>
      <c r="T13"/>
      <c r="U13"/>
      <c r="V13"/>
    </row>
    <row r="14" spans="1:22">
      <c r="A14" s="20">
        <f>A13+1</f>
        <v>2</v>
      </c>
      <c r="C14" s="2" t="s">
        <v>201</v>
      </c>
      <c r="E14" s="20" t="s">
        <v>68</v>
      </c>
      <c r="F14" s="20"/>
      <c r="G14" s="20"/>
      <c r="H14" s="20"/>
      <c r="J14" s="20"/>
      <c r="K14" s="85">
        <f>'A-1'!I33</f>
        <v>1.3494055909601435</v>
      </c>
      <c r="L14" s="20"/>
      <c r="M14" s="20"/>
      <c r="N14"/>
      <c r="O14"/>
      <c r="P14"/>
      <c r="Q14"/>
      <c r="R14"/>
      <c r="S14"/>
      <c r="T14"/>
      <c r="U14"/>
      <c r="V14"/>
    </row>
    <row r="15" spans="1:22">
      <c r="A15" s="20">
        <f>A14+1</f>
        <v>3</v>
      </c>
      <c r="C15" s="1" t="s">
        <v>131</v>
      </c>
      <c r="I15" s="18"/>
      <c r="J15" s="20"/>
      <c r="K15" s="90">
        <f>K14*K13</f>
        <v>-1.656656677595492E-2</v>
      </c>
      <c r="L15" s="20"/>
      <c r="N15"/>
      <c r="O15"/>
      <c r="P15"/>
      <c r="Q15"/>
      <c r="R15"/>
      <c r="S15"/>
      <c r="T15"/>
      <c r="U15"/>
      <c r="V15"/>
    </row>
    <row r="16" spans="1:22">
      <c r="A16" s="20">
        <f t="shared" ref="A16:A26" si="0">A15+1</f>
        <v>4</v>
      </c>
      <c r="C16" s="2" t="s">
        <v>214</v>
      </c>
      <c r="E16" s="36" t="s">
        <v>61</v>
      </c>
      <c r="I16" s="31">
        <f>A!G12</f>
        <v>454887154.29140115</v>
      </c>
      <c r="J16" s="20"/>
      <c r="L16" s="20"/>
      <c r="M16" s="18">
        <f>I16*K15</f>
        <v>-7535918.4170926055</v>
      </c>
      <c r="N16"/>
      <c r="O16"/>
      <c r="P16"/>
      <c r="Q16"/>
      <c r="R16"/>
      <c r="S16"/>
      <c r="T16"/>
      <c r="U16"/>
      <c r="V16"/>
    </row>
    <row r="17" spans="1:22">
      <c r="A17" s="20">
        <f t="shared" si="0"/>
        <v>5</v>
      </c>
      <c r="C17" s="2" t="s">
        <v>202</v>
      </c>
      <c r="E17" s="20" t="s">
        <v>72</v>
      </c>
      <c r="I17" s="18"/>
      <c r="J17" s="20"/>
      <c r="K17" s="87">
        <f>D!U34</f>
        <v>5.2023063482961186E-2</v>
      </c>
      <c r="L17" s="20"/>
      <c r="M17" s="18"/>
      <c r="N17"/>
      <c r="O17"/>
      <c r="P17"/>
      <c r="Q17"/>
      <c r="R17"/>
      <c r="S17"/>
      <c r="T17"/>
      <c r="U17"/>
      <c r="V17"/>
    </row>
    <row r="18" spans="1:22">
      <c r="A18" s="20">
        <f t="shared" si="0"/>
        <v>6</v>
      </c>
      <c r="C18" s="2" t="s">
        <v>203</v>
      </c>
      <c r="E18" s="18"/>
      <c r="I18" s="18"/>
      <c r="J18" s="20"/>
      <c r="K18" s="87">
        <f>K17*K14</f>
        <v>7.0200212722782304E-2</v>
      </c>
      <c r="L18" s="20"/>
      <c r="M18" s="18"/>
      <c r="N18"/>
      <c r="O18"/>
      <c r="P18"/>
      <c r="Q18"/>
      <c r="R18"/>
      <c r="S18"/>
      <c r="T18"/>
      <c r="U18"/>
      <c r="V18"/>
    </row>
    <row r="19" spans="1:22">
      <c r="C19" s="1" t="s">
        <v>204</v>
      </c>
      <c r="E19" s="18"/>
      <c r="I19" s="18"/>
      <c r="J19" s="20"/>
      <c r="L19" s="20"/>
      <c r="M19" s="18"/>
      <c r="N19"/>
      <c r="O19"/>
      <c r="P19"/>
      <c r="Q19"/>
      <c r="R19"/>
      <c r="S19"/>
      <c r="T19"/>
      <c r="U19"/>
      <c r="V19"/>
    </row>
    <row r="20" spans="1:22">
      <c r="A20" s="20">
        <f>A18+1</f>
        <v>7</v>
      </c>
      <c r="C20" s="88" t="str">
        <f>Contents!B19</f>
        <v>Miscellaneous Intangible Plant</v>
      </c>
      <c r="E20" s="36" t="str">
        <f>B.1!$G$8</f>
        <v>B-1</v>
      </c>
      <c r="I20" s="36">
        <f>B.1!G34</f>
        <v>-85839</v>
      </c>
      <c r="J20" s="20"/>
      <c r="K20" s="73">
        <f>$K$18</f>
        <v>7.0200212722782304E-2</v>
      </c>
      <c r="L20" s="20"/>
      <c r="M20" s="18">
        <f t="shared" ref="M20:M22" si="1">ROUND(I20*K20,0)</f>
        <v>-6026</v>
      </c>
      <c r="N20"/>
      <c r="O20"/>
      <c r="P20"/>
      <c r="Q20"/>
      <c r="R20"/>
      <c r="S20"/>
      <c r="T20"/>
      <c r="U20"/>
      <c r="V20"/>
    </row>
    <row r="21" spans="1:22" ht="14.25" customHeight="1">
      <c r="A21" s="20">
        <f>A20+1</f>
        <v>8</v>
      </c>
      <c r="C21" s="88" t="str">
        <f>Contents!B20</f>
        <v>Directors and Officers Liability Insurance Expense in Working Capital</v>
      </c>
      <c r="E21" s="36" t="str">
        <f>B.1!$H$8</f>
        <v>B-2</v>
      </c>
      <c r="I21" s="36">
        <f>B.1!H34</f>
        <v>-18049</v>
      </c>
      <c r="J21" s="20"/>
      <c r="K21" s="73">
        <f>$K$20</f>
        <v>7.0200212722782304E-2</v>
      </c>
      <c r="L21" s="20"/>
      <c r="M21" s="18">
        <f t="shared" si="1"/>
        <v>-1267</v>
      </c>
      <c r="N21"/>
      <c r="O21"/>
      <c r="P21"/>
      <c r="Q21"/>
      <c r="R21"/>
      <c r="S21"/>
      <c r="T21"/>
      <c r="U21"/>
      <c r="V21"/>
    </row>
    <row r="22" spans="1:22">
      <c r="A22" s="89">
        <f t="shared" si="0"/>
        <v>9</v>
      </c>
      <c r="C22" s="88" t="str">
        <f>Contents!B21</f>
        <v>Accumulated Depreciation - New Depreciation Rates</v>
      </c>
      <c r="E22" s="36" t="str">
        <f>B.1!$I$8</f>
        <v>B-3</v>
      </c>
      <c r="I22" s="36">
        <f>B.1!I34</f>
        <v>870377.54287004494</v>
      </c>
      <c r="J22" s="20"/>
      <c r="K22" s="73">
        <f>$K$20</f>
        <v>7.0200212722782304E-2</v>
      </c>
      <c r="L22" s="20"/>
      <c r="M22" s="18">
        <f t="shared" si="1"/>
        <v>61101</v>
      </c>
      <c r="N22"/>
      <c r="O22"/>
      <c r="P22"/>
      <c r="Q22"/>
      <c r="R22"/>
      <c r="S22"/>
      <c r="T22"/>
      <c r="U22"/>
      <c r="V22"/>
    </row>
    <row r="23" spans="1:22">
      <c r="A23" s="89">
        <f t="shared" si="0"/>
        <v>10</v>
      </c>
      <c r="C23" s="88" t="str">
        <f>Contents!B22</f>
        <v xml:space="preserve">Unamortized Rate Case Expense </v>
      </c>
      <c r="E23" s="36" t="str">
        <f>B.1!$J$8</f>
        <v>B-4</v>
      </c>
      <c r="I23" s="36">
        <f>B.1!J34</f>
        <v>-1871955.5</v>
      </c>
      <c r="J23" s="20"/>
      <c r="K23" s="73">
        <f t="shared" ref="K23:K25" si="2">$K$20</f>
        <v>7.0200212722782304E-2</v>
      </c>
      <c r="L23" s="20"/>
      <c r="M23" s="18">
        <f t="shared" ref="M23:M25" si="3">ROUND(I23*K23,0)</f>
        <v>-131412</v>
      </c>
      <c r="N23"/>
      <c r="O23"/>
      <c r="P23"/>
      <c r="Q23"/>
      <c r="R23"/>
      <c r="S23"/>
      <c r="T23"/>
      <c r="U23"/>
      <c r="V23"/>
    </row>
    <row r="24" spans="1:22">
      <c r="A24" s="89">
        <f t="shared" si="0"/>
        <v>11</v>
      </c>
      <c r="C24" s="88" t="str">
        <f>Contents!B23</f>
        <v>Accumulated Depreciation - Area Expansion Program</v>
      </c>
      <c r="E24" s="36" t="str">
        <f>B.1!K8</f>
        <v>B-5</v>
      </c>
      <c r="I24" s="36">
        <f>B.1!K34</f>
        <v>-85698</v>
      </c>
      <c r="J24" s="20"/>
      <c r="K24" s="73">
        <f t="shared" si="2"/>
        <v>7.0200212722782304E-2</v>
      </c>
      <c r="L24" s="20"/>
      <c r="M24" s="18">
        <f t="shared" si="3"/>
        <v>-6016</v>
      </c>
      <c r="N24"/>
      <c r="O24"/>
      <c r="P24"/>
      <c r="Q24"/>
      <c r="R24"/>
      <c r="S24"/>
      <c r="T24"/>
      <c r="U24"/>
      <c r="V24"/>
    </row>
    <row r="25" spans="1:22">
      <c r="A25" s="89">
        <f t="shared" si="0"/>
        <v>12</v>
      </c>
      <c r="C25" s="88" t="str">
        <f>Contents!B24</f>
        <v>FPUC Merger Acquisition Adjustment</v>
      </c>
      <c r="E25" s="36" t="str">
        <f>B.1!$L$8</f>
        <v>B-6</v>
      </c>
      <c r="I25" s="36">
        <f>B.1!L34</f>
        <v>-18615915.899999987</v>
      </c>
      <c r="J25" s="20"/>
      <c r="K25" s="73">
        <f t="shared" si="2"/>
        <v>7.0200212722782304E-2</v>
      </c>
      <c r="L25" s="20"/>
      <c r="M25" s="18">
        <f t="shared" si="3"/>
        <v>-1306841</v>
      </c>
      <c r="N25"/>
      <c r="O25"/>
      <c r="P25"/>
      <c r="Q25"/>
      <c r="R25"/>
      <c r="S25"/>
      <c r="T25"/>
      <c r="U25"/>
      <c r="V25"/>
    </row>
    <row r="26" spans="1:22" ht="13.5" thickBot="1">
      <c r="A26" s="89">
        <f t="shared" si="0"/>
        <v>13</v>
      </c>
      <c r="C26" s="88" t="s">
        <v>287</v>
      </c>
      <c r="E26" s="36"/>
      <c r="I26" s="35">
        <f>SUM(I20:I25)</f>
        <v>-19807079.857129943</v>
      </c>
      <c r="J26" s="20"/>
      <c r="L26" s="20"/>
      <c r="M26"/>
      <c r="N26"/>
      <c r="O26"/>
      <c r="P26"/>
      <c r="Q26"/>
      <c r="R26"/>
      <c r="S26"/>
      <c r="T26"/>
      <c r="U26"/>
      <c r="V26"/>
    </row>
    <row r="27" spans="1:22" ht="14.25" thickTop="1" thickBot="1">
      <c r="A27" s="20">
        <f>A26+1</f>
        <v>14</v>
      </c>
      <c r="C27" s="1" t="s">
        <v>205</v>
      </c>
      <c r="E27" s="18"/>
      <c r="I27" s="29">
        <f>I16+I26</f>
        <v>435080074.43427122</v>
      </c>
      <c r="J27" s="20"/>
      <c r="L27" s="20"/>
      <c r="M27" s="18"/>
      <c r="N27"/>
      <c r="O27"/>
      <c r="P27"/>
      <c r="Q27"/>
      <c r="R27"/>
      <c r="S27"/>
      <c r="T27"/>
      <c r="U27"/>
      <c r="V27"/>
    </row>
    <row r="28" spans="1:22" ht="13.5" thickTop="1">
      <c r="A28" s="20"/>
      <c r="C28" s="1"/>
      <c r="E28" s="18"/>
      <c r="I28" s="30"/>
      <c r="J28" s="20"/>
      <c r="L28" s="20"/>
      <c r="M28" s="18"/>
      <c r="N28"/>
      <c r="O28"/>
      <c r="P28"/>
      <c r="Q28"/>
      <c r="R28"/>
      <c r="S28"/>
      <c r="T28"/>
      <c r="U28"/>
      <c r="V28"/>
    </row>
    <row r="29" spans="1:22" ht="38.25">
      <c r="A29" s="20"/>
      <c r="C29" s="1"/>
      <c r="E29" s="18"/>
      <c r="G29" s="54" t="s">
        <v>210</v>
      </c>
      <c r="I29" s="108" t="s">
        <v>208</v>
      </c>
      <c r="J29" s="20"/>
      <c r="L29" s="20"/>
      <c r="M29" s="18"/>
      <c r="N29"/>
      <c r="O29"/>
      <c r="P29"/>
      <c r="Q29"/>
      <c r="R29"/>
      <c r="S29"/>
      <c r="T29"/>
      <c r="U29"/>
      <c r="V29"/>
    </row>
    <row r="30" spans="1:22">
      <c r="C30" s="1" t="s">
        <v>31</v>
      </c>
      <c r="G30" s="20" t="s">
        <v>27</v>
      </c>
      <c r="H30" s="20"/>
      <c r="I30" s="36" t="s">
        <v>28</v>
      </c>
      <c r="J30" s="20"/>
      <c r="L30" s="20"/>
      <c r="M30" s="18"/>
      <c r="N30"/>
      <c r="O30"/>
      <c r="P30"/>
      <c r="Q30"/>
      <c r="R30"/>
      <c r="S30"/>
      <c r="T30"/>
      <c r="U30"/>
      <c r="V30"/>
    </row>
    <row r="31" spans="1:22">
      <c r="A31" s="20">
        <f>A27+1</f>
        <v>15</v>
      </c>
      <c r="C31" s="2" t="s">
        <v>288</v>
      </c>
      <c r="I31" s="31">
        <f>A!G16</f>
        <v>11417702.480234116</v>
      </c>
      <c r="J31" s="20"/>
      <c r="L31" s="20"/>
      <c r="M31" s="18"/>
      <c r="N31"/>
      <c r="O31"/>
      <c r="P31"/>
      <c r="Q31"/>
      <c r="R31"/>
      <c r="S31"/>
      <c r="T31"/>
      <c r="U31"/>
      <c r="V31"/>
    </row>
    <row r="32" spans="1:22">
      <c r="A32" s="20">
        <f t="shared" ref="A32:A46" si="4">A31+1</f>
        <v>16</v>
      </c>
      <c r="C32" s="1" t="s">
        <v>206</v>
      </c>
      <c r="I32" s="18"/>
      <c r="J32" s="20"/>
      <c r="K32" s="27" t="s">
        <v>139</v>
      </c>
      <c r="L32" s="20"/>
      <c r="M32" s="18"/>
      <c r="N32"/>
      <c r="O32"/>
      <c r="P32"/>
      <c r="Q32"/>
      <c r="R32"/>
      <c r="S32"/>
      <c r="T32"/>
      <c r="U32"/>
      <c r="V32"/>
    </row>
    <row r="33" spans="1:22">
      <c r="A33" s="89">
        <f t="shared" si="4"/>
        <v>17</v>
      </c>
      <c r="C33" s="88" t="str">
        <f>Contents!B34</f>
        <v>Depreciation Expense - New Depreciation Rates</v>
      </c>
      <c r="E33" s="20" t="str">
        <f>Contents!A34</f>
        <v>C-1</v>
      </c>
      <c r="G33" s="18">
        <f>'C.1'!$H$19</f>
        <v>-2073621.3254448641</v>
      </c>
      <c r="I33" s="18">
        <f>'C.1'!$H$25</f>
        <v>1548062.0005108633</v>
      </c>
      <c r="J33" s="20"/>
      <c r="K33" s="82">
        <f>'A-1'!$I$33</f>
        <v>1.3494055909601435</v>
      </c>
      <c r="L33" s="20"/>
      <c r="M33" s="18">
        <f t="shared" ref="M33:M43" si="5">-ROUND(I33*K33,0)</f>
        <v>-2088964</v>
      </c>
      <c r="N33"/>
      <c r="O33"/>
      <c r="P33"/>
      <c r="Q33"/>
      <c r="R33"/>
      <c r="S33"/>
      <c r="T33"/>
      <c r="U33"/>
      <c r="V33"/>
    </row>
    <row r="34" spans="1:22" ht="15" customHeight="1">
      <c r="A34" s="89">
        <f t="shared" si="4"/>
        <v>18</v>
      </c>
      <c r="C34" s="2" t="str">
        <f>Contents!B35</f>
        <v>Amortizaton Expense Related to FPUC Merger Acquisition Adjustment</v>
      </c>
      <c r="E34" s="20" t="str">
        <f>Contents!A35</f>
        <v>C-2</v>
      </c>
      <c r="G34" s="18">
        <f>'C.1'!$I$19</f>
        <v>-1139750</v>
      </c>
      <c r="I34" s="18">
        <f>'C.1'!$I$25</f>
        <v>850880.36250000005</v>
      </c>
      <c r="J34" s="20"/>
      <c r="K34" s="82">
        <f>'A-1'!$I$33</f>
        <v>1.3494055909601435</v>
      </c>
      <c r="L34" s="20"/>
      <c r="M34" s="18">
        <f t="shared" si="5"/>
        <v>-1148183</v>
      </c>
      <c r="N34"/>
      <c r="O34"/>
      <c r="P34"/>
      <c r="Q34"/>
      <c r="R34"/>
      <c r="S34"/>
      <c r="T34"/>
      <c r="U34"/>
      <c r="V34"/>
    </row>
    <row r="35" spans="1:22">
      <c r="A35" s="89">
        <f t="shared" si="4"/>
        <v>19</v>
      </c>
      <c r="C35" s="88" t="str">
        <f>Contents!B36</f>
        <v>Incentive Compensation Expense</v>
      </c>
      <c r="E35" s="20" t="str">
        <f>Contents!A36</f>
        <v>C-3</v>
      </c>
      <c r="G35" s="18">
        <f>'C.1'!$J$19</f>
        <v>-1090100.5</v>
      </c>
      <c r="I35" s="18">
        <f>'C.1'!$J$25</f>
        <v>813814.52827499993</v>
      </c>
      <c r="J35" s="20"/>
      <c r="K35" s="82">
        <f>'A-1'!$I$33</f>
        <v>1.3494055909601435</v>
      </c>
      <c r="L35" s="20"/>
      <c r="M35" s="18">
        <f t="shared" si="5"/>
        <v>-1098166</v>
      </c>
      <c r="N35"/>
      <c r="O35"/>
      <c r="P35"/>
      <c r="Q35"/>
      <c r="R35"/>
      <c r="S35"/>
      <c r="T35"/>
      <c r="U35"/>
      <c r="V35"/>
    </row>
    <row r="36" spans="1:22">
      <c r="A36" s="89">
        <f t="shared" si="4"/>
        <v>20</v>
      </c>
      <c r="C36" s="88" t="str">
        <f>Contents!B37</f>
        <v>Stock-Based Compensation Expense</v>
      </c>
      <c r="E36" s="20" t="str">
        <f>Contents!A37</f>
        <v>C-4</v>
      </c>
      <c r="G36" s="18">
        <f>'C.1'!$K$19</f>
        <v>-1375505</v>
      </c>
      <c r="I36" s="18">
        <f>'C.1'!$K$25</f>
        <v>1026883.25775</v>
      </c>
      <c r="J36" s="20"/>
      <c r="K36" s="82">
        <f>'A-1'!$I$33</f>
        <v>1.3494055909601435</v>
      </c>
      <c r="L36" s="20"/>
      <c r="M36" s="18">
        <f t="shared" si="5"/>
        <v>-1385682</v>
      </c>
      <c r="N36"/>
      <c r="O36"/>
      <c r="P36"/>
      <c r="Q36"/>
      <c r="R36"/>
      <c r="S36"/>
      <c r="T36"/>
      <c r="U36"/>
      <c r="V36"/>
    </row>
    <row r="37" spans="1:22">
      <c r="A37" s="89">
        <f t="shared" si="4"/>
        <v>21</v>
      </c>
      <c r="C37" s="88" t="str">
        <f>Contents!B38</f>
        <v>Payroll Tax Expense</v>
      </c>
      <c r="E37" s="20" t="str">
        <f>Contents!A38</f>
        <v>C-5</v>
      </c>
      <c r="G37" s="18">
        <f>'C.1'!$L$19</f>
        <v>-188618.82075000001</v>
      </c>
      <c r="I37" s="18">
        <f>'C.1'!$L$25</f>
        <v>140813.38063091252</v>
      </c>
      <c r="J37" s="20"/>
      <c r="K37" s="82">
        <f>'A-1'!$I$33</f>
        <v>1.3494055909601435</v>
      </c>
      <c r="L37" s="20"/>
      <c r="M37" s="18">
        <f t="shared" si="5"/>
        <v>-190014</v>
      </c>
      <c r="N37"/>
      <c r="O37"/>
      <c r="P37"/>
      <c r="Q37"/>
      <c r="R37"/>
      <c r="S37"/>
      <c r="T37"/>
      <c r="U37"/>
      <c r="V37"/>
    </row>
    <row r="38" spans="1:22">
      <c r="A38" s="89">
        <f t="shared" si="4"/>
        <v>22</v>
      </c>
      <c r="C38" s="88" t="str">
        <f>Contents!B39</f>
        <v>Supplemental Executive Retirement Program (SERP) Expense</v>
      </c>
      <c r="E38" s="20" t="str">
        <f>Contents!A39</f>
        <v>C-6</v>
      </c>
      <c r="G38" s="18">
        <f>'C.1'!$M$19</f>
        <v>-1762</v>
      </c>
      <c r="I38" s="18">
        <f>'C.1'!$M$25</f>
        <v>1315.4211</v>
      </c>
      <c r="J38" s="20"/>
      <c r="K38" s="82">
        <f>'A-1'!$I$33</f>
        <v>1.3494055909601435</v>
      </c>
      <c r="L38" s="20"/>
      <c r="M38" s="18">
        <f t="shared" si="5"/>
        <v>-1775</v>
      </c>
      <c r="N38"/>
      <c r="O38"/>
      <c r="P38"/>
      <c r="Q38"/>
      <c r="R38"/>
      <c r="S38"/>
      <c r="T38"/>
      <c r="U38"/>
      <c r="V38"/>
    </row>
    <row r="39" spans="1:22">
      <c r="A39" s="89">
        <f t="shared" si="4"/>
        <v>23</v>
      </c>
      <c r="C39" s="88" t="str">
        <f>Contents!B40</f>
        <v>Directors and Officers Liability Insurance Expense</v>
      </c>
      <c r="E39" s="20" t="str">
        <f>Contents!A40</f>
        <v>C-7</v>
      </c>
      <c r="G39" s="18">
        <f>'C.1'!$N$19</f>
        <v>-85527.5</v>
      </c>
      <c r="I39" s="18">
        <f>'C.1'!$N$25</f>
        <v>63850.555124999999</v>
      </c>
      <c r="J39" s="20"/>
      <c r="K39" s="82">
        <f>'A-1'!$I$33</f>
        <v>1.3494055909601435</v>
      </c>
      <c r="L39" s="20"/>
      <c r="M39" s="18">
        <f t="shared" si="5"/>
        <v>-86160</v>
      </c>
      <c r="N39"/>
      <c r="O39"/>
      <c r="P39"/>
      <c r="Q39"/>
      <c r="R39"/>
      <c r="S39"/>
      <c r="T39"/>
      <c r="U39"/>
      <c r="V39"/>
    </row>
    <row r="40" spans="1:22" ht="12.75" customHeight="1">
      <c r="A40" s="89">
        <f t="shared" si="4"/>
        <v>24</v>
      </c>
      <c r="C40" s="88" t="str">
        <f>Contents!B41</f>
        <v>Rent Expense</v>
      </c>
      <c r="E40" s="20" t="str">
        <f>Contents!A41</f>
        <v>C-8</v>
      </c>
      <c r="G40" s="18">
        <f>'C.1'!$O$19</f>
        <v>-78249</v>
      </c>
      <c r="I40" s="18">
        <f>'C.1'!$O$25</f>
        <v>58416.790950000002</v>
      </c>
      <c r="J40" s="20"/>
      <c r="K40" s="82">
        <f>'A-1'!$I$33</f>
        <v>1.3494055909601435</v>
      </c>
      <c r="L40" s="20"/>
      <c r="M40" s="18">
        <f t="shared" si="5"/>
        <v>-78828</v>
      </c>
      <c r="N40"/>
      <c r="O40"/>
      <c r="P40"/>
      <c r="Q40"/>
      <c r="R40"/>
      <c r="S40"/>
      <c r="T40"/>
      <c r="U40"/>
      <c r="V40"/>
    </row>
    <row r="41" spans="1:22" ht="12.75" customHeight="1">
      <c r="A41" s="89">
        <f t="shared" si="4"/>
        <v>25</v>
      </c>
      <c r="C41" s="88" t="str">
        <f>Contents!B42</f>
        <v>Lobbying Costs</v>
      </c>
      <c r="E41" s="20" t="str">
        <f>Contents!A42</f>
        <v>C-9</v>
      </c>
      <c r="G41" s="18">
        <f>'C.1'!$P$19</f>
        <v>-41881</v>
      </c>
      <c r="I41" s="18">
        <f>'C.1'!$P$25</f>
        <v>31266.260549999999</v>
      </c>
      <c r="J41" s="20"/>
      <c r="K41" s="82">
        <f>'A-1'!$I$33</f>
        <v>1.3494055909601435</v>
      </c>
      <c r="L41" s="20"/>
      <c r="M41" s="18">
        <f t="shared" si="5"/>
        <v>-42191</v>
      </c>
      <c r="N41"/>
      <c r="O41"/>
      <c r="P41"/>
      <c r="Q41"/>
      <c r="R41"/>
      <c r="S41"/>
      <c r="T41"/>
      <c r="U41"/>
      <c r="V41"/>
    </row>
    <row r="42" spans="1:22" ht="12.75" customHeight="1">
      <c r="A42" s="89">
        <f t="shared" si="4"/>
        <v>26</v>
      </c>
      <c r="C42" s="88" t="str">
        <f>Contents!B43</f>
        <v>Interest Synchronization</v>
      </c>
      <c r="E42" s="20" t="str">
        <f>Contents!A43</f>
        <v>C-10</v>
      </c>
      <c r="G42" s="18">
        <f>'C.1'!Q19</f>
        <v>0</v>
      </c>
      <c r="I42" s="18">
        <f>'C.1'!Q25</f>
        <v>133876.95780539906</v>
      </c>
      <c r="J42" s="20"/>
      <c r="K42" s="82">
        <f>'A-1'!$I$33</f>
        <v>1.3494055909601435</v>
      </c>
      <c r="L42" s="20"/>
      <c r="M42" s="18">
        <f t="shared" si="5"/>
        <v>-180654</v>
      </c>
      <c r="N42"/>
      <c r="O42"/>
      <c r="P42"/>
      <c r="Q42"/>
      <c r="R42"/>
      <c r="S42"/>
      <c r="T42"/>
      <c r="U42"/>
      <c r="V42"/>
    </row>
    <row r="43" spans="1:22">
      <c r="A43" s="89">
        <f t="shared" si="4"/>
        <v>27</v>
      </c>
      <c r="C43" s="88" t="str">
        <f>Contents!B44</f>
        <v xml:space="preserve">Parent Company Debt Adjustment </v>
      </c>
      <c r="E43" s="20" t="str">
        <f>Contents!A44</f>
        <v>C-11</v>
      </c>
      <c r="G43" s="18">
        <f>'C.1'!R19</f>
        <v>0</v>
      </c>
      <c r="I43" s="18">
        <f>'C.1'!R25</f>
        <v>679881.32251692866</v>
      </c>
      <c r="J43" s="20"/>
      <c r="K43" s="82">
        <f>'A-1'!$I$33</f>
        <v>1.3494055909601435</v>
      </c>
      <c r="L43" s="20"/>
      <c r="M43" s="18">
        <f t="shared" si="5"/>
        <v>-917436</v>
      </c>
      <c r="N43"/>
      <c r="O43"/>
      <c r="P43"/>
      <c r="Q43"/>
      <c r="R43"/>
      <c r="S43"/>
      <c r="T43"/>
      <c r="U43"/>
      <c r="V43"/>
    </row>
    <row r="44" spans="1:22">
      <c r="A44" s="89">
        <f t="shared" si="4"/>
        <v>28</v>
      </c>
      <c r="C44" s="88" t="str">
        <f>Contents!B45</f>
        <v>Company Sponsored Events</v>
      </c>
      <c r="E44" s="20" t="str">
        <f>Contents!A45</f>
        <v>C-12</v>
      </c>
      <c r="G44" s="18">
        <f>'C.1'!S19</f>
        <v>-38835</v>
      </c>
      <c r="I44" s="18">
        <f>'C.1'!S25</f>
        <v>28992.269250000001</v>
      </c>
      <c r="J44" s="20"/>
      <c r="K44" s="82">
        <f>'A-1'!$I$33</f>
        <v>1.3494055909601435</v>
      </c>
      <c r="L44" s="20"/>
      <c r="M44" s="18">
        <f>-ROUND(I44*K44,0)</f>
        <v>-39122</v>
      </c>
      <c r="N44"/>
      <c r="O44"/>
      <c r="P44"/>
      <c r="Q44"/>
      <c r="R44"/>
      <c r="S44"/>
      <c r="T44"/>
      <c r="U44"/>
      <c r="V44"/>
    </row>
    <row r="45" spans="1:22" ht="13.5" thickBot="1">
      <c r="A45" s="89">
        <f t="shared" si="4"/>
        <v>29</v>
      </c>
      <c r="C45" s="2" t="s">
        <v>207</v>
      </c>
      <c r="G45" s="35">
        <f>SUM(G33:G44)</f>
        <v>-6113850.1461948641</v>
      </c>
      <c r="I45" s="35">
        <f>SUM(I33:I44)</f>
        <v>5378053.1069641029</v>
      </c>
      <c r="J45" s="20"/>
      <c r="K45" s="20"/>
      <c r="L45" s="20"/>
      <c r="M45"/>
      <c r="N45"/>
      <c r="O45"/>
      <c r="P45"/>
      <c r="Q45"/>
      <c r="R45"/>
      <c r="S45"/>
      <c r="T45"/>
      <c r="U45"/>
      <c r="V45"/>
    </row>
    <row r="46" spans="1:22" ht="14.25" thickTop="1" thickBot="1">
      <c r="A46" s="89">
        <f t="shared" si="4"/>
        <v>30</v>
      </c>
      <c r="C46" s="1" t="s">
        <v>208</v>
      </c>
      <c r="I46" s="29">
        <f>I31+I45</f>
        <v>16795755.58719822</v>
      </c>
      <c r="J46" s="20"/>
      <c r="K46" s="20"/>
      <c r="L46" s="20"/>
      <c r="M46" s="18"/>
      <c r="N46"/>
      <c r="O46"/>
      <c r="P46"/>
      <c r="Q46"/>
      <c r="R46"/>
      <c r="S46"/>
      <c r="T46"/>
      <c r="U46"/>
      <c r="V46"/>
    </row>
    <row r="47" spans="1:22" ht="13.5" thickTop="1">
      <c r="A47" s="20"/>
      <c r="C47" s="86" t="s">
        <v>141</v>
      </c>
      <c r="I47" s="18"/>
      <c r="J47" s="20"/>
      <c r="K47"/>
      <c r="L47" s="20"/>
      <c r="M47" s="18"/>
      <c r="N47"/>
      <c r="O47"/>
      <c r="P47"/>
      <c r="Q47"/>
      <c r="R47"/>
      <c r="S47"/>
      <c r="T47"/>
      <c r="U47"/>
      <c r="V47"/>
    </row>
    <row r="48" spans="1:22">
      <c r="A48" s="20">
        <f>A46+1</f>
        <v>31</v>
      </c>
      <c r="C48" s="23" t="s">
        <v>170</v>
      </c>
      <c r="I48" s="18"/>
      <c r="J48" s="20"/>
      <c r="K48" s="82">
        <f>'A-1'!I33</f>
        <v>1.3494055909601435</v>
      </c>
      <c r="L48" s="20"/>
      <c r="M48" s="18"/>
      <c r="N48"/>
      <c r="O48"/>
      <c r="P48"/>
      <c r="Q48"/>
      <c r="R48"/>
      <c r="S48"/>
      <c r="T48"/>
      <c r="U48"/>
      <c r="V48"/>
    </row>
    <row r="49" spans="1:22">
      <c r="A49" s="20">
        <f t="shared" ref="A49:A57" si="6">A48+1</f>
        <v>32</v>
      </c>
      <c r="C49" s="23" t="s">
        <v>142</v>
      </c>
      <c r="I49" s="18"/>
      <c r="J49" s="20"/>
      <c r="K49" s="85">
        <f>'A-1'!G33</f>
        <v>1.3494055909601435</v>
      </c>
      <c r="L49" s="20"/>
      <c r="M49" s="18"/>
      <c r="N49"/>
      <c r="O49"/>
      <c r="P49"/>
      <c r="Q49"/>
      <c r="R49"/>
      <c r="S49"/>
      <c r="T49"/>
      <c r="U49"/>
      <c r="V49"/>
    </row>
    <row r="50" spans="1:22">
      <c r="A50" s="20">
        <f t="shared" si="6"/>
        <v>33</v>
      </c>
      <c r="C50" s="23" t="s">
        <v>63</v>
      </c>
      <c r="I50" s="18"/>
      <c r="J50" s="20"/>
      <c r="K50" s="82">
        <f>K48-K49</f>
        <v>0</v>
      </c>
      <c r="L50" s="20"/>
      <c r="M50" s="18"/>
      <c r="N50"/>
      <c r="O50"/>
      <c r="P50"/>
      <c r="Q50"/>
      <c r="R50"/>
      <c r="S50"/>
      <c r="T50"/>
      <c r="U50"/>
      <c r="V50"/>
    </row>
    <row r="51" spans="1:22">
      <c r="A51" s="20">
        <f t="shared" si="6"/>
        <v>34</v>
      </c>
      <c r="C51" s="23" t="s">
        <v>143</v>
      </c>
      <c r="I51" s="18"/>
      <c r="J51" s="20"/>
      <c r="K51" s="76">
        <f>A!G18</f>
        <v>17831541.540702976</v>
      </c>
      <c r="L51" s="20"/>
      <c r="M51" s="18"/>
      <c r="N51"/>
      <c r="O51"/>
      <c r="P51"/>
      <c r="Q51"/>
      <c r="R51"/>
      <c r="S51"/>
      <c r="T51"/>
      <c r="U51"/>
      <c r="V51"/>
    </row>
    <row r="52" spans="1:22">
      <c r="A52" s="20">
        <f t="shared" si="6"/>
        <v>35</v>
      </c>
      <c r="C52" s="23" t="s">
        <v>144</v>
      </c>
      <c r="I52" s="18"/>
      <c r="J52" s="20"/>
      <c r="K52" s="20"/>
      <c r="L52" s="20"/>
      <c r="M52" s="31">
        <f>ROUND(K50*K51,0)</f>
        <v>0</v>
      </c>
      <c r="N52"/>
      <c r="O52"/>
      <c r="P52"/>
      <c r="Q52"/>
      <c r="R52"/>
      <c r="S52"/>
      <c r="T52"/>
      <c r="U52"/>
      <c r="V52"/>
    </row>
    <row r="53" spans="1:22">
      <c r="A53" s="20">
        <f t="shared" si="6"/>
        <v>36</v>
      </c>
      <c r="C53" s="2" t="s">
        <v>209</v>
      </c>
      <c r="I53" s="18"/>
      <c r="J53" s="20"/>
      <c r="K53" s="20"/>
      <c r="L53" s="20"/>
      <c r="M53" s="18">
        <f>SUM(M16:M52)</f>
        <v>-16183554.417092606</v>
      </c>
      <c r="N53"/>
      <c r="O53"/>
      <c r="P53"/>
      <c r="Q53"/>
      <c r="R53"/>
      <c r="S53"/>
      <c r="T53"/>
      <c r="U53"/>
      <c r="V53"/>
    </row>
    <row r="54" spans="1:22">
      <c r="A54" s="20">
        <f t="shared" si="6"/>
        <v>37</v>
      </c>
      <c r="C54" s="2" t="s">
        <v>232</v>
      </c>
      <c r="E54" s="2" t="s">
        <v>235</v>
      </c>
      <c r="I54" s="18"/>
      <c r="J54" s="20"/>
      <c r="K54" s="20"/>
      <c r="L54" s="20"/>
      <c r="M54" s="31">
        <f>A!G24</f>
        <v>24061982</v>
      </c>
      <c r="N54"/>
      <c r="O54"/>
      <c r="P54"/>
      <c r="Q54"/>
      <c r="R54"/>
      <c r="S54"/>
      <c r="T54"/>
      <c r="U54"/>
      <c r="V54"/>
    </row>
    <row r="55" spans="1:22">
      <c r="A55" s="20">
        <f t="shared" si="6"/>
        <v>38</v>
      </c>
      <c r="C55" s="2" t="s">
        <v>148</v>
      </c>
      <c r="I55" s="18"/>
      <c r="J55" s="20"/>
      <c r="K55" s="20"/>
      <c r="L55" s="20"/>
      <c r="M55" s="30">
        <f>M53+M54</f>
        <v>7878427.5829073936</v>
      </c>
      <c r="N55"/>
      <c r="O55"/>
      <c r="P55"/>
      <c r="Q55"/>
      <c r="R55"/>
      <c r="S55"/>
      <c r="T55"/>
      <c r="U55"/>
      <c r="V55"/>
    </row>
    <row r="56" spans="1:22">
      <c r="A56" s="20">
        <f t="shared" si="6"/>
        <v>39</v>
      </c>
      <c r="C56" s="2" t="s">
        <v>233</v>
      </c>
      <c r="E56" s="2" t="s">
        <v>234</v>
      </c>
      <c r="I56" s="18"/>
      <c r="J56" s="20"/>
      <c r="K56" s="20"/>
      <c r="L56" s="20"/>
      <c r="M56" s="30">
        <f>A!I24</f>
        <v>7878427</v>
      </c>
      <c r="N56"/>
      <c r="O56"/>
      <c r="P56"/>
      <c r="Q56"/>
      <c r="R56"/>
      <c r="S56"/>
      <c r="T56"/>
      <c r="U56"/>
      <c r="V56"/>
    </row>
    <row r="57" spans="1:22">
      <c r="A57" s="20">
        <f t="shared" si="6"/>
        <v>40</v>
      </c>
      <c r="C57" s="2" t="s">
        <v>146</v>
      </c>
      <c r="I57" s="18"/>
      <c r="J57" s="20"/>
      <c r="K57" s="20"/>
      <c r="L57" s="20"/>
      <c r="M57" s="109">
        <f>M55-M56</f>
        <v>0.58290739357471466</v>
      </c>
      <c r="N57"/>
      <c r="O57"/>
      <c r="P57"/>
      <c r="Q57"/>
      <c r="R57"/>
      <c r="S57"/>
      <c r="T57"/>
      <c r="U57"/>
      <c r="V57"/>
    </row>
    <row r="58" spans="1:22">
      <c r="A58" s="20"/>
      <c r="I58" s="18"/>
      <c r="J58" s="20"/>
      <c r="K58" s="20"/>
      <c r="L58" s="20"/>
      <c r="M58" s="84"/>
      <c r="N58"/>
      <c r="O58"/>
      <c r="P58"/>
      <c r="Q58"/>
      <c r="R58"/>
      <c r="S58"/>
      <c r="T58"/>
      <c r="U58"/>
      <c r="V58"/>
    </row>
    <row r="59" spans="1:22">
      <c r="A59" s="41" t="s">
        <v>11</v>
      </c>
      <c r="B59" s="28"/>
      <c r="C59" s="28"/>
      <c r="D59" s="28"/>
      <c r="E59" s="28"/>
      <c r="F59" s="28"/>
      <c r="G59" s="28"/>
      <c r="H59" s="28"/>
      <c r="I59" s="27"/>
      <c r="J59" s="27"/>
      <c r="K59" s="27"/>
      <c r="L59" s="27"/>
      <c r="M59" s="27"/>
      <c r="N59"/>
      <c r="O59"/>
      <c r="P59"/>
      <c r="Q59"/>
      <c r="R59"/>
      <c r="S59"/>
      <c r="T59"/>
      <c r="U59"/>
      <c r="V59"/>
    </row>
    <row r="60" spans="1:22">
      <c r="A60" s="23" t="s">
        <v>140</v>
      </c>
      <c r="I60" s="18"/>
      <c r="J60" s="20"/>
      <c r="K60" s="20"/>
      <c r="L60" s="20"/>
      <c r="M60" s="20"/>
      <c r="N60"/>
      <c r="O60"/>
      <c r="P60"/>
      <c r="Q60"/>
      <c r="R60"/>
      <c r="S60"/>
      <c r="T60"/>
      <c r="U60"/>
      <c r="V60"/>
    </row>
    <row r="61" spans="1:22">
      <c r="E61" s="30"/>
      <c r="I61" s="79"/>
      <c r="K61" s="75"/>
      <c r="M61" s="83"/>
    </row>
    <row r="62" spans="1:22">
      <c r="E62" s="30"/>
      <c r="I62" s="79"/>
      <c r="K62" s="79"/>
      <c r="M62" s="79"/>
      <c r="Q62" s="79"/>
    </row>
    <row r="63" spans="1:22">
      <c r="E63" s="30"/>
      <c r="I63" s="79"/>
      <c r="K63" s="79"/>
      <c r="M63" s="79"/>
      <c r="Q63" s="79"/>
    </row>
    <row r="64" spans="1:22">
      <c r="E64" s="30"/>
      <c r="I64" s="79"/>
      <c r="K64" s="79"/>
      <c r="M64" s="79"/>
      <c r="Q64" s="79"/>
    </row>
    <row r="65" spans="1:17">
      <c r="E65" s="30"/>
      <c r="I65" s="74"/>
      <c r="M65" s="79"/>
      <c r="Q65" s="79"/>
    </row>
    <row r="67" spans="1:17">
      <c r="M67" s="80"/>
      <c r="Q67" s="81"/>
    </row>
    <row r="68" spans="1:17">
      <c r="M68" s="80"/>
      <c r="Q68" s="81"/>
    </row>
    <row r="69" spans="1:17">
      <c r="A69" s="1"/>
    </row>
    <row r="70" spans="1:17">
      <c r="E70" s="16"/>
      <c r="I70" s="79"/>
      <c r="K70" s="80"/>
      <c r="M70" s="79"/>
    </row>
    <row r="71" spans="1:17">
      <c r="E71" s="16"/>
      <c r="I71" s="79"/>
      <c r="K71" s="80"/>
      <c r="M71" s="79"/>
    </row>
    <row r="72" spans="1:17">
      <c r="E72" s="16"/>
      <c r="I72" s="79"/>
      <c r="K72" s="40"/>
      <c r="M72" s="79"/>
    </row>
    <row r="73" spans="1:17">
      <c r="E73" s="16"/>
      <c r="I73" s="80"/>
      <c r="M73" s="80"/>
    </row>
    <row r="77" spans="1:17">
      <c r="K77" s="40"/>
      <c r="M77" s="81"/>
    </row>
    <row r="78" spans="1:17">
      <c r="J78" s="20"/>
      <c r="K78" s="20"/>
      <c r="L78" s="20"/>
      <c r="M78" s="20"/>
    </row>
  </sheetData>
  <pageMargins left="0.7" right="0.7" top="0.75" bottom="0.35" header="0.3" footer="0.3"/>
  <pageSetup scale="6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selection activeCell="H5" sqref="H5"/>
    </sheetView>
  </sheetViews>
  <sheetFormatPr defaultRowHeight="12.75"/>
  <cols>
    <col min="1" max="1" width="5.85546875" style="2" customWidth="1"/>
    <col min="2" max="2" width="1" style="2" customWidth="1"/>
    <col min="3" max="3" width="49.28515625" style="2" customWidth="1"/>
    <col min="4" max="4" width="0.85546875" style="2" customWidth="1"/>
    <col min="5" max="5" width="13.85546875" style="2" bestFit="1" customWidth="1"/>
    <col min="6" max="6" width="1" style="2" customWidth="1"/>
    <col min="7" max="16384" width="9.140625" style="2"/>
  </cols>
  <sheetData>
    <row r="1" spans="1:7">
      <c r="A1" s="2" t="str">
        <f>Contents!A1</f>
        <v>Florida Public Utilities Company Consolidated Gas</v>
      </c>
      <c r="G1" s="33" t="str">
        <f>Contents!A2</f>
        <v>Docket No. 20220067-GU</v>
      </c>
    </row>
    <row r="2" spans="1:7">
      <c r="A2" s="2" t="s">
        <v>376</v>
      </c>
      <c r="G2" s="33" t="str">
        <f>Contents!A3</f>
        <v>Exhibit RCS-2R</v>
      </c>
    </row>
    <row r="3" spans="1:7">
      <c r="G3" s="33" t="s">
        <v>354</v>
      </c>
    </row>
    <row r="4" spans="1:7">
      <c r="A4" s="2" t="str">
        <f>A!A4</f>
        <v>Projected Test Year Ended December 31, 2023</v>
      </c>
      <c r="G4" s="33" t="s">
        <v>17</v>
      </c>
    </row>
    <row r="5" spans="1:7">
      <c r="G5" s="33" t="s">
        <v>102</v>
      </c>
    </row>
    <row r="6" spans="1:7">
      <c r="A6" s="20" t="s">
        <v>0</v>
      </c>
    </row>
    <row r="7" spans="1:7">
      <c r="A7" s="27" t="s">
        <v>1</v>
      </c>
      <c r="C7" s="28" t="s">
        <v>2</v>
      </c>
      <c r="E7" s="27" t="s">
        <v>34</v>
      </c>
      <c r="F7" s="20"/>
      <c r="G7" s="27" t="s">
        <v>3</v>
      </c>
    </row>
    <row r="8" spans="1:7">
      <c r="A8" s="20"/>
      <c r="E8" s="20" t="s">
        <v>9</v>
      </c>
    </row>
    <row r="9" spans="1:7">
      <c r="A9" s="20"/>
    </row>
    <row r="10" spans="1:7">
      <c r="A10" s="20">
        <v>1</v>
      </c>
      <c r="C10" s="2" t="s">
        <v>12</v>
      </c>
      <c r="E10" s="18">
        <f>B!I36</f>
        <v>435080074.43427122</v>
      </c>
      <c r="G10" s="20" t="s">
        <v>377</v>
      </c>
    </row>
    <row r="11" spans="1:7">
      <c r="A11" s="20">
        <f t="shared" ref="A11:A18" si="0">A10+1</f>
        <v>2</v>
      </c>
      <c r="C11" s="2" t="s">
        <v>378</v>
      </c>
      <c r="E11" s="38">
        <f>D!Q26</f>
        <v>0.39669624547469895</v>
      </c>
      <c r="G11" s="20" t="s">
        <v>379</v>
      </c>
    </row>
    <row r="12" spans="1:7">
      <c r="A12" s="20">
        <f t="shared" si="0"/>
        <v>3</v>
      </c>
      <c r="C12" s="2" t="s">
        <v>380</v>
      </c>
      <c r="E12" s="16">
        <f>E10*E11</f>
        <v>172594632.00892794</v>
      </c>
      <c r="G12" s="20" t="s">
        <v>381</v>
      </c>
    </row>
    <row r="13" spans="1:7">
      <c r="A13" s="20">
        <f t="shared" si="0"/>
        <v>4</v>
      </c>
      <c r="C13" s="2" t="s">
        <v>382</v>
      </c>
      <c r="E13" s="42">
        <v>0.41499999999999998</v>
      </c>
      <c r="G13" s="20" t="s">
        <v>383</v>
      </c>
    </row>
    <row r="14" spans="1:7">
      <c r="A14" s="20">
        <f t="shared" si="0"/>
        <v>5</v>
      </c>
      <c r="C14" s="2" t="s">
        <v>384</v>
      </c>
      <c r="E14" s="16">
        <f>E12*E13</f>
        <v>71626772.283705086</v>
      </c>
      <c r="G14" s="20" t="s">
        <v>385</v>
      </c>
    </row>
    <row r="15" spans="1:7">
      <c r="A15" s="20">
        <f t="shared" si="0"/>
        <v>6</v>
      </c>
      <c r="C15" s="2" t="s">
        <v>386</v>
      </c>
      <c r="E15" s="42">
        <v>4.5199999999999997E-2</v>
      </c>
      <c r="G15" s="20" t="s">
        <v>383</v>
      </c>
    </row>
    <row r="16" spans="1:7">
      <c r="A16" s="20">
        <f t="shared" si="0"/>
        <v>7</v>
      </c>
      <c r="C16" s="2" t="s">
        <v>586</v>
      </c>
      <c r="E16" s="16">
        <f>E14*E15</f>
        <v>3237530.1072234698</v>
      </c>
      <c r="G16" s="20" t="s">
        <v>388</v>
      </c>
    </row>
    <row r="17" spans="1:7">
      <c r="A17" s="20">
        <f t="shared" si="0"/>
        <v>8</v>
      </c>
      <c r="C17" s="2" t="s">
        <v>222</v>
      </c>
      <c r="E17" s="37">
        <v>0.21</v>
      </c>
      <c r="G17" s="20"/>
    </row>
    <row r="18" spans="1:7" ht="13.5" thickBot="1">
      <c r="A18" s="20">
        <f t="shared" si="0"/>
        <v>9</v>
      </c>
      <c r="C18" s="2" t="s">
        <v>389</v>
      </c>
      <c r="E18" s="119">
        <f>-E16*E17</f>
        <v>-679881.32251692866</v>
      </c>
      <c r="G18" s="20" t="s">
        <v>229</v>
      </c>
    </row>
    <row r="19" spans="1:7" ht="13.5" thickTop="1">
      <c r="A19" s="20"/>
      <c r="G19" s="20"/>
    </row>
    <row r="20" spans="1:7">
      <c r="A20" s="28" t="s">
        <v>11</v>
      </c>
      <c r="B20" s="28"/>
      <c r="C20" s="28"/>
      <c r="D20" s="28"/>
      <c r="E20" s="28"/>
      <c r="F20" s="28"/>
      <c r="G20" s="28"/>
    </row>
    <row r="21" spans="1:7">
      <c r="A21" s="2" t="s">
        <v>390</v>
      </c>
    </row>
  </sheetData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Normal="100" workbookViewId="0">
      <selection activeCell="H5" sqref="H5"/>
    </sheetView>
  </sheetViews>
  <sheetFormatPr defaultRowHeight="12.75"/>
  <cols>
    <col min="1" max="1" width="5.85546875" style="2" customWidth="1"/>
    <col min="2" max="2" width="1" style="2" customWidth="1"/>
    <col min="3" max="3" width="92.28515625" style="2" customWidth="1"/>
    <col min="4" max="4" width="1.42578125" style="2" customWidth="1"/>
    <col min="5" max="5" width="12.5703125" style="2" customWidth="1"/>
    <col min="6" max="6" width="1" style="2" customWidth="1"/>
    <col min="7" max="7" width="12.140625" style="2" customWidth="1"/>
    <col min="8" max="8" width="1.42578125" style="2" customWidth="1"/>
    <col min="9" max="9" width="11.5703125" style="2" customWidth="1"/>
    <col min="10" max="10" width="1.42578125" style="2" customWidth="1"/>
    <col min="11" max="11" width="10.42578125" style="2" customWidth="1"/>
    <col min="12" max="12" width="1.28515625" style="2" customWidth="1"/>
    <col min="13" max="13" width="11.140625" style="2" customWidth="1"/>
    <col min="14" max="14" width="12" style="2" customWidth="1"/>
    <col min="15" max="15" width="12" style="2" bestFit="1" customWidth="1"/>
    <col min="16" max="16" width="12" style="2" customWidth="1"/>
    <col min="17" max="17" width="11.140625" style="2" customWidth="1"/>
    <col min="18" max="16384" width="9.140625" style="2"/>
  </cols>
  <sheetData>
    <row r="1" spans="1:17">
      <c r="A1" s="2" t="str">
        <f>Contents!A1</f>
        <v>Florida Public Utilities Company Consolidated Gas</v>
      </c>
      <c r="G1" s="33"/>
      <c r="M1" s="33" t="str">
        <f>Contents!A2</f>
        <v>Docket No. 20220067-GU</v>
      </c>
    </row>
    <row r="2" spans="1:17">
      <c r="A2" s="2" t="s">
        <v>376</v>
      </c>
      <c r="G2" s="33"/>
      <c r="M2" s="33" t="str">
        <f>Contents!A3</f>
        <v>Exhibit RCS-2R</v>
      </c>
    </row>
    <row r="3" spans="1:17">
      <c r="G3" s="33"/>
      <c r="M3" s="33" t="s">
        <v>354</v>
      </c>
    </row>
    <row r="4" spans="1:17">
      <c r="A4" s="2" t="str">
        <f>A!A4</f>
        <v>Projected Test Year Ended December 31, 2023</v>
      </c>
      <c r="G4" s="33"/>
      <c r="M4" s="33" t="s">
        <v>57</v>
      </c>
    </row>
    <row r="5" spans="1:17">
      <c r="M5" s="33" t="s">
        <v>102</v>
      </c>
    </row>
    <row r="6" spans="1:17">
      <c r="A6" s="20" t="s">
        <v>0</v>
      </c>
      <c r="E6" s="20"/>
    </row>
    <row r="7" spans="1:17">
      <c r="A7" s="27" t="s">
        <v>1</v>
      </c>
      <c r="C7" s="28" t="s">
        <v>2</v>
      </c>
      <c r="E7" s="27" t="s">
        <v>34</v>
      </c>
      <c r="G7" s="27" t="s">
        <v>3</v>
      </c>
    </row>
    <row r="8" spans="1:17">
      <c r="A8" s="20"/>
      <c r="I8" s="1"/>
      <c r="J8" s="1"/>
    </row>
    <row r="9" spans="1:17">
      <c r="A9" s="20"/>
    </row>
    <row r="10" spans="1:17">
      <c r="A10" s="20">
        <v>1</v>
      </c>
      <c r="C10" s="2" t="s">
        <v>12</v>
      </c>
      <c r="E10" s="18">
        <f>B!I36</f>
        <v>435080074.43427122</v>
      </c>
      <c r="G10" s="20" t="s">
        <v>377</v>
      </c>
      <c r="I10" s="30"/>
      <c r="J10" s="30"/>
      <c r="K10" s="30"/>
      <c r="L10" s="30"/>
      <c r="M10" s="30"/>
      <c r="N10" s="30"/>
      <c r="O10" s="30"/>
      <c r="P10" s="30"/>
    </row>
    <row r="11" spans="1:17">
      <c r="A11" s="20">
        <f t="shared" ref="A11:A16" si="0">A10+1</f>
        <v>2</v>
      </c>
      <c r="C11" s="2" t="s">
        <v>563</v>
      </c>
      <c r="E11" s="195">
        <v>0.23793</v>
      </c>
      <c r="G11" s="20" t="s">
        <v>383</v>
      </c>
      <c r="I11" s="79"/>
      <c r="J11" s="79"/>
      <c r="K11" s="79"/>
      <c r="L11" s="79"/>
      <c r="M11" s="79"/>
      <c r="N11" s="79"/>
      <c r="O11" s="79"/>
      <c r="P11" s="79"/>
    </row>
    <row r="12" spans="1:17">
      <c r="A12" s="20">
        <f t="shared" si="0"/>
        <v>3</v>
      </c>
      <c r="C12" s="2" t="s">
        <v>380</v>
      </c>
      <c r="E12" s="16">
        <f>E10*E11</f>
        <v>103518602.11014615</v>
      </c>
      <c r="G12" s="20" t="s">
        <v>381</v>
      </c>
      <c r="I12" s="16"/>
      <c r="J12" s="16"/>
      <c r="K12" s="16"/>
      <c r="L12" s="16"/>
      <c r="M12" s="16"/>
      <c r="N12" s="16"/>
      <c r="O12" s="16"/>
      <c r="P12" s="16"/>
    </row>
    <row r="13" spans="1:17">
      <c r="A13" s="20">
        <f t="shared" si="0"/>
        <v>4</v>
      </c>
      <c r="C13" s="2" t="s">
        <v>386</v>
      </c>
      <c r="E13" s="42">
        <v>1.4202833021585953E-2</v>
      </c>
      <c r="G13" s="20" t="s">
        <v>383</v>
      </c>
      <c r="I13" s="74"/>
      <c r="J13" s="74"/>
      <c r="K13" s="74"/>
      <c r="L13" s="74"/>
      <c r="M13" s="74"/>
      <c r="N13" s="74"/>
      <c r="O13" s="74"/>
      <c r="P13" s="74"/>
    </row>
    <row r="14" spans="1:17">
      <c r="A14" s="20">
        <f t="shared" si="0"/>
        <v>5</v>
      </c>
      <c r="C14" s="2" t="s">
        <v>387</v>
      </c>
      <c r="E14" s="196">
        <f>E12*E13</f>
        <v>1470257.4203984011</v>
      </c>
      <c r="G14" s="20" t="s">
        <v>385</v>
      </c>
      <c r="I14" s="16"/>
      <c r="J14" s="16"/>
      <c r="K14" s="16"/>
      <c r="L14" s="16"/>
      <c r="M14" s="16"/>
      <c r="N14" s="16"/>
      <c r="O14" s="16"/>
      <c r="P14" s="16"/>
      <c r="Q14" s="16"/>
    </row>
    <row r="15" spans="1:17">
      <c r="A15" s="20">
        <f t="shared" si="0"/>
        <v>6</v>
      </c>
      <c r="C15" s="2" t="s">
        <v>222</v>
      </c>
      <c r="E15" s="190">
        <v>0.21</v>
      </c>
      <c r="G15" s="20"/>
    </row>
    <row r="16" spans="1:17" ht="13.5" thickBot="1">
      <c r="A16" s="20">
        <f t="shared" si="0"/>
        <v>7</v>
      </c>
      <c r="C16" s="2" t="s">
        <v>587</v>
      </c>
      <c r="E16" s="119">
        <f>-E14*E15</f>
        <v>-308754.05828366423</v>
      </c>
    </row>
    <row r="17" spans="1:13" ht="13.5" thickTop="1">
      <c r="A17" s="20"/>
      <c r="E17" s="30"/>
    </row>
    <row r="18" spans="1:13" ht="13.5" thickBot="1">
      <c r="A18" s="20">
        <f>A16+1</f>
        <v>8</v>
      </c>
      <c r="C18" s="2" t="s">
        <v>594</v>
      </c>
      <c r="E18" s="197">
        <v>0</v>
      </c>
      <c r="G18" s="20" t="s">
        <v>588</v>
      </c>
    </row>
    <row r="19" spans="1:13" ht="13.5" thickTop="1"/>
    <row r="21" spans="1:13">
      <c r="A21" s="28" t="s">
        <v>11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2" t="s">
        <v>564</v>
      </c>
    </row>
    <row r="23" spans="1:13">
      <c r="A23" s="2" t="s">
        <v>589</v>
      </c>
    </row>
    <row r="25" spans="1:13">
      <c r="A25" s="2" t="s">
        <v>596</v>
      </c>
    </row>
    <row r="27" spans="1:13">
      <c r="C27" s="28" t="s">
        <v>2</v>
      </c>
      <c r="E27" s="27" t="s">
        <v>391</v>
      </c>
      <c r="F27" s="20"/>
      <c r="G27" s="27" t="s">
        <v>590</v>
      </c>
      <c r="H27" s="20"/>
      <c r="I27" s="27" t="s">
        <v>591</v>
      </c>
      <c r="J27" s="20"/>
      <c r="K27" s="27" t="s">
        <v>592</v>
      </c>
      <c r="L27" s="20"/>
      <c r="M27" s="27" t="s">
        <v>33</v>
      </c>
    </row>
    <row r="28" spans="1:13">
      <c r="A28" s="20">
        <f>A18+1</f>
        <v>9</v>
      </c>
      <c r="C28" s="2" t="s">
        <v>115</v>
      </c>
      <c r="E28" s="18">
        <v>302435362.19802827</v>
      </c>
      <c r="F28" s="18"/>
      <c r="G28" s="18">
        <v>114342351.15364914</v>
      </c>
      <c r="H28" s="18"/>
      <c r="I28" s="18">
        <v>2020091.8572471109</v>
      </c>
      <c r="J28" s="18"/>
      <c r="K28" s="18">
        <v>1240247.5548736202</v>
      </c>
      <c r="L28" s="18"/>
    </row>
    <row r="29" spans="1:13">
      <c r="A29" s="20">
        <f>A28+1</f>
        <v>10</v>
      </c>
      <c r="C29" s="2" t="s">
        <v>563</v>
      </c>
      <c r="E29" s="191">
        <v>0.23793</v>
      </c>
      <c r="F29" s="191"/>
      <c r="G29" s="191">
        <v>0.23793</v>
      </c>
      <c r="H29" s="191"/>
      <c r="I29" s="191">
        <v>0.23793</v>
      </c>
      <c r="J29" s="191"/>
      <c r="K29" s="191">
        <v>0.23793</v>
      </c>
      <c r="L29" s="79"/>
    </row>
    <row r="30" spans="1:13">
      <c r="A30" s="20">
        <f>A29+1</f>
        <v>11</v>
      </c>
      <c r="C30" s="2" t="s">
        <v>380</v>
      </c>
      <c r="E30" s="196">
        <f>E28*E29</f>
        <v>71958445.72777687</v>
      </c>
      <c r="F30" s="196"/>
      <c r="G30" s="196">
        <f t="shared" ref="G30" si="1">G28*G29</f>
        <v>27205475.609987739</v>
      </c>
      <c r="H30" s="196"/>
      <c r="I30" s="196">
        <f t="shared" ref="I30" si="2">I28*I29</f>
        <v>480640.45559480513</v>
      </c>
      <c r="J30" s="196"/>
      <c r="K30" s="196">
        <f t="shared" ref="K30" si="3">K28*K29</f>
        <v>295092.10073108046</v>
      </c>
      <c r="L30" s="16"/>
    </row>
    <row r="31" spans="1:13">
      <c r="A31" s="20">
        <f>A30+1</f>
        <v>12</v>
      </c>
      <c r="C31" s="2" t="s">
        <v>593</v>
      </c>
      <c r="E31" s="42">
        <v>1.4202833021585953E-2</v>
      </c>
      <c r="F31" s="42"/>
      <c r="G31" s="42">
        <v>1.4202833021585953E-2</v>
      </c>
      <c r="H31" s="42"/>
      <c r="I31" s="42">
        <v>1.4202833021585953E-2</v>
      </c>
      <c r="J31" s="42"/>
      <c r="K31" s="42">
        <v>1.4202833021585953E-2</v>
      </c>
      <c r="L31" s="74"/>
    </row>
    <row r="32" spans="1:13" ht="13.5" thickBot="1">
      <c r="A32" s="20">
        <f>A31+1</f>
        <v>13</v>
      </c>
      <c r="C32" s="2" t="s">
        <v>387</v>
      </c>
      <c r="E32" s="174">
        <f t="shared" ref="E32" si="4">E30*E31</f>
        <v>1022013.78916447</v>
      </c>
      <c r="F32" s="174"/>
      <c r="G32" s="174">
        <f t="shared" ref="G32" si="5">G30*G31</f>
        <v>386394.82736148511</v>
      </c>
      <c r="H32" s="174"/>
      <c r="I32" s="174">
        <f t="shared" ref="I32" si="6">I30*I31</f>
        <v>6826.4561342320158</v>
      </c>
      <c r="J32" s="174"/>
      <c r="K32" s="174">
        <f t="shared" ref="K32" si="7">K30*K31</f>
        <v>4191.1438326725583</v>
      </c>
      <c r="L32" s="174"/>
      <c r="M32" s="174">
        <f>SUM(E32:K32)</f>
        <v>1419426.2164928596</v>
      </c>
    </row>
    <row r="33" ht="13.5" thickTop="1"/>
  </sheetData>
  <pageMargins left="0.7" right="0.7" top="0.75" bottom="0.75" header="0.3" footer="0.3"/>
  <pageSetup scale="7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workbookViewId="0">
      <selection activeCell="H5" sqref="H5"/>
    </sheetView>
  </sheetViews>
  <sheetFormatPr defaultRowHeight="12.75"/>
  <cols>
    <col min="1" max="1" width="5.7109375" style="2" customWidth="1"/>
    <col min="2" max="2" width="1.42578125" style="2" customWidth="1"/>
    <col min="3" max="3" width="53.42578125" style="2" bestFit="1" customWidth="1"/>
    <col min="4" max="4" width="1" style="2" customWidth="1"/>
    <col min="5" max="5" width="10.42578125" style="2" bestFit="1" customWidth="1"/>
    <col min="6" max="6" width="1.140625" style="2" customWidth="1"/>
    <col min="7" max="16384" width="9.140625" style="2"/>
  </cols>
  <sheetData>
    <row r="1" spans="1:7">
      <c r="A1" s="2" t="str">
        <f>Contents!A1</f>
        <v>Florida Public Utilities Company Consolidated Gas</v>
      </c>
      <c r="G1" s="33" t="str">
        <f>Contents!A2</f>
        <v>Docket No. 20220067-GU</v>
      </c>
    </row>
    <row r="2" spans="1:7">
      <c r="A2" s="2" t="s">
        <v>357</v>
      </c>
      <c r="G2" s="33" t="str">
        <f>Contents!A3</f>
        <v>Exhibit RCS-2R</v>
      </c>
    </row>
    <row r="3" spans="1:7">
      <c r="G3" s="33" t="s">
        <v>375</v>
      </c>
    </row>
    <row r="4" spans="1:7">
      <c r="A4" s="2" t="str">
        <f>A!A4</f>
        <v>Projected Test Year Ended December 31, 2023</v>
      </c>
      <c r="G4" s="33" t="s">
        <v>39</v>
      </c>
    </row>
    <row r="6" spans="1:7">
      <c r="A6" s="20" t="s">
        <v>0</v>
      </c>
    </row>
    <row r="7" spans="1:7">
      <c r="A7" s="27" t="s">
        <v>1</v>
      </c>
      <c r="C7" s="28" t="s">
        <v>2</v>
      </c>
      <c r="E7" s="27" t="s">
        <v>34</v>
      </c>
      <c r="F7" s="20"/>
      <c r="G7" s="27" t="s">
        <v>3</v>
      </c>
    </row>
    <row r="8" spans="1:7">
      <c r="A8" s="20"/>
      <c r="E8" s="20" t="s">
        <v>9</v>
      </c>
    </row>
    <row r="9" spans="1:7">
      <c r="A9" s="20"/>
    </row>
    <row r="10" spans="1:7" ht="13.5" thickBot="1">
      <c r="A10" s="20">
        <v>1</v>
      </c>
      <c r="C10" s="2" t="s">
        <v>355</v>
      </c>
      <c r="E10" s="29">
        <v>-38835</v>
      </c>
      <c r="G10" s="20" t="s">
        <v>60</v>
      </c>
    </row>
    <row r="11" spans="1:7" ht="13.5" thickTop="1">
      <c r="A11" s="20"/>
    </row>
    <row r="12" spans="1:7">
      <c r="A12" s="20"/>
    </row>
    <row r="13" spans="1:7">
      <c r="A13" s="20"/>
    </row>
    <row r="14" spans="1:7">
      <c r="A14" s="20"/>
    </row>
    <row r="16" spans="1:7">
      <c r="A16" s="28" t="s">
        <v>11</v>
      </c>
      <c r="B16" s="28"/>
      <c r="C16" s="28"/>
      <c r="D16" s="28"/>
      <c r="E16" s="28"/>
      <c r="F16" s="28"/>
      <c r="G16" s="28"/>
    </row>
    <row r="17" spans="1:1">
      <c r="A17" s="2" t="s">
        <v>356</v>
      </c>
    </row>
  </sheetData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0000"/>
    <pageSetUpPr fitToPage="1"/>
  </sheetPr>
  <dimension ref="A1:J28"/>
  <sheetViews>
    <sheetView workbookViewId="0">
      <selection activeCell="C7" sqref="C7"/>
    </sheetView>
  </sheetViews>
  <sheetFormatPr defaultRowHeight="12.75"/>
  <cols>
    <col min="1" max="1" width="5.28515625" style="2" customWidth="1"/>
    <col min="2" max="2" width="64.28515625" style="2" customWidth="1"/>
    <col min="3" max="3" width="11.42578125" style="2" customWidth="1"/>
    <col min="4" max="4" width="12.7109375" style="2" customWidth="1"/>
    <col min="5" max="5" width="12.7109375" style="2" hidden="1" customWidth="1"/>
    <col min="6" max="6" width="10.42578125" style="2" hidden="1" customWidth="1"/>
    <col min="7" max="9" width="0" style="2" hidden="1" customWidth="1"/>
    <col min="10" max="16384" width="9.140625" style="2"/>
  </cols>
  <sheetData>
    <row r="1" spans="1:10">
      <c r="A1" s="1" t="s">
        <v>100</v>
      </c>
    </row>
    <row r="2" spans="1:10">
      <c r="A2" s="1"/>
    </row>
    <row r="3" spans="1:10">
      <c r="A3" s="68"/>
      <c r="B3" s="4"/>
      <c r="C3" s="3" t="s">
        <v>110</v>
      </c>
      <c r="D3" s="3" t="s">
        <v>111</v>
      </c>
    </row>
    <row r="4" spans="1:10">
      <c r="A4" s="71"/>
      <c r="B4" s="70"/>
      <c r="C4" s="69" t="s">
        <v>108</v>
      </c>
      <c r="D4" s="69" t="s">
        <v>112</v>
      </c>
    </row>
    <row r="5" spans="1:10">
      <c r="A5" s="69" t="s">
        <v>99</v>
      </c>
      <c r="B5" s="70"/>
      <c r="C5" s="69" t="s">
        <v>62</v>
      </c>
      <c r="D5" s="69" t="s">
        <v>97</v>
      </c>
      <c r="E5" s="20" t="s">
        <v>97</v>
      </c>
      <c r="F5" s="20"/>
      <c r="G5" s="20"/>
    </row>
    <row r="6" spans="1:10">
      <c r="A6" s="5" t="s">
        <v>1</v>
      </c>
      <c r="B6" s="6" t="s">
        <v>2</v>
      </c>
      <c r="C6" s="5" t="s">
        <v>95</v>
      </c>
      <c r="D6" s="5" t="s">
        <v>98</v>
      </c>
      <c r="E6" s="20" t="s">
        <v>98</v>
      </c>
      <c r="F6" s="20" t="s">
        <v>63</v>
      </c>
      <c r="G6" s="20" t="s">
        <v>102</v>
      </c>
      <c r="J6" s="20"/>
    </row>
    <row r="7" spans="1:10">
      <c r="A7" s="5" t="str">
        <f>Contents!A34</f>
        <v>C-1</v>
      </c>
      <c r="B7" s="6" t="str">
        <f>Contents!B34</f>
        <v>Depreciation Expense - New Depreciation Rates</v>
      </c>
      <c r="C7" s="67">
        <f>'C.1'!H14</f>
        <v>-2073621.3254448641</v>
      </c>
      <c r="D7" s="66">
        <f>'C.1'!$H$25</f>
        <v>1548062.0005108633</v>
      </c>
      <c r="E7" s="66"/>
      <c r="F7" s="66">
        <f>D7-E7</f>
        <v>1548062.0005108633</v>
      </c>
      <c r="G7" s="67"/>
      <c r="J7" s="20"/>
    </row>
    <row r="8" spans="1:10">
      <c r="A8" s="7" t="str">
        <f>Contents!A35</f>
        <v>C-2</v>
      </c>
      <c r="B8" s="8" t="str">
        <f>Contents!B35</f>
        <v>Amortizaton Expense Related to FPUC Merger Acquisition Adjustment</v>
      </c>
      <c r="C8" s="67">
        <f>'C.1'!$I$19</f>
        <v>-1139750</v>
      </c>
      <c r="D8" s="66">
        <f>'C.1'!$I$25</f>
        <v>850880.36250000005</v>
      </c>
      <c r="E8" s="9"/>
      <c r="F8" s="9">
        <f t="shared" ref="F8:F25" si="0">D8-E8</f>
        <v>850880.36250000005</v>
      </c>
      <c r="G8" s="10"/>
      <c r="J8" s="20"/>
    </row>
    <row r="9" spans="1:10">
      <c r="A9" s="7" t="str">
        <f>Contents!A36</f>
        <v>C-3</v>
      </c>
      <c r="B9" s="8" t="str">
        <f>Contents!B36</f>
        <v>Incentive Compensation Expense</v>
      </c>
      <c r="C9" s="67">
        <f>'C.1'!$J$19</f>
        <v>-1090100.5</v>
      </c>
      <c r="D9" s="66">
        <f>'C.1'!$J$25</f>
        <v>813814.52827499993</v>
      </c>
      <c r="E9" s="9"/>
      <c r="F9" s="9">
        <f t="shared" si="0"/>
        <v>813814.52827499993</v>
      </c>
      <c r="G9" s="11"/>
      <c r="J9" s="20"/>
    </row>
    <row r="10" spans="1:10">
      <c r="A10" s="7" t="str">
        <f>Contents!A37</f>
        <v>C-4</v>
      </c>
      <c r="B10" s="8" t="str">
        <f>Contents!B37</f>
        <v>Stock-Based Compensation Expense</v>
      </c>
      <c r="C10" s="67">
        <f>'C.1'!$K$19</f>
        <v>-1375505</v>
      </c>
      <c r="D10" s="66">
        <f>'C.1'!$K$25</f>
        <v>1026883.25775</v>
      </c>
      <c r="E10" s="9"/>
      <c r="F10" s="9">
        <f t="shared" si="0"/>
        <v>1026883.25775</v>
      </c>
      <c r="G10" s="11"/>
      <c r="J10" s="20"/>
    </row>
    <row r="11" spans="1:10">
      <c r="A11" s="7" t="str">
        <f>Contents!A38</f>
        <v>C-5</v>
      </c>
      <c r="B11" s="8" t="str">
        <f>Contents!B38</f>
        <v>Payroll Tax Expense</v>
      </c>
      <c r="C11" s="67">
        <f>'C.1'!$L$19</f>
        <v>-188618.82075000001</v>
      </c>
      <c r="D11" s="66">
        <f>'C.1'!$L$25</f>
        <v>140813.38063091252</v>
      </c>
      <c r="E11" s="9"/>
      <c r="F11" s="9">
        <f t="shared" si="0"/>
        <v>140813.38063091252</v>
      </c>
      <c r="G11" s="12"/>
      <c r="J11" s="20"/>
    </row>
    <row r="12" spans="1:10">
      <c r="A12" s="7" t="str">
        <f>Contents!A39</f>
        <v>C-6</v>
      </c>
      <c r="B12" s="8" t="str">
        <f>Contents!B39</f>
        <v>Supplemental Executive Retirement Program (SERP) Expense</v>
      </c>
      <c r="C12" s="67">
        <f>'C.1'!$M$19</f>
        <v>-1762</v>
      </c>
      <c r="D12" s="66">
        <f>'C.1'!$M$25</f>
        <v>1315.4211</v>
      </c>
      <c r="E12" s="9"/>
      <c r="F12" s="9">
        <f t="shared" si="0"/>
        <v>1315.4211</v>
      </c>
      <c r="G12" s="11"/>
      <c r="J12" s="20"/>
    </row>
    <row r="13" spans="1:10">
      <c r="A13" s="7" t="str">
        <f>Contents!A40</f>
        <v>C-7</v>
      </c>
      <c r="B13" s="8" t="str">
        <f>Contents!B40</f>
        <v>Directors and Officers Liability Insurance Expense</v>
      </c>
      <c r="C13" s="67">
        <f>'C.1'!$N$19</f>
        <v>-85527.5</v>
      </c>
      <c r="D13" s="66">
        <f>'C.1'!$N$25</f>
        <v>63850.555124999999</v>
      </c>
      <c r="E13" s="9"/>
      <c r="F13" s="9">
        <f t="shared" si="0"/>
        <v>63850.555124999999</v>
      </c>
      <c r="G13" s="13"/>
      <c r="J13" s="20"/>
    </row>
    <row r="14" spans="1:10">
      <c r="A14" s="7" t="str">
        <f>Contents!A41</f>
        <v>C-8</v>
      </c>
      <c r="B14" s="8" t="str">
        <f>Contents!B41</f>
        <v>Rent Expense</v>
      </c>
      <c r="C14" s="67">
        <f>'C.1'!$O$19</f>
        <v>-78249</v>
      </c>
      <c r="D14" s="66">
        <f>'C.1'!$O$25</f>
        <v>58416.790950000002</v>
      </c>
      <c r="E14" s="9"/>
      <c r="F14" s="9">
        <f t="shared" si="0"/>
        <v>58416.790950000002</v>
      </c>
      <c r="G14" s="11" t="s">
        <v>103</v>
      </c>
      <c r="J14" s="20"/>
    </row>
    <row r="15" spans="1:10">
      <c r="A15" s="7" t="str">
        <f>Contents!A42</f>
        <v>C-9</v>
      </c>
      <c r="B15" s="8" t="str">
        <f>Contents!B43</f>
        <v>Interest Synchronization</v>
      </c>
      <c r="C15" s="67">
        <f>'C.1'!$P$19</f>
        <v>-41881</v>
      </c>
      <c r="D15" s="66">
        <f>'C.1'!$P$25</f>
        <v>31266.260549999999</v>
      </c>
      <c r="E15" s="9"/>
      <c r="F15" s="9">
        <f t="shared" si="0"/>
        <v>31266.260549999999</v>
      </c>
      <c r="G15" s="11"/>
      <c r="J15" s="20"/>
    </row>
    <row r="16" spans="1:10">
      <c r="A16" s="7" t="str">
        <f>Contents!A43</f>
        <v>C-10</v>
      </c>
      <c r="B16" s="8" t="str">
        <f>Contents!B44</f>
        <v xml:space="preserve">Parent Company Debt Adjustment </v>
      </c>
      <c r="C16" s="67">
        <f>'C.1'!$Q$19</f>
        <v>0</v>
      </c>
      <c r="D16" s="66">
        <f>'C.1'!$Q$25</f>
        <v>133876.95780539906</v>
      </c>
      <c r="E16" s="9"/>
      <c r="F16" s="9">
        <f t="shared" si="0"/>
        <v>133876.95780539906</v>
      </c>
      <c r="G16" s="11" t="s">
        <v>103</v>
      </c>
      <c r="J16" s="20"/>
    </row>
    <row r="17" spans="1:10">
      <c r="A17" s="7" t="str">
        <f>Contents!A54</f>
        <v>C-17</v>
      </c>
      <c r="B17" s="8">
        <f>Contents!B54</f>
        <v>0</v>
      </c>
      <c r="C17" s="67">
        <f>'C.1'!$R$19</f>
        <v>0</v>
      </c>
      <c r="D17" s="66">
        <f>'C.1'!$R$25</f>
        <v>679881.32251692866</v>
      </c>
      <c r="E17" s="9"/>
      <c r="F17" s="9">
        <f t="shared" si="0"/>
        <v>679881.32251692866</v>
      </c>
      <c r="G17" s="11"/>
      <c r="J17" s="20"/>
    </row>
    <row r="18" spans="1:10">
      <c r="A18" s="7" t="str">
        <f>Contents!A55</f>
        <v>C-18</v>
      </c>
      <c r="B18" s="8">
        <f>Contents!B55</f>
        <v>0</v>
      </c>
      <c r="C18" s="67">
        <f>'C.1'!S14</f>
        <v>0</v>
      </c>
      <c r="D18" s="66">
        <f>'C.1'!$S$25</f>
        <v>28992.269250000001</v>
      </c>
      <c r="E18" s="9"/>
      <c r="F18" s="9">
        <f t="shared" si="0"/>
        <v>28992.269250000001</v>
      </c>
      <c r="G18" s="11"/>
      <c r="J18" s="20"/>
    </row>
    <row r="19" spans="1:10">
      <c r="A19" s="7" t="s">
        <v>78</v>
      </c>
      <c r="B19" s="8">
        <f>Contents!B56</f>
        <v>0</v>
      </c>
      <c r="C19" s="10">
        <f>'C.1'!T14</f>
        <v>0</v>
      </c>
      <c r="D19" s="9">
        <f>'C.1'!T25</f>
        <v>0</v>
      </c>
      <c r="E19" s="9"/>
      <c r="F19" s="9"/>
      <c r="G19" s="11"/>
      <c r="J19" s="20"/>
    </row>
    <row r="20" spans="1:10">
      <c r="A20" s="7" t="s">
        <v>79</v>
      </c>
      <c r="B20" s="8">
        <f>Contents!B57</f>
        <v>0</v>
      </c>
      <c r="C20" s="10">
        <f>'C.1'!U19</f>
        <v>0</v>
      </c>
      <c r="D20" s="9">
        <f>'C.1'!U25</f>
        <v>0</v>
      </c>
      <c r="E20" s="9"/>
      <c r="F20" s="9"/>
      <c r="G20" s="11"/>
      <c r="J20" s="20"/>
    </row>
    <row r="21" spans="1:10">
      <c r="A21" s="7" t="s">
        <v>80</v>
      </c>
      <c r="B21" s="8" t="e">
        <f>Contents!#REF!</f>
        <v>#REF!</v>
      </c>
      <c r="C21" s="10" t="e">
        <f>'C.1'!#REF!</f>
        <v>#REF!</v>
      </c>
      <c r="D21" s="9" t="e">
        <f>'C.1'!#REF!</f>
        <v>#REF!</v>
      </c>
      <c r="E21" s="9"/>
      <c r="F21" s="9"/>
      <c r="G21" s="11"/>
      <c r="J21" s="20"/>
    </row>
    <row r="22" spans="1:10">
      <c r="A22" s="7" t="s">
        <v>81</v>
      </c>
      <c r="B22" s="8" t="e">
        <f>Contents!#REF!</f>
        <v>#REF!</v>
      </c>
      <c r="C22" s="10" t="e">
        <f>'C.1'!#REF!</f>
        <v>#REF!</v>
      </c>
      <c r="D22" s="9" t="e">
        <f>'C.1'!#REF!</f>
        <v>#REF!</v>
      </c>
      <c r="E22" s="9"/>
      <c r="F22" s="9"/>
      <c r="G22" s="11"/>
      <c r="J22" s="20"/>
    </row>
    <row r="23" spans="1:10">
      <c r="A23" s="14" t="s">
        <v>109</v>
      </c>
      <c r="B23" s="8"/>
      <c r="C23" s="9" t="e">
        <f>SUM(C7:C22)</f>
        <v>#REF!</v>
      </c>
      <c r="D23" s="9" t="e">
        <f>SUM(D7:D22)</f>
        <v>#REF!</v>
      </c>
      <c r="E23" s="15">
        <f>SUM(E7:E18)</f>
        <v>0</v>
      </c>
      <c r="F23" s="9" t="e">
        <f t="shared" si="0"/>
        <v>#REF!</v>
      </c>
      <c r="G23" s="11" t="s">
        <v>103</v>
      </c>
      <c r="H23" s="2" t="e">
        <f>#REF!</f>
        <v>#REF!</v>
      </c>
      <c r="I23" s="16" t="e">
        <f>D23-H23</f>
        <v>#REF!</v>
      </c>
    </row>
    <row r="24" spans="1:10">
      <c r="A24" s="8"/>
      <c r="B24" s="8" t="s">
        <v>136</v>
      </c>
      <c r="C24" s="8"/>
      <c r="D24" s="9">
        <f>'C'!E24</f>
        <v>11417702.480234116</v>
      </c>
      <c r="E24" s="9">
        <v>8742011</v>
      </c>
      <c r="F24" s="9">
        <f t="shared" si="0"/>
        <v>2675691.4802341163</v>
      </c>
      <c r="G24" s="11"/>
      <c r="H24" s="2" t="e">
        <f>#REF!</f>
        <v>#REF!</v>
      </c>
      <c r="I24" s="16" t="e">
        <f>D24-H24</f>
        <v>#REF!</v>
      </c>
    </row>
    <row r="25" spans="1:10">
      <c r="A25" s="8"/>
      <c r="B25" s="8" t="s">
        <v>101</v>
      </c>
      <c r="C25" s="8"/>
      <c r="D25" s="9" t="e">
        <f>SUM(D23:D24)</f>
        <v>#REF!</v>
      </c>
      <c r="E25" s="9">
        <f>SUM(E23:E24)</f>
        <v>8742011</v>
      </c>
      <c r="F25" s="9" t="e">
        <f t="shared" si="0"/>
        <v>#REF!</v>
      </c>
      <c r="G25" s="11" t="s">
        <v>103</v>
      </c>
      <c r="H25" s="2" t="e">
        <f>#REF!</f>
        <v>#REF!</v>
      </c>
      <c r="I25" s="16" t="e">
        <f>D25-H25</f>
        <v>#REF!</v>
      </c>
    </row>
    <row r="27" spans="1:10">
      <c r="B27" s="2" t="s">
        <v>106</v>
      </c>
      <c r="D27" s="18">
        <f>A!$K$17</f>
        <v>0</v>
      </c>
    </row>
    <row r="28" spans="1:10">
      <c r="B28" s="2" t="s">
        <v>63</v>
      </c>
      <c r="D28" s="16" t="e">
        <f>D25-D27</f>
        <v>#REF!</v>
      </c>
    </row>
  </sheetData>
  <pageMargins left="0.75" right="0.75" top="1" bottom="1" header="0.5" footer="0.5"/>
  <pageSetup scale="96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1"/>
  <sheetViews>
    <sheetView zoomScaleNormal="100" zoomScaleSheetLayoutView="110" workbookViewId="0">
      <selection activeCell="H5" sqref="H5"/>
    </sheetView>
  </sheetViews>
  <sheetFormatPr defaultRowHeight="12.75"/>
  <cols>
    <col min="1" max="1" width="5.5703125" style="2" customWidth="1"/>
    <col min="2" max="2" width="1.28515625" style="2" customWidth="1"/>
    <col min="3" max="3" width="35.5703125" style="2" customWidth="1"/>
    <col min="4" max="4" width="1.42578125" style="2" customWidth="1"/>
    <col min="5" max="5" width="11.28515625" style="2" customWidth="1"/>
    <col min="6" max="6" width="1.28515625" style="2" customWidth="1"/>
    <col min="7" max="7" width="12.7109375" style="2" bestFit="1" customWidth="1"/>
    <col min="8" max="8" width="1.7109375" style="2" customWidth="1"/>
    <col min="9" max="9" width="13.28515625" style="2" customWidth="1"/>
    <col min="10" max="10" width="11.28515625" style="2" customWidth="1"/>
    <col min="11" max="11" width="19.28515625" style="2" bestFit="1" customWidth="1"/>
    <col min="12" max="16384" width="9.140625" style="2"/>
  </cols>
  <sheetData>
    <row r="1" spans="1:9">
      <c r="A1" s="2" t="str">
        <f>A!$A$1</f>
        <v>Florida Public Utilities Company Consolidated Gas</v>
      </c>
      <c r="C1" s="24"/>
      <c r="D1" s="24"/>
      <c r="E1" s="24"/>
      <c r="F1" s="58"/>
      <c r="I1" s="33" t="str">
        <f>Contents!A2</f>
        <v>Docket No. 20220067-GU</v>
      </c>
    </row>
    <row r="2" spans="1:9">
      <c r="A2" s="2" t="s">
        <v>5</v>
      </c>
      <c r="C2" s="53"/>
      <c r="D2" s="53"/>
      <c r="E2" s="53"/>
      <c r="F2" s="47"/>
      <c r="I2" s="33" t="str">
        <f>A!K2</f>
        <v>Exhibit RCS-2R</v>
      </c>
    </row>
    <row r="3" spans="1:9">
      <c r="B3" s="45"/>
      <c r="I3" s="33" t="s">
        <v>55</v>
      </c>
    </row>
    <row r="4" spans="1:9">
      <c r="A4" s="23" t="str">
        <f>A!$A$4</f>
        <v>Projected Test Year Ended December 31, 2023</v>
      </c>
      <c r="C4" s="53"/>
      <c r="D4" s="53"/>
      <c r="E4" s="53"/>
      <c r="F4" s="22"/>
      <c r="I4" s="33" t="s">
        <v>39</v>
      </c>
    </row>
    <row r="5" spans="1:9">
      <c r="F5" s="22"/>
      <c r="I5" s="33" t="s">
        <v>102</v>
      </c>
    </row>
    <row r="6" spans="1:9">
      <c r="A6" s="55"/>
      <c r="B6" s="59"/>
      <c r="C6" s="59"/>
      <c r="D6" s="59"/>
      <c r="E6" s="59"/>
      <c r="F6" s="59"/>
      <c r="G6" s="59"/>
      <c r="H6" s="59"/>
    </row>
    <row r="7" spans="1:9">
      <c r="A7" s="59" t="s">
        <v>0</v>
      </c>
      <c r="B7" s="59"/>
      <c r="C7" s="59"/>
      <c r="D7" s="59"/>
      <c r="E7" s="59"/>
      <c r="F7" s="59"/>
      <c r="G7" s="59" t="s">
        <v>168</v>
      </c>
      <c r="H7" s="59"/>
      <c r="I7" s="20" t="s">
        <v>167</v>
      </c>
    </row>
    <row r="8" spans="1:9">
      <c r="A8" s="60" t="s">
        <v>1</v>
      </c>
      <c r="B8" s="59"/>
      <c r="C8" s="78" t="s">
        <v>2</v>
      </c>
      <c r="D8" s="101"/>
      <c r="E8" s="60" t="s">
        <v>3</v>
      </c>
      <c r="F8" s="59"/>
      <c r="G8" s="27" t="s">
        <v>7</v>
      </c>
      <c r="H8" s="59"/>
      <c r="I8" s="27" t="s">
        <v>8</v>
      </c>
    </row>
    <row r="9" spans="1:9">
      <c r="A9" s="59"/>
      <c r="B9" s="59"/>
      <c r="C9" s="59"/>
      <c r="D9" s="59"/>
      <c r="E9" s="59"/>
      <c r="F9" s="59"/>
      <c r="G9" s="59" t="s">
        <v>9</v>
      </c>
      <c r="H9" s="59"/>
      <c r="I9" s="20" t="s">
        <v>10</v>
      </c>
    </row>
    <row r="10" spans="1:9">
      <c r="A10" s="59"/>
      <c r="B10" s="59"/>
      <c r="C10" s="59"/>
      <c r="D10" s="59"/>
      <c r="E10" s="59"/>
      <c r="F10" s="59"/>
      <c r="G10" s="59"/>
      <c r="H10" s="59"/>
      <c r="I10" s="20"/>
    </row>
    <row r="11" spans="1:9">
      <c r="A11" s="59">
        <v>1</v>
      </c>
      <c r="B11" s="55"/>
      <c r="C11" s="61" t="s">
        <v>216</v>
      </c>
      <c r="D11" s="61"/>
      <c r="E11" s="61"/>
      <c r="F11" s="55"/>
      <c r="G11" s="150">
        <v>1</v>
      </c>
      <c r="H11" s="150"/>
      <c r="I11" s="150">
        <v>1</v>
      </c>
    </row>
    <row r="12" spans="1:9">
      <c r="A12" s="59"/>
      <c r="B12" s="55"/>
      <c r="C12" s="61"/>
      <c r="D12" s="61"/>
      <c r="E12" s="61"/>
      <c r="F12" s="55"/>
      <c r="G12" s="150"/>
      <c r="H12" s="150"/>
      <c r="I12" s="150"/>
    </row>
    <row r="13" spans="1:9">
      <c r="A13" s="59">
        <f>A11+1</f>
        <v>2</v>
      </c>
      <c r="B13" s="55"/>
      <c r="C13" s="61" t="s">
        <v>283</v>
      </c>
      <c r="D13" s="61"/>
      <c r="E13" s="61"/>
      <c r="F13" s="55"/>
      <c r="G13" s="150">
        <v>0</v>
      </c>
      <c r="H13" s="150"/>
      <c r="I13" s="150">
        <v>0</v>
      </c>
    </row>
    <row r="14" spans="1:9">
      <c r="A14" s="59"/>
      <c r="B14" s="55"/>
      <c r="C14" s="61"/>
      <c r="D14" s="61"/>
      <c r="E14" s="61"/>
      <c r="F14" s="55"/>
      <c r="G14" s="150"/>
      <c r="H14" s="150"/>
      <c r="I14" s="150"/>
    </row>
    <row r="15" spans="1:9">
      <c r="A15" s="59">
        <f>A13+1</f>
        <v>3</v>
      </c>
      <c r="B15" s="55"/>
      <c r="C15" s="61" t="s">
        <v>217</v>
      </c>
      <c r="D15" s="61"/>
      <c r="E15" s="143"/>
      <c r="F15" s="55"/>
      <c r="G15" s="151">
        <v>5.0299999999999997E-3</v>
      </c>
      <c r="H15" s="150"/>
      <c r="I15" s="151">
        <f>G15</f>
        <v>5.0299999999999997E-3</v>
      </c>
    </row>
    <row r="16" spans="1:9">
      <c r="A16" s="59"/>
      <c r="B16" s="55"/>
      <c r="C16" s="55"/>
      <c r="D16" s="55"/>
      <c r="E16" s="59"/>
      <c r="F16" s="55"/>
      <c r="G16" s="152"/>
      <c r="H16" s="150"/>
      <c r="I16" s="152"/>
    </row>
    <row r="17" spans="1:11">
      <c r="A17" s="59">
        <f t="shared" ref="A17" si="0">A15+1</f>
        <v>4</v>
      </c>
      <c r="B17" s="55"/>
      <c r="C17" s="23" t="s">
        <v>218</v>
      </c>
      <c r="D17" s="23"/>
      <c r="E17" s="20"/>
      <c r="G17" s="153">
        <v>2.314404562608556E-3</v>
      </c>
      <c r="H17" s="154"/>
      <c r="I17" s="153">
        <f>G17</f>
        <v>2.314404562608556E-3</v>
      </c>
    </row>
    <row r="18" spans="1:11">
      <c r="A18" s="59"/>
      <c r="B18" s="55"/>
      <c r="C18" s="23"/>
      <c r="D18" s="23"/>
      <c r="E18" s="20"/>
      <c r="G18" s="155"/>
      <c r="H18" s="156"/>
      <c r="I18" s="155"/>
    </row>
    <row r="19" spans="1:11">
      <c r="A19" s="59">
        <f t="shared" ref="A19" si="1">A17+1</f>
        <v>5</v>
      </c>
      <c r="B19" s="55"/>
      <c r="C19" s="23" t="s">
        <v>219</v>
      </c>
      <c r="D19" s="23"/>
      <c r="E19" s="20" t="s">
        <v>224</v>
      </c>
      <c r="G19" s="155">
        <f>G11-G15-G17</f>
        <v>0.99265559543739146</v>
      </c>
      <c r="H19" s="150"/>
      <c r="I19" s="155">
        <f>I11-I15-I17</f>
        <v>0.99265559543739146</v>
      </c>
    </row>
    <row r="20" spans="1:11">
      <c r="A20" s="59"/>
      <c r="B20" s="55"/>
      <c r="E20" s="20"/>
      <c r="G20" s="155"/>
      <c r="H20" s="150"/>
      <c r="I20" s="155"/>
    </row>
    <row r="21" spans="1:11">
      <c r="A21" s="59">
        <f t="shared" ref="A21" si="2">A19+1</f>
        <v>6</v>
      </c>
      <c r="B21" s="55"/>
      <c r="C21" s="55" t="s">
        <v>220</v>
      </c>
      <c r="D21" s="55"/>
      <c r="E21" s="59"/>
      <c r="F21" s="55"/>
      <c r="G21" s="157">
        <v>5.5E-2</v>
      </c>
      <c r="H21" s="154"/>
      <c r="I21" s="157">
        <f>G21</f>
        <v>5.5E-2</v>
      </c>
      <c r="J21" s="63"/>
      <c r="K21" s="64"/>
    </row>
    <row r="22" spans="1:11">
      <c r="A22" s="59"/>
      <c r="B22" s="55"/>
      <c r="C22" s="55"/>
      <c r="D22" s="55"/>
      <c r="E22" s="59"/>
      <c r="F22" s="55"/>
      <c r="G22" s="156"/>
      <c r="H22" s="158"/>
      <c r="I22" s="156"/>
    </row>
    <row r="23" spans="1:11">
      <c r="A23" s="59">
        <f>A21+1</f>
        <v>7</v>
      </c>
      <c r="B23" s="55"/>
      <c r="C23" s="55" t="s">
        <v>227</v>
      </c>
      <c r="D23" s="55"/>
      <c r="E23" s="59" t="s">
        <v>225</v>
      </c>
      <c r="F23" s="55"/>
      <c r="G23" s="159">
        <f>G19*G21</f>
        <v>5.4596057749056529E-2</v>
      </c>
      <c r="H23" s="158"/>
      <c r="I23" s="159">
        <f>I19*I21</f>
        <v>5.4596057749056529E-2</v>
      </c>
    </row>
    <row r="24" spans="1:11">
      <c r="A24" s="59"/>
      <c r="B24" s="55"/>
      <c r="C24" s="55"/>
      <c r="D24" s="55"/>
      <c r="E24" s="59"/>
      <c r="F24" s="55"/>
      <c r="G24" s="156"/>
      <c r="H24" s="158"/>
      <c r="I24" s="156"/>
    </row>
    <row r="25" spans="1:11">
      <c r="A25" s="59">
        <f>A23+1</f>
        <v>8</v>
      </c>
      <c r="B25" s="55"/>
      <c r="C25" s="101" t="s">
        <v>221</v>
      </c>
      <c r="D25" s="62"/>
      <c r="E25" s="20" t="s">
        <v>228</v>
      </c>
      <c r="F25" s="55"/>
      <c r="G25" s="160">
        <f>G19-G23</f>
        <v>0.93805953768833494</v>
      </c>
      <c r="H25" s="159"/>
      <c r="I25" s="160">
        <f>I19-I23</f>
        <v>0.93805953768833494</v>
      </c>
    </row>
    <row r="26" spans="1:11">
      <c r="A26" s="59"/>
      <c r="B26" s="55"/>
      <c r="C26" s="55"/>
      <c r="D26" s="55"/>
      <c r="E26" s="59"/>
      <c r="F26" s="55"/>
      <c r="G26" s="150"/>
      <c r="H26" s="156"/>
      <c r="I26" s="150"/>
    </row>
    <row r="27" spans="1:11">
      <c r="A27" s="59">
        <f t="shared" ref="A27" si="3">A25+1</f>
        <v>9</v>
      </c>
      <c r="B27" s="55"/>
      <c r="C27" s="55" t="s">
        <v>222</v>
      </c>
      <c r="D27" s="55"/>
      <c r="E27" s="59"/>
      <c r="F27" s="55"/>
      <c r="G27" s="157">
        <v>0.21</v>
      </c>
      <c r="H27" s="154"/>
      <c r="I27" s="157">
        <f>G27</f>
        <v>0.21</v>
      </c>
    </row>
    <row r="28" spans="1:11">
      <c r="A28" s="59"/>
      <c r="C28" s="55"/>
      <c r="D28" s="55"/>
      <c r="E28" s="59"/>
      <c r="F28" s="55"/>
      <c r="G28" s="158"/>
      <c r="H28" s="155"/>
      <c r="I28" s="158"/>
    </row>
    <row r="29" spans="1:11">
      <c r="A29" s="59">
        <f t="shared" ref="A29" si="4">A27+1</f>
        <v>10</v>
      </c>
      <c r="C29" s="55" t="s">
        <v>226</v>
      </c>
      <c r="D29" s="55"/>
      <c r="E29" s="59" t="s">
        <v>229</v>
      </c>
      <c r="F29" s="55"/>
      <c r="G29" s="159">
        <f>G25*G27</f>
        <v>0.19699250291455034</v>
      </c>
      <c r="H29" s="155"/>
      <c r="I29" s="159">
        <f>I25*I27</f>
        <v>0.19699250291455034</v>
      </c>
    </row>
    <row r="30" spans="1:11">
      <c r="A30" s="59"/>
      <c r="C30" s="55"/>
      <c r="D30" s="55"/>
      <c r="E30" s="59"/>
      <c r="F30" s="55"/>
      <c r="G30" s="156"/>
      <c r="H30" s="155"/>
      <c r="I30" s="156"/>
    </row>
    <row r="31" spans="1:11">
      <c r="A31" s="59">
        <f t="shared" ref="A31" si="5">A29+1</f>
        <v>11</v>
      </c>
      <c r="C31" s="61" t="s">
        <v>223</v>
      </c>
      <c r="D31" s="61"/>
      <c r="E31" s="143" t="s">
        <v>230</v>
      </c>
      <c r="F31" s="55"/>
      <c r="G31" s="161">
        <f>G25-G29</f>
        <v>0.74106703477378466</v>
      </c>
      <c r="H31" s="155"/>
      <c r="I31" s="161">
        <f>I25-I29</f>
        <v>0.74106703477378466</v>
      </c>
    </row>
    <row r="32" spans="1:11">
      <c r="A32" s="59"/>
      <c r="C32" s="61"/>
      <c r="D32" s="61"/>
      <c r="E32" s="143"/>
      <c r="F32" s="55"/>
      <c r="G32" s="142"/>
      <c r="I32" s="142"/>
    </row>
    <row r="33" spans="1:9" ht="13.5" thickBot="1">
      <c r="A33" s="59">
        <f t="shared" ref="A33" si="6">A31+1</f>
        <v>12</v>
      </c>
      <c r="C33" s="2" t="s">
        <v>198</v>
      </c>
      <c r="E33" s="20" t="s">
        <v>231</v>
      </c>
      <c r="G33" s="162">
        <f>1/G31</f>
        <v>1.3494055909601435</v>
      </c>
      <c r="H33" s="163"/>
      <c r="I33" s="162">
        <f>1/I31</f>
        <v>1.3494055909601435</v>
      </c>
    </row>
    <row r="34" spans="1:9" ht="13.5" thickTop="1">
      <c r="E34" s="20"/>
    </row>
    <row r="35" spans="1:9">
      <c r="A35" s="28" t="s">
        <v>11</v>
      </c>
      <c r="B35" s="28"/>
      <c r="C35" s="28"/>
      <c r="D35" s="28"/>
      <c r="E35" s="28"/>
      <c r="F35" s="28"/>
      <c r="G35" s="28"/>
      <c r="H35" s="28"/>
      <c r="I35" s="28"/>
    </row>
    <row r="36" spans="1:9">
      <c r="A36" s="2" t="s">
        <v>574</v>
      </c>
    </row>
    <row r="38" spans="1:9" ht="13.5" thickBot="1">
      <c r="A38" s="20">
        <f>A33+1</f>
        <v>13</v>
      </c>
      <c r="C38" s="2" t="s">
        <v>315</v>
      </c>
      <c r="G38" s="173">
        <f>(G23+G29)/G19</f>
        <v>0.25345000000000001</v>
      </c>
      <c r="H38" s="37"/>
      <c r="I38" s="173">
        <f>(I23+I29)/I19</f>
        <v>0.25345000000000001</v>
      </c>
    </row>
    <row r="39" spans="1:9" ht="13.5" thickTop="1">
      <c r="A39" s="20"/>
    </row>
    <row r="40" spans="1:9">
      <c r="A40" s="20">
        <f>A38+1</f>
        <v>14</v>
      </c>
      <c r="C40" s="2" t="s">
        <v>129</v>
      </c>
    </row>
    <row r="41" spans="1:9">
      <c r="C41" s="2" t="s">
        <v>15</v>
      </c>
      <c r="E41" s="27" t="s">
        <v>35</v>
      </c>
      <c r="G41" s="27" t="s">
        <v>34</v>
      </c>
      <c r="H41" s="20"/>
      <c r="I41" s="20"/>
    </row>
    <row r="42" spans="1:9">
      <c r="E42" s="20" t="s">
        <v>26</v>
      </c>
      <c r="G42" s="20" t="s">
        <v>27</v>
      </c>
      <c r="H42" s="20"/>
      <c r="I42" s="20"/>
    </row>
    <row r="43" spans="1:9">
      <c r="A43" s="20">
        <f>A40+1</f>
        <v>15</v>
      </c>
      <c r="C43" s="2" t="s">
        <v>91</v>
      </c>
      <c r="E43" s="37">
        <f>I31</f>
        <v>0.74106703477378466</v>
      </c>
      <c r="G43" s="93">
        <f>$G$50*$E43</f>
        <v>5838442.5355717242</v>
      </c>
      <c r="H43" s="93"/>
      <c r="I43" s="93"/>
    </row>
    <row r="44" spans="1:9">
      <c r="A44" s="20">
        <f>A43+1</f>
        <v>16</v>
      </c>
      <c r="C44" s="2" t="s">
        <v>126</v>
      </c>
      <c r="E44" s="37">
        <f>I29</f>
        <v>0.19699250291455034</v>
      </c>
      <c r="G44" s="93">
        <f>$G$50*$E44</f>
        <v>1551991.0537595721</v>
      </c>
      <c r="H44" s="93"/>
      <c r="I44" s="93"/>
    </row>
    <row r="45" spans="1:9">
      <c r="A45" s="20">
        <f>A44+1</f>
        <v>17</v>
      </c>
      <c r="C45" s="2" t="s">
        <v>127</v>
      </c>
      <c r="E45" s="37">
        <f>I23</f>
        <v>5.4596057749056529E-2</v>
      </c>
      <c r="G45" s="93">
        <f>$G$50*$E45</f>
        <v>430131.05546372617</v>
      </c>
      <c r="H45" s="93"/>
      <c r="I45" s="93"/>
    </row>
    <row r="46" spans="1:9">
      <c r="A46" s="20">
        <f>A45+1</f>
        <v>18</v>
      </c>
      <c r="C46" s="2" t="s">
        <v>132</v>
      </c>
      <c r="E46" s="74">
        <f>I17</f>
        <v>2.314404562608556E-3</v>
      </c>
      <c r="G46" s="93">
        <f>ROUND($G$50*$E46,2)</f>
        <v>18233.87</v>
      </c>
      <c r="H46" s="93"/>
      <c r="I46" s="93"/>
    </row>
    <row r="47" spans="1:9">
      <c r="A47" s="20">
        <f>A46+1</f>
        <v>19</v>
      </c>
      <c r="C47" s="61" t="s">
        <v>217</v>
      </c>
      <c r="E47" s="74">
        <f>I15</f>
        <v>5.0299999999999997E-3</v>
      </c>
      <c r="G47" s="93">
        <f>ROUND($G$50*$E47,2)</f>
        <v>39628.49</v>
      </c>
      <c r="H47" s="93"/>
      <c r="I47" s="93"/>
    </row>
    <row r="48" spans="1:9" ht="13.5" thickBot="1">
      <c r="A48" s="20">
        <f>A47+1</f>
        <v>20</v>
      </c>
      <c r="C48" s="2" t="s">
        <v>92</v>
      </c>
      <c r="E48" s="51">
        <f>SUM(E43:E47)</f>
        <v>1</v>
      </c>
      <c r="G48" s="121">
        <f>SUM(G43:G47)</f>
        <v>7878427.0047950232</v>
      </c>
      <c r="H48" s="93"/>
      <c r="I48" s="93"/>
    </row>
    <row r="49" spans="1:9" ht="13.5" thickTop="1"/>
    <row r="50" spans="1:9">
      <c r="A50" s="20">
        <f>A48+1</f>
        <v>21</v>
      </c>
      <c r="C50" s="2" t="s">
        <v>160</v>
      </c>
      <c r="G50" s="18">
        <f>A!I24</f>
        <v>7878427</v>
      </c>
      <c r="I50" s="91"/>
    </row>
    <row r="51" spans="1:9" ht="13.5" thickBot="1">
      <c r="A51" s="20">
        <f>A50+1</f>
        <v>22</v>
      </c>
      <c r="C51" s="2" t="s">
        <v>63</v>
      </c>
      <c r="G51" s="113">
        <f>G48-G50</f>
        <v>4.7950232401490211E-3</v>
      </c>
      <c r="H51" s="94"/>
      <c r="I51" s="171"/>
    </row>
    <row r="52" spans="1:9" ht="13.5" thickTop="1"/>
    <row r="58" spans="1:9" hidden="1">
      <c r="C58" s="2">
        <v>1</v>
      </c>
    </row>
    <row r="59" spans="1:9" hidden="1"/>
    <row r="60" spans="1:9" hidden="1"/>
    <row r="61" spans="1:9" hidden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I40"/>
  <sheetViews>
    <sheetView zoomScaleNormal="100" zoomScaleSheetLayoutView="90" workbookViewId="0">
      <selection activeCell="H5" sqref="H5"/>
    </sheetView>
  </sheetViews>
  <sheetFormatPr defaultRowHeight="12.75"/>
  <cols>
    <col min="1" max="1" width="6.85546875" style="2" customWidth="1"/>
    <col min="2" max="2" width="1" style="2" customWidth="1"/>
    <col min="3" max="3" width="48.7109375" style="2" customWidth="1"/>
    <col min="4" max="4" width="0.85546875" style="2" customWidth="1"/>
    <col min="5" max="5" width="14.7109375" style="2" customWidth="1"/>
    <col min="6" max="6" width="0.7109375" style="2" customWidth="1"/>
    <col min="7" max="7" width="13.140625" style="2" bestFit="1" customWidth="1"/>
    <col min="8" max="8" width="0.7109375" style="2" customWidth="1"/>
    <col min="9" max="9" width="15.28515625" style="2" customWidth="1"/>
    <col min="10" max="10" width="9.140625" style="2"/>
    <col min="11" max="11" width="10.7109375" style="2" bestFit="1" customWidth="1"/>
    <col min="12" max="16384" width="9.140625" style="2"/>
  </cols>
  <sheetData>
    <row r="1" spans="1:9">
      <c r="A1" s="2" t="str">
        <f>A!$A$1</f>
        <v>Florida Public Utilities Company Consolidated Gas</v>
      </c>
      <c r="D1" s="20"/>
      <c r="H1" s="20"/>
      <c r="I1" s="33" t="str">
        <f>Contents!A2</f>
        <v>Docket No. 20220067-GU</v>
      </c>
    </row>
    <row r="2" spans="1:9">
      <c r="A2" s="2" t="s">
        <v>12</v>
      </c>
      <c r="D2" s="20"/>
      <c r="H2" s="20"/>
      <c r="I2" s="33" t="str">
        <f>A!K2</f>
        <v>Exhibit RCS-2R</v>
      </c>
    </row>
    <row r="3" spans="1:9">
      <c r="D3" s="20"/>
      <c r="H3" s="20"/>
      <c r="I3" s="33" t="s">
        <v>16</v>
      </c>
    </row>
    <row r="4" spans="1:9">
      <c r="A4" s="23" t="str">
        <f>A!$A$4</f>
        <v>Projected Test Year Ended December 31, 2023</v>
      </c>
      <c r="D4" s="20"/>
      <c r="H4" s="20"/>
      <c r="I4" s="33" t="s">
        <v>39</v>
      </c>
    </row>
    <row r="5" spans="1:9">
      <c r="I5" s="33" t="s">
        <v>102</v>
      </c>
    </row>
    <row r="8" spans="1:9">
      <c r="A8" s="2" t="s">
        <v>0</v>
      </c>
      <c r="E8" s="20"/>
      <c r="F8" s="20"/>
      <c r="G8" s="20" t="s">
        <v>167</v>
      </c>
      <c r="H8" s="20"/>
      <c r="I8" s="20" t="s">
        <v>13</v>
      </c>
    </row>
    <row r="9" spans="1:9">
      <c r="A9" s="28" t="s">
        <v>1</v>
      </c>
      <c r="C9" s="28" t="s">
        <v>2</v>
      </c>
      <c r="E9" s="27" t="s">
        <v>266</v>
      </c>
      <c r="F9" s="20"/>
      <c r="G9" s="27" t="s">
        <v>14</v>
      </c>
      <c r="H9" s="20"/>
      <c r="I9" s="27" t="s">
        <v>211</v>
      </c>
    </row>
    <row r="10" spans="1:9">
      <c r="E10" s="20" t="s">
        <v>9</v>
      </c>
      <c r="F10" s="20"/>
      <c r="G10" s="20" t="s">
        <v>10</v>
      </c>
      <c r="H10" s="20"/>
      <c r="I10" s="20" t="s">
        <v>26</v>
      </c>
    </row>
    <row r="11" spans="1:9">
      <c r="E11" s="20"/>
      <c r="F11" s="20"/>
      <c r="G11" s="20"/>
      <c r="H11" s="20"/>
      <c r="I11" s="20"/>
    </row>
    <row r="12" spans="1:9">
      <c r="C12" s="124" t="s">
        <v>246</v>
      </c>
    </row>
    <row r="13" spans="1:9">
      <c r="A13" s="44">
        <v>1</v>
      </c>
      <c r="B13" s="43"/>
      <c r="C13" s="43" t="s">
        <v>213</v>
      </c>
      <c r="E13" s="18">
        <v>553254413.45808661</v>
      </c>
      <c r="F13" s="18"/>
      <c r="G13" s="18">
        <f>B.1!E11</f>
        <v>-85839</v>
      </c>
      <c r="H13" s="77"/>
      <c r="I13" s="18">
        <f>E13+G13</f>
        <v>553168574.45808661</v>
      </c>
    </row>
    <row r="14" spans="1:9">
      <c r="A14" s="44">
        <f>A13+1</f>
        <v>2</v>
      </c>
      <c r="B14" s="43"/>
      <c r="C14" s="43" t="s">
        <v>240</v>
      </c>
      <c r="E14" s="18">
        <v>8688278.171015</v>
      </c>
      <c r="F14" s="18"/>
      <c r="G14" s="18">
        <f>B.1!E12</f>
        <v>0</v>
      </c>
      <c r="H14" s="77"/>
      <c r="I14" s="18">
        <f t="shared" ref="I14:I19" si="0">E14+G14</f>
        <v>8688278.171015</v>
      </c>
    </row>
    <row r="15" spans="1:9">
      <c r="A15" s="44">
        <f t="shared" ref="A15:A20" si="1">A14+1</f>
        <v>3</v>
      </c>
      <c r="B15" s="43"/>
      <c r="C15" s="43" t="s">
        <v>241</v>
      </c>
      <c r="E15" s="18">
        <v>36202069</v>
      </c>
      <c r="F15" s="18"/>
      <c r="G15" s="18">
        <f>B.1!E13</f>
        <v>-34192493</v>
      </c>
      <c r="H15" s="77"/>
      <c r="I15" s="18">
        <f t="shared" si="0"/>
        <v>2009576</v>
      </c>
    </row>
    <row r="16" spans="1:9">
      <c r="A16" s="44">
        <f t="shared" si="1"/>
        <v>4</v>
      </c>
      <c r="B16" s="43"/>
      <c r="C16" s="43" t="s">
        <v>242</v>
      </c>
      <c r="E16" s="18">
        <v>0</v>
      </c>
      <c r="F16" s="18"/>
      <c r="G16" s="18">
        <f>B.1!E14</f>
        <v>0</v>
      </c>
      <c r="H16" s="77"/>
      <c r="I16" s="18">
        <f t="shared" si="0"/>
        <v>0</v>
      </c>
    </row>
    <row r="17" spans="1:9">
      <c r="A17" s="44">
        <f t="shared" si="1"/>
        <v>5</v>
      </c>
      <c r="B17" s="43"/>
      <c r="C17" s="43" t="s">
        <v>243</v>
      </c>
      <c r="E17" s="18">
        <v>7130484.2869230611</v>
      </c>
      <c r="F17" s="18"/>
      <c r="G17" s="18">
        <f>B.1!E15</f>
        <v>0</v>
      </c>
      <c r="H17" s="77"/>
      <c r="I17" s="18">
        <f t="shared" si="0"/>
        <v>7130484.2869230611</v>
      </c>
    </row>
    <row r="18" spans="1:9">
      <c r="A18" s="44">
        <f t="shared" si="1"/>
        <v>6</v>
      </c>
      <c r="B18" s="43"/>
      <c r="C18" s="43" t="s">
        <v>244</v>
      </c>
      <c r="E18" s="18">
        <v>0</v>
      </c>
      <c r="F18" s="18"/>
      <c r="G18" s="18">
        <f>B.1!E16</f>
        <v>0</v>
      </c>
      <c r="H18" s="77"/>
      <c r="I18" s="18">
        <f t="shared" si="0"/>
        <v>0</v>
      </c>
    </row>
    <row r="19" spans="1:9">
      <c r="A19" s="44">
        <f t="shared" si="1"/>
        <v>7</v>
      </c>
      <c r="B19" s="43"/>
      <c r="C19" s="43" t="s">
        <v>245</v>
      </c>
      <c r="E19" s="18">
        <v>0</v>
      </c>
      <c r="F19" s="18"/>
      <c r="G19" s="18">
        <f>B.1!E17</f>
        <v>0</v>
      </c>
      <c r="H19" s="77"/>
      <c r="I19" s="18">
        <f t="shared" si="0"/>
        <v>0</v>
      </c>
    </row>
    <row r="20" spans="1:9">
      <c r="A20" s="44">
        <f t="shared" si="1"/>
        <v>8</v>
      </c>
      <c r="B20" s="43"/>
      <c r="C20" s="145" t="s">
        <v>33</v>
      </c>
      <c r="E20" s="112">
        <f>SUM(E13:E19)</f>
        <v>605275244.91602468</v>
      </c>
      <c r="F20" s="18"/>
      <c r="G20" s="112">
        <f>SUM(G13:G19)</f>
        <v>-34278332</v>
      </c>
      <c r="H20" s="77"/>
      <c r="I20" s="112">
        <f>SUM(I13:I19)</f>
        <v>570996912.91602468</v>
      </c>
    </row>
    <row r="21" spans="1:9">
      <c r="A21" s="44"/>
      <c r="B21" s="43"/>
      <c r="C21" s="43"/>
      <c r="E21" s="18"/>
      <c r="F21" s="18"/>
      <c r="G21" s="18"/>
      <c r="H21" s="77"/>
      <c r="I21" s="18"/>
    </row>
    <row r="22" spans="1:9">
      <c r="A22" s="44"/>
      <c r="B22" s="43"/>
      <c r="C22" s="144" t="s">
        <v>247</v>
      </c>
      <c r="E22" s="18"/>
      <c r="F22" s="18"/>
      <c r="G22" s="18"/>
      <c r="H22" s="77"/>
      <c r="I22" s="18"/>
    </row>
    <row r="23" spans="1:9">
      <c r="A23" s="44">
        <f>A20+1</f>
        <v>9</v>
      </c>
      <c r="B23" s="43"/>
      <c r="C23" s="43" t="s">
        <v>248</v>
      </c>
      <c r="E23" s="30">
        <v>-134992960.38022175</v>
      </c>
      <c r="F23" s="30"/>
      <c r="G23" s="30">
        <f>B.1!E21</f>
        <v>784679.54287004494</v>
      </c>
      <c r="H23" s="99"/>
      <c r="I23" s="30">
        <f>E23+G23</f>
        <v>-134208280.83735171</v>
      </c>
    </row>
    <row r="24" spans="1:9">
      <c r="A24" s="44">
        <f>A23+1</f>
        <v>10</v>
      </c>
      <c r="B24" s="43"/>
      <c r="C24" s="43" t="s">
        <v>249</v>
      </c>
      <c r="E24" s="30">
        <v>-2966034.8613056936</v>
      </c>
      <c r="F24" s="18"/>
      <c r="G24" s="30">
        <f>B.1!E22</f>
        <v>0</v>
      </c>
      <c r="H24" s="77"/>
      <c r="I24" s="30">
        <f t="shared" ref="I24:I27" si="2">E24+G24</f>
        <v>-2966034.8613056936</v>
      </c>
    </row>
    <row r="25" spans="1:9">
      <c r="A25" s="44">
        <f t="shared" ref="A25:A28" si="3">A24+1</f>
        <v>11</v>
      </c>
      <c r="B25" s="43"/>
      <c r="C25" s="43" t="s">
        <v>250</v>
      </c>
      <c r="E25" s="30">
        <v>-17118275.190000065</v>
      </c>
      <c r="F25" s="18"/>
      <c r="G25" s="30">
        <f>B.1!E23</f>
        <v>15576577.100000013</v>
      </c>
      <c r="H25" s="77"/>
      <c r="I25" s="30">
        <f t="shared" si="2"/>
        <v>-1541698.090000052</v>
      </c>
    </row>
    <row r="26" spans="1:9">
      <c r="A26" s="44">
        <f t="shared" si="3"/>
        <v>12</v>
      </c>
      <c r="B26" s="43"/>
      <c r="C26" s="43" t="s">
        <v>251</v>
      </c>
      <c r="E26" s="30">
        <v>0</v>
      </c>
      <c r="F26" s="18"/>
      <c r="G26" s="30">
        <f>B.1!E24</f>
        <v>0</v>
      </c>
      <c r="H26" s="77"/>
      <c r="I26" s="30">
        <f t="shared" si="2"/>
        <v>0</v>
      </c>
    </row>
    <row r="27" spans="1:9">
      <c r="A27" s="44">
        <f t="shared" si="3"/>
        <v>13</v>
      </c>
      <c r="B27" s="43"/>
      <c r="C27" s="43" t="s">
        <v>252</v>
      </c>
      <c r="E27" s="30">
        <v>-695131</v>
      </c>
      <c r="F27" s="18"/>
      <c r="G27" s="30">
        <f>B.1!E25</f>
        <v>0</v>
      </c>
      <c r="H27" s="77"/>
      <c r="I27" s="30">
        <f t="shared" si="2"/>
        <v>-695131</v>
      </c>
    </row>
    <row r="28" spans="1:9">
      <c r="A28" s="44">
        <f t="shared" si="3"/>
        <v>14</v>
      </c>
      <c r="B28" s="43"/>
      <c r="C28" s="145" t="s">
        <v>253</v>
      </c>
      <c r="E28" s="112">
        <f>SUM(E23:E27)</f>
        <v>-155772401.4315275</v>
      </c>
      <c r="F28" s="18"/>
      <c r="G28" s="112">
        <f>SUM(G23:G27)</f>
        <v>16361256.642870057</v>
      </c>
      <c r="H28" s="77"/>
      <c r="I28" s="112">
        <f>SUM(I23:I27)</f>
        <v>-139411144.78865746</v>
      </c>
    </row>
    <row r="29" spans="1:9">
      <c r="A29" s="44"/>
      <c r="B29" s="43"/>
      <c r="C29" s="43"/>
      <c r="E29" s="30"/>
      <c r="F29" s="18"/>
      <c r="G29" s="30"/>
      <c r="H29" s="77"/>
      <c r="I29" s="30"/>
    </row>
    <row r="30" spans="1:9">
      <c r="A30" s="44">
        <f>A28+1</f>
        <v>15</v>
      </c>
      <c r="B30" s="43"/>
      <c r="C30" s="43" t="s">
        <v>254</v>
      </c>
      <c r="E30" s="112">
        <f>E20+E28</f>
        <v>449502843.48449719</v>
      </c>
      <c r="F30" s="18"/>
      <c r="G30" s="112">
        <f>G20+G28</f>
        <v>-17917075.357129943</v>
      </c>
      <c r="H30" s="77"/>
      <c r="I30" s="112">
        <f>I20+I28</f>
        <v>431585768.12736726</v>
      </c>
    </row>
    <row r="31" spans="1:9">
      <c r="A31" s="44"/>
      <c r="B31" s="43"/>
      <c r="C31" s="43"/>
      <c r="E31" s="18"/>
      <c r="F31" s="18"/>
      <c r="G31" s="18"/>
      <c r="H31" s="77"/>
      <c r="I31" s="18"/>
    </row>
    <row r="32" spans="1:9">
      <c r="A32" s="44"/>
      <c r="B32" s="43"/>
      <c r="C32" s="144" t="s">
        <v>255</v>
      </c>
      <c r="E32" s="18"/>
      <c r="F32" s="18"/>
      <c r="G32" s="18"/>
      <c r="H32" s="77"/>
      <c r="I32" s="18"/>
    </row>
    <row r="33" spans="1:9">
      <c r="A33" s="44">
        <f>A30+1</f>
        <v>16</v>
      </c>
      <c r="B33" s="43"/>
      <c r="C33" s="2" t="s">
        <v>256</v>
      </c>
      <c r="E33" s="18">
        <v>-469046.30424657464</v>
      </c>
      <c r="F33" s="18"/>
      <c r="G33" s="30">
        <f>B.1!E31</f>
        <v>0</v>
      </c>
      <c r="H33" s="77"/>
      <c r="I33" s="18">
        <f>E33+G33</f>
        <v>-469046.30424657464</v>
      </c>
    </row>
    <row r="34" spans="1:9">
      <c r="A34" s="44">
        <f>A33+1</f>
        <v>17</v>
      </c>
      <c r="B34" s="43"/>
      <c r="C34" s="2" t="s">
        <v>257</v>
      </c>
      <c r="E34" s="31">
        <v>5853357.111150492</v>
      </c>
      <c r="F34" s="18"/>
      <c r="G34" s="31">
        <f>B.1!E32</f>
        <v>-1890004.5</v>
      </c>
      <c r="H34" s="77"/>
      <c r="I34" s="31">
        <f t="shared" ref="I34" si="4">E34+G34</f>
        <v>3963352.611150492</v>
      </c>
    </row>
    <row r="35" spans="1:9">
      <c r="A35" s="57"/>
      <c r="B35" s="43"/>
      <c r="C35" s="43" t="s">
        <v>15</v>
      </c>
      <c r="E35" s="30"/>
      <c r="F35" s="30"/>
      <c r="G35" s="30"/>
      <c r="H35" s="99"/>
      <c r="I35" s="30"/>
    </row>
    <row r="36" spans="1:9" ht="13.5" thickBot="1">
      <c r="A36" s="44">
        <f>A34+1</f>
        <v>18</v>
      </c>
      <c r="B36" s="43"/>
      <c r="C36" s="56" t="s">
        <v>115</v>
      </c>
      <c r="E36" s="29">
        <f>E30+E33+E34</f>
        <v>454887154.29140115</v>
      </c>
      <c r="F36" s="18"/>
      <c r="G36" s="29">
        <f>G30+G33+G34</f>
        <v>-19807079.857129943</v>
      </c>
      <c r="H36" s="77"/>
      <c r="I36" s="29">
        <f>I30+I33+I34</f>
        <v>435080074.43427122</v>
      </c>
    </row>
    <row r="37" spans="1:9" ht="13.5" thickTop="1">
      <c r="E37" s="18"/>
      <c r="F37" s="18"/>
      <c r="G37" s="18"/>
      <c r="H37" s="18"/>
      <c r="I37" s="18"/>
    </row>
    <row r="38" spans="1:9">
      <c r="A38" s="28" t="s">
        <v>11</v>
      </c>
      <c r="B38" s="28"/>
      <c r="C38" s="28"/>
      <c r="D38" s="28"/>
      <c r="E38" s="31"/>
      <c r="F38" s="31"/>
      <c r="G38" s="31"/>
      <c r="H38" s="31"/>
      <c r="I38" s="31"/>
    </row>
    <row r="39" spans="1:9">
      <c r="A39" s="2" t="s">
        <v>258</v>
      </c>
      <c r="E39" s="18"/>
      <c r="F39" s="18"/>
      <c r="G39" s="18"/>
      <c r="H39" s="18"/>
      <c r="I39" s="18"/>
    </row>
    <row r="40" spans="1:9">
      <c r="A40" s="2" t="s">
        <v>597</v>
      </c>
      <c r="B40" s="2" t="s">
        <v>130</v>
      </c>
      <c r="C40" s="23" t="s">
        <v>598</v>
      </c>
      <c r="E40" s="18"/>
      <c r="F40" s="18"/>
      <c r="G40" s="18"/>
      <c r="H40" s="18"/>
      <c r="I40" s="18"/>
    </row>
  </sheetData>
  <pageMargins left="0.7" right="0.7" top="0.75" bottom="0.44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S35"/>
  <sheetViews>
    <sheetView zoomScaleNormal="100" zoomScaleSheetLayoutView="80" workbookViewId="0">
      <selection activeCell="H5" sqref="H5"/>
    </sheetView>
  </sheetViews>
  <sheetFormatPr defaultRowHeight="12.75"/>
  <cols>
    <col min="1" max="1" width="4.42578125" style="2" customWidth="1"/>
    <col min="2" max="2" width="0.7109375" style="2" customWidth="1"/>
    <col min="3" max="3" width="42.7109375" style="2" bestFit="1" customWidth="1"/>
    <col min="4" max="4" width="0.7109375" style="2" customWidth="1"/>
    <col min="5" max="5" width="16" style="2" customWidth="1"/>
    <col min="6" max="6" width="1.28515625" style="2" customWidth="1"/>
    <col min="7" max="7" width="13.28515625" style="2" customWidth="1"/>
    <col min="8" max="8" width="13.7109375" style="2" customWidth="1"/>
    <col min="9" max="11" width="12.85546875" style="2" customWidth="1"/>
    <col min="12" max="12" width="13.28515625" style="2" customWidth="1"/>
    <col min="13" max="13" width="14.42578125" style="2" hidden="1" customWidth="1"/>
    <col min="14" max="14" width="11.85546875" style="2" hidden="1" customWidth="1"/>
    <col min="15" max="16" width="11.42578125" style="2" hidden="1" customWidth="1"/>
    <col min="17" max="17" width="1.140625" style="2" hidden="1" customWidth="1"/>
    <col min="18" max="18" width="12.42578125" style="2" hidden="1" customWidth="1"/>
    <col min="19" max="19" width="12.85546875" style="2" customWidth="1"/>
    <col min="20" max="16384" width="9.140625" style="2"/>
  </cols>
  <sheetData>
    <row r="1" spans="1:19">
      <c r="A1" s="2" t="str">
        <f>A!$A$1</f>
        <v>Florida Public Utilities Company Consolidated Gas</v>
      </c>
      <c r="G1" s="46"/>
      <c r="H1" s="46"/>
      <c r="I1" s="46"/>
      <c r="J1" s="46"/>
      <c r="K1" s="46"/>
      <c r="L1" s="33" t="str">
        <f>Contents!A2</f>
        <v>Docket No. 20220067-GU</v>
      </c>
      <c r="N1" s="33"/>
      <c r="P1" s="33"/>
      <c r="R1" s="33"/>
      <c r="S1" s="33"/>
    </row>
    <row r="2" spans="1:19">
      <c r="A2" s="2" t="s">
        <v>56</v>
      </c>
      <c r="L2" s="33" t="str">
        <f>Contents!A3</f>
        <v>Exhibit RCS-2R</v>
      </c>
      <c r="N2" s="33"/>
      <c r="P2" s="33"/>
      <c r="R2" s="33"/>
      <c r="S2" s="33"/>
    </row>
    <row r="3" spans="1:19">
      <c r="L3" s="33" t="s">
        <v>107</v>
      </c>
      <c r="N3" s="33"/>
      <c r="P3" s="33"/>
      <c r="R3" s="33"/>
      <c r="S3" s="33"/>
    </row>
    <row r="4" spans="1:19">
      <c r="A4" s="23" t="str">
        <f>A!$A$4</f>
        <v>Projected Test Year Ended December 31, 2023</v>
      </c>
      <c r="L4" s="33" t="s">
        <v>39</v>
      </c>
      <c r="R4" s="33"/>
    </row>
    <row r="5" spans="1:19">
      <c r="L5" s="33" t="s">
        <v>102</v>
      </c>
      <c r="M5" s="20"/>
    </row>
    <row r="6" spans="1:19">
      <c r="E6" s="20"/>
      <c r="L6" s="20"/>
      <c r="M6" s="20"/>
    </row>
    <row r="7" spans="1:19" ht="70.5" customHeight="1">
      <c r="A7" s="54" t="s">
        <v>94</v>
      </c>
      <c r="C7" s="28" t="s">
        <v>2</v>
      </c>
      <c r="E7" s="54" t="s">
        <v>212</v>
      </c>
      <c r="G7" s="54" t="str">
        <f>Contents!$B$19</f>
        <v>Miscellaneous Intangible Plant</v>
      </c>
      <c r="H7" s="54" t="str">
        <f>Contents!$B$20</f>
        <v>Directors and Officers Liability Insurance Expense in Working Capital</v>
      </c>
      <c r="I7" s="54" t="str">
        <f>Contents!$B$21</f>
        <v>Accumulated Depreciation - New Depreciation Rates</v>
      </c>
      <c r="J7" s="54" t="str">
        <f>Contents!$B$22</f>
        <v xml:space="preserve">Unamortized Rate Case Expense </v>
      </c>
      <c r="K7" s="54" t="str">
        <f>Contents!B23</f>
        <v>Accumulated Depreciation - Area Expansion Program</v>
      </c>
      <c r="L7" s="54" t="str">
        <f>Contents!$B$24</f>
        <v>FPUC Merger Acquisition Adjustment</v>
      </c>
      <c r="M7" s="54">
        <f>Contents!$B$25</f>
        <v>0</v>
      </c>
      <c r="N7" s="120">
        <f>Contents!B26</f>
        <v>0</v>
      </c>
      <c r="O7" s="54">
        <f>Contents!B27</f>
        <v>0</v>
      </c>
      <c r="P7" s="54">
        <f>Contents!B28</f>
        <v>0</v>
      </c>
      <c r="Q7" s="54">
        <f>Contents!B29</f>
        <v>0</v>
      </c>
      <c r="R7" s="54">
        <f>Contents!B30</f>
        <v>0</v>
      </c>
      <c r="S7" s="97"/>
    </row>
    <row r="8" spans="1:19">
      <c r="E8" s="20"/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0" t="s">
        <v>23</v>
      </c>
      <c r="M8" s="20"/>
      <c r="N8" s="20"/>
      <c r="O8" s="20"/>
      <c r="P8" s="20"/>
      <c r="Q8" s="20"/>
      <c r="R8" s="20"/>
      <c r="S8" s="20"/>
    </row>
    <row r="9" spans="1:19">
      <c r="E9" s="20"/>
      <c r="G9" s="72"/>
      <c r="H9" s="72"/>
      <c r="I9" s="72"/>
      <c r="J9" s="72"/>
      <c r="K9" s="72"/>
      <c r="L9" s="72"/>
      <c r="M9" s="72"/>
      <c r="N9" s="72"/>
    </row>
    <row r="10" spans="1:19">
      <c r="C10" s="124" t="s">
        <v>246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>
      <c r="A11" s="44">
        <v>1</v>
      </c>
      <c r="B11" s="43"/>
      <c r="C11" s="43" t="s">
        <v>213</v>
      </c>
      <c r="E11" s="18">
        <f>SUM(G11:R11)</f>
        <v>-85839</v>
      </c>
      <c r="G11" s="18">
        <f>'B-1'!E11</f>
        <v>-85839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9">
      <c r="A12" s="44">
        <f>A11+1</f>
        <v>2</v>
      </c>
      <c r="B12" s="43"/>
      <c r="C12" s="43" t="s">
        <v>240</v>
      </c>
      <c r="E12" s="18">
        <f t="shared" ref="E12:E17" si="0">SUM(G12:R12)</f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9">
      <c r="A13" s="44">
        <f t="shared" ref="A13:A18" si="1">A12+1</f>
        <v>3</v>
      </c>
      <c r="B13" s="43"/>
      <c r="C13" s="43" t="s">
        <v>241</v>
      </c>
      <c r="E13" s="18">
        <f t="shared" si="0"/>
        <v>-34192493</v>
      </c>
      <c r="G13" s="18"/>
      <c r="H13" s="18"/>
      <c r="I13" s="18"/>
      <c r="J13" s="18"/>
      <c r="K13" s="18"/>
      <c r="L13" s="18">
        <f>'B-6'!E10</f>
        <v>-34192493</v>
      </c>
      <c r="M13" s="18"/>
      <c r="N13" s="18"/>
      <c r="O13" s="18"/>
      <c r="P13" s="18"/>
      <c r="Q13" s="18"/>
      <c r="R13" s="18"/>
      <c r="S13" s="30"/>
    </row>
    <row r="14" spans="1:19">
      <c r="A14" s="44">
        <f t="shared" si="1"/>
        <v>4</v>
      </c>
      <c r="B14" s="43"/>
      <c r="C14" s="43" t="s">
        <v>242</v>
      </c>
      <c r="E14" s="18">
        <f t="shared" si="0"/>
        <v>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9">
      <c r="A15" s="44">
        <f t="shared" si="1"/>
        <v>5</v>
      </c>
      <c r="B15" s="43"/>
      <c r="C15" s="43" t="s">
        <v>243</v>
      </c>
      <c r="E15" s="18">
        <f t="shared" si="0"/>
        <v>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30"/>
    </row>
    <row r="16" spans="1:19">
      <c r="A16" s="44">
        <f t="shared" si="1"/>
        <v>6</v>
      </c>
      <c r="B16" s="43"/>
      <c r="C16" s="43" t="s">
        <v>244</v>
      </c>
      <c r="E16" s="18">
        <f t="shared" si="0"/>
        <v>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9">
      <c r="A17" s="44">
        <f t="shared" si="1"/>
        <v>7</v>
      </c>
      <c r="B17" s="43"/>
      <c r="C17" s="43" t="s">
        <v>245</v>
      </c>
      <c r="E17" s="18">
        <f t="shared" si="0"/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9">
      <c r="A18" s="44">
        <f t="shared" si="1"/>
        <v>8</v>
      </c>
      <c r="B18" s="43"/>
      <c r="C18" s="145" t="s">
        <v>33</v>
      </c>
      <c r="E18" s="112">
        <f>SUM(E11:E17)</f>
        <v>-34278332</v>
      </c>
      <c r="G18" s="112">
        <f>SUM(G11:G17)</f>
        <v>-85839</v>
      </c>
      <c r="H18" s="112">
        <f t="shared" ref="H18:R18" si="2">SUM(H11:H17)</f>
        <v>0</v>
      </c>
      <c r="I18" s="112">
        <f t="shared" si="2"/>
        <v>0</v>
      </c>
      <c r="J18" s="112">
        <f t="shared" si="2"/>
        <v>0</v>
      </c>
      <c r="K18" s="112">
        <f t="shared" si="2"/>
        <v>0</v>
      </c>
      <c r="L18" s="112">
        <f t="shared" si="2"/>
        <v>-34192493</v>
      </c>
      <c r="M18" s="112">
        <f t="shared" si="2"/>
        <v>0</v>
      </c>
      <c r="N18" s="112">
        <f t="shared" si="2"/>
        <v>0</v>
      </c>
      <c r="O18" s="112">
        <f t="shared" si="2"/>
        <v>0</v>
      </c>
      <c r="P18" s="112">
        <f t="shared" si="2"/>
        <v>0</v>
      </c>
      <c r="Q18" s="112">
        <f t="shared" si="2"/>
        <v>0</v>
      </c>
      <c r="R18" s="112">
        <f t="shared" si="2"/>
        <v>0</v>
      </c>
      <c r="S18" s="30"/>
    </row>
    <row r="19" spans="1:19">
      <c r="A19" s="44"/>
      <c r="B19" s="43"/>
      <c r="C19" s="43"/>
      <c r="E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9">
      <c r="A20" s="44"/>
      <c r="B20" s="43"/>
      <c r="C20" s="144" t="s">
        <v>247</v>
      </c>
      <c r="E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30"/>
    </row>
    <row r="21" spans="1:19">
      <c r="A21" s="44">
        <f>A18+1</f>
        <v>9</v>
      </c>
      <c r="B21" s="43"/>
      <c r="C21" s="43" t="s">
        <v>248</v>
      </c>
      <c r="E21" s="18">
        <f>SUM(G21:R21)</f>
        <v>784679.54287004494</v>
      </c>
      <c r="G21" s="18"/>
      <c r="H21" s="18"/>
      <c r="I21" s="18">
        <f>'B-3'!E11</f>
        <v>870377.54287004494</v>
      </c>
      <c r="J21" s="18"/>
      <c r="K21" s="18">
        <f>'B-5'!E10</f>
        <v>-85698</v>
      </c>
      <c r="L21" s="18"/>
      <c r="M21" s="18"/>
      <c r="N21" s="18"/>
      <c r="O21" s="18"/>
      <c r="P21" s="18"/>
      <c r="Q21" s="18"/>
      <c r="R21" s="18"/>
      <c r="S21" s="30"/>
    </row>
    <row r="22" spans="1:19">
      <c r="A22" s="44">
        <f>A21+1</f>
        <v>10</v>
      </c>
      <c r="B22" s="43"/>
      <c r="C22" s="43" t="s">
        <v>249</v>
      </c>
      <c r="E22" s="18">
        <f t="shared" ref="E22:E25" si="3">SUM(G22:R22)</f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9">
      <c r="A23" s="44">
        <f t="shared" ref="A23:A26" si="4">A22+1</f>
        <v>11</v>
      </c>
      <c r="B23" s="43"/>
      <c r="C23" s="43" t="s">
        <v>250</v>
      </c>
      <c r="E23" s="18">
        <f t="shared" si="3"/>
        <v>15576577.100000013</v>
      </c>
      <c r="G23" s="18"/>
      <c r="H23" s="18"/>
      <c r="I23" s="18"/>
      <c r="J23" s="18"/>
      <c r="K23" s="18"/>
      <c r="L23" s="18">
        <f>'B-6'!E12</f>
        <v>15576577.100000013</v>
      </c>
      <c r="M23" s="18"/>
      <c r="N23" s="18"/>
      <c r="O23" s="18"/>
      <c r="P23" s="18"/>
      <c r="Q23" s="18"/>
      <c r="R23" s="18"/>
      <c r="S23" s="16"/>
    </row>
    <row r="24" spans="1:19">
      <c r="A24" s="44">
        <f t="shared" si="4"/>
        <v>12</v>
      </c>
      <c r="B24" s="43"/>
      <c r="C24" s="43" t="s">
        <v>251</v>
      </c>
      <c r="E24" s="18">
        <f t="shared" si="3"/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9">
      <c r="A25" s="44">
        <f t="shared" si="4"/>
        <v>13</v>
      </c>
      <c r="B25" s="43"/>
      <c r="C25" s="43" t="s">
        <v>252</v>
      </c>
      <c r="E25" s="18">
        <f t="shared" si="3"/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9">
      <c r="A26" s="44">
        <f t="shared" si="4"/>
        <v>14</v>
      </c>
      <c r="B26" s="43"/>
      <c r="C26" s="145" t="s">
        <v>253</v>
      </c>
      <c r="E26" s="112">
        <f>SUM(E21:E25)</f>
        <v>16361256.642870057</v>
      </c>
      <c r="G26" s="112">
        <f>SUM(G21:G25)</f>
        <v>0</v>
      </c>
      <c r="H26" s="112">
        <f t="shared" ref="H26:R26" si="5">SUM(H21:H25)</f>
        <v>0</v>
      </c>
      <c r="I26" s="112">
        <f t="shared" si="5"/>
        <v>870377.54287004494</v>
      </c>
      <c r="J26" s="112">
        <f t="shared" si="5"/>
        <v>0</v>
      </c>
      <c r="K26" s="112">
        <f t="shared" si="5"/>
        <v>-85698</v>
      </c>
      <c r="L26" s="112">
        <f t="shared" si="5"/>
        <v>15576577.100000013</v>
      </c>
      <c r="M26" s="112">
        <f t="shared" si="5"/>
        <v>0</v>
      </c>
      <c r="N26" s="112">
        <f t="shared" si="5"/>
        <v>0</v>
      </c>
      <c r="O26" s="112">
        <f t="shared" si="5"/>
        <v>0</v>
      </c>
      <c r="P26" s="112">
        <f t="shared" si="5"/>
        <v>0</v>
      </c>
      <c r="Q26" s="112">
        <f t="shared" si="5"/>
        <v>0</v>
      </c>
      <c r="R26" s="112">
        <f t="shared" si="5"/>
        <v>0</v>
      </c>
    </row>
    <row r="27" spans="1:19">
      <c r="A27" s="44"/>
      <c r="B27" s="43"/>
      <c r="C27" s="43"/>
      <c r="E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9">
      <c r="A28" s="44">
        <f>A26+1</f>
        <v>15</v>
      </c>
      <c r="B28" s="43"/>
      <c r="C28" s="43" t="s">
        <v>254</v>
      </c>
      <c r="E28" s="112">
        <f>E18+E26</f>
        <v>-17917075.357129943</v>
      </c>
      <c r="G28" s="112">
        <f>G18+G26</f>
        <v>-85839</v>
      </c>
      <c r="H28" s="112">
        <f t="shared" ref="H28:R28" si="6">H18+H26</f>
        <v>0</v>
      </c>
      <c r="I28" s="112">
        <f t="shared" si="6"/>
        <v>870377.54287004494</v>
      </c>
      <c r="J28" s="112">
        <f t="shared" si="6"/>
        <v>0</v>
      </c>
      <c r="K28" s="112">
        <f t="shared" si="6"/>
        <v>-85698</v>
      </c>
      <c r="L28" s="112">
        <f t="shared" si="6"/>
        <v>-18615915.899999987</v>
      </c>
      <c r="M28" s="112">
        <f t="shared" si="6"/>
        <v>0</v>
      </c>
      <c r="N28" s="112">
        <f t="shared" si="6"/>
        <v>0</v>
      </c>
      <c r="O28" s="112">
        <f t="shared" si="6"/>
        <v>0</v>
      </c>
      <c r="P28" s="112">
        <f t="shared" si="6"/>
        <v>0</v>
      </c>
      <c r="Q28" s="112">
        <f t="shared" si="6"/>
        <v>0</v>
      </c>
      <c r="R28" s="112">
        <f t="shared" si="6"/>
        <v>0</v>
      </c>
    </row>
    <row r="29" spans="1:19">
      <c r="A29" s="44"/>
      <c r="B29" s="43"/>
      <c r="C29" s="43"/>
      <c r="E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9">
      <c r="A30" s="44"/>
      <c r="B30" s="43"/>
      <c r="C30" s="144" t="s">
        <v>255</v>
      </c>
      <c r="E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9">
      <c r="A31" s="44">
        <f>A28+1</f>
        <v>16</v>
      </c>
      <c r="B31" s="43"/>
      <c r="C31" s="2" t="s">
        <v>256</v>
      </c>
      <c r="E31" s="18">
        <f>SUM(G31:R31)</f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9">
      <c r="A32" s="44">
        <f>A31+1</f>
        <v>17</v>
      </c>
      <c r="B32" s="43"/>
      <c r="C32" s="2" t="s">
        <v>257</v>
      </c>
      <c r="E32" s="31">
        <f>SUM(G32:R32)</f>
        <v>-1890004.5</v>
      </c>
      <c r="G32" s="31"/>
      <c r="H32" s="31">
        <f>'B-2'!I12</f>
        <v>-18049</v>
      </c>
      <c r="I32" s="31"/>
      <c r="J32" s="31">
        <f>'B-4'!E10</f>
        <v>-1871955.5</v>
      </c>
      <c r="K32" s="31"/>
      <c r="L32" s="31"/>
      <c r="M32" s="31"/>
      <c r="N32" s="31"/>
      <c r="O32" s="31"/>
      <c r="P32" s="31"/>
      <c r="Q32" s="31"/>
      <c r="R32" s="31"/>
    </row>
    <row r="33" spans="1:18">
      <c r="A33" s="57"/>
      <c r="B33" s="43"/>
      <c r="C33" s="43" t="s">
        <v>15</v>
      </c>
      <c r="E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ht="13.5" thickBot="1">
      <c r="A34" s="44">
        <f>A32+1</f>
        <v>18</v>
      </c>
      <c r="B34" s="43"/>
      <c r="C34" s="56" t="s">
        <v>115</v>
      </c>
      <c r="E34" s="29">
        <f>E28+E31+E32</f>
        <v>-19807079.857129943</v>
      </c>
      <c r="G34" s="29">
        <f>G28+G31+G32</f>
        <v>-85839</v>
      </c>
      <c r="H34" s="29">
        <f t="shared" ref="H34:R34" si="7">H28+H31+H32</f>
        <v>-18049</v>
      </c>
      <c r="I34" s="29">
        <f t="shared" si="7"/>
        <v>870377.54287004494</v>
      </c>
      <c r="J34" s="29">
        <f t="shared" si="7"/>
        <v>-1871955.5</v>
      </c>
      <c r="K34" s="29">
        <f t="shared" si="7"/>
        <v>-85698</v>
      </c>
      <c r="L34" s="29">
        <f t="shared" si="7"/>
        <v>-18615915.899999987</v>
      </c>
      <c r="M34" s="29">
        <f t="shared" si="7"/>
        <v>0</v>
      </c>
      <c r="N34" s="29">
        <f t="shared" si="7"/>
        <v>0</v>
      </c>
      <c r="O34" s="29">
        <f t="shared" si="7"/>
        <v>0</v>
      </c>
      <c r="P34" s="29">
        <f t="shared" si="7"/>
        <v>0</v>
      </c>
      <c r="Q34" s="29">
        <f t="shared" si="7"/>
        <v>0</v>
      </c>
      <c r="R34" s="29">
        <f t="shared" si="7"/>
        <v>0</v>
      </c>
    </row>
    <row r="35" spans="1:18" ht="13.5" thickTop="1"/>
  </sheetData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M53"/>
  <sheetViews>
    <sheetView zoomScaleNormal="100" zoomScaleSheetLayoutView="110" workbookViewId="0">
      <selection activeCell="H5" sqref="H5"/>
    </sheetView>
  </sheetViews>
  <sheetFormatPr defaultRowHeight="12.75"/>
  <cols>
    <col min="1" max="1" width="4.28515625" style="2" customWidth="1"/>
    <col min="2" max="2" width="0.7109375" style="2" customWidth="1"/>
    <col min="3" max="3" width="33.42578125" style="2" customWidth="1"/>
    <col min="4" max="4" width="0.85546875" style="2" customWidth="1"/>
    <col min="5" max="5" width="14.7109375" style="2" customWidth="1"/>
    <col min="6" max="6" width="0.85546875" style="2" customWidth="1"/>
    <col min="7" max="7" width="11.85546875" style="2" bestFit="1" customWidth="1"/>
    <col min="8" max="8" width="1" style="2" customWidth="1"/>
    <col min="9" max="9" width="11.28515625" style="2" customWidth="1"/>
    <col min="10" max="11" width="9.140625" style="2"/>
    <col min="12" max="12" width="20.42578125" style="2" customWidth="1"/>
    <col min="13" max="13" width="10.7109375" style="2" bestFit="1" customWidth="1"/>
    <col min="14" max="16384" width="9.140625" style="2"/>
  </cols>
  <sheetData>
    <row r="1" spans="1:9">
      <c r="A1" s="2" t="str">
        <f>A!$A$1</f>
        <v>Florida Public Utilities Company Consolidated Gas</v>
      </c>
      <c r="C1" s="21"/>
      <c r="D1" s="22"/>
      <c r="E1" s="34"/>
      <c r="F1" s="23"/>
      <c r="I1" s="33" t="str">
        <f>Contents!A2</f>
        <v>Docket No. 20220067-GU</v>
      </c>
    </row>
    <row r="2" spans="1:9">
      <c r="A2" s="2" t="s">
        <v>25</v>
      </c>
      <c r="C2" s="24"/>
      <c r="D2" s="23"/>
      <c r="E2" s="23"/>
      <c r="F2" s="20"/>
      <c r="I2" s="33" t="str">
        <f>A!K2</f>
        <v>Exhibit RCS-2R</v>
      </c>
    </row>
    <row r="3" spans="1:9">
      <c r="C3" s="25"/>
      <c r="I3" s="33" t="s">
        <v>32</v>
      </c>
    </row>
    <row r="4" spans="1:9">
      <c r="A4" s="23" t="str">
        <f>A!$A$4</f>
        <v>Projected Test Year Ended December 31, 2023</v>
      </c>
      <c r="C4" s="26"/>
      <c r="D4" s="23"/>
      <c r="I4" s="33" t="s">
        <v>39</v>
      </c>
    </row>
    <row r="5" spans="1:9">
      <c r="C5" s="21"/>
      <c r="D5" s="23"/>
      <c r="I5" s="33" t="s">
        <v>102</v>
      </c>
    </row>
    <row r="7" spans="1:9">
      <c r="A7" s="20" t="s">
        <v>0</v>
      </c>
      <c r="E7" s="20" t="s">
        <v>13</v>
      </c>
      <c r="F7" s="20"/>
      <c r="G7" s="20" t="s">
        <v>167</v>
      </c>
      <c r="H7" s="20"/>
      <c r="I7" s="20" t="s">
        <v>13</v>
      </c>
    </row>
    <row r="8" spans="1:9">
      <c r="A8" s="27" t="s">
        <v>1</v>
      </c>
      <c r="C8" s="28" t="s">
        <v>2</v>
      </c>
      <c r="E8" s="27" t="s">
        <v>265</v>
      </c>
      <c r="F8" s="20"/>
      <c r="G8" s="27" t="s">
        <v>14</v>
      </c>
      <c r="H8" s="20"/>
      <c r="I8" s="27" t="s">
        <v>211</v>
      </c>
    </row>
    <row r="9" spans="1:9">
      <c r="A9" s="20"/>
      <c r="E9" s="20" t="s">
        <v>9</v>
      </c>
      <c r="F9" s="20"/>
      <c r="G9" s="20" t="s">
        <v>10</v>
      </c>
      <c r="H9" s="20"/>
      <c r="I9" s="20" t="s">
        <v>26</v>
      </c>
    </row>
    <row r="10" spans="1:9">
      <c r="A10" s="20"/>
      <c r="E10" s="77"/>
      <c r="F10" s="18"/>
      <c r="G10" s="77"/>
      <c r="H10" s="77"/>
      <c r="I10" s="77"/>
    </row>
    <row r="11" spans="1:9">
      <c r="A11" s="20">
        <v>1</v>
      </c>
      <c r="C11" s="2" t="s">
        <v>30</v>
      </c>
      <c r="E11" s="31">
        <v>81305317.890882015</v>
      </c>
      <c r="F11" s="30"/>
      <c r="G11" s="146">
        <f>'C.1'!F10</f>
        <v>0</v>
      </c>
      <c r="H11" s="99"/>
      <c r="I11" s="146">
        <f>E11+G11</f>
        <v>81305317.890882015</v>
      </c>
    </row>
    <row r="12" spans="1:9">
      <c r="A12" s="20"/>
      <c r="E12" s="18"/>
      <c r="F12" s="18"/>
      <c r="G12" s="77"/>
      <c r="H12" s="77"/>
      <c r="I12" s="77"/>
    </row>
    <row r="13" spans="1:9">
      <c r="A13" s="20"/>
      <c r="C13" s="124" t="s">
        <v>259</v>
      </c>
      <c r="E13" s="18"/>
      <c r="F13" s="18"/>
      <c r="G13" s="77"/>
      <c r="H13" s="77"/>
      <c r="I13" s="77"/>
    </row>
    <row r="14" spans="1:9">
      <c r="A14" s="20">
        <f>A11+1</f>
        <v>2</v>
      </c>
      <c r="C14" s="2" t="s">
        <v>260</v>
      </c>
      <c r="E14" s="18">
        <v>44026719.106654815</v>
      </c>
      <c r="F14" s="18"/>
      <c r="G14" s="77">
        <f>'C.1'!F13</f>
        <v>-2711860</v>
      </c>
      <c r="H14" s="77"/>
      <c r="I14" s="77">
        <f>E14+G14</f>
        <v>41314859.106654815</v>
      </c>
    </row>
    <row r="15" spans="1:9">
      <c r="A15" s="20">
        <f>A14+1</f>
        <v>3</v>
      </c>
      <c r="C15" s="2" t="s">
        <v>267</v>
      </c>
      <c r="E15" s="18">
        <v>16316661.624965016</v>
      </c>
      <c r="F15" s="18"/>
      <c r="G15" s="77">
        <f>'C.1'!F14</f>
        <v>-3213371.3254448641</v>
      </c>
      <c r="H15" s="77"/>
      <c r="I15" s="77">
        <f t="shared" ref="I15:I21" si="0">E15+G15</f>
        <v>13103290.299520152</v>
      </c>
    </row>
    <row r="16" spans="1:9">
      <c r="A16" s="20">
        <f t="shared" ref="A16:A22" si="1">A15+1</f>
        <v>4</v>
      </c>
      <c r="C16" s="2" t="s">
        <v>263</v>
      </c>
      <c r="E16" s="18">
        <v>7566334.3171274299</v>
      </c>
      <c r="F16" s="18"/>
      <c r="G16" s="77">
        <f>'C.1'!F15</f>
        <v>-188618.82075000001</v>
      </c>
      <c r="H16" s="77"/>
      <c r="I16" s="77">
        <f t="shared" si="0"/>
        <v>7377715.4963774299</v>
      </c>
    </row>
    <row r="17" spans="1:13">
      <c r="A17" s="20">
        <f t="shared" si="1"/>
        <v>5</v>
      </c>
      <c r="C17" s="2" t="s">
        <v>268</v>
      </c>
      <c r="E17" s="18">
        <v>281038.84932068165</v>
      </c>
      <c r="F17" s="18"/>
      <c r="G17" s="77">
        <f>'C.1'!F21</f>
        <v>428587.29412867798</v>
      </c>
      <c r="H17" s="77"/>
      <c r="I17" s="77">
        <f t="shared" si="0"/>
        <v>709626.14344935957</v>
      </c>
    </row>
    <row r="18" spans="1:13">
      <c r="A18" s="20">
        <f t="shared" si="1"/>
        <v>6</v>
      </c>
      <c r="C18" s="2" t="s">
        <v>269</v>
      </c>
      <c r="E18" s="18">
        <v>-547196.96693052421</v>
      </c>
      <c r="F18" s="18"/>
      <c r="G18" s="77">
        <f>'C.1'!F22</f>
        <v>307209.7451020829</v>
      </c>
      <c r="H18" s="77"/>
      <c r="I18" s="77">
        <f t="shared" si="0"/>
        <v>-239987.22182844131</v>
      </c>
      <c r="M18" s="18"/>
    </row>
    <row r="19" spans="1:13">
      <c r="A19" s="20">
        <f t="shared" si="1"/>
        <v>7</v>
      </c>
      <c r="C19" s="23" t="s">
        <v>270</v>
      </c>
      <c r="E19" s="18">
        <v>1208286.7504788043</v>
      </c>
      <c r="F19" s="18"/>
      <c r="G19" s="77">
        <f>'C.1'!F16</f>
        <v>0</v>
      </c>
      <c r="H19" s="77"/>
      <c r="I19" s="77">
        <f t="shared" si="0"/>
        <v>1208286.7504788043</v>
      </c>
      <c r="M19" s="18"/>
    </row>
    <row r="20" spans="1:13">
      <c r="A20" s="20">
        <f t="shared" si="1"/>
        <v>8</v>
      </c>
      <c r="C20" s="23" t="s">
        <v>271</v>
      </c>
      <c r="E20" s="18">
        <v>1035771.7290316665</v>
      </c>
      <c r="F20" s="18"/>
      <c r="G20" s="77">
        <f>'C.1'!F17</f>
        <v>0</v>
      </c>
      <c r="H20" s="77"/>
      <c r="I20" s="77">
        <f t="shared" si="0"/>
        <v>1035771.7290316665</v>
      </c>
      <c r="M20" s="74"/>
    </row>
    <row r="21" spans="1:13">
      <c r="A21" s="20">
        <f t="shared" si="1"/>
        <v>9</v>
      </c>
      <c r="C21" s="23" t="s">
        <v>180</v>
      </c>
      <c r="E21" s="18">
        <v>0</v>
      </c>
      <c r="F21" s="18"/>
      <c r="G21" s="77">
        <f>'C.1'!F18</f>
        <v>0</v>
      </c>
      <c r="H21" s="77"/>
      <c r="I21" s="77">
        <f t="shared" si="0"/>
        <v>0</v>
      </c>
    </row>
    <row r="22" spans="1:13">
      <c r="A22" s="20">
        <f t="shared" si="1"/>
        <v>10</v>
      </c>
      <c r="C22" s="147" t="s">
        <v>264</v>
      </c>
      <c r="E22" s="32">
        <f>SUM(E14:E21)</f>
        <v>69887615.410647899</v>
      </c>
      <c r="F22" s="18"/>
      <c r="G22" s="100">
        <f>SUM(G14:G21)</f>
        <v>-5378053.1069641029</v>
      </c>
      <c r="H22" s="77"/>
      <c r="I22" s="100">
        <f>SUM(I14:I21)</f>
        <v>64509562.303683788</v>
      </c>
    </row>
    <row r="23" spans="1:13">
      <c r="A23" s="20"/>
      <c r="E23" s="18"/>
      <c r="F23" s="18"/>
      <c r="G23" s="77"/>
      <c r="H23" s="77"/>
      <c r="I23" s="77"/>
    </row>
    <row r="24" spans="1:13" ht="13.5" thickBot="1">
      <c r="A24" s="20">
        <f>A22+1</f>
        <v>11</v>
      </c>
      <c r="C24" s="2" t="s">
        <v>31</v>
      </c>
      <c r="E24" s="29">
        <f>E11-E22</f>
        <v>11417702.480234116</v>
      </c>
      <c r="F24" s="18"/>
      <c r="G24" s="98">
        <f>G11-G22</f>
        <v>5378053.1069641029</v>
      </c>
      <c r="H24" s="77"/>
      <c r="I24" s="98">
        <f>I11-I22</f>
        <v>16795755.587198228</v>
      </c>
    </row>
    <row r="25" spans="1:13" ht="13.5" thickTop="1">
      <c r="A25" s="20"/>
      <c r="E25" s="18"/>
      <c r="F25" s="18"/>
      <c r="G25" s="18"/>
      <c r="H25" s="18"/>
      <c r="I25" s="18"/>
    </row>
    <row r="26" spans="1:13">
      <c r="A26" s="41" t="s">
        <v>11</v>
      </c>
      <c r="B26" s="28"/>
      <c r="C26" s="28"/>
      <c r="D26" s="28"/>
      <c r="E26" s="31"/>
      <c r="F26" s="31"/>
      <c r="G26" s="31"/>
      <c r="H26" s="31"/>
      <c r="I26" s="31"/>
    </row>
    <row r="27" spans="1:13">
      <c r="A27" s="2" t="s">
        <v>272</v>
      </c>
      <c r="E27" s="18"/>
      <c r="F27" s="18"/>
      <c r="G27" s="18"/>
      <c r="H27" s="18"/>
      <c r="I27" s="18"/>
    </row>
    <row r="28" spans="1:13">
      <c r="A28" s="23" t="s">
        <v>215</v>
      </c>
      <c r="E28" s="18"/>
      <c r="F28" s="18"/>
      <c r="G28" s="18"/>
      <c r="H28" s="18"/>
      <c r="I28" s="18"/>
    </row>
    <row r="29" spans="1:13">
      <c r="A29" s="20"/>
      <c r="E29" s="18"/>
      <c r="F29" s="18"/>
      <c r="G29" s="18"/>
      <c r="H29" s="18"/>
      <c r="I29" s="18"/>
    </row>
    <row r="30" spans="1:13">
      <c r="A30" s="20"/>
      <c r="E30" s="18"/>
      <c r="F30" s="18"/>
      <c r="G30" s="18"/>
      <c r="H30" s="18"/>
      <c r="I30" s="18"/>
    </row>
    <row r="31" spans="1:13">
      <c r="A31" s="20"/>
      <c r="E31" s="18"/>
      <c r="F31" s="18"/>
      <c r="G31" s="18"/>
      <c r="H31" s="18"/>
      <c r="I31" s="18"/>
    </row>
    <row r="32" spans="1:13">
      <c r="A32" s="20"/>
      <c r="E32" s="18"/>
      <c r="F32" s="18"/>
      <c r="G32" s="18"/>
      <c r="H32" s="18"/>
      <c r="I32" s="18"/>
    </row>
    <row r="33" spans="5:9">
      <c r="E33" s="18"/>
      <c r="F33" s="18"/>
      <c r="G33" s="18"/>
      <c r="H33" s="18"/>
      <c r="I33" s="18"/>
    </row>
    <row r="34" spans="5:9">
      <c r="E34" s="18"/>
      <c r="F34" s="18"/>
      <c r="G34" s="18"/>
      <c r="H34" s="18"/>
      <c r="I34" s="18"/>
    </row>
    <row r="50" spans="3:3" hidden="1">
      <c r="C50" s="2">
        <v>1</v>
      </c>
    </row>
    <row r="51" spans="3:3" hidden="1"/>
    <row r="52" spans="3:3" hidden="1"/>
    <row r="53" spans="3:3" hidden="1"/>
  </sheetData>
  <pageMargins left="0.7" right="0.7" top="0.75" bottom="0.4" header="0.3" footer="0.3"/>
  <pageSetup scale="11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Y54"/>
  <sheetViews>
    <sheetView zoomScaleNormal="100" zoomScaleSheetLayoutView="90" workbookViewId="0">
      <selection activeCell="H5" sqref="H5"/>
    </sheetView>
  </sheetViews>
  <sheetFormatPr defaultRowHeight="12.75"/>
  <cols>
    <col min="1" max="1" width="4.42578125" style="2" bestFit="1" customWidth="1"/>
    <col min="2" max="2" width="1" style="2" customWidth="1"/>
    <col min="3" max="3" width="31.42578125" style="2" customWidth="1"/>
    <col min="4" max="4" width="9" style="2" customWidth="1"/>
    <col min="5" max="5" width="2.140625" style="2" customWidth="1"/>
    <col min="6" max="6" width="11.85546875" style="2" bestFit="1" customWidth="1"/>
    <col min="7" max="7" width="1" style="2" customWidth="1"/>
    <col min="8" max="9" width="12.5703125" style="2" bestFit="1" customWidth="1"/>
    <col min="10" max="10" width="13.7109375" style="2" bestFit="1" customWidth="1"/>
    <col min="11" max="11" width="12.5703125" style="2" bestFit="1" customWidth="1"/>
    <col min="12" max="12" width="11.85546875" style="2" bestFit="1" customWidth="1"/>
    <col min="13" max="13" width="12.28515625" style="2" bestFit="1" customWidth="1"/>
    <col min="14" max="14" width="12" style="2" customWidth="1"/>
    <col min="15" max="15" width="9.42578125" style="2" customWidth="1"/>
    <col min="16" max="16" width="12.140625" style="2" customWidth="1"/>
    <col min="17" max="17" width="14.28515625" style="2" customWidth="1"/>
    <col min="18" max="18" width="13.7109375" style="2" customWidth="1"/>
    <col min="19" max="19" width="13.5703125" style="2" customWidth="1"/>
    <col min="20" max="20" width="13.5703125" style="2" hidden="1" customWidth="1"/>
    <col min="21" max="21" width="12" style="2" hidden="1" customWidth="1"/>
    <col min="22" max="22" width="12.85546875" style="2" hidden="1" customWidth="1"/>
    <col min="23" max="23" width="14.42578125" style="2" hidden="1" customWidth="1"/>
    <col min="24" max="16384" width="9.140625" style="2"/>
  </cols>
  <sheetData>
    <row r="1" spans="1:23">
      <c r="A1" s="2" t="str">
        <f>A!$A$1</f>
        <v>Florida Public Utilities Company Consolidated Gas</v>
      </c>
      <c r="C1" s="21"/>
      <c r="D1" s="21"/>
      <c r="E1" s="22"/>
      <c r="F1" s="34"/>
      <c r="G1" s="23"/>
      <c r="H1" s="22"/>
      <c r="I1" s="34"/>
      <c r="N1" s="33" t="str">
        <f>Contents!A2</f>
        <v>Docket No. 20220067-GU</v>
      </c>
      <c r="S1" s="33" t="str">
        <f>Contents!A2</f>
        <v>Docket No. 20220067-GU</v>
      </c>
      <c r="W1" s="33"/>
    </row>
    <row r="2" spans="1:23">
      <c r="A2" s="2" t="s">
        <v>58</v>
      </c>
      <c r="C2" s="26"/>
      <c r="D2" s="26"/>
      <c r="E2" s="23"/>
      <c r="F2" s="23"/>
      <c r="G2" s="20"/>
      <c r="H2" s="23"/>
      <c r="I2" s="23"/>
      <c r="N2" s="33" t="str">
        <f>A!K2</f>
        <v>Exhibit RCS-2R</v>
      </c>
      <c r="S2" s="33" t="str">
        <f>Contents!A3</f>
        <v>Exhibit RCS-2R</v>
      </c>
      <c r="W2" s="33"/>
    </row>
    <row r="3" spans="1:23">
      <c r="C3" s="52"/>
      <c r="D3" s="52"/>
      <c r="N3" s="33" t="s">
        <v>153</v>
      </c>
      <c r="S3" s="33" t="s">
        <v>153</v>
      </c>
      <c r="W3" s="33"/>
    </row>
    <row r="4" spans="1:23">
      <c r="A4" s="23" t="str">
        <f>A!$A$4</f>
        <v>Projected Test Year Ended December 31, 2023</v>
      </c>
      <c r="C4" s="53"/>
      <c r="D4" s="53"/>
      <c r="E4" s="23"/>
      <c r="H4" s="23"/>
      <c r="N4" s="33" t="s">
        <v>17</v>
      </c>
      <c r="S4" s="33" t="s">
        <v>57</v>
      </c>
      <c r="W4" s="33"/>
    </row>
    <row r="5" spans="1:23">
      <c r="F5" s="20"/>
      <c r="H5" s="20"/>
      <c r="I5" s="20"/>
      <c r="J5" s="20"/>
      <c r="K5" s="20"/>
      <c r="L5" s="20"/>
      <c r="M5" s="20"/>
      <c r="N5" s="33" t="s">
        <v>102</v>
      </c>
      <c r="O5" s="20"/>
      <c r="P5" s="20"/>
      <c r="Q5" s="20"/>
      <c r="R5" s="20"/>
      <c r="S5" s="33" t="s">
        <v>102</v>
      </c>
      <c r="T5" s="20"/>
      <c r="U5" s="20"/>
    </row>
    <row r="6" spans="1:23">
      <c r="F6" s="20"/>
      <c r="H6" s="20"/>
      <c r="I6" s="20"/>
      <c r="J6" s="20"/>
      <c r="K6" s="20"/>
      <c r="L6" s="20"/>
      <c r="M6" s="20"/>
      <c r="N6" s="33"/>
      <c r="O6" s="20"/>
      <c r="P6" s="20"/>
      <c r="Q6" s="20"/>
      <c r="R6" s="20"/>
      <c r="S6" s="33"/>
      <c r="T6" s="20"/>
      <c r="U6" s="20"/>
    </row>
    <row r="7" spans="1:23" s="54" customFormat="1" ht="49.5" customHeight="1">
      <c r="A7" s="54" t="s">
        <v>94</v>
      </c>
      <c r="C7" s="54" t="s">
        <v>2</v>
      </c>
      <c r="F7" s="54" t="s">
        <v>212</v>
      </c>
      <c r="H7" s="54" t="str">
        <f>Contents!B34</f>
        <v>Depreciation Expense - New Depreciation Rates</v>
      </c>
      <c r="I7" s="54" t="str">
        <f>Contents!B35</f>
        <v>Amortizaton Expense Related to FPUC Merger Acquisition Adjustment</v>
      </c>
      <c r="J7" s="54" t="str">
        <f>Contents!B36</f>
        <v>Incentive Compensation Expense</v>
      </c>
      <c r="K7" s="54" t="str">
        <f>Contents!B37</f>
        <v>Stock-Based Compensation Expense</v>
      </c>
      <c r="L7" s="54" t="str">
        <f>Contents!B38</f>
        <v>Payroll Tax Expense</v>
      </c>
      <c r="M7" s="54" t="str">
        <f>Contents!B39</f>
        <v>Supplemental Executive Retirement Program (SERP) Expense</v>
      </c>
      <c r="N7" s="54" t="str">
        <f>Contents!B40</f>
        <v>Directors and Officers Liability Insurance Expense</v>
      </c>
      <c r="O7" s="54" t="str">
        <f>Contents!B41</f>
        <v>Rent Expense</v>
      </c>
      <c r="P7" s="54" t="str">
        <f>Contents!B42</f>
        <v>Lobbying Costs</v>
      </c>
      <c r="Q7" s="54" t="str">
        <f>Contents!B43</f>
        <v>Interest Synchronization</v>
      </c>
      <c r="R7" s="54" t="str">
        <f>Contents!B44</f>
        <v xml:space="preserve">Parent Company Debt Adjustment </v>
      </c>
      <c r="S7" s="54" t="str">
        <f>Contents!B45</f>
        <v>Company Sponsored Events</v>
      </c>
      <c r="T7" s="97"/>
      <c r="U7" s="54">
        <f>Contents!B47</f>
        <v>0</v>
      </c>
      <c r="V7" s="54">
        <f>Contents!B52</f>
        <v>0</v>
      </c>
      <c r="W7" s="54">
        <f>Contents!B53</f>
        <v>0</v>
      </c>
    </row>
    <row r="8" spans="1:23">
      <c r="A8" s="20"/>
      <c r="H8" s="48" t="s">
        <v>44</v>
      </c>
      <c r="I8" s="48" t="s">
        <v>45</v>
      </c>
      <c r="J8" s="48" t="s">
        <v>46</v>
      </c>
      <c r="K8" s="48" t="s">
        <v>47</v>
      </c>
      <c r="L8" s="48" t="s">
        <v>48</v>
      </c>
      <c r="M8" s="48" t="s">
        <v>49</v>
      </c>
      <c r="N8" s="48" t="s">
        <v>50</v>
      </c>
      <c r="O8" s="48" t="s">
        <v>51</v>
      </c>
      <c r="P8" s="48" t="s">
        <v>52</v>
      </c>
      <c r="Q8" s="48" t="s">
        <v>53</v>
      </c>
      <c r="R8" s="48" t="s">
        <v>76</v>
      </c>
      <c r="S8" s="48" t="s">
        <v>77</v>
      </c>
      <c r="T8" s="48"/>
      <c r="U8" s="48"/>
      <c r="V8" s="48"/>
      <c r="W8" s="48"/>
    </row>
    <row r="9" spans="1:23">
      <c r="A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>
      <c r="A10" s="20">
        <v>1</v>
      </c>
      <c r="C10" s="2" t="s">
        <v>30</v>
      </c>
      <c r="F10" s="31">
        <f>SUM(H10:AA10)</f>
        <v>0</v>
      </c>
      <c r="G10" s="30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>
      <c r="A11" s="20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20"/>
      <c r="C12" s="124" t="s">
        <v>259</v>
      </c>
      <c r="D12" s="1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>
      <c r="A13" s="20">
        <f>A10+1</f>
        <v>2</v>
      </c>
      <c r="C13" s="2" t="s">
        <v>260</v>
      </c>
      <c r="F13" s="18">
        <f>SUM(H13:AA13)</f>
        <v>-2711860</v>
      </c>
      <c r="G13" s="18"/>
      <c r="H13" s="18"/>
      <c r="I13" s="18"/>
      <c r="J13" s="18">
        <f>'C-3'!E11</f>
        <v>-1090100.5</v>
      </c>
      <c r="K13" s="18">
        <f>'C-4'!E17</f>
        <v>-1375505</v>
      </c>
      <c r="L13" s="18"/>
      <c r="M13" s="18">
        <f>'C-6'!E11</f>
        <v>-1762</v>
      </c>
      <c r="N13" s="18">
        <f>'C-7'!I12</f>
        <v>-85527.5</v>
      </c>
      <c r="O13" s="18">
        <f>'C-8'!E11</f>
        <v>-78249</v>
      </c>
      <c r="P13" s="18">
        <f>'C-9'!E10</f>
        <v>-41881</v>
      </c>
      <c r="Q13" s="18"/>
      <c r="R13" s="18"/>
      <c r="S13" s="18">
        <f>'C-12'!E10</f>
        <v>-38835</v>
      </c>
      <c r="T13" s="18"/>
      <c r="U13" s="18"/>
      <c r="V13" s="18"/>
      <c r="W13" s="18"/>
    </row>
    <row r="14" spans="1:23">
      <c r="A14" s="20">
        <f t="shared" ref="A14:A25" si="0">A13+1</f>
        <v>3</v>
      </c>
      <c r="C14" s="2" t="s">
        <v>569</v>
      </c>
      <c r="F14" s="18">
        <f>SUM(H14:AA14)</f>
        <v>-3213371.3254448641</v>
      </c>
      <c r="G14" s="18"/>
      <c r="H14" s="18">
        <f>'C-1'!I26</f>
        <v>-2073621.3254448641</v>
      </c>
      <c r="I14" s="77">
        <f>'C-2'!E10</f>
        <v>-1139750</v>
      </c>
      <c r="J14" s="18"/>
      <c r="K14" s="18"/>
      <c r="L14" s="18"/>
      <c r="M14" s="18"/>
      <c r="N14" s="18"/>
      <c r="O14" s="18"/>
      <c r="P14" s="18"/>
      <c r="Q14" s="18"/>
      <c r="R14" s="77"/>
      <c r="S14" s="18"/>
      <c r="T14" s="18"/>
      <c r="U14" s="18"/>
      <c r="V14" s="18"/>
      <c r="W14" s="18"/>
    </row>
    <row r="15" spans="1:23">
      <c r="A15" s="20">
        <f t="shared" si="0"/>
        <v>4</v>
      </c>
      <c r="C15" s="2" t="s">
        <v>263</v>
      </c>
      <c r="F15" s="18">
        <f t="shared" ref="F15" si="1">SUM(H15:AA15)</f>
        <v>-188618.82075000001</v>
      </c>
      <c r="G15" s="18"/>
      <c r="H15" s="18"/>
      <c r="I15" s="77"/>
      <c r="J15" s="18"/>
      <c r="K15" s="18"/>
      <c r="L15" s="18">
        <f>'C-5'!E23</f>
        <v>-188618.82075000001</v>
      </c>
      <c r="M15" s="18"/>
      <c r="N15" s="18"/>
      <c r="O15" s="18"/>
      <c r="P15" s="18"/>
      <c r="Q15" s="18"/>
      <c r="R15" s="77"/>
      <c r="S15" s="18"/>
      <c r="T15" s="18"/>
      <c r="U15" s="18"/>
      <c r="V15" s="18"/>
      <c r="W15" s="18"/>
    </row>
    <row r="16" spans="1:23">
      <c r="A16" s="20">
        <f t="shared" si="0"/>
        <v>5</v>
      </c>
      <c r="C16" s="23" t="s">
        <v>270</v>
      </c>
      <c r="F16" s="18">
        <f>SUM(H16:AA16)</f>
        <v>0</v>
      </c>
      <c r="G16" s="18"/>
      <c r="H16" s="18"/>
      <c r="I16" s="77"/>
      <c r="J16" s="18"/>
      <c r="K16" s="18"/>
      <c r="L16" s="18"/>
      <c r="M16" s="18"/>
      <c r="N16" s="18"/>
      <c r="O16" s="18"/>
      <c r="P16" s="18"/>
      <c r="Q16" s="18"/>
      <c r="R16" s="77"/>
      <c r="S16" s="18"/>
      <c r="T16" s="18"/>
      <c r="U16" s="18"/>
      <c r="V16" s="18"/>
      <c r="W16" s="18"/>
    </row>
    <row r="17" spans="1:25">
      <c r="A17" s="20">
        <f t="shared" si="0"/>
        <v>6</v>
      </c>
      <c r="C17" s="23" t="s">
        <v>271</v>
      </c>
      <c r="F17" s="18">
        <f t="shared" ref="F17:F18" si="2">SUM(H17:AA17)</f>
        <v>0</v>
      </c>
      <c r="G17" s="18"/>
      <c r="H17" s="18"/>
      <c r="I17" s="77"/>
      <c r="J17" s="18"/>
      <c r="K17" s="18"/>
      <c r="L17" s="18"/>
      <c r="M17" s="18"/>
      <c r="N17" s="18"/>
      <c r="O17" s="18"/>
      <c r="P17" s="18"/>
      <c r="Q17" s="18"/>
      <c r="R17" s="77"/>
      <c r="S17" s="18"/>
      <c r="T17" s="18"/>
      <c r="U17" s="18"/>
      <c r="V17" s="18"/>
      <c r="W17" s="18"/>
    </row>
    <row r="18" spans="1:25">
      <c r="A18" s="20">
        <f t="shared" si="0"/>
        <v>7</v>
      </c>
      <c r="C18" s="23" t="s">
        <v>180</v>
      </c>
      <c r="F18" s="18">
        <f t="shared" si="2"/>
        <v>0</v>
      </c>
      <c r="G18" s="18"/>
      <c r="H18" s="18"/>
      <c r="I18" s="77"/>
      <c r="J18" s="18"/>
      <c r="K18" s="18"/>
      <c r="L18" s="18"/>
      <c r="M18" s="18"/>
      <c r="N18" s="18"/>
      <c r="O18" s="18"/>
      <c r="P18" s="18"/>
      <c r="Q18" s="18"/>
      <c r="R18" s="77"/>
      <c r="S18" s="18"/>
      <c r="T18" s="18"/>
      <c r="U18" s="18"/>
      <c r="V18" s="18"/>
      <c r="W18" s="18"/>
    </row>
    <row r="19" spans="1:25">
      <c r="A19" s="20">
        <f t="shared" si="0"/>
        <v>8</v>
      </c>
      <c r="C19" s="2" t="s">
        <v>40</v>
      </c>
      <c r="F19" s="32">
        <f>SUM(H19:AA19)</f>
        <v>-6113850.1461948641</v>
      </c>
      <c r="G19" s="18"/>
      <c r="H19" s="32">
        <f t="shared" ref="H19:W19" si="3">SUM(H13:H18)</f>
        <v>-2073621.3254448641</v>
      </c>
      <c r="I19" s="112">
        <f t="shared" si="3"/>
        <v>-1139750</v>
      </c>
      <c r="J19" s="112">
        <f t="shared" si="3"/>
        <v>-1090100.5</v>
      </c>
      <c r="K19" s="112">
        <f t="shared" si="3"/>
        <v>-1375505</v>
      </c>
      <c r="L19" s="112">
        <f t="shared" si="3"/>
        <v>-188618.82075000001</v>
      </c>
      <c r="M19" s="112">
        <f t="shared" si="3"/>
        <v>-1762</v>
      </c>
      <c r="N19" s="112">
        <f t="shared" si="3"/>
        <v>-85527.5</v>
      </c>
      <c r="O19" s="112">
        <f t="shared" si="3"/>
        <v>-78249</v>
      </c>
      <c r="P19" s="112">
        <f t="shared" si="3"/>
        <v>-41881</v>
      </c>
      <c r="Q19" s="112">
        <f t="shared" si="3"/>
        <v>0</v>
      </c>
      <c r="R19" s="112">
        <f t="shared" si="3"/>
        <v>0</v>
      </c>
      <c r="S19" s="112">
        <f t="shared" si="3"/>
        <v>-38835</v>
      </c>
      <c r="T19" s="112">
        <f t="shared" si="3"/>
        <v>0</v>
      </c>
      <c r="U19" s="112">
        <f t="shared" si="3"/>
        <v>0</v>
      </c>
      <c r="V19" s="112">
        <f t="shared" si="3"/>
        <v>0</v>
      </c>
      <c r="W19" s="112">
        <f t="shared" si="3"/>
        <v>0</v>
      </c>
    </row>
    <row r="20" spans="1:25">
      <c r="A20" s="20">
        <f t="shared" si="0"/>
        <v>9</v>
      </c>
      <c r="C20" s="2" t="s">
        <v>41</v>
      </c>
      <c r="F20" s="148">
        <f>SUM(H20:AA20)</f>
        <v>6113850.1461948641</v>
      </c>
      <c r="G20" s="18"/>
      <c r="H20" s="148">
        <f t="shared" ref="H20:W20" si="4">H10-H19</f>
        <v>2073621.3254448641</v>
      </c>
      <c r="I20" s="149">
        <f t="shared" si="4"/>
        <v>1139750</v>
      </c>
      <c r="J20" s="148">
        <f t="shared" si="4"/>
        <v>1090100.5</v>
      </c>
      <c r="K20" s="148">
        <f t="shared" si="4"/>
        <v>1375505</v>
      </c>
      <c r="L20" s="148">
        <f t="shared" si="4"/>
        <v>188618.82075000001</v>
      </c>
      <c r="M20" s="148">
        <f t="shared" si="4"/>
        <v>1762</v>
      </c>
      <c r="N20" s="148">
        <f t="shared" si="4"/>
        <v>85527.5</v>
      </c>
      <c r="O20" s="148">
        <f t="shared" si="4"/>
        <v>78249</v>
      </c>
      <c r="P20" s="148">
        <f t="shared" si="4"/>
        <v>41881</v>
      </c>
      <c r="Q20" s="148">
        <f t="shared" si="4"/>
        <v>0</v>
      </c>
      <c r="R20" s="149">
        <f t="shared" si="4"/>
        <v>0</v>
      </c>
      <c r="S20" s="149">
        <f t="shared" si="4"/>
        <v>38835</v>
      </c>
      <c r="T20" s="149">
        <f t="shared" si="4"/>
        <v>0</v>
      </c>
      <c r="U20" s="149">
        <f t="shared" si="4"/>
        <v>0</v>
      </c>
      <c r="V20" s="149">
        <f t="shared" si="4"/>
        <v>0</v>
      </c>
      <c r="W20" s="149">
        <f t="shared" si="4"/>
        <v>0</v>
      </c>
    </row>
    <row r="21" spans="1:25">
      <c r="A21" s="20">
        <f t="shared" si="0"/>
        <v>10</v>
      </c>
      <c r="C21" s="2" t="s">
        <v>268</v>
      </c>
      <c r="F21" s="31">
        <f>SUM(H21:AA21)</f>
        <v>428587.29412867798</v>
      </c>
      <c r="G21" s="31"/>
      <c r="H21" s="31">
        <f>(H20-H22)*$D$29</f>
        <v>411510.15203453327</v>
      </c>
      <c r="I21" s="31">
        <f t="shared" ref="I21:W21" si="5">(I20-I22)*$D$29</f>
        <v>226183.38749999998</v>
      </c>
      <c r="J21" s="31">
        <f>(J20-J22)*$D$29</f>
        <v>216330.44422499998</v>
      </c>
      <c r="K21" s="31">
        <f t="shared" si="5"/>
        <v>272968.96724999999</v>
      </c>
      <c r="L21" s="31">
        <f t="shared" si="5"/>
        <v>37431.404977837497</v>
      </c>
      <c r="M21" s="31">
        <f t="shared" si="5"/>
        <v>349.66889999999995</v>
      </c>
      <c r="N21" s="31">
        <f t="shared" si="5"/>
        <v>16972.932375</v>
      </c>
      <c r="O21" s="31">
        <f t="shared" si="5"/>
        <v>15528.514049999998</v>
      </c>
      <c r="P21" s="31">
        <f t="shared" si="5"/>
        <v>8311.2844499999992</v>
      </c>
      <c r="Q21" s="31">
        <f>'C-10IntSyn'!E28</f>
        <v>-104824.94486676442</v>
      </c>
      <c r="R21" s="31">
        <f>'C-11'!E18</f>
        <v>-679881.32251692866</v>
      </c>
      <c r="S21" s="31">
        <f t="shared" si="5"/>
        <v>7706.8057499999995</v>
      </c>
      <c r="T21" s="31">
        <f t="shared" si="5"/>
        <v>0</v>
      </c>
      <c r="U21" s="31">
        <f t="shared" si="5"/>
        <v>0</v>
      </c>
      <c r="V21" s="31">
        <f t="shared" si="5"/>
        <v>0</v>
      </c>
      <c r="W21" s="31">
        <f t="shared" si="5"/>
        <v>0</v>
      </c>
      <c r="X21" s="30"/>
      <c r="Y21" s="30"/>
    </row>
    <row r="22" spans="1:25">
      <c r="A22" s="20">
        <f>A21+1</f>
        <v>11</v>
      </c>
      <c r="C22" s="2" t="s">
        <v>269</v>
      </c>
      <c r="F22" s="18">
        <f>SUM(H22:AA22)</f>
        <v>307209.7451020829</v>
      </c>
      <c r="G22" s="18"/>
      <c r="H22" s="31">
        <f t="shared" ref="H22:P22" si="6">H20*$D$28</f>
        <v>114049.17289946752</v>
      </c>
      <c r="I22" s="31">
        <f t="shared" si="6"/>
        <v>62686.25</v>
      </c>
      <c r="J22" s="31">
        <f t="shared" si="6"/>
        <v>59955.527500000004</v>
      </c>
      <c r="K22" s="31">
        <f t="shared" si="6"/>
        <v>75652.774999999994</v>
      </c>
      <c r="L22" s="31">
        <f t="shared" si="6"/>
        <v>10374.03514125</v>
      </c>
      <c r="M22" s="31">
        <f t="shared" si="6"/>
        <v>96.91</v>
      </c>
      <c r="N22" s="31">
        <f t="shared" si="6"/>
        <v>4704.0124999999998</v>
      </c>
      <c r="O22" s="31">
        <f t="shared" si="6"/>
        <v>4303.6949999999997</v>
      </c>
      <c r="P22" s="31">
        <f t="shared" si="6"/>
        <v>2303.4549999999999</v>
      </c>
      <c r="Q22" s="31">
        <f>'C-10IntSyn'!E22</f>
        <v>-29052.012938634631</v>
      </c>
      <c r="R22" s="31">
        <f t="shared" ref="R22:W22" si="7">R20*$D$28</f>
        <v>0</v>
      </c>
      <c r="S22" s="31">
        <f t="shared" si="7"/>
        <v>2135.9250000000002</v>
      </c>
      <c r="T22" s="31">
        <f t="shared" si="7"/>
        <v>0</v>
      </c>
      <c r="U22" s="31">
        <f t="shared" si="7"/>
        <v>0</v>
      </c>
      <c r="V22" s="31">
        <f t="shared" si="7"/>
        <v>0</v>
      </c>
      <c r="W22" s="31">
        <f t="shared" si="7"/>
        <v>0</v>
      </c>
    </row>
    <row r="23" spans="1:25">
      <c r="A23" s="20">
        <f t="shared" si="0"/>
        <v>12</v>
      </c>
      <c r="C23" s="2" t="s">
        <v>273</v>
      </c>
      <c r="F23" s="32">
        <f>SUM(H23:AA23)</f>
        <v>735797.03923076077</v>
      </c>
      <c r="G23" s="18"/>
      <c r="H23" s="32">
        <f t="shared" ref="H23:W23" si="8">H21+H22</f>
        <v>525559.32493400085</v>
      </c>
      <c r="I23" s="32">
        <f t="shared" si="8"/>
        <v>288869.63749999995</v>
      </c>
      <c r="J23" s="32">
        <f t="shared" si="8"/>
        <v>276285.97172500001</v>
      </c>
      <c r="K23" s="32">
        <f t="shared" si="8"/>
        <v>348621.74225000001</v>
      </c>
      <c r="L23" s="32">
        <f t="shared" si="8"/>
        <v>47805.4401190875</v>
      </c>
      <c r="M23" s="32">
        <f t="shared" si="8"/>
        <v>446.57889999999998</v>
      </c>
      <c r="N23" s="32">
        <f t="shared" si="8"/>
        <v>21676.944875000001</v>
      </c>
      <c r="O23" s="32">
        <f t="shared" si="8"/>
        <v>19832.209049999998</v>
      </c>
      <c r="P23" s="32">
        <f t="shared" si="8"/>
        <v>10614.739449999999</v>
      </c>
      <c r="Q23" s="32">
        <f t="shared" si="8"/>
        <v>-133876.95780539906</v>
      </c>
      <c r="R23" s="32">
        <f t="shared" si="8"/>
        <v>-679881.32251692866</v>
      </c>
      <c r="S23" s="32">
        <f t="shared" si="8"/>
        <v>9842.7307499999988</v>
      </c>
      <c r="T23" s="32">
        <f t="shared" si="8"/>
        <v>0</v>
      </c>
      <c r="U23" s="32">
        <f t="shared" si="8"/>
        <v>0</v>
      </c>
      <c r="V23" s="32">
        <f t="shared" si="8"/>
        <v>0</v>
      </c>
      <c r="W23" s="32">
        <f t="shared" si="8"/>
        <v>0</v>
      </c>
    </row>
    <row r="24" spans="1:25">
      <c r="A24" s="20">
        <f>A23+1</f>
        <v>13</v>
      </c>
      <c r="C24" s="2" t="s">
        <v>42</v>
      </c>
      <c r="F24" s="32">
        <f t="shared" ref="F24" si="9">SUM(H24:AA24)</f>
        <v>-5378053.1069641029</v>
      </c>
      <c r="G24" s="18"/>
      <c r="H24" s="18">
        <f t="shared" ref="H24:W24" si="10">H19+H23</f>
        <v>-1548062.0005108633</v>
      </c>
      <c r="I24" s="77">
        <f t="shared" si="10"/>
        <v>-850880.36250000005</v>
      </c>
      <c r="J24" s="18">
        <f t="shared" si="10"/>
        <v>-813814.52827499993</v>
      </c>
      <c r="K24" s="18">
        <f t="shared" si="10"/>
        <v>-1026883.25775</v>
      </c>
      <c r="L24" s="18">
        <f t="shared" si="10"/>
        <v>-140813.38063091252</v>
      </c>
      <c r="M24" s="18">
        <f t="shared" si="10"/>
        <v>-1315.4211</v>
      </c>
      <c r="N24" s="18">
        <f t="shared" si="10"/>
        <v>-63850.555124999999</v>
      </c>
      <c r="O24" s="18">
        <f t="shared" si="10"/>
        <v>-58416.790950000002</v>
      </c>
      <c r="P24" s="18">
        <f t="shared" si="10"/>
        <v>-31266.260549999999</v>
      </c>
      <c r="Q24" s="18">
        <f t="shared" si="10"/>
        <v>-133876.95780539906</v>
      </c>
      <c r="R24" s="77">
        <f t="shared" si="10"/>
        <v>-679881.32251692866</v>
      </c>
      <c r="S24" s="77">
        <f t="shared" si="10"/>
        <v>-28992.269250000001</v>
      </c>
      <c r="T24" s="77">
        <f t="shared" si="10"/>
        <v>0</v>
      </c>
      <c r="U24" s="77">
        <f t="shared" si="10"/>
        <v>0</v>
      </c>
      <c r="V24" s="77">
        <f t="shared" si="10"/>
        <v>0</v>
      </c>
      <c r="W24" s="77">
        <f t="shared" si="10"/>
        <v>0</v>
      </c>
    </row>
    <row r="25" spans="1:25" ht="13.5" thickBot="1">
      <c r="A25" s="20">
        <f t="shared" si="0"/>
        <v>14</v>
      </c>
      <c r="C25" s="2" t="s">
        <v>43</v>
      </c>
      <c r="F25" s="29">
        <f>SUM(H25:AA25)</f>
        <v>5378053.1069641029</v>
      </c>
      <c r="G25" s="18"/>
      <c r="H25" s="35">
        <f t="shared" ref="H25:W25" si="11">H20-H23</f>
        <v>1548062.0005108633</v>
      </c>
      <c r="I25" s="96">
        <f t="shared" si="11"/>
        <v>850880.36250000005</v>
      </c>
      <c r="J25" s="35">
        <f t="shared" si="11"/>
        <v>813814.52827499993</v>
      </c>
      <c r="K25" s="35">
        <f t="shared" si="11"/>
        <v>1026883.25775</v>
      </c>
      <c r="L25" s="35">
        <f t="shared" si="11"/>
        <v>140813.38063091252</v>
      </c>
      <c r="M25" s="35">
        <f t="shared" si="11"/>
        <v>1315.4211</v>
      </c>
      <c r="N25" s="35">
        <f t="shared" si="11"/>
        <v>63850.555124999999</v>
      </c>
      <c r="O25" s="35">
        <f t="shared" si="11"/>
        <v>58416.790950000002</v>
      </c>
      <c r="P25" s="35">
        <f t="shared" si="11"/>
        <v>31266.260549999999</v>
      </c>
      <c r="Q25" s="35">
        <f t="shared" si="11"/>
        <v>133876.95780539906</v>
      </c>
      <c r="R25" s="96">
        <f t="shared" si="11"/>
        <v>679881.32251692866</v>
      </c>
      <c r="S25" s="96">
        <f t="shared" si="11"/>
        <v>28992.269250000001</v>
      </c>
      <c r="T25" s="96">
        <f t="shared" si="11"/>
        <v>0</v>
      </c>
      <c r="U25" s="96">
        <f t="shared" si="11"/>
        <v>0</v>
      </c>
      <c r="V25" s="96">
        <f t="shared" si="11"/>
        <v>0</v>
      </c>
      <c r="W25" s="96">
        <f t="shared" si="11"/>
        <v>0</v>
      </c>
    </row>
    <row r="26" spans="1:25" ht="13.5" thickTop="1"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5">
      <c r="A27" s="41" t="s">
        <v>11</v>
      </c>
      <c r="B27" s="28"/>
      <c r="C27" s="28"/>
      <c r="D27" s="28"/>
      <c r="E27" s="28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5">
      <c r="A28" s="55" t="s">
        <v>358</v>
      </c>
      <c r="D28" s="37">
        <v>5.5E-2</v>
      </c>
      <c r="G28" s="18"/>
      <c r="H28" s="18"/>
      <c r="I28" s="18"/>
      <c r="J28" s="18"/>
      <c r="K28" s="18"/>
      <c r="L28" s="18"/>
      <c r="M28" s="18"/>
      <c r="N28" s="39"/>
      <c r="O28" s="18"/>
      <c r="P28" s="18"/>
      <c r="Q28" s="18"/>
      <c r="R28" s="18"/>
      <c r="S28" s="18"/>
      <c r="T28" s="18"/>
      <c r="U28" s="18"/>
    </row>
    <row r="29" spans="1:25">
      <c r="A29" s="2" t="s">
        <v>274</v>
      </c>
      <c r="D29" s="37">
        <v>0.21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5">
      <c r="C30" s="2" t="s">
        <v>359</v>
      </c>
      <c r="D30" s="3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5">
      <c r="D31" s="37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5">
      <c r="D32" s="3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4:21"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4:21">
      <c r="D34" s="37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4:21">
      <c r="D35" s="3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4:21">
      <c r="D36" s="3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46" spans="4:21">
      <c r="H46" s="16">
        <f t="shared" ref="H46:T46" si="12">H$25</f>
        <v>1548062.0005108633</v>
      </c>
      <c r="I46" s="16">
        <f t="shared" si="12"/>
        <v>850880.36250000005</v>
      </c>
      <c r="J46" s="16">
        <f t="shared" si="12"/>
        <v>813814.52827499993</v>
      </c>
      <c r="K46" s="16">
        <f t="shared" si="12"/>
        <v>1026883.25775</v>
      </c>
      <c r="L46" s="16">
        <f t="shared" si="12"/>
        <v>140813.38063091252</v>
      </c>
      <c r="M46" s="16">
        <f t="shared" si="12"/>
        <v>1315.4211</v>
      </c>
      <c r="N46" s="16">
        <f t="shared" si="12"/>
        <v>63850.555124999999</v>
      </c>
      <c r="O46" s="16">
        <f t="shared" si="12"/>
        <v>58416.790950000002</v>
      </c>
      <c r="P46" s="16">
        <f t="shared" si="12"/>
        <v>31266.260549999999</v>
      </c>
      <c r="Q46" s="16">
        <f t="shared" si="12"/>
        <v>133876.95780539906</v>
      </c>
      <c r="R46" s="16">
        <f t="shared" si="12"/>
        <v>679881.32251692866</v>
      </c>
      <c r="S46" s="16">
        <f t="shared" si="12"/>
        <v>28992.269250000001</v>
      </c>
      <c r="T46" s="16">
        <f t="shared" si="12"/>
        <v>0</v>
      </c>
    </row>
    <row r="51" spans="3:3" hidden="1">
      <c r="C51" s="2">
        <v>1</v>
      </c>
    </row>
    <row r="52" spans="3:3" hidden="1"/>
    <row r="53" spans="3:3" hidden="1"/>
    <row r="54" spans="3:3" hidden="1"/>
  </sheetData>
  <pageMargins left="0.7" right="0.7" top="0.75" bottom="0.75" header="0.73" footer="0.3"/>
  <pageSetup scale="80" fitToHeight="0" orientation="landscape" r:id="rId1"/>
  <colBreaks count="1" manualBreakCount="1">
    <brk id="14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66"/>
  <sheetViews>
    <sheetView zoomScaleNormal="100" zoomScaleSheetLayoutView="100" workbookViewId="0">
      <selection activeCell="H5" sqref="H5"/>
    </sheetView>
  </sheetViews>
  <sheetFormatPr defaultRowHeight="12.75"/>
  <cols>
    <col min="1" max="1" width="4.85546875" style="2" customWidth="1"/>
    <col min="2" max="2" width="1.28515625" style="2" customWidth="1"/>
    <col min="3" max="3" width="32.5703125" style="2" customWidth="1"/>
    <col min="4" max="4" width="1.42578125" style="2" customWidth="1"/>
    <col min="5" max="5" width="17" style="2" bestFit="1" customWidth="1"/>
    <col min="6" max="6" width="1.28515625" style="2" customWidth="1"/>
    <col min="7" max="7" width="15.7109375" style="2" customWidth="1"/>
    <col min="8" max="8" width="1.7109375" style="2" customWidth="1"/>
    <col min="9" max="9" width="15.42578125" style="2" customWidth="1"/>
    <col min="10" max="10" width="1.42578125" style="2" customWidth="1"/>
    <col min="11" max="11" width="11.5703125" style="2" customWidth="1"/>
    <col min="12" max="12" width="1.5703125" style="2" customWidth="1"/>
    <col min="13" max="13" width="15.28515625" style="2" customWidth="1"/>
    <col min="14" max="14" width="1.42578125" style="2" customWidth="1"/>
    <col min="15" max="15" width="16.42578125" style="2" customWidth="1"/>
    <col min="16" max="16" width="2.42578125" style="2" customWidth="1"/>
    <col min="17" max="17" width="13.28515625" style="2" customWidth="1"/>
    <col min="18" max="18" width="1.5703125" style="2" customWidth="1"/>
    <col min="19" max="19" width="9.7109375" style="2" customWidth="1"/>
    <col min="20" max="20" width="2" style="2" customWidth="1"/>
    <col min="21" max="21" width="9.28515625" style="2" bestFit="1" customWidth="1"/>
    <col min="22" max="16384" width="9.140625" style="2"/>
  </cols>
  <sheetData>
    <row r="1" spans="1:22">
      <c r="A1" s="2" t="str">
        <f>A!$A$1</f>
        <v>Florida Public Utilities Company Consolidated Gas</v>
      </c>
      <c r="C1" s="21"/>
      <c r="D1" s="22"/>
      <c r="E1" s="34"/>
      <c r="F1" s="23"/>
      <c r="N1" s="123"/>
      <c r="U1" s="33" t="str">
        <f>Contents!A2</f>
        <v>Docket No. 20220067-GU</v>
      </c>
    </row>
    <row r="2" spans="1:22">
      <c r="A2" s="2" t="s">
        <v>37</v>
      </c>
      <c r="C2" s="24"/>
      <c r="D2" s="23"/>
      <c r="E2" s="23"/>
      <c r="F2" s="20"/>
      <c r="N2" s="123"/>
      <c r="U2" s="33" t="str">
        <f>A!K2</f>
        <v>Exhibit RCS-2R</v>
      </c>
    </row>
    <row r="3" spans="1:22">
      <c r="C3" s="25"/>
      <c r="U3" s="33" t="s">
        <v>38</v>
      </c>
    </row>
    <row r="4" spans="1:22">
      <c r="A4" s="23" t="str">
        <f>A!$A$4</f>
        <v>Projected Test Year Ended December 31, 2023</v>
      </c>
      <c r="C4" s="26"/>
      <c r="D4" s="23"/>
      <c r="Q4" s="123"/>
      <c r="U4" s="33" t="s">
        <v>39</v>
      </c>
    </row>
    <row r="5" spans="1:22">
      <c r="C5" s="21"/>
      <c r="D5" s="23"/>
      <c r="M5" s="20" t="s">
        <v>172</v>
      </c>
      <c r="U5" s="33" t="s">
        <v>102</v>
      </c>
    </row>
    <row r="6" spans="1:22">
      <c r="E6" s="20" t="s">
        <v>169</v>
      </c>
      <c r="G6" s="20"/>
      <c r="M6" s="20" t="s">
        <v>14</v>
      </c>
      <c r="N6" s="20"/>
      <c r="O6" s="20"/>
      <c r="U6" s="20"/>
    </row>
    <row r="7" spans="1:22">
      <c r="A7" s="2" t="s">
        <v>0</v>
      </c>
      <c r="E7" s="20" t="s">
        <v>171</v>
      </c>
      <c r="F7" s="20"/>
      <c r="G7" s="20" t="s">
        <v>337</v>
      </c>
      <c r="H7" s="20"/>
      <c r="I7" s="20" t="s">
        <v>123</v>
      </c>
      <c r="J7" s="20"/>
      <c r="K7" s="20" t="s">
        <v>561</v>
      </c>
      <c r="L7" s="20"/>
      <c r="M7" s="20" t="s">
        <v>562</v>
      </c>
      <c r="N7" s="20"/>
      <c r="O7" s="20" t="s">
        <v>123</v>
      </c>
      <c r="P7" s="20"/>
      <c r="Q7" s="20"/>
      <c r="R7" s="20"/>
      <c r="S7" s="20" t="s">
        <v>4</v>
      </c>
      <c r="T7" s="20"/>
      <c r="U7" s="20" t="s">
        <v>173</v>
      </c>
      <c r="V7" s="20"/>
    </row>
    <row r="8" spans="1:22">
      <c r="A8" s="28" t="s">
        <v>1</v>
      </c>
      <c r="C8" s="28" t="s">
        <v>2</v>
      </c>
      <c r="E8" s="27" t="s">
        <v>7</v>
      </c>
      <c r="F8" s="20"/>
      <c r="G8" s="27" t="s">
        <v>336</v>
      </c>
      <c r="H8" s="20"/>
      <c r="I8" s="27" t="s">
        <v>174</v>
      </c>
      <c r="J8" s="20"/>
      <c r="K8" s="27" t="s">
        <v>14</v>
      </c>
      <c r="L8" s="20"/>
      <c r="M8" s="27" t="s">
        <v>560</v>
      </c>
      <c r="N8" s="20"/>
      <c r="O8" s="27" t="s">
        <v>174</v>
      </c>
      <c r="P8" s="20"/>
      <c r="Q8" s="27" t="s">
        <v>175</v>
      </c>
      <c r="R8" s="20"/>
      <c r="S8" s="27" t="s">
        <v>36</v>
      </c>
      <c r="T8" s="20"/>
      <c r="U8" s="27" t="s">
        <v>176</v>
      </c>
      <c r="V8" s="20"/>
    </row>
    <row r="9" spans="1:22">
      <c r="E9" s="20" t="s">
        <v>9</v>
      </c>
      <c r="F9" s="20"/>
      <c r="G9" s="20" t="s">
        <v>10</v>
      </c>
      <c r="H9" s="20"/>
      <c r="I9" s="20" t="s">
        <v>26</v>
      </c>
      <c r="J9" s="20"/>
      <c r="K9" s="20" t="s">
        <v>27</v>
      </c>
      <c r="L9" s="20"/>
      <c r="M9" s="20" t="s">
        <v>28</v>
      </c>
      <c r="N9" s="20"/>
      <c r="O9" s="20" t="s">
        <v>29</v>
      </c>
      <c r="P9" s="20"/>
      <c r="Q9" s="20" t="s">
        <v>82</v>
      </c>
      <c r="R9" s="20"/>
      <c r="S9" s="20" t="s">
        <v>177</v>
      </c>
      <c r="T9" s="20"/>
      <c r="U9" s="20" t="s">
        <v>460</v>
      </c>
    </row>
    <row r="10" spans="1:22">
      <c r="C10" s="124" t="s">
        <v>142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2">
      <c r="A11" s="20">
        <v>1</v>
      </c>
      <c r="C11" s="2" t="s">
        <v>181</v>
      </c>
      <c r="E11" s="18">
        <v>205350391.17442971</v>
      </c>
      <c r="F11" s="18"/>
      <c r="G11" s="77"/>
      <c r="H11" s="77"/>
      <c r="I11" s="77">
        <f t="shared" ref="I11:I18" si="0">SUM(E11:G11)</f>
        <v>205350391.17442971</v>
      </c>
      <c r="J11" s="77"/>
      <c r="K11" s="77"/>
      <c r="L11" s="77"/>
      <c r="M11" s="77"/>
      <c r="N11" s="77"/>
      <c r="O11" s="77">
        <f>SUM(I11:M11)</f>
        <v>205350391.17442971</v>
      </c>
      <c r="Q11" s="87">
        <f>I11/$I$19</f>
        <v>0.45143150211591743</v>
      </c>
      <c r="R11" s="20"/>
      <c r="S11" s="87">
        <v>0.1125</v>
      </c>
      <c r="T11" s="87"/>
      <c r="U11" s="87">
        <f>ROUND(Q11*S11,4)</f>
        <v>5.0799999999999998E-2</v>
      </c>
    </row>
    <row r="12" spans="1:22">
      <c r="A12" s="20">
        <f>A11+1</f>
        <v>2</v>
      </c>
      <c r="C12" s="2" t="s">
        <v>178</v>
      </c>
      <c r="E12" s="18">
        <v>148546502.45842066</v>
      </c>
      <c r="F12" s="18"/>
      <c r="G12" s="77"/>
      <c r="H12" s="77"/>
      <c r="I12" s="77">
        <f t="shared" si="0"/>
        <v>148546502.45842066</v>
      </c>
      <c r="J12" s="77"/>
      <c r="K12" s="77"/>
      <c r="L12" s="77"/>
      <c r="M12" s="77"/>
      <c r="N12" s="77"/>
      <c r="O12" s="77">
        <f t="shared" ref="O12:O18" si="1">SUM(I12:M12)</f>
        <v>148546502.45842066</v>
      </c>
      <c r="Q12" s="87">
        <f t="shared" ref="Q12:Q18" si="2">I12/$I$19</f>
        <v>0.32655682005450598</v>
      </c>
      <c r="R12" s="20"/>
      <c r="S12" s="87">
        <v>3.4799999999999998E-2</v>
      </c>
      <c r="T12" s="87"/>
      <c r="U12" s="87">
        <f>ROUND(Q12*S12,4)</f>
        <v>1.14E-2</v>
      </c>
    </row>
    <row r="13" spans="1:22">
      <c r="A13" s="20">
        <f t="shared" ref="A13:A19" si="3">A12+1</f>
        <v>3</v>
      </c>
      <c r="C13" s="2" t="s">
        <v>179</v>
      </c>
      <c r="E13" s="18">
        <v>20789980.097410835</v>
      </c>
      <c r="F13" s="18"/>
      <c r="G13" s="77"/>
      <c r="H13" s="77"/>
      <c r="I13" s="77">
        <f t="shared" si="0"/>
        <v>20789980.097410835</v>
      </c>
      <c r="J13" s="77"/>
      <c r="K13" s="77"/>
      <c r="L13" s="77"/>
      <c r="M13" s="77"/>
      <c r="N13" s="77"/>
      <c r="O13" s="77">
        <f t="shared" si="1"/>
        <v>20789980.097410835</v>
      </c>
      <c r="Q13" s="87">
        <f t="shared" si="2"/>
        <v>4.5703599056512799E-2</v>
      </c>
      <c r="R13" s="20"/>
      <c r="S13" s="87">
        <v>3.2800000000000003E-2</v>
      </c>
      <c r="T13" s="87"/>
      <c r="U13" s="87">
        <f>ROUND(Q13*S13,4)</f>
        <v>1.5E-3</v>
      </c>
    </row>
    <row r="14" spans="1:22">
      <c r="A14" s="20">
        <f t="shared" si="3"/>
        <v>4</v>
      </c>
      <c r="C14" s="2" t="s">
        <v>114</v>
      </c>
      <c r="E14" s="18">
        <v>10782475</v>
      </c>
      <c r="F14" s="18"/>
      <c r="G14" s="77"/>
      <c r="H14" s="77"/>
      <c r="I14" s="77">
        <f t="shared" si="0"/>
        <v>10782475</v>
      </c>
      <c r="J14" s="77"/>
      <c r="K14" s="77"/>
      <c r="L14" s="77"/>
      <c r="M14" s="77"/>
      <c r="N14" s="77"/>
      <c r="O14" s="77">
        <f t="shared" si="1"/>
        <v>10782475</v>
      </c>
      <c r="Q14" s="87">
        <f t="shared" si="2"/>
        <v>2.3703626070245513E-2</v>
      </c>
      <c r="R14" s="20"/>
      <c r="S14" s="87">
        <v>2.3651168678805193E-2</v>
      </c>
      <c r="T14" s="87"/>
      <c r="U14" s="87">
        <f>ROUND(Q14*S14,4)</f>
        <v>5.9999999999999995E-4</v>
      </c>
    </row>
    <row r="15" spans="1:22">
      <c r="A15" s="20">
        <f t="shared" si="3"/>
        <v>5</v>
      </c>
      <c r="C15" s="2" t="s">
        <v>275</v>
      </c>
      <c r="E15" s="18">
        <v>42152612.993076921</v>
      </c>
      <c r="F15" s="18"/>
      <c r="G15" s="77"/>
      <c r="H15" s="77"/>
      <c r="I15" s="77">
        <f t="shared" si="0"/>
        <v>42152612.993076921</v>
      </c>
      <c r="J15" s="77"/>
      <c r="K15" s="77"/>
      <c r="L15" s="77"/>
      <c r="M15" s="77"/>
      <c r="N15" s="77"/>
      <c r="O15" s="77">
        <f t="shared" si="1"/>
        <v>42152612.993076921</v>
      </c>
      <c r="Q15" s="87">
        <f t="shared" si="2"/>
        <v>9.266608791318022E-2</v>
      </c>
      <c r="R15" s="20"/>
      <c r="S15" s="87">
        <v>0</v>
      </c>
      <c r="T15" s="87"/>
      <c r="U15" s="87">
        <f t="shared" ref="U15:U18" si="4">Q15*S15</f>
        <v>0</v>
      </c>
    </row>
    <row r="16" spans="1:22">
      <c r="A16" s="20">
        <f t="shared" si="3"/>
        <v>6</v>
      </c>
      <c r="C16" s="2" t="s">
        <v>276</v>
      </c>
      <c r="E16" s="18">
        <v>79590.588062999988</v>
      </c>
      <c r="F16" s="18"/>
      <c r="G16" s="77"/>
      <c r="H16" s="77"/>
      <c r="I16" s="77">
        <f t="shared" si="0"/>
        <v>79590.588062999988</v>
      </c>
      <c r="J16" s="77"/>
      <c r="K16" s="77"/>
      <c r="L16" s="77"/>
      <c r="M16" s="77"/>
      <c r="N16" s="77"/>
      <c r="O16" s="77">
        <f t="shared" si="1"/>
        <v>79590.588062999988</v>
      </c>
      <c r="Q16" s="87">
        <f t="shared" si="2"/>
        <v>1.7496776372366251E-4</v>
      </c>
      <c r="R16" s="20"/>
      <c r="S16" s="87">
        <v>0</v>
      </c>
      <c r="T16" s="87"/>
      <c r="U16" s="87">
        <f t="shared" si="4"/>
        <v>0</v>
      </c>
    </row>
    <row r="17" spans="1:22">
      <c r="A17" s="20">
        <f t="shared" si="3"/>
        <v>7</v>
      </c>
      <c r="C17" s="2" t="s">
        <v>277</v>
      </c>
      <c r="E17" s="30">
        <v>27159827.249999981</v>
      </c>
      <c r="F17" s="30"/>
      <c r="G17" s="99"/>
      <c r="H17" s="99"/>
      <c r="I17" s="99">
        <f t="shared" si="0"/>
        <v>27159827.249999981</v>
      </c>
      <c r="J17" s="99"/>
      <c r="K17" s="99"/>
      <c r="L17" s="99"/>
      <c r="M17" s="99"/>
      <c r="N17" s="99"/>
      <c r="O17" s="99">
        <f t="shared" si="1"/>
        <v>27159827.249999981</v>
      </c>
      <c r="Q17" s="87">
        <f t="shared" si="2"/>
        <v>5.9706736094121624E-2</v>
      </c>
      <c r="R17" s="20"/>
      <c r="S17" s="87">
        <v>0</v>
      </c>
      <c r="T17" s="87"/>
      <c r="U17" s="87">
        <f t="shared" si="4"/>
        <v>0</v>
      </c>
    </row>
    <row r="18" spans="1:22">
      <c r="A18" s="20">
        <f t="shared" si="3"/>
        <v>8</v>
      </c>
      <c r="C18" s="2" t="s">
        <v>278</v>
      </c>
      <c r="E18" s="30">
        <v>25774.329999999998</v>
      </c>
      <c r="F18" s="18"/>
      <c r="G18" s="99"/>
      <c r="H18" s="77"/>
      <c r="I18" s="99">
        <f t="shared" si="0"/>
        <v>25774.329999999998</v>
      </c>
      <c r="J18" s="77"/>
      <c r="K18" s="77"/>
      <c r="L18" s="77"/>
      <c r="M18" s="99"/>
      <c r="N18" s="77"/>
      <c r="O18" s="99">
        <f t="shared" si="1"/>
        <v>25774.329999999998</v>
      </c>
      <c r="Q18" s="87">
        <f t="shared" si="2"/>
        <v>5.6660931792664582E-5</v>
      </c>
      <c r="R18" s="20"/>
      <c r="S18" s="87">
        <v>0</v>
      </c>
      <c r="T18" s="87"/>
      <c r="U18" s="87">
        <f t="shared" si="4"/>
        <v>0</v>
      </c>
    </row>
    <row r="19" spans="1:22" ht="13.5" thickBot="1">
      <c r="A19" s="20">
        <f t="shared" si="3"/>
        <v>9</v>
      </c>
      <c r="C19" s="2" t="s">
        <v>33</v>
      </c>
      <c r="E19" s="119">
        <f>SUM(E11:E18)</f>
        <v>454887153.89140117</v>
      </c>
      <c r="F19" s="18"/>
      <c r="G19" s="119">
        <f>SUM(G11:G17)</f>
        <v>0</v>
      </c>
      <c r="H19" s="77"/>
      <c r="I19" s="119">
        <f>SUM(I11:I18)</f>
        <v>454887153.89140117</v>
      </c>
      <c r="J19" s="77"/>
      <c r="K19" s="119">
        <f>SUM(K11:K18)</f>
        <v>0</v>
      </c>
      <c r="L19" s="77"/>
      <c r="M19" s="119">
        <f>SUM(M11:M18)</f>
        <v>0</v>
      </c>
      <c r="N19" s="77"/>
      <c r="O19" s="119">
        <f>SUM(O11:O18)</f>
        <v>454887153.89140117</v>
      </c>
      <c r="Q19" s="176">
        <f>SUM(Q11:Q18)</f>
        <v>0.99999999999999978</v>
      </c>
      <c r="R19" s="20"/>
      <c r="S19" s="87"/>
      <c r="T19" s="87"/>
      <c r="U19" s="176">
        <f>SUM(U11:U18)</f>
        <v>6.4299999999999996E-2</v>
      </c>
      <c r="V19" s="40"/>
    </row>
    <row r="20" spans="1:22" ht="13.5" thickTop="1">
      <c r="A20" s="20"/>
      <c r="E20" s="118"/>
      <c r="F20" s="36"/>
      <c r="G20" s="118"/>
      <c r="H20" s="95"/>
      <c r="I20" s="95"/>
      <c r="J20" s="95"/>
      <c r="K20" s="95"/>
      <c r="L20" s="95"/>
      <c r="M20" s="118"/>
      <c r="N20" s="95"/>
      <c r="O20" s="118"/>
      <c r="P20" s="20"/>
      <c r="Q20" s="20"/>
      <c r="R20" s="20"/>
      <c r="S20" s="20"/>
      <c r="T20" s="20"/>
      <c r="U20" s="20"/>
    </row>
    <row r="21" spans="1:22">
      <c r="A21" s="20"/>
      <c r="E21" s="118"/>
      <c r="F21" s="36"/>
      <c r="G21" s="118"/>
      <c r="H21" s="95"/>
      <c r="I21" s="95"/>
      <c r="J21" s="95"/>
      <c r="K21" s="95"/>
      <c r="L21" s="95"/>
      <c r="M21" s="118"/>
      <c r="N21" s="95"/>
      <c r="O21" s="118"/>
      <c r="P21" s="20"/>
      <c r="Q21" s="20"/>
      <c r="R21" s="20"/>
      <c r="S21" s="20"/>
      <c r="T21" s="20"/>
      <c r="U21" s="20"/>
    </row>
    <row r="22" spans="1:22">
      <c r="A22" s="20"/>
      <c r="E22" s="118"/>
      <c r="F22" s="36"/>
      <c r="G22" s="118"/>
      <c r="H22" s="95"/>
      <c r="I22" s="95"/>
      <c r="J22" s="95"/>
      <c r="K22" s="95"/>
      <c r="L22" s="95"/>
      <c r="M22" s="20" t="s">
        <v>172</v>
      </c>
      <c r="N22" s="95"/>
      <c r="O22" s="118"/>
      <c r="P22" s="20"/>
      <c r="Q22" s="20"/>
      <c r="R22" s="20"/>
      <c r="S22" s="20"/>
      <c r="T22" s="20"/>
      <c r="U22" s="20"/>
    </row>
    <row r="23" spans="1:22">
      <c r="A23" s="20"/>
      <c r="E23" s="20" t="s">
        <v>169</v>
      </c>
      <c r="G23" s="20" t="s">
        <v>167</v>
      </c>
      <c r="M23" s="20" t="s">
        <v>14</v>
      </c>
      <c r="N23" s="20"/>
      <c r="O23" s="20" t="s">
        <v>170</v>
      </c>
      <c r="U23" s="20"/>
    </row>
    <row r="24" spans="1:22">
      <c r="A24" s="20"/>
      <c r="E24" s="20" t="s">
        <v>171</v>
      </c>
      <c r="F24" s="20"/>
      <c r="G24" s="20" t="s">
        <v>337</v>
      </c>
      <c r="H24" s="20"/>
      <c r="I24" s="20" t="s">
        <v>123</v>
      </c>
      <c r="J24" s="20"/>
      <c r="K24" s="20" t="s">
        <v>561</v>
      </c>
      <c r="L24" s="20"/>
      <c r="M24" s="20" t="s">
        <v>562</v>
      </c>
      <c r="N24" s="20"/>
      <c r="O24" s="20" t="s">
        <v>123</v>
      </c>
      <c r="P24" s="20"/>
      <c r="Q24" s="20"/>
      <c r="R24" s="20"/>
      <c r="S24" s="20" t="s">
        <v>4</v>
      </c>
      <c r="T24" s="20"/>
      <c r="U24" s="20" t="s">
        <v>173</v>
      </c>
    </row>
    <row r="25" spans="1:22">
      <c r="A25" s="20"/>
      <c r="C25" s="28" t="s">
        <v>170</v>
      </c>
      <c r="E25" s="27" t="s">
        <v>7</v>
      </c>
      <c r="F25" s="20"/>
      <c r="G25" s="27" t="s">
        <v>336</v>
      </c>
      <c r="H25" s="20"/>
      <c r="I25" s="27" t="s">
        <v>174</v>
      </c>
      <c r="J25" s="20"/>
      <c r="K25" s="27" t="s">
        <v>14</v>
      </c>
      <c r="L25" s="20"/>
      <c r="M25" s="27" t="s">
        <v>560</v>
      </c>
      <c r="N25" s="20"/>
      <c r="O25" s="27" t="s">
        <v>174</v>
      </c>
      <c r="P25" s="20"/>
      <c r="Q25" s="27" t="s">
        <v>175</v>
      </c>
      <c r="R25" s="20"/>
      <c r="S25" s="27" t="s">
        <v>36</v>
      </c>
      <c r="T25" s="20"/>
      <c r="U25" s="27" t="s">
        <v>176</v>
      </c>
    </row>
    <row r="26" spans="1:22">
      <c r="A26" s="20">
        <f>A19+1</f>
        <v>10</v>
      </c>
      <c r="C26" s="2" t="s">
        <v>181</v>
      </c>
      <c r="E26" s="18">
        <f t="shared" ref="E26:E33" si="5">E11</f>
        <v>205350391.17442971</v>
      </c>
      <c r="F26" s="18"/>
      <c r="G26" s="77">
        <f>M41</f>
        <v>-24898365.11103927</v>
      </c>
      <c r="H26" s="77"/>
      <c r="I26" s="77">
        <f>SUM(E26:G26)</f>
        <v>180452026.06339043</v>
      </c>
      <c r="J26" s="77"/>
      <c r="K26" s="77"/>
      <c r="L26" s="77"/>
      <c r="M26" s="77">
        <f>$G$50*Q26</f>
        <v>-7857394.213140985</v>
      </c>
      <c r="N26" s="77"/>
      <c r="O26" s="77">
        <f>SUM(I26:M26)</f>
        <v>172594631.85024944</v>
      </c>
      <c r="Q26" s="87">
        <f>I26/$I$34</f>
        <v>0.39669624547469895</v>
      </c>
      <c r="R26" s="20"/>
      <c r="S26" s="177">
        <v>9.2499999999999999E-2</v>
      </c>
      <c r="T26" s="87"/>
      <c r="U26" s="87">
        <f>Q26*S26</f>
        <v>3.6694402706409654E-2</v>
      </c>
    </row>
    <row r="27" spans="1:22">
      <c r="A27" s="20">
        <f t="shared" ref="A27:A34" si="6">A26+1</f>
        <v>11</v>
      </c>
      <c r="C27" s="2" t="s">
        <v>178</v>
      </c>
      <c r="E27" s="18">
        <f t="shared" si="5"/>
        <v>148546502.45842066</v>
      </c>
      <c r="F27" s="18"/>
      <c r="G27" s="77">
        <f>M42</f>
        <v>24898365.111039307</v>
      </c>
      <c r="H27" s="77"/>
      <c r="I27" s="77">
        <f t="shared" ref="I27:I33" si="7">SUM(E27:G27)</f>
        <v>173444867.56945997</v>
      </c>
      <c r="J27" s="77"/>
      <c r="K27" s="77"/>
      <c r="L27" s="77"/>
      <c r="M27" s="77">
        <f>$G$50*Q27</f>
        <v>-7552282.6120031299</v>
      </c>
      <c r="N27" s="77"/>
      <c r="O27" s="77">
        <f t="shared" ref="O27:O33" si="8">SUM(I27:M27)</f>
        <v>165892584.95745686</v>
      </c>
      <c r="Q27" s="87">
        <f t="shared" ref="Q27:Q33" si="9">I27/$I$34</f>
        <v>0.38129207669572451</v>
      </c>
      <c r="R27" s="20"/>
      <c r="S27" s="87">
        <f t="shared" ref="S27:S33" si="10">S12</f>
        <v>3.4799999999999998E-2</v>
      </c>
      <c r="T27" s="87"/>
      <c r="U27" s="87">
        <f t="shared" ref="U27:U33" si="11">Q27*S27</f>
        <v>1.3268964269011212E-2</v>
      </c>
    </row>
    <row r="28" spans="1:22">
      <c r="A28" s="20">
        <f t="shared" si="6"/>
        <v>12</v>
      </c>
      <c r="C28" s="2" t="s">
        <v>179</v>
      </c>
      <c r="E28" s="18">
        <f t="shared" si="5"/>
        <v>20789980.097410835</v>
      </c>
      <c r="F28" s="18"/>
      <c r="G28" s="77">
        <v>0</v>
      </c>
      <c r="H28" s="77"/>
      <c r="I28" s="77">
        <f t="shared" si="7"/>
        <v>20789980.097410835</v>
      </c>
      <c r="J28" s="77"/>
      <c r="K28" s="77"/>
      <c r="L28" s="77"/>
      <c r="M28" s="77">
        <f t="shared" ref="M28:M33" si="12">$G$50*Q28</f>
        <v>-905254.83627059776</v>
      </c>
      <c r="N28" s="77"/>
      <c r="O28" s="77">
        <f t="shared" si="8"/>
        <v>19884725.261140238</v>
      </c>
      <c r="Q28" s="87">
        <f t="shared" si="9"/>
        <v>4.5703599056512799E-2</v>
      </c>
      <c r="R28" s="20"/>
      <c r="S28" s="87">
        <f t="shared" si="10"/>
        <v>3.2800000000000003E-2</v>
      </c>
      <c r="T28" s="87"/>
      <c r="U28" s="87">
        <f t="shared" si="11"/>
        <v>1.4990780490536199E-3</v>
      </c>
    </row>
    <row r="29" spans="1:22">
      <c r="A29" s="20">
        <f t="shared" si="6"/>
        <v>13</v>
      </c>
      <c r="C29" s="2" t="s">
        <v>114</v>
      </c>
      <c r="E29" s="18">
        <f t="shared" si="5"/>
        <v>10782475</v>
      </c>
      <c r="F29" s="18"/>
      <c r="G29" s="77">
        <v>0</v>
      </c>
      <c r="H29" s="77"/>
      <c r="I29" s="77">
        <f t="shared" si="7"/>
        <v>10782475</v>
      </c>
      <c r="J29" s="77"/>
      <c r="K29" s="77"/>
      <c r="L29" s="77"/>
      <c r="M29" s="77">
        <f t="shared" si="12"/>
        <v>-469499.61447690008</v>
      </c>
      <c r="N29" s="77"/>
      <c r="O29" s="77">
        <f t="shared" si="8"/>
        <v>10312975.385523099</v>
      </c>
      <c r="Q29" s="87">
        <f t="shared" si="9"/>
        <v>2.3703626070245513E-2</v>
      </c>
      <c r="R29" s="20"/>
      <c r="S29" s="87">
        <f t="shared" si="10"/>
        <v>2.3651168678805193E-2</v>
      </c>
      <c r="T29" s="87"/>
      <c r="U29" s="87">
        <f t="shared" si="11"/>
        <v>5.6061845848670089E-4</v>
      </c>
    </row>
    <row r="30" spans="1:22">
      <c r="A30" s="20">
        <f t="shared" si="6"/>
        <v>14</v>
      </c>
      <c r="C30" s="2" t="s">
        <v>275</v>
      </c>
      <c r="E30" s="18">
        <f t="shared" si="5"/>
        <v>42152612.993076921</v>
      </c>
      <c r="F30" s="18"/>
      <c r="G30" s="77">
        <v>0</v>
      </c>
      <c r="H30" s="77"/>
      <c r="I30" s="77">
        <f t="shared" si="7"/>
        <v>42152612.993076921</v>
      </c>
      <c r="J30" s="77"/>
      <c r="K30" s="77"/>
      <c r="L30" s="77"/>
      <c r="M30" s="77">
        <f t="shared" si="12"/>
        <v>-1835444.6033441843</v>
      </c>
      <c r="N30" s="77"/>
      <c r="O30" s="77">
        <f t="shared" si="8"/>
        <v>40317168.389732733</v>
      </c>
      <c r="Q30" s="87">
        <f t="shared" si="9"/>
        <v>9.266608791318022E-2</v>
      </c>
      <c r="R30" s="20"/>
      <c r="S30" s="87">
        <f t="shared" si="10"/>
        <v>0</v>
      </c>
      <c r="T30" s="87"/>
      <c r="U30" s="87">
        <f t="shared" si="11"/>
        <v>0</v>
      </c>
    </row>
    <row r="31" spans="1:22">
      <c r="A31" s="20">
        <f t="shared" si="6"/>
        <v>15</v>
      </c>
      <c r="C31" s="2" t="s">
        <v>276</v>
      </c>
      <c r="E31" s="18">
        <f t="shared" si="5"/>
        <v>79590.588062999988</v>
      </c>
      <c r="F31" s="18"/>
      <c r="G31" s="77">
        <v>0</v>
      </c>
      <c r="H31" s="77"/>
      <c r="I31" s="77">
        <f t="shared" si="7"/>
        <v>79590.588062999988</v>
      </c>
      <c r="J31" s="77"/>
      <c r="K31" s="77"/>
      <c r="L31" s="77"/>
      <c r="M31" s="77">
        <f t="shared" si="12"/>
        <v>-3465.6004684980267</v>
      </c>
      <c r="N31" s="77"/>
      <c r="O31" s="77">
        <f t="shared" si="8"/>
        <v>76124.987594501959</v>
      </c>
      <c r="Q31" s="87">
        <f t="shared" si="9"/>
        <v>1.7496776372366251E-4</v>
      </c>
      <c r="R31" s="20"/>
      <c r="S31" s="87">
        <f t="shared" si="10"/>
        <v>0</v>
      </c>
      <c r="T31" s="87"/>
      <c r="U31" s="87">
        <f t="shared" si="11"/>
        <v>0</v>
      </c>
    </row>
    <row r="32" spans="1:22">
      <c r="A32" s="20">
        <f t="shared" si="6"/>
        <v>16</v>
      </c>
      <c r="C32" s="2" t="s">
        <v>277</v>
      </c>
      <c r="E32" s="18">
        <f t="shared" si="5"/>
        <v>27159827.249999981</v>
      </c>
      <c r="F32" s="18"/>
      <c r="G32" s="99">
        <v>0</v>
      </c>
      <c r="H32" s="77"/>
      <c r="I32" s="99">
        <f t="shared" si="7"/>
        <v>27159827.249999981</v>
      </c>
      <c r="J32" s="77"/>
      <c r="K32" s="77"/>
      <c r="L32" s="77"/>
      <c r="M32" s="77">
        <f t="shared" si="12"/>
        <v>-1182616.0898248497</v>
      </c>
      <c r="N32" s="77"/>
      <c r="O32" s="99">
        <f t="shared" si="8"/>
        <v>25977211.16017513</v>
      </c>
      <c r="Q32" s="87">
        <f t="shared" si="9"/>
        <v>5.9706736094121624E-2</v>
      </c>
      <c r="R32" s="20"/>
      <c r="S32" s="87">
        <f t="shared" si="10"/>
        <v>0</v>
      </c>
      <c r="T32" s="87"/>
      <c r="U32" s="87">
        <f t="shared" si="11"/>
        <v>0</v>
      </c>
    </row>
    <row r="33" spans="1:21">
      <c r="A33" s="20">
        <f t="shared" si="6"/>
        <v>17</v>
      </c>
      <c r="C33" s="2" t="s">
        <v>278</v>
      </c>
      <c r="E33" s="18">
        <f t="shared" si="5"/>
        <v>25774.329999999998</v>
      </c>
      <c r="F33" s="30"/>
      <c r="G33" s="99">
        <v>0</v>
      </c>
      <c r="H33" s="99"/>
      <c r="I33" s="99">
        <f t="shared" si="7"/>
        <v>25774.329999999998</v>
      </c>
      <c r="J33" s="99"/>
      <c r="K33" s="99"/>
      <c r="L33" s="99"/>
      <c r="M33" s="77">
        <f t="shared" si="12"/>
        <v>-1122.2876007967002</v>
      </c>
      <c r="N33" s="99"/>
      <c r="O33" s="99">
        <f t="shared" si="8"/>
        <v>24652.042399203299</v>
      </c>
      <c r="Q33" s="87">
        <f t="shared" si="9"/>
        <v>5.6660931792664582E-5</v>
      </c>
      <c r="R33" s="20"/>
      <c r="S33" s="87">
        <f t="shared" si="10"/>
        <v>0</v>
      </c>
      <c r="T33" s="87"/>
      <c r="U33" s="87">
        <f t="shared" si="11"/>
        <v>0</v>
      </c>
    </row>
    <row r="34" spans="1:21" ht="13.5" thickBot="1">
      <c r="A34" s="20">
        <f t="shared" si="6"/>
        <v>18</v>
      </c>
      <c r="C34" s="2" t="s">
        <v>33</v>
      </c>
      <c r="E34" s="119">
        <f>SUM(E26:E33)</f>
        <v>454887153.89140117</v>
      </c>
      <c r="F34" s="18"/>
      <c r="G34" s="119">
        <f>SUM(G26:G33)</f>
        <v>3.7252902984619141E-8</v>
      </c>
      <c r="H34" s="77"/>
      <c r="I34" s="119">
        <f>SUM(I26:I33)</f>
        <v>454887153.89140117</v>
      </c>
      <c r="J34" s="77"/>
      <c r="K34" s="119">
        <f>SUM(K26:K33)</f>
        <v>0</v>
      </c>
      <c r="L34" s="77"/>
      <c r="M34" s="119">
        <f>SUM(M26:M33)</f>
        <v>-19807079.857129943</v>
      </c>
      <c r="N34" s="77"/>
      <c r="O34" s="119">
        <f>SUM(O26:O33)</f>
        <v>435080074.03427118</v>
      </c>
      <c r="Q34" s="176">
        <f>SUM(Q26:Q33)</f>
        <v>0.99999999999999989</v>
      </c>
      <c r="R34" s="20"/>
      <c r="S34" s="87"/>
      <c r="T34" s="87"/>
      <c r="U34" s="176">
        <f>SUM(U26:U33)</f>
        <v>5.2023063482961186E-2</v>
      </c>
    </row>
    <row r="35" spans="1:21" ht="13.5" thickTop="1"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S35" s="40"/>
      <c r="T35" s="40"/>
      <c r="U35" s="40"/>
    </row>
    <row r="36" spans="1:21" ht="13.5" thickBot="1">
      <c r="A36" s="20">
        <f>A34+1</f>
        <v>19</v>
      </c>
      <c r="C36" s="2" t="s">
        <v>63</v>
      </c>
      <c r="U36" s="194">
        <f>U34-U19</f>
        <v>-1.227693651703881E-2</v>
      </c>
    </row>
    <row r="37" spans="1:21" ht="13.5" thickTop="1"/>
    <row r="38" spans="1:21">
      <c r="C38" s="125"/>
      <c r="D38" s="126"/>
      <c r="E38" s="127" t="s">
        <v>266</v>
      </c>
      <c r="F38" s="126"/>
      <c r="G38" s="127" t="s">
        <v>328</v>
      </c>
      <c r="H38" s="126"/>
      <c r="I38" s="127" t="s">
        <v>328</v>
      </c>
      <c r="J38" s="126"/>
      <c r="K38" s="127" t="s">
        <v>342</v>
      </c>
      <c r="L38" s="126"/>
      <c r="M38" s="128" t="s">
        <v>331</v>
      </c>
      <c r="O38" s="20"/>
      <c r="Q38" s="20"/>
    </row>
    <row r="39" spans="1:21">
      <c r="C39" s="129" t="s">
        <v>327</v>
      </c>
      <c r="E39" s="27" t="s">
        <v>174</v>
      </c>
      <c r="F39" s="20"/>
      <c r="G39" s="27" t="s">
        <v>329</v>
      </c>
      <c r="I39" s="27" t="s">
        <v>330</v>
      </c>
      <c r="K39" s="27" t="s">
        <v>63</v>
      </c>
      <c r="M39" s="130" t="s">
        <v>332</v>
      </c>
      <c r="O39" s="20"/>
      <c r="Q39" s="20"/>
    </row>
    <row r="40" spans="1:21">
      <c r="C40" s="131"/>
      <c r="E40" s="181" t="s">
        <v>338</v>
      </c>
      <c r="F40" s="20"/>
      <c r="G40" s="181" t="s">
        <v>339</v>
      </c>
      <c r="H40" s="20"/>
      <c r="I40" s="181" t="s">
        <v>340</v>
      </c>
      <c r="J40" s="20"/>
      <c r="K40" s="181" t="s">
        <v>343</v>
      </c>
      <c r="L40" s="20"/>
      <c r="M40" s="182" t="s">
        <v>344</v>
      </c>
      <c r="N40" s="20"/>
      <c r="O40" s="181"/>
      <c r="P40" s="20"/>
      <c r="Q40" s="181"/>
    </row>
    <row r="41" spans="1:21">
      <c r="A41" s="20">
        <f>A36+1</f>
        <v>20</v>
      </c>
      <c r="C41" s="132" t="s">
        <v>181</v>
      </c>
      <c r="E41" s="30">
        <f>E11</f>
        <v>205350391.17442971</v>
      </c>
      <c r="G41" s="180">
        <f>E41/E43</f>
        <v>0.58025485634092633</v>
      </c>
      <c r="I41" s="87">
        <v>0.50990000000000002</v>
      </c>
      <c r="K41" s="40">
        <f>I41-G41</f>
        <v>-7.0354856340926308E-2</v>
      </c>
      <c r="M41" s="192">
        <f>E43*K41</f>
        <v>-24898365.11103927</v>
      </c>
      <c r="O41" s="99"/>
      <c r="Q41" s="16"/>
    </row>
    <row r="42" spans="1:21">
      <c r="A42" s="20">
        <f t="shared" ref="A42:A43" si="13">A41+1</f>
        <v>21</v>
      </c>
      <c r="C42" s="132" t="s">
        <v>178</v>
      </c>
      <c r="E42" s="31">
        <f>E12</f>
        <v>148546502.45842066</v>
      </c>
      <c r="G42" s="178">
        <f>E42/E43</f>
        <v>0.41974514365907356</v>
      </c>
      <c r="I42" s="179">
        <v>0.49009999999999998</v>
      </c>
      <c r="K42" s="40">
        <f>I42-G42</f>
        <v>7.0354856340926419E-2</v>
      </c>
      <c r="M42" s="193">
        <f>E43*K42</f>
        <v>24898365.111039307</v>
      </c>
      <c r="O42" s="99"/>
      <c r="Q42" s="16"/>
    </row>
    <row r="43" spans="1:21">
      <c r="A43" s="20">
        <f t="shared" si="13"/>
        <v>22</v>
      </c>
      <c r="C43" s="129"/>
      <c r="D43" s="28"/>
      <c r="E43" s="31">
        <f>E41+E42</f>
        <v>353896893.63285041</v>
      </c>
      <c r="F43" s="28"/>
      <c r="G43" s="178">
        <f>G41+G42</f>
        <v>0.99999999999999989</v>
      </c>
      <c r="H43" s="28"/>
      <c r="I43" s="178">
        <f>I41+I42</f>
        <v>1</v>
      </c>
      <c r="J43" s="28"/>
      <c r="K43" s="28"/>
      <c r="L43" s="28"/>
      <c r="M43" s="193">
        <f>M41+M42</f>
        <v>3.7252902984619141E-8</v>
      </c>
      <c r="O43" s="99"/>
      <c r="Q43" s="99"/>
    </row>
    <row r="45" spans="1:21">
      <c r="A45" s="28" t="s">
        <v>11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1:21">
      <c r="A46" s="2" t="s">
        <v>279</v>
      </c>
    </row>
    <row r="47" spans="1:21">
      <c r="A47" s="2" t="s">
        <v>335</v>
      </c>
      <c r="O47" s="183"/>
      <c r="Q47" s="175"/>
    </row>
    <row r="48" spans="1:21">
      <c r="A48" s="2" t="s">
        <v>333</v>
      </c>
      <c r="O48" s="183"/>
      <c r="Q48" s="175"/>
    </row>
    <row r="49" spans="1:15">
      <c r="G49" s="27" t="s">
        <v>334</v>
      </c>
      <c r="H49" s="20"/>
      <c r="I49" s="20"/>
      <c r="O49" s="77"/>
    </row>
    <row r="50" spans="1:15">
      <c r="C50" s="2" t="s">
        <v>74</v>
      </c>
      <c r="E50" s="99"/>
      <c r="F50" s="77"/>
      <c r="G50" s="77">
        <f>B!G36</f>
        <v>-19807079.857129943</v>
      </c>
      <c r="H50" s="77"/>
      <c r="I50" s="99"/>
      <c r="O50" s="175"/>
    </row>
    <row r="51" spans="1:15">
      <c r="E51" s="99"/>
      <c r="F51" s="77"/>
      <c r="G51" s="77"/>
      <c r="H51" s="77"/>
      <c r="I51" s="99"/>
      <c r="O51" s="175"/>
    </row>
    <row r="52" spans="1:15">
      <c r="A52" s="2" t="s">
        <v>341</v>
      </c>
    </row>
    <row r="54" spans="1:15" ht="13.5" thickBot="1">
      <c r="A54" s="2" t="s">
        <v>280</v>
      </c>
      <c r="G54" s="49">
        <f>U12+U13+U14</f>
        <v>1.35E-2</v>
      </c>
      <c r="I54" s="2" t="s">
        <v>281</v>
      </c>
    </row>
    <row r="55" spans="1:15" ht="14.25" thickTop="1" thickBot="1">
      <c r="A55" s="2" t="s">
        <v>182</v>
      </c>
      <c r="G55" s="49">
        <f>U27+U28+U29</f>
        <v>1.5328660776551532E-2</v>
      </c>
      <c r="I55" s="2" t="s">
        <v>282</v>
      </c>
    </row>
    <row r="56" spans="1:15" ht="13.5" thickTop="1"/>
    <row r="62" spans="1:15">
      <c r="O62" s="93"/>
    </row>
    <row r="66" spans="15:15">
      <c r="O66" s="133"/>
    </row>
  </sheetData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21</vt:i4>
      </vt:variant>
    </vt:vector>
  </HeadingPairs>
  <TitlesOfParts>
    <vt:vector size="54" baseType="lpstr">
      <vt:lpstr>Contents</vt:lpstr>
      <vt:lpstr>A</vt:lpstr>
      <vt:lpstr>AP2</vt:lpstr>
      <vt:lpstr>A-1</vt:lpstr>
      <vt:lpstr>B</vt:lpstr>
      <vt:lpstr>B.1</vt:lpstr>
      <vt:lpstr>C</vt:lpstr>
      <vt:lpstr>C.1</vt:lpstr>
      <vt:lpstr>D</vt:lpstr>
      <vt:lpstr>B-1</vt:lpstr>
      <vt:lpstr>B-2</vt:lpstr>
      <vt:lpstr>B-3</vt:lpstr>
      <vt:lpstr>B-4</vt:lpstr>
      <vt:lpstr>B-5</vt:lpstr>
      <vt:lpstr>B-6</vt:lpstr>
      <vt:lpstr>C-1</vt:lpstr>
      <vt:lpstr>C-1 P2</vt:lpstr>
      <vt:lpstr>C-3 P3</vt:lpstr>
      <vt:lpstr>C-1 P4</vt:lpstr>
      <vt:lpstr>C-1 P5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C-10IntSyn</vt:lpstr>
      <vt:lpstr>C-11</vt:lpstr>
      <vt:lpstr>C-11 P2</vt:lpstr>
      <vt:lpstr>C-12</vt:lpstr>
      <vt:lpstr>NOI Adj Table</vt:lpstr>
      <vt:lpstr>A!Print_Area</vt:lpstr>
      <vt:lpstr>'A-1'!Print_Area</vt:lpstr>
      <vt:lpstr>'AP2'!Print_Area</vt:lpstr>
      <vt:lpstr>B!Print_Area</vt:lpstr>
      <vt:lpstr>B.1!Print_Area</vt:lpstr>
      <vt:lpstr>'B-1'!Print_Area</vt:lpstr>
      <vt:lpstr>'B-4'!Print_Area</vt:lpstr>
      <vt:lpstr>'B-6'!Print_Area</vt:lpstr>
      <vt:lpstr>'C'!Print_Area</vt:lpstr>
      <vt:lpstr>C.1!Print_Area</vt:lpstr>
      <vt:lpstr>'C-1'!Print_Area</vt:lpstr>
      <vt:lpstr>'C-10IntSyn'!Print_Area</vt:lpstr>
      <vt:lpstr>'C-3'!Print_Area</vt:lpstr>
      <vt:lpstr>'C-4'!Print_Area</vt:lpstr>
      <vt:lpstr>'C-5'!Print_Area</vt:lpstr>
      <vt:lpstr>'C-6'!Print_Area</vt:lpstr>
      <vt:lpstr>'C-7'!Print_Area</vt:lpstr>
      <vt:lpstr>'C-8'!Print_Area</vt:lpstr>
      <vt:lpstr>Contents!Print_Area</vt:lpstr>
      <vt:lpstr>D!Print_Area</vt:lpstr>
      <vt:lpstr>C.1!Print_Titles</vt:lpstr>
    </vt:vector>
  </TitlesOfParts>
  <Company>Larkin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</dc:creator>
  <cp:lastModifiedBy>Oakley, Emily</cp:lastModifiedBy>
  <cp:lastPrinted>2022-10-05T16:42:23Z</cp:lastPrinted>
  <dcterms:created xsi:type="dcterms:W3CDTF">2006-12-28T15:55:06Z</dcterms:created>
  <dcterms:modified xsi:type="dcterms:W3CDTF">2022-10-05T16:44:52Z</dcterms:modified>
</cp:coreProperties>
</file>