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25200" windowHeight="11850"/>
  </bookViews>
  <sheets>
    <sheet name="2021 Rev Equity Rate-CF GR" sheetId="1" r:id="rId1"/>
  </sheets>
  <definedNames>
    <definedName name="_xlnm.Print_Area" localSheetId="0">'2021 Rev Equity Rate-CF GR'!$A$1:$P$70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E84" i="1"/>
  <c r="D84" i="1"/>
  <c r="E79" i="1"/>
  <c r="D79" i="1"/>
  <c r="M66" i="1"/>
  <c r="E66" i="1"/>
  <c r="O64" i="1"/>
  <c r="O66" i="1" s="1"/>
  <c r="N64" i="1"/>
  <c r="N66" i="1" s="1"/>
  <c r="M64" i="1"/>
  <c r="L64" i="1"/>
  <c r="L66" i="1" s="1"/>
  <c r="K64" i="1"/>
  <c r="K66" i="1" s="1"/>
  <c r="J64" i="1"/>
  <c r="J66" i="1" s="1"/>
  <c r="I64" i="1"/>
  <c r="I66" i="1" s="1"/>
  <c r="H64" i="1"/>
  <c r="H66" i="1" s="1"/>
  <c r="G64" i="1"/>
  <c r="G66" i="1" s="1"/>
  <c r="F64" i="1"/>
  <c r="F66" i="1" s="1"/>
  <c r="E64" i="1"/>
  <c r="D66" i="1"/>
  <c r="O55" i="1"/>
  <c r="N55" i="1"/>
  <c r="M55" i="1"/>
  <c r="L55" i="1"/>
  <c r="K55" i="1"/>
  <c r="J55" i="1"/>
  <c r="I55" i="1"/>
  <c r="H55" i="1"/>
  <c r="G55" i="1"/>
  <c r="F55" i="1"/>
  <c r="E55" i="1"/>
  <c r="D55" i="1"/>
  <c r="P53" i="1"/>
  <c r="P45" i="1"/>
  <c r="P44" i="1"/>
  <c r="F34" i="1"/>
  <c r="G34" i="1" s="1"/>
  <c r="H34" i="1" s="1"/>
  <c r="I34" i="1" s="1"/>
  <c r="J34" i="1" s="1"/>
  <c r="K34" i="1" s="1"/>
  <c r="L34" i="1" s="1"/>
  <c r="M34" i="1" s="1"/>
  <c r="N34" i="1" s="1"/>
  <c r="O34" i="1" s="1"/>
  <c r="E34" i="1"/>
  <c r="E33" i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E30" i="1"/>
  <c r="G29" i="1"/>
  <c r="F29" i="1"/>
  <c r="E29" i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E20" i="1"/>
  <c r="D20" i="1"/>
  <c r="D42" i="1"/>
  <c r="D41" i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D17" i="1"/>
  <c r="P14" i="1"/>
  <c r="O13" i="1"/>
  <c r="N13" i="1"/>
  <c r="N10" i="1" s="1"/>
  <c r="M13" i="1"/>
  <c r="K13" i="1"/>
  <c r="I13" i="1"/>
  <c r="P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/>
  <c r="P11" i="1"/>
  <c r="M10" i="1"/>
  <c r="L10" i="1"/>
  <c r="K10" i="1"/>
  <c r="J10" i="1"/>
  <c r="I10" i="1"/>
  <c r="H10" i="1"/>
  <c r="G10" i="1"/>
  <c r="F10" i="1"/>
  <c r="E10" i="1"/>
  <c r="D10" i="1"/>
  <c r="C15" i="1"/>
  <c r="D15" i="1" s="1"/>
  <c r="P10" i="1" l="1"/>
  <c r="E15" i="1"/>
  <c r="D23" i="1"/>
  <c r="F15" i="1"/>
  <c r="C59" i="1"/>
  <c r="P9" i="1"/>
  <c r="E17" i="1"/>
  <c r="F17" i="1" s="1"/>
  <c r="C21" i="1"/>
  <c r="H29" i="1"/>
  <c r="F30" i="1"/>
  <c r="E42" i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O10" i="1"/>
  <c r="E80" i="1"/>
  <c r="E87" i="1" s="1"/>
  <c r="F21" i="1" l="1"/>
  <c r="G17" i="1"/>
  <c r="C61" i="1"/>
  <c r="I29" i="1"/>
  <c r="H41" i="1"/>
  <c r="C5" i="1"/>
  <c r="C24" i="1"/>
  <c r="E21" i="1"/>
  <c r="F5" i="1" s="1"/>
  <c r="G15" i="1"/>
  <c r="D21" i="1"/>
  <c r="E5" i="1"/>
  <c r="F41" i="1"/>
  <c r="G30" i="1"/>
  <c r="F42" i="1"/>
  <c r="E41" i="1"/>
  <c r="E23" i="1" s="1"/>
  <c r="F23" i="1" s="1"/>
  <c r="P15" i="1"/>
  <c r="G41" i="1"/>
  <c r="G42" i="1" l="1"/>
  <c r="G23" i="1" s="1"/>
  <c r="H30" i="1"/>
  <c r="D24" i="1"/>
  <c r="D5" i="1"/>
  <c r="O43" i="1"/>
  <c r="K43" i="1"/>
  <c r="G43" i="1"/>
  <c r="D26" i="1"/>
  <c r="L43" i="1"/>
  <c r="H43" i="1"/>
  <c r="D43" i="1"/>
  <c r="M43" i="1"/>
  <c r="E43" i="1"/>
  <c r="E46" i="1" s="1"/>
  <c r="J43" i="1"/>
  <c r="I43" i="1"/>
  <c r="N43" i="1"/>
  <c r="F43" i="1"/>
  <c r="H15" i="1"/>
  <c r="I41" i="1"/>
  <c r="J29" i="1"/>
  <c r="G21" i="1"/>
  <c r="H17" i="1"/>
  <c r="F46" i="1"/>
  <c r="F24" i="1"/>
  <c r="E24" i="1"/>
  <c r="F26" i="1" s="1"/>
  <c r="H5" i="1" l="1"/>
  <c r="I15" i="1"/>
  <c r="D36" i="1"/>
  <c r="D37" i="1"/>
  <c r="G24" i="1"/>
  <c r="G5" i="1"/>
  <c r="P43" i="1"/>
  <c r="D46" i="1"/>
  <c r="E26" i="1"/>
  <c r="F36" i="1"/>
  <c r="F37" i="1"/>
  <c r="H21" i="1"/>
  <c r="I17" i="1"/>
  <c r="G26" i="1"/>
  <c r="J41" i="1"/>
  <c r="K29" i="1"/>
  <c r="G46" i="1"/>
  <c r="H42" i="1"/>
  <c r="H46" i="1" s="1"/>
  <c r="I30" i="1"/>
  <c r="J30" i="1" l="1"/>
  <c r="I42" i="1"/>
  <c r="I46" i="1" s="1"/>
  <c r="G37" i="1"/>
  <c r="G36" i="1"/>
  <c r="G38" i="1" s="1"/>
  <c r="G48" i="1" s="1"/>
  <c r="G57" i="1" s="1"/>
  <c r="J15" i="1"/>
  <c r="E36" i="1"/>
  <c r="E37" i="1"/>
  <c r="I21" i="1"/>
  <c r="J17" i="1"/>
  <c r="L29" i="1"/>
  <c r="K41" i="1"/>
  <c r="D38" i="1"/>
  <c r="D48" i="1" s="1"/>
  <c r="D57" i="1" s="1"/>
  <c r="F38" i="1"/>
  <c r="F48" i="1" s="1"/>
  <c r="F57" i="1" s="1"/>
  <c r="H23" i="1"/>
  <c r="I23" i="1" s="1"/>
  <c r="D58" i="1" l="1"/>
  <c r="E38" i="1"/>
  <c r="E48" i="1" s="1"/>
  <c r="E57" i="1" s="1"/>
  <c r="H24" i="1"/>
  <c r="J21" i="1"/>
  <c r="K17" i="1"/>
  <c r="K15" i="1"/>
  <c r="I24" i="1"/>
  <c r="I5" i="1"/>
  <c r="K30" i="1"/>
  <c r="J42" i="1"/>
  <c r="J46" i="1" s="1"/>
  <c r="M29" i="1"/>
  <c r="L41" i="1"/>
  <c r="M41" i="1" l="1"/>
  <c r="N29" i="1"/>
  <c r="K21" i="1"/>
  <c r="L17" i="1"/>
  <c r="K42" i="1"/>
  <c r="K46" i="1" s="1"/>
  <c r="L30" i="1"/>
  <c r="L15" i="1"/>
  <c r="I26" i="1"/>
  <c r="H26" i="1"/>
  <c r="J23" i="1"/>
  <c r="J24" i="1" s="1"/>
  <c r="D59" i="1"/>
  <c r="J5" i="1"/>
  <c r="E58" i="1"/>
  <c r="J26" i="1" l="1"/>
  <c r="I36" i="1"/>
  <c r="I37" i="1"/>
  <c r="D61" i="1"/>
  <c r="D63" i="1" s="1"/>
  <c r="L5" i="1"/>
  <c r="M15" i="1"/>
  <c r="L21" i="1"/>
  <c r="M17" i="1"/>
  <c r="E59" i="1"/>
  <c r="K23" i="1"/>
  <c r="K5" i="1"/>
  <c r="H36" i="1"/>
  <c r="H37" i="1"/>
  <c r="L42" i="1"/>
  <c r="L46" i="1" s="1"/>
  <c r="M30" i="1"/>
  <c r="N41" i="1"/>
  <c r="O29" i="1"/>
  <c r="O41" i="1" s="1"/>
  <c r="M21" i="1" l="1"/>
  <c r="N17" i="1"/>
  <c r="L24" i="1"/>
  <c r="I38" i="1"/>
  <c r="I48" i="1" s="1"/>
  <c r="I57" i="1" s="1"/>
  <c r="N30" i="1"/>
  <c r="M42" i="1"/>
  <c r="M46" i="1" s="1"/>
  <c r="P41" i="1"/>
  <c r="L23" i="1"/>
  <c r="K24" i="1"/>
  <c r="J36" i="1"/>
  <c r="J38" i="1" s="1"/>
  <c r="J48" i="1" s="1"/>
  <c r="J57" i="1" s="1"/>
  <c r="J37" i="1"/>
  <c r="H38" i="1"/>
  <c r="H48" i="1" s="1"/>
  <c r="H57" i="1" s="1"/>
  <c r="E61" i="1"/>
  <c r="E63" i="1" s="1"/>
  <c r="F58" i="1"/>
  <c r="F59" i="1"/>
  <c r="M5" i="1"/>
  <c r="N15" i="1"/>
  <c r="M23" i="1" l="1"/>
  <c r="N21" i="1"/>
  <c r="O17" i="1"/>
  <c r="F61" i="1"/>
  <c r="F63" i="1" s="1"/>
  <c r="G58" i="1"/>
  <c r="L26" i="1"/>
  <c r="K26" i="1"/>
  <c r="N5" i="1"/>
  <c r="O15" i="1"/>
  <c r="O30" i="1"/>
  <c r="O42" i="1" s="1"/>
  <c r="N42" i="1"/>
  <c r="N46" i="1" s="1"/>
  <c r="M24" i="1"/>
  <c r="O21" i="1" l="1"/>
  <c r="P17" i="1"/>
  <c r="P21" i="1" s="1"/>
  <c r="K37" i="1"/>
  <c r="K36" i="1"/>
  <c r="G59" i="1"/>
  <c r="L36" i="1"/>
  <c r="L37" i="1"/>
  <c r="N23" i="1"/>
  <c r="O23" i="1" s="1"/>
  <c r="P23" i="1" s="1"/>
  <c r="P42" i="1"/>
  <c r="P46" i="1" s="1"/>
  <c r="O46" i="1"/>
  <c r="O5" i="1"/>
  <c r="M26" i="1"/>
  <c r="L38" i="1" l="1"/>
  <c r="L48" i="1" s="1"/>
  <c r="L57" i="1" s="1"/>
  <c r="K38" i="1"/>
  <c r="K48" i="1" s="1"/>
  <c r="K57" i="1" s="1"/>
  <c r="M36" i="1"/>
  <c r="M38" i="1" s="1"/>
  <c r="M48" i="1" s="1"/>
  <c r="M57" i="1" s="1"/>
  <c r="M37" i="1"/>
  <c r="N24" i="1"/>
  <c r="G61" i="1"/>
  <c r="G63" i="1" s="1"/>
  <c r="H58" i="1"/>
  <c r="P24" i="1"/>
  <c r="O24" i="1"/>
  <c r="O26" i="1" l="1"/>
  <c r="N26" i="1"/>
  <c r="H59" i="1"/>
  <c r="H61" i="1" l="1"/>
  <c r="H63" i="1" s="1"/>
  <c r="I58" i="1"/>
  <c r="O37" i="1"/>
  <c r="O36" i="1"/>
  <c r="O38" i="1" s="1"/>
  <c r="O48" i="1" s="1"/>
  <c r="O57" i="1" s="1"/>
  <c r="N36" i="1"/>
  <c r="N37" i="1"/>
  <c r="N38" i="1" l="1"/>
  <c r="N48" i="1" s="1"/>
  <c r="N57" i="1" s="1"/>
  <c r="P57" i="1" s="1"/>
  <c r="P36" i="1"/>
  <c r="I59" i="1"/>
  <c r="P37" i="1"/>
  <c r="I61" i="1" l="1"/>
  <c r="I63" i="1" s="1"/>
  <c r="J58" i="1"/>
  <c r="J59" i="1"/>
  <c r="P38" i="1"/>
  <c r="P48" i="1" s="1"/>
  <c r="J61" i="1" l="1"/>
  <c r="J63" i="1" s="1"/>
  <c r="K58" i="1"/>
  <c r="K59" i="1" l="1"/>
  <c r="K61" i="1" l="1"/>
  <c r="K63" i="1" s="1"/>
  <c r="L58" i="1"/>
  <c r="L59" i="1" l="1"/>
  <c r="L61" i="1" l="1"/>
  <c r="L63" i="1" s="1"/>
  <c r="M58" i="1"/>
  <c r="M59" i="1" l="1"/>
  <c r="M61" i="1" l="1"/>
  <c r="M63" i="1" s="1"/>
  <c r="N58" i="1"/>
  <c r="N59" i="1"/>
  <c r="N61" i="1" l="1"/>
  <c r="N63" i="1" s="1"/>
  <c r="O58" i="1"/>
  <c r="O59" i="1"/>
  <c r="P59" i="1" l="1"/>
  <c r="O61" i="1"/>
  <c r="O63" i="1" s="1"/>
  <c r="P58" i="1"/>
</calcChain>
</file>

<file path=xl/comments1.xml><?xml version="1.0" encoding="utf-8"?>
<comments xmlns="http://schemas.openxmlformats.org/spreadsheetml/2006/main">
  <authors>
    <author>Edwards, Moir</author>
    <author>cheryl_martin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kbaker:                           Monthly GRIP Expenditures.  All Expenses charged to GRIP Mains Projects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kbaker:                         Total GRIP Mains Capital Expenditures closed to plant in current month (CR 1070 DB 1010)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kbaker:                           Monthly GRIP Expenditures.  All Expenses charged to GRIP Services Projects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kbaker:                         Total GRIP Services Capital Expenditures closed to plant in current month (CR 1070 DB 1010)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376G account for the current month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kbaker:                               Total addition to the 1010 380G account for the current month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kbaker:
Total fixed assets in account 376G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kbaker:
Total fixed assets in account 380G
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Total AD rolled forward from 2014 plus current months AD booked based on the previous month's asset balance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 xml:space="preserve">kbaker:
Rate based on 2014 depreciation study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kbaker:
Rate based on 2014 depreciation study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kbaker:
Provided by Regulatory based on previous years ESR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kbaker:
Provided by Regulatory based on previous years ESR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kbaker:
Average Net Qualified Investment for current month multiplied by the Equity-Cost of Capital Rate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 xml:space="preserve">kbaker:
Average Net Qualified Investment for current month multiplied by the Debt-Cost of Capital Rate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kbaker:
Previous month's 376G plant balance multiplied by deprecation rate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kbaker:
Previous month's 380G plant balance multiplied by deprecation rate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1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CF00.GP400.7090.9130</t>
        </r>
      </text>
    </comment>
    <comment ref="B45" authorId="1" shapeId="0">
      <text>
        <r>
          <rPr>
            <b/>
            <sz val="10"/>
            <color indexed="81"/>
            <rFont val="Tahoma"/>
            <family val="2"/>
          </rPr>
          <t>cheryl_martin:</t>
        </r>
        <r>
          <rPr>
            <sz val="10"/>
            <color indexed="81"/>
            <rFont val="Tahoma"/>
            <family val="2"/>
          </rPr>
          <t xml:space="preserve">
CF00.GP400.7020.9130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kabaker:
Amount billed through ECIS as surchage to customers monthly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 xml:space="preserve">Grossed Up for the PSC assessment to be paid each year
</t>
        </r>
      </text>
    </comment>
  </commentList>
</comments>
</file>

<file path=xl/sharedStrings.xml><?xml version="1.0" encoding="utf-8"?>
<sst xmlns="http://schemas.openxmlformats.org/spreadsheetml/2006/main" count="81" uniqueCount="79">
  <si>
    <t>Florida Division of Chesapeake Utilities Corporation</t>
  </si>
  <si>
    <t>Attachment H</t>
  </si>
  <si>
    <r>
      <t xml:space="preserve">Gas Reliability Infrastructure Program (GRIP) </t>
    </r>
    <r>
      <rPr>
        <b/>
        <sz val="11"/>
        <color theme="1"/>
        <rFont val="Times New Roman"/>
        <family val="1"/>
      </rPr>
      <t>2605-253G and 1609-186G</t>
    </r>
  </si>
  <si>
    <t>Schedule B (CHPK)</t>
  </si>
  <si>
    <t>Calculation of the Actual Revenue Requirements</t>
  </si>
  <si>
    <t>Page 1 of 1</t>
  </si>
  <si>
    <t>January 01, 2020 through December 31, 2020</t>
  </si>
  <si>
    <t>Input cells</t>
  </si>
  <si>
    <t>Dollars shown in the correct month</t>
  </si>
  <si>
    <t>Check Total</t>
  </si>
  <si>
    <t>Beginning</t>
  </si>
  <si>
    <t>Year End</t>
  </si>
  <si>
    <t>Item</t>
  </si>
  <si>
    <t>General ledger</t>
  </si>
  <si>
    <t>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</si>
  <si>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</si>
  <si>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</si>
  <si>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</si>
  <si>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</si>
  <si>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</si>
  <si>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</si>
  <si>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</si>
  <si>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</si>
  <si>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</si>
  <si>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</si>
  <si>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</si>
  <si>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</si>
  <si>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Total/Balance</t>
  </si>
  <si>
    <t>Qualified Investment</t>
  </si>
  <si>
    <t>Qualified Investment - Mains - Current   1070 Activity</t>
  </si>
  <si>
    <t>Closed- 1070 Activity to Plant for Mains</t>
  </si>
  <si>
    <t>Qualified Investment - Services - Current  1070 Activity</t>
  </si>
  <si>
    <t>Closed- 1070 Activity to Plant for Service</t>
  </si>
  <si>
    <t>Qualified Investment - Mains - Current  1010-376G Activity</t>
  </si>
  <si>
    <t>Qualified Investment - Services - Current  1010-380G Activity</t>
  </si>
  <si>
    <t>Total</t>
  </si>
  <si>
    <t>Total Qualified Investment - Mains 1070</t>
  </si>
  <si>
    <t>Total Qualified Investment - Services 1070</t>
  </si>
  <si>
    <t>Total Qualified Investment - Mains 1010-376G</t>
  </si>
  <si>
    <t>Total Qualified Investment - Services 1010-380G</t>
  </si>
  <si>
    <t>Total Qualified Investment</t>
  </si>
  <si>
    <t xml:space="preserve">Less:  Accumulated Depreciation 1080 </t>
  </si>
  <si>
    <t>Net Book Value</t>
  </si>
  <si>
    <t>Average Net Qualified Investment</t>
  </si>
  <si>
    <t>Depreciation Rates</t>
  </si>
  <si>
    <t>Approved Depreciation Rate-Mains</t>
  </si>
  <si>
    <t>Approved Depreciation Rate-Services</t>
  </si>
  <si>
    <t>Return on Average Net Qualified Investment</t>
  </si>
  <si>
    <t>Equity - Cost of Capital, inclusive of Income Tax Gross-up</t>
  </si>
  <si>
    <t>Debt - Cost of Capital</t>
  </si>
  <si>
    <t>Equity Component - inclusive of Income Tax Gross-up</t>
  </si>
  <si>
    <t>Debt Component</t>
  </si>
  <si>
    <t>Return Requirement</t>
  </si>
  <si>
    <t>Investment Expenses</t>
  </si>
  <si>
    <t>Depreciation Expense - Mains</t>
  </si>
  <si>
    <t>Depreciation Expense - Services</t>
  </si>
  <si>
    <t>Property Taxes</t>
  </si>
  <si>
    <t>Customer Notice Expense - 709</t>
  </si>
  <si>
    <t>General Public Notice Expense - 702</t>
  </si>
  <si>
    <t>Total Expense</t>
  </si>
  <si>
    <t>Total Revenue Requirements</t>
  </si>
  <si>
    <t>GRIP Surcharge Revenues Collected Month</t>
  </si>
  <si>
    <t>Tax Factor</t>
  </si>
  <si>
    <t xml:space="preserve">Net GRIP Surcharge Revenue Collected </t>
  </si>
  <si>
    <t>(Over) and Under Recovery for the Month</t>
  </si>
  <si>
    <t>Monthly Interest Expense/(Income)</t>
  </si>
  <si>
    <t>Ending (Over) and Under Recovery</t>
  </si>
  <si>
    <t>GL Balance</t>
  </si>
  <si>
    <t>Difference</t>
  </si>
  <si>
    <t>True-up Line</t>
  </si>
  <si>
    <t>Adjusted 2018 in March</t>
  </si>
  <si>
    <t>Beg of Month Annual Interest Rate</t>
  </si>
  <si>
    <t>End of Month Annual Interest Rate</t>
  </si>
  <si>
    <t>Average Monthly Interest Rate</t>
  </si>
  <si>
    <t>O/U Adjustment for revised equity rate for State Income Tax Chg</t>
  </si>
  <si>
    <t>Int Adjustment for revised equity rate for State Income Tax Chg</t>
  </si>
  <si>
    <t xml:space="preserve">**Use the rate on the first day of the month from the PSC rates. </t>
  </si>
  <si>
    <t>as recorded 1 &amp; 2 2019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</si>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</sst>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&quot;$&quot;* #,##0.00_);_(&quot;$&quot;* \(#,##0.00\);_(&quot;$&quot;* &quot;-&quot;_);_(@_)"/>
    <numFmt numFmtId="166" formatCode="_(* #,##0.00000_);_(* \(#,##0.0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7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/>
    </xf>
    <xf numFmtId="5" fontId="0" fillId="0" borderId="0" xfId="0" applyNumberFormat="1"/>
    <xf numFmtId="41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43" fontId="8" fillId="2" borderId="0" xfId="0" applyNumberFormat="1" applyFont="1" applyFill="1"/>
    <xf numFmtId="5" fontId="8" fillId="2" borderId="0" xfId="0" applyNumberFormat="1" applyFont="1" applyFill="1"/>
    <xf numFmtId="43" fontId="0" fillId="0" borderId="0" xfId="1" applyFont="1"/>
    <xf numFmtId="7" fontId="0" fillId="0" borderId="0" xfId="0" applyNumberFormat="1" applyFill="1"/>
    <xf numFmtId="5" fontId="0" fillId="0" borderId="0" xfId="0" applyNumberFormat="1" applyFill="1"/>
    <xf numFmtId="5" fontId="9" fillId="0" borderId="0" xfId="0" applyNumberFormat="1" applyFont="1" applyFill="1"/>
    <xf numFmtId="43" fontId="9" fillId="0" borderId="0" xfId="1" applyFont="1"/>
    <xf numFmtId="43" fontId="9" fillId="0" borderId="0" xfId="1" applyFont="1" applyFill="1"/>
    <xf numFmtId="5" fontId="0" fillId="0" borderId="1" xfId="0" applyNumberFormat="1" applyBorder="1"/>
    <xf numFmtId="5" fontId="0" fillId="0" borderId="2" xfId="0" applyNumberFormat="1" applyBorder="1"/>
    <xf numFmtId="5" fontId="0" fillId="0" borderId="3" xfId="0" applyNumberFormat="1" applyBorder="1"/>
    <xf numFmtId="5" fontId="0" fillId="0" borderId="0" xfId="0" applyNumberFormat="1" applyFill="1" applyBorder="1"/>
    <xf numFmtId="5" fontId="0" fillId="0" borderId="0" xfId="0" applyNumberFormat="1" applyBorder="1"/>
    <xf numFmtId="5" fontId="8" fillId="0" borderId="0" xfId="0" applyNumberFormat="1" applyFont="1"/>
    <xf numFmtId="5" fontId="8" fillId="2" borderId="1" xfId="0" applyNumberFormat="1" applyFont="1" applyFill="1" applyBorder="1"/>
    <xf numFmtId="0" fontId="0" fillId="0" borderId="0" xfId="0" applyBorder="1"/>
    <xf numFmtId="5" fontId="0" fillId="0" borderId="4" xfId="0" applyNumberFormat="1" applyBorder="1"/>
    <xf numFmtId="42" fontId="0" fillId="0" borderId="0" xfId="0" applyNumberFormat="1" applyBorder="1"/>
    <xf numFmtId="10" fontId="0" fillId="2" borderId="0" xfId="0" applyNumberFormat="1" applyFill="1"/>
    <xf numFmtId="10" fontId="0" fillId="0" borderId="0" xfId="0" applyNumberFormat="1"/>
    <xf numFmtId="164" fontId="1" fillId="2" borderId="0" xfId="2" applyNumberFormat="1" applyFont="1" applyFill="1" applyAlignment="1">
      <alignment horizontal="right"/>
    </xf>
    <xf numFmtId="164" fontId="0" fillId="0" borderId="0" xfId="0" applyNumberFormat="1"/>
    <xf numFmtId="5" fontId="1" fillId="0" borderId="0" xfId="2" applyNumberFormat="1" applyFont="1" applyFill="1" applyBorder="1"/>
    <xf numFmtId="5" fontId="8" fillId="2" borderId="0" xfId="0" applyNumberFormat="1" applyFont="1" applyFill="1" applyBorder="1"/>
    <xf numFmtId="5" fontId="8" fillId="2" borderId="0" xfId="2" applyNumberFormat="1" applyFont="1" applyFill="1" applyBorder="1"/>
    <xf numFmtId="5" fontId="8" fillId="2" borderId="1" xfId="2" applyNumberFormat="1" applyFont="1" applyFill="1" applyBorder="1"/>
    <xf numFmtId="5" fontId="0" fillId="0" borderId="2" xfId="0" applyNumberFormat="1" applyFill="1" applyBorder="1"/>
    <xf numFmtId="41" fontId="0" fillId="0" borderId="0" xfId="0" applyNumberFormat="1"/>
    <xf numFmtId="0" fontId="0" fillId="3" borderId="0" xfId="0" applyFill="1"/>
    <xf numFmtId="5" fontId="0" fillId="3" borderId="3" xfId="0" applyNumberFormat="1" applyFill="1" applyBorder="1"/>
    <xf numFmtId="165" fontId="8" fillId="2" borderId="0" xfId="0" applyNumberFormat="1" applyFont="1" applyFill="1" applyBorder="1"/>
    <xf numFmtId="166" fontId="8" fillId="2" borderId="0" xfId="1" applyNumberFormat="1" applyFont="1" applyFill="1" applyBorder="1"/>
    <xf numFmtId="166" fontId="0" fillId="0" borderId="0" xfId="1" applyNumberFormat="1" applyFont="1"/>
    <xf numFmtId="42" fontId="0" fillId="0" borderId="2" xfId="0" applyNumberFormat="1" applyBorder="1"/>
    <xf numFmtId="43" fontId="8" fillId="0" borderId="0" xfId="1" applyFont="1" applyFill="1" applyBorder="1"/>
    <xf numFmtId="165" fontId="0" fillId="0" borderId="0" xfId="0" applyNumberFormat="1" applyBorder="1"/>
    <xf numFmtId="165" fontId="0" fillId="4" borderId="0" xfId="0" applyNumberFormat="1" applyFill="1" applyBorder="1"/>
    <xf numFmtId="43" fontId="0" fillId="0" borderId="0" xfId="0" applyNumberFormat="1"/>
    <xf numFmtId="165" fontId="0" fillId="0" borderId="0" xfId="0" applyNumberFormat="1"/>
    <xf numFmtId="165" fontId="0" fillId="0" borderId="2" xfId="0" applyNumberFormat="1" applyFill="1" applyBorder="1"/>
    <xf numFmtId="165" fontId="0" fillId="0" borderId="2" xfId="0" applyNumberFormat="1" applyBorder="1"/>
    <xf numFmtId="43" fontId="8" fillId="0" borderId="0" xfId="1" applyFont="1" applyBorder="1"/>
    <xf numFmtId="43" fontId="0" fillId="5" borderId="0" xfId="1" applyFont="1" applyFill="1" applyBorder="1"/>
    <xf numFmtId="43" fontId="0" fillId="0" borderId="0" xfId="1" applyFont="1" applyBorder="1"/>
    <xf numFmtId="43" fontId="0" fillId="0" borderId="0" xfId="1" applyFont="1" applyFill="1" applyBorder="1"/>
    <xf numFmtId="165" fontId="0" fillId="0" borderId="0" xfId="0" applyNumberFormat="1" applyFill="1" applyBorder="1"/>
    <xf numFmtId="0" fontId="0" fillId="5" borderId="0" xfId="0" applyFill="1" applyAlignment="1">
      <alignment horizontal="right"/>
    </xf>
    <xf numFmtId="44" fontId="0" fillId="6" borderId="0" xfId="0" applyNumberFormat="1" applyFill="1"/>
    <xf numFmtId="44" fontId="0" fillId="0" borderId="0" xfId="0" applyNumberFormat="1"/>
    <xf numFmtId="10" fontId="8" fillId="2" borderId="0" xfId="0" applyNumberFormat="1" applyFont="1" applyFill="1"/>
    <xf numFmtId="10" fontId="0" fillId="0" borderId="0" xfId="0" applyNumberFormat="1" applyFill="1"/>
    <xf numFmtId="0" fontId="0" fillId="0" borderId="0" xfId="0" applyAlignment="1" applyProtection="1">
      <alignment horizontal="right"/>
    </xf>
    <xf numFmtId="43" fontId="0" fillId="0" borderId="0" xfId="1" applyFont="1" applyFill="1"/>
    <xf numFmtId="43" fontId="0" fillId="0" borderId="1" xfId="1" applyFont="1" applyBorder="1"/>
    <xf numFmtId="43" fontId="0" fillId="0" borderId="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70</xdr:row>
      <xdr:rowOff>0</xdr:rowOff>
    </xdr:from>
    <xdr:to>
      <xdr:col>10</xdr:col>
      <xdr:colOff>317493</xdr:colOff>
      <xdr:row>95</xdr:row>
      <xdr:rowOff>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13001625"/>
          <a:ext cx="5641968" cy="4763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95"/>
  <sheetViews>
    <sheetView tabSelected="1" zoomScale="80" zoomScaleNormal="80" zoomScaleSheetLayoutView="70" workbookViewId="0">
      <pane xSplit="2" ySplit="7" topLeftCell="C49" activePane="bottomRight" state="frozen"/>
      <selection pane="topRight" activeCell="C1" sqref="C1"/>
      <selection pane="bottomLeft" activeCell="A10" sqref="A10"/>
      <selection pane="bottomRight" activeCell="N57" sqref="N57"/>
    </sheetView>
  </sheetViews>
  <sheetFormatPr defaultColWidth="9.140625" defaultRowHeight="15" x14ac:dyDescent="0.25"/>
  <cols>
    <col min="1" max="1" width="12.42578125" customWidth="1"/>
    <col min="2" max="2" width="50.85546875" customWidth="1"/>
    <col min="3" max="3" width="20.140625" customWidth="1"/>
    <col min="4" max="4" width="15.85546875" bestFit="1" customWidth="1"/>
    <col min="5" max="5" width="16.7109375" bestFit="1" customWidth="1"/>
    <col min="6" max="6" width="15.85546875" bestFit="1" customWidth="1"/>
    <col min="7" max="7" width="16.28515625" customWidth="1"/>
    <col min="8" max="8" width="15.42578125" bestFit="1" customWidth="1"/>
    <col min="9" max="9" width="16" customWidth="1"/>
    <col min="10" max="10" width="16.28515625" customWidth="1"/>
    <col min="11" max="11" width="18.28515625" customWidth="1"/>
    <col min="12" max="12" width="17" customWidth="1"/>
    <col min="13" max="13" width="16.5703125" customWidth="1"/>
    <col min="14" max="14" width="16" customWidth="1"/>
    <col min="15" max="15" width="16.140625" customWidth="1"/>
    <col min="16" max="16" width="17.85546875" customWidth="1"/>
    <col min="17" max="17" width="14.5703125" bestFit="1" customWidth="1"/>
    <col min="18" max="18" width="11.5703125" bestFit="1" customWidth="1"/>
  </cols>
  <sheetData>
    <row r="1" spans="1:18" ht="18.75" x14ac:dyDescent="0.3">
      <c r="B1" s="1" t="s">
        <v>0</v>
      </c>
      <c r="N1" t="s">
        <v>1</v>
      </c>
    </row>
    <row r="2" spans="1:18" x14ac:dyDescent="0.25">
      <c r="B2" s="2" t="s">
        <v>2</v>
      </c>
      <c r="G2" s="3"/>
      <c r="J2" s="4"/>
      <c r="K2" s="4"/>
      <c r="N2" t="s">
        <v>3</v>
      </c>
    </row>
    <row r="3" spans="1:18" x14ac:dyDescent="0.25">
      <c r="B3" s="2" t="s">
        <v>4</v>
      </c>
      <c r="J3" s="4"/>
      <c r="K3" s="4"/>
      <c r="N3" t="s">
        <v>5</v>
      </c>
    </row>
    <row r="4" spans="1:18" x14ac:dyDescent="0.25">
      <c r="B4" s="5" t="s">
        <v>6</v>
      </c>
    </row>
    <row r="5" spans="1:18" x14ac:dyDescent="0.25">
      <c r="A5" s="6" t="s">
        <v>7</v>
      </c>
      <c r="B5" s="7" t="s">
        <v>8</v>
      </c>
      <c r="C5" s="8">
        <f>C21-SUM(C9:C14)</f>
        <v>-0.15099999308586121</v>
      </c>
      <c r="D5" s="8">
        <f>IF(D15=0,0,D21-SUM(D9:D14)-C21)</f>
        <v>7.4505805969238281E-9</v>
      </c>
      <c r="E5" s="8">
        <f>IF(E15=0,0,E21-SUM(E9:E14)-D21)</f>
        <v>0</v>
      </c>
      <c r="F5" s="8">
        <f t="shared" ref="F5:O5" si="0">IF(F15=0,0,F21-SUM(F9:F14)-E21)</f>
        <v>0</v>
      </c>
      <c r="G5" s="8">
        <f t="shared" si="0"/>
        <v>0</v>
      </c>
      <c r="H5" s="8">
        <f t="shared" si="0"/>
        <v>0</v>
      </c>
      <c r="I5" s="8">
        <f t="shared" si="0"/>
        <v>7.4505805969238281E-9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7.4505805969238281E-9</v>
      </c>
      <c r="O5" s="8">
        <f t="shared" si="0"/>
        <v>0</v>
      </c>
      <c r="P5" s="8" t="s">
        <v>9</v>
      </c>
    </row>
    <row r="6" spans="1:18" x14ac:dyDescent="0.25">
      <c r="A6" s="9"/>
      <c r="B6" s="10"/>
      <c r="C6" s="5" t="s">
        <v>10</v>
      </c>
      <c r="P6" s="5" t="s">
        <v>11</v>
      </c>
    </row>
    <row r="7" spans="1:18" x14ac:dyDescent="0.25">
      <c r="A7" s="11" t="s">
        <v>12</v>
      </c>
      <c r="B7" s="12" t="s">
        <v>13</v>
      </c>
      <c r="C7" s="13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3" t="s">
        <v>21</v>
      </c>
      <c r="K7" s="13" t="s">
        <v>22</v>
      </c>
      <c r="L7" s="13" t="s">
        <v>23</v>
      </c>
      <c r="M7" s="13" t="s">
        <v>24</v>
      </c>
      <c r="N7" s="13" t="s">
        <v>25</v>
      </c>
      <c r="O7" s="14" t="s">
        <v>26</v>
      </c>
      <c r="P7" s="13" t="s">
        <v>27</v>
      </c>
    </row>
    <row r="8" spans="1:18" x14ac:dyDescent="0.25">
      <c r="A8" t="s">
        <v>28</v>
      </c>
    </row>
    <row r="9" spans="1:18" x14ac:dyDescent="0.25">
      <c r="B9" t="s">
        <v>29</v>
      </c>
      <c r="C9" s="15">
        <v>36861192.289999999</v>
      </c>
      <c r="D9" s="16">
        <v>308385.42</v>
      </c>
      <c r="E9" s="16">
        <v>60623.95</v>
      </c>
      <c r="F9" s="16">
        <v>234452.38</v>
      </c>
      <c r="G9" s="16">
        <v>14672.31</v>
      </c>
      <c r="H9" s="16">
        <v>70862.17</v>
      </c>
      <c r="I9" s="16">
        <v>125967.49</v>
      </c>
      <c r="J9" s="16">
        <v>14687.02</v>
      </c>
      <c r="K9" s="16">
        <v>30750.639999999999</v>
      </c>
      <c r="L9" s="16">
        <v>50965.49</v>
      </c>
      <c r="M9" s="16">
        <v>39716.699999999997</v>
      </c>
      <c r="N9" s="16">
        <v>52628.74</v>
      </c>
      <c r="O9" s="16">
        <v>20708.97</v>
      </c>
      <c r="P9" s="17">
        <f>SUM(C9:O9)</f>
        <v>37885613.570000023</v>
      </c>
      <c r="Q9" s="18"/>
      <c r="R9" s="19"/>
    </row>
    <row r="10" spans="1:18" x14ac:dyDescent="0.25">
      <c r="B10" t="s">
        <v>30</v>
      </c>
      <c r="C10" s="15">
        <v>-35866922.990000002</v>
      </c>
      <c r="D10" s="20">
        <f>-D13</f>
        <v>-56047.85</v>
      </c>
      <c r="E10" s="20">
        <f t="shared" ref="E10:O10" si="1">-E13</f>
        <v>2061.91</v>
      </c>
      <c r="F10" s="20">
        <f t="shared" si="1"/>
        <v>-40027.78</v>
      </c>
      <c r="G10" s="20">
        <f t="shared" si="1"/>
        <v>-367884.84</v>
      </c>
      <c r="H10" s="20">
        <f t="shared" si="1"/>
        <v>-1363191.27</v>
      </c>
      <c r="I10" s="20">
        <f t="shared" si="1"/>
        <v>-124057.73999999999</v>
      </c>
      <c r="J10" s="20">
        <f t="shared" si="1"/>
        <v>130593.62</v>
      </c>
      <c r="K10" s="20">
        <f t="shared" si="1"/>
        <v>-176031.28000000003</v>
      </c>
      <c r="L10" s="20">
        <f t="shared" si="1"/>
        <v>-50965.49</v>
      </c>
      <c r="M10" s="20">
        <f t="shared" si="1"/>
        <v>-39716.699999999997</v>
      </c>
      <c r="N10" s="20">
        <f>-N13</f>
        <v>-50847.840000000026</v>
      </c>
      <c r="O10" s="20">
        <f t="shared" si="1"/>
        <v>-17049.36</v>
      </c>
      <c r="P10" s="17">
        <f t="shared" ref="P10:P14" si="2">SUM(C10:O10)</f>
        <v>-38020087.610000029</v>
      </c>
      <c r="Q10" s="3"/>
      <c r="R10" s="3"/>
    </row>
    <row r="11" spans="1:18" x14ac:dyDescent="0.25">
      <c r="B11" t="s">
        <v>31</v>
      </c>
      <c r="C11" s="15">
        <v>3509082.5300000007</v>
      </c>
      <c r="D11" s="16">
        <v>43767.38</v>
      </c>
      <c r="E11" s="16">
        <v>23387.66</v>
      </c>
      <c r="F11" s="16">
        <v>73318.010000000009</v>
      </c>
      <c r="G11" s="16">
        <v>15264.82</v>
      </c>
      <c r="H11" s="16">
        <v>32124.29</v>
      </c>
      <c r="I11" s="16">
        <v>4337.63</v>
      </c>
      <c r="J11" s="16">
        <v>11453.51</v>
      </c>
      <c r="K11" s="16">
        <v>8664</v>
      </c>
      <c r="L11" s="16">
        <v>50674.89</v>
      </c>
      <c r="M11" s="16">
        <v>4074.22</v>
      </c>
      <c r="N11" s="16">
        <v>4758.38</v>
      </c>
      <c r="O11" s="16">
        <v>6207.5300000000007</v>
      </c>
      <c r="P11" s="17">
        <f t="shared" si="2"/>
        <v>3787114.8500000006</v>
      </c>
    </row>
    <row r="12" spans="1:18" x14ac:dyDescent="0.25">
      <c r="B12" t="s">
        <v>32</v>
      </c>
      <c r="C12" s="15">
        <v>-3505108.0300000007</v>
      </c>
      <c r="D12" s="20">
        <f>-D14</f>
        <v>-43767.38</v>
      </c>
      <c r="E12" s="20">
        <f t="shared" ref="E12:O12" si="3">-E14</f>
        <v>-23384.04</v>
      </c>
      <c r="F12" s="20">
        <f t="shared" si="3"/>
        <v>-73318.009999999995</v>
      </c>
      <c r="G12" s="20">
        <f t="shared" si="3"/>
        <v>-15099.86</v>
      </c>
      <c r="H12" s="20">
        <f t="shared" si="3"/>
        <v>-32111.759999999998</v>
      </c>
      <c r="I12" s="20">
        <f t="shared" si="3"/>
        <v>-4327.95</v>
      </c>
      <c r="J12" s="20">
        <f t="shared" si="3"/>
        <v>-11439.08</v>
      </c>
      <c r="K12" s="20">
        <f>-K14</f>
        <v>-8651.61</v>
      </c>
      <c r="L12" s="20">
        <f t="shared" si="3"/>
        <v>-50674.89</v>
      </c>
      <c r="M12" s="20">
        <f t="shared" si="3"/>
        <v>-4074.22</v>
      </c>
      <c r="N12" s="20">
        <f t="shared" si="3"/>
        <v>-4758.38</v>
      </c>
      <c r="O12" s="20">
        <f t="shared" si="3"/>
        <v>-6193.89</v>
      </c>
      <c r="P12" s="17">
        <f t="shared" si="2"/>
        <v>-3782909.1000000006</v>
      </c>
      <c r="Q12" s="21"/>
    </row>
    <row r="13" spans="1:18" x14ac:dyDescent="0.25">
      <c r="B13" t="s">
        <v>33</v>
      </c>
      <c r="C13" s="15">
        <v>35866923.310000002</v>
      </c>
      <c r="D13" s="16">
        <v>56047.85</v>
      </c>
      <c r="E13" s="16">
        <v>-2061.91</v>
      </c>
      <c r="F13" s="16">
        <v>40027.78</v>
      </c>
      <c r="G13" s="16">
        <v>367884.84</v>
      </c>
      <c r="H13" s="16">
        <v>1363191.27</v>
      </c>
      <c r="I13" s="16">
        <f>632.59+123425.15</f>
        <v>124057.73999999999</v>
      </c>
      <c r="J13" s="16">
        <v>-130593.62</v>
      </c>
      <c r="K13" s="16">
        <f>145280.64+30750.64</f>
        <v>176031.28000000003</v>
      </c>
      <c r="L13" s="16">
        <v>50965.49</v>
      </c>
      <c r="M13" s="16">
        <f>1526.49+38190.21</f>
        <v>39716.699999999997</v>
      </c>
      <c r="N13" s="16">
        <f>495931-445083.16</f>
        <v>50847.840000000026</v>
      </c>
      <c r="O13" s="16">
        <f>1592.45+15456.91</f>
        <v>17049.36</v>
      </c>
      <c r="P13" s="8">
        <f t="shared" si="2"/>
        <v>38020087.93000003</v>
      </c>
      <c r="Q13" s="22"/>
      <c r="R13" s="8"/>
    </row>
    <row r="14" spans="1:18" x14ac:dyDescent="0.25">
      <c r="B14" t="s">
        <v>34</v>
      </c>
      <c r="C14" s="15">
        <v>3505108.0400000005</v>
      </c>
      <c r="D14" s="16">
        <v>43767.38</v>
      </c>
      <c r="E14" s="16">
        <v>23384.04</v>
      </c>
      <c r="F14" s="16">
        <v>73318.009999999995</v>
      </c>
      <c r="G14" s="16">
        <v>15099.86</v>
      </c>
      <c r="H14" s="16">
        <v>32111.759999999998</v>
      </c>
      <c r="I14" s="16">
        <v>4327.95</v>
      </c>
      <c r="J14" s="16">
        <v>11439.08</v>
      </c>
      <c r="K14" s="16">
        <v>8651.61</v>
      </c>
      <c r="L14" s="16">
        <v>50674.89</v>
      </c>
      <c r="M14" s="16">
        <v>4074.22</v>
      </c>
      <c r="N14" s="16">
        <v>4758.38</v>
      </c>
      <c r="O14" s="16">
        <v>6193.89</v>
      </c>
      <c r="P14" s="23">
        <f t="shared" si="2"/>
        <v>3782909.1100000003</v>
      </c>
      <c r="Q14" s="21"/>
      <c r="R14" s="8"/>
    </row>
    <row r="15" spans="1:18" ht="15.75" thickBot="1" x14ac:dyDescent="0.3">
      <c r="B15" t="s">
        <v>35</v>
      </c>
      <c r="C15" s="24">
        <f>SUM(C9:C14)</f>
        <v>40370275.149999999</v>
      </c>
      <c r="D15" s="24">
        <f>IF(ISBLANK(D9),0,SUM(D9:D14)+C15)</f>
        <v>40722427.949999996</v>
      </c>
      <c r="E15" s="24">
        <f>IF(ISBLANK(E9),0,SUM(E9:E14)+D15)</f>
        <v>40806439.559999995</v>
      </c>
      <c r="F15" s="24">
        <f t="shared" ref="F15:O15" si="4">IF(ISBLANK(F9),0,SUM(F9:F14)+E15)</f>
        <v>41114209.949999996</v>
      </c>
      <c r="G15" s="24">
        <f t="shared" si="4"/>
        <v>41144147.079999998</v>
      </c>
      <c r="H15" s="24">
        <f t="shared" si="4"/>
        <v>41247133.539999999</v>
      </c>
      <c r="I15" s="24">
        <f t="shared" si="4"/>
        <v>41377438.659999996</v>
      </c>
      <c r="J15" s="24">
        <f t="shared" si="4"/>
        <v>41403579.189999998</v>
      </c>
      <c r="K15" s="24">
        <f t="shared" si="4"/>
        <v>41442993.829999998</v>
      </c>
      <c r="L15" s="24">
        <f t="shared" si="4"/>
        <v>41544634.210000001</v>
      </c>
      <c r="M15" s="24">
        <f>IF(ISBLANK(M9),0,SUM(M9:M14)+L15)</f>
        <v>41588425.130000003</v>
      </c>
      <c r="N15" s="24">
        <f t="shared" si="4"/>
        <v>41645812.25</v>
      </c>
      <c r="O15" s="24">
        <f t="shared" si="4"/>
        <v>41672728.75</v>
      </c>
      <c r="P15" s="25">
        <f>SUM(P9:P14)</f>
        <v>41672728.750000022</v>
      </c>
    </row>
    <row r="16" spans="1:18" ht="15.75" thickTop="1" x14ac:dyDescent="0.25"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</row>
    <row r="17" spans="1:17" x14ac:dyDescent="0.25">
      <c r="B17" t="s">
        <v>36</v>
      </c>
      <c r="C17" s="16">
        <v>994269.50900000043</v>
      </c>
      <c r="D17" s="19">
        <f>IF(ISBLANK(D9),0,SUM(D9:D10)+C17)</f>
        <v>1246607.0790000004</v>
      </c>
      <c r="E17" s="19">
        <f>IF(ISBLANK(E9),0,SUM(E9:E10)+D17)</f>
        <v>1309292.9390000005</v>
      </c>
      <c r="F17" s="8">
        <f t="shared" ref="F17:N17" si="5">IF(ISBLANK(F9),0,SUM(F9:F10)+E17)</f>
        <v>1503717.5390000006</v>
      </c>
      <c r="G17" s="19">
        <f t="shared" si="5"/>
        <v>1150505.0090000005</v>
      </c>
      <c r="H17" s="19">
        <f t="shared" si="5"/>
        <v>-141824.09099999955</v>
      </c>
      <c r="I17" s="19">
        <f t="shared" si="5"/>
        <v>-139914.34099999955</v>
      </c>
      <c r="J17" s="19">
        <f t="shared" si="5"/>
        <v>5366.2990000004356</v>
      </c>
      <c r="K17" s="19">
        <f t="shared" si="5"/>
        <v>-139914.34099999958</v>
      </c>
      <c r="L17" s="19">
        <f t="shared" si="5"/>
        <v>-139914.34099999958</v>
      </c>
      <c r="M17" s="19">
        <f t="shared" si="5"/>
        <v>-139914.34099999958</v>
      </c>
      <c r="N17" s="19">
        <f t="shared" si="5"/>
        <v>-138133.44099999961</v>
      </c>
      <c r="O17" s="19">
        <f>IF(ISBLANK(O9),0,SUM(O9:O10)+N17)</f>
        <v>-134473.8309999996</v>
      </c>
      <c r="P17" s="8">
        <f>+O17</f>
        <v>-134473.8309999996</v>
      </c>
    </row>
    <row r="18" spans="1:17" x14ac:dyDescent="0.25">
      <c r="B18" t="s">
        <v>37</v>
      </c>
      <c r="C18" s="16">
        <v>3974.5000000004547</v>
      </c>
      <c r="D18" s="27">
        <f>IF(ISBLANK(D11),0,C18+SUM(D11:D12))</f>
        <v>3974.5000000004547</v>
      </c>
      <c r="E18" s="27">
        <f t="shared" ref="E18:N18" si="6">IF(ISBLANK(E11),0,D18+SUM(E11:E12))</f>
        <v>3978.1200000004537</v>
      </c>
      <c r="F18" s="8">
        <f t="shared" si="6"/>
        <v>3978.1200000004537</v>
      </c>
      <c r="G18" s="27">
        <f t="shared" si="6"/>
        <v>4143.0800000004529</v>
      </c>
      <c r="H18" s="27">
        <f t="shared" si="6"/>
        <v>4155.6100000004553</v>
      </c>
      <c r="I18" s="27">
        <f t="shared" si="6"/>
        <v>4165.2900000004556</v>
      </c>
      <c r="J18" s="27">
        <f t="shared" si="6"/>
        <v>4179.7200000004559</v>
      </c>
      <c r="K18" s="27">
        <f t="shared" si="6"/>
        <v>4192.1100000004553</v>
      </c>
      <c r="L18" s="27">
        <f t="shared" si="6"/>
        <v>4192.1100000004553</v>
      </c>
      <c r="M18" s="27">
        <f t="shared" si="6"/>
        <v>4192.1100000004553</v>
      </c>
      <c r="N18" s="27">
        <f t="shared" si="6"/>
        <v>4192.1100000004553</v>
      </c>
      <c r="O18" s="27">
        <f>IF(ISBLANK(O11),0,N18+SUM(O11:O12))</f>
        <v>4205.7500000004557</v>
      </c>
      <c r="P18" s="8">
        <f>+O18</f>
        <v>4205.7500000004557</v>
      </c>
    </row>
    <row r="19" spans="1:17" x14ac:dyDescent="0.25">
      <c r="B19" t="s">
        <v>38</v>
      </c>
      <c r="C19" s="16">
        <v>35866922.670000002</v>
      </c>
      <c r="D19" s="8">
        <f>IF(ISBLANK(D13),0,C19+D13)</f>
        <v>35922970.520000003</v>
      </c>
      <c r="E19" s="8">
        <f t="shared" ref="E19:O19" si="7">IF(ISBLANK(E13),0,D19+E13)</f>
        <v>35920908.610000007</v>
      </c>
      <c r="F19" s="8">
        <f t="shared" si="7"/>
        <v>35960936.390000008</v>
      </c>
      <c r="G19" s="8">
        <f t="shared" si="7"/>
        <v>36328821.230000012</v>
      </c>
      <c r="H19" s="8">
        <f t="shared" si="7"/>
        <v>37692012.500000015</v>
      </c>
      <c r="I19" s="8">
        <f t="shared" si="7"/>
        <v>37816070.240000017</v>
      </c>
      <c r="J19" s="8">
        <f t="shared" si="7"/>
        <v>37685476.62000002</v>
      </c>
      <c r="K19" s="8">
        <f t="shared" si="7"/>
        <v>37861507.900000021</v>
      </c>
      <c r="L19" s="8">
        <f t="shared" si="7"/>
        <v>37912473.390000023</v>
      </c>
      <c r="M19" s="8">
        <f t="shared" si="7"/>
        <v>37952190.090000026</v>
      </c>
      <c r="N19" s="8">
        <f t="shared" si="7"/>
        <v>38003037.93000003</v>
      </c>
      <c r="O19" s="8">
        <f t="shared" si="7"/>
        <v>38020087.290000029</v>
      </c>
      <c r="P19" s="8">
        <f>O19</f>
        <v>38020087.290000029</v>
      </c>
      <c r="Q19" s="3"/>
    </row>
    <row r="20" spans="1:17" x14ac:dyDescent="0.25">
      <c r="B20" t="s">
        <v>39</v>
      </c>
      <c r="C20" s="16">
        <v>3505108.3200000008</v>
      </c>
      <c r="D20" s="23">
        <f>IF(ISBLANK(D14),0,D14+C20)</f>
        <v>3548875.7000000007</v>
      </c>
      <c r="E20" s="23">
        <f t="shared" ref="E20:O20" si="8">IF(ISBLANK(E14),0,E14+D20)</f>
        <v>3572259.7400000007</v>
      </c>
      <c r="F20" s="23">
        <f t="shared" si="8"/>
        <v>3645577.7500000005</v>
      </c>
      <c r="G20" s="23">
        <f t="shared" si="8"/>
        <v>3660677.6100000003</v>
      </c>
      <c r="H20" s="23">
        <f t="shared" si="8"/>
        <v>3692789.37</v>
      </c>
      <c r="I20" s="23">
        <f t="shared" si="8"/>
        <v>3697117.3200000003</v>
      </c>
      <c r="J20" s="23">
        <f t="shared" si="8"/>
        <v>3708556.4000000004</v>
      </c>
      <c r="K20" s="23">
        <f t="shared" si="8"/>
        <v>3717208.0100000002</v>
      </c>
      <c r="L20" s="23">
        <f t="shared" si="8"/>
        <v>3767882.9000000004</v>
      </c>
      <c r="M20" s="23">
        <f t="shared" si="8"/>
        <v>3771957.1200000006</v>
      </c>
      <c r="N20" s="23">
        <f t="shared" si="8"/>
        <v>3776715.5000000005</v>
      </c>
      <c r="O20" s="23">
        <f t="shared" si="8"/>
        <v>3782909.3900000006</v>
      </c>
      <c r="P20" s="23">
        <f>O20</f>
        <v>3782909.3900000006</v>
      </c>
      <c r="Q20" s="3"/>
    </row>
    <row r="21" spans="1:17" ht="15.75" thickBot="1" x14ac:dyDescent="0.3">
      <c r="B21" t="s">
        <v>40</v>
      </c>
      <c r="C21" s="24">
        <f>SUM(C17:C20)</f>
        <v>40370274.999000005</v>
      </c>
      <c r="D21" s="24">
        <f>SUM(D17:D20)</f>
        <v>40722427.79900001</v>
      </c>
      <c r="E21" s="24">
        <f t="shared" ref="E21:P21" si="9">SUM(E17:E20)</f>
        <v>40806439.409000009</v>
      </c>
      <c r="F21" s="24">
        <f t="shared" si="9"/>
        <v>41114209.79900001</v>
      </c>
      <c r="G21" s="24">
        <f t="shared" si="9"/>
        <v>41144146.929000013</v>
      </c>
      <c r="H21" s="24">
        <f t="shared" si="9"/>
        <v>41247133.389000013</v>
      </c>
      <c r="I21" s="24">
        <f t="shared" si="9"/>
        <v>41377438.509000018</v>
      </c>
      <c r="J21" s="24">
        <f t="shared" si="9"/>
        <v>41403579.039000019</v>
      </c>
      <c r="K21" s="24">
        <f t="shared" si="9"/>
        <v>41442993.67900002</v>
      </c>
      <c r="L21" s="24">
        <f t="shared" si="9"/>
        <v>41544634.059000023</v>
      </c>
      <c r="M21" s="24">
        <f t="shared" si="9"/>
        <v>41588424.979000024</v>
      </c>
      <c r="N21" s="24">
        <f t="shared" si="9"/>
        <v>41645812.099000029</v>
      </c>
      <c r="O21" s="24">
        <f t="shared" si="9"/>
        <v>41672728.599000029</v>
      </c>
      <c r="P21" s="24">
        <f t="shared" si="9"/>
        <v>41672728.599000029</v>
      </c>
    </row>
    <row r="22" spans="1:17" ht="15.75" thickTop="1" x14ac:dyDescent="0.2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8"/>
    </row>
    <row r="23" spans="1:17" x14ac:dyDescent="0.25">
      <c r="B23" t="s">
        <v>41</v>
      </c>
      <c r="C23" s="29">
        <v>-3857221.2718708329</v>
      </c>
      <c r="D23" s="27">
        <f>C23-D41-D42</f>
        <v>-3926414.2718708329</v>
      </c>
      <c r="E23" s="27">
        <f>D23-E41-E42</f>
        <v>-3995785.2718708329</v>
      </c>
      <c r="F23" s="27">
        <f t="shared" ref="F23:N23" si="10">E23-F41-F42</f>
        <v>-4065196.2718708329</v>
      </c>
      <c r="G23" s="27">
        <f t="shared" si="10"/>
        <v>-4134812.2718708329</v>
      </c>
      <c r="H23" s="27">
        <f t="shared" si="10"/>
        <v>-4205098.2718708329</v>
      </c>
      <c r="I23" s="27">
        <f t="shared" si="10"/>
        <v>-4277829.2718708329</v>
      </c>
      <c r="J23" s="27">
        <f t="shared" si="10"/>
        <v>-4350785.2718708329</v>
      </c>
      <c r="K23" s="27">
        <f t="shared" si="10"/>
        <v>-4423534.2718708329</v>
      </c>
      <c r="L23" s="27">
        <f t="shared" si="10"/>
        <v>-4496607.2718708329</v>
      </c>
      <c r="M23" s="27">
        <f t="shared" si="10"/>
        <v>-4569862.2718708329</v>
      </c>
      <c r="N23" s="27">
        <f t="shared" si="10"/>
        <v>-4643193.2718708329</v>
      </c>
      <c r="O23" s="27">
        <f>N23-O41-O42</f>
        <v>-4716622.2718708329</v>
      </c>
      <c r="P23" s="27">
        <f>O23</f>
        <v>-4716622.2718708329</v>
      </c>
    </row>
    <row r="24" spans="1:17" ht="15.75" thickBot="1" x14ac:dyDescent="0.3">
      <c r="B24" t="s">
        <v>42</v>
      </c>
      <c r="C24" s="24">
        <f>C21+C23</f>
        <v>36513053.727129176</v>
      </c>
      <c r="D24" s="24">
        <f>D21+D23</f>
        <v>36796013.527129173</v>
      </c>
      <c r="E24" s="24">
        <f t="shared" ref="E24:O24" si="11">E21+E23</f>
        <v>36810654.137129173</v>
      </c>
      <c r="F24" s="24">
        <f t="shared" si="11"/>
        <v>37049013.527129173</v>
      </c>
      <c r="G24" s="24">
        <f t="shared" si="11"/>
        <v>37009334.657129183</v>
      </c>
      <c r="H24" s="24">
        <f t="shared" si="11"/>
        <v>37042035.117129177</v>
      </c>
      <c r="I24" s="24">
        <f t="shared" si="11"/>
        <v>37099609.237129182</v>
      </c>
      <c r="J24" s="24">
        <f t="shared" si="11"/>
        <v>37052793.767129183</v>
      </c>
      <c r="K24" s="24">
        <f t="shared" si="11"/>
        <v>37019459.407129183</v>
      </c>
      <c r="L24" s="24">
        <f t="shared" si="11"/>
        <v>37048026.787129194</v>
      </c>
      <c r="M24" s="24">
        <f t="shared" si="11"/>
        <v>37018562.707129195</v>
      </c>
      <c r="N24" s="24">
        <f t="shared" si="11"/>
        <v>37002618.8271292</v>
      </c>
      <c r="O24" s="24">
        <f t="shared" si="11"/>
        <v>36956106.3271292</v>
      </c>
      <c r="P24" s="24">
        <f>P21+P23</f>
        <v>36956106.3271292</v>
      </c>
    </row>
    <row r="25" spans="1:17" ht="16.5" thickTop="1" thickBot="1" x14ac:dyDescent="0.3">
      <c r="B25" s="3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7" ht="16.5" thickTop="1" thickBot="1" x14ac:dyDescent="0.3">
      <c r="B26" s="30" t="s">
        <v>43</v>
      </c>
      <c r="C26" s="27"/>
      <c r="D26" s="31">
        <f>ROUND((+C24+D24)/2,0)</f>
        <v>36654534</v>
      </c>
      <c r="E26" s="31">
        <f t="shared" ref="E26:N26" si="12">ROUND((+D24+E24)/2,0)</f>
        <v>36803334</v>
      </c>
      <c r="F26" s="31">
        <f t="shared" si="12"/>
        <v>36929834</v>
      </c>
      <c r="G26" s="31">
        <f t="shared" si="12"/>
        <v>37029174</v>
      </c>
      <c r="H26" s="31">
        <f t="shared" si="12"/>
        <v>37025685</v>
      </c>
      <c r="I26" s="31">
        <f t="shared" si="12"/>
        <v>37070822</v>
      </c>
      <c r="J26" s="31">
        <f t="shared" si="12"/>
        <v>37076202</v>
      </c>
      <c r="K26" s="31">
        <f t="shared" si="12"/>
        <v>37036127</v>
      </c>
      <c r="L26" s="31">
        <f t="shared" si="12"/>
        <v>37033743</v>
      </c>
      <c r="M26" s="31">
        <f t="shared" si="12"/>
        <v>37033295</v>
      </c>
      <c r="N26" s="31">
        <f t="shared" si="12"/>
        <v>37010591</v>
      </c>
      <c r="O26" s="31">
        <f>ROUND((+N24+O24)/2,0)</f>
        <v>36979363</v>
      </c>
      <c r="P26" s="27"/>
    </row>
    <row r="27" spans="1:17" ht="15.75" thickTop="1" x14ac:dyDescent="0.25">
      <c r="B27" s="30"/>
      <c r="C27" s="30"/>
      <c r="D27" s="32"/>
      <c r="E27" s="32"/>
      <c r="F27" s="32"/>
      <c r="G27" s="32"/>
      <c r="H27" s="32"/>
      <c r="I27" s="30"/>
    </row>
    <row r="28" spans="1:17" x14ac:dyDescent="0.25">
      <c r="A28" t="s">
        <v>44</v>
      </c>
      <c r="D28" s="32"/>
      <c r="E28" s="32"/>
      <c r="F28" s="32"/>
      <c r="G28" s="32"/>
      <c r="H28" s="32"/>
    </row>
    <row r="29" spans="1:17" x14ac:dyDescent="0.25">
      <c r="B29" t="s">
        <v>45</v>
      </c>
      <c r="D29" s="33">
        <v>2.1000000000000001E-2</v>
      </c>
      <c r="E29" s="34">
        <f>D29</f>
        <v>2.1000000000000001E-2</v>
      </c>
      <c r="F29" s="34">
        <f t="shared" ref="F29:O30" si="13">E29</f>
        <v>2.1000000000000001E-2</v>
      </c>
      <c r="G29" s="34">
        <f t="shared" si="13"/>
        <v>2.1000000000000001E-2</v>
      </c>
      <c r="H29" s="34">
        <f t="shared" si="13"/>
        <v>2.1000000000000001E-2</v>
      </c>
      <c r="I29" s="34">
        <f t="shared" si="13"/>
        <v>2.1000000000000001E-2</v>
      </c>
      <c r="J29" s="34">
        <f t="shared" si="13"/>
        <v>2.1000000000000001E-2</v>
      </c>
      <c r="K29" s="34">
        <f t="shared" si="13"/>
        <v>2.1000000000000001E-2</v>
      </c>
      <c r="L29" s="34">
        <f t="shared" si="13"/>
        <v>2.1000000000000001E-2</v>
      </c>
      <c r="M29" s="34">
        <f t="shared" si="13"/>
        <v>2.1000000000000001E-2</v>
      </c>
      <c r="N29" s="34">
        <f t="shared" si="13"/>
        <v>2.1000000000000001E-2</v>
      </c>
      <c r="O29" s="34">
        <f t="shared" si="13"/>
        <v>2.1000000000000001E-2</v>
      </c>
    </row>
    <row r="30" spans="1:17" x14ac:dyDescent="0.25">
      <c r="B30" t="s">
        <v>46</v>
      </c>
      <c r="D30" s="33">
        <v>2.1999999999999999E-2</v>
      </c>
      <c r="E30" s="34">
        <f>D30</f>
        <v>2.1999999999999999E-2</v>
      </c>
      <c r="F30" s="34">
        <f t="shared" si="13"/>
        <v>2.1999999999999999E-2</v>
      </c>
      <c r="G30" s="34">
        <f t="shared" si="13"/>
        <v>2.1999999999999999E-2</v>
      </c>
      <c r="H30" s="34">
        <f t="shared" si="13"/>
        <v>2.1999999999999999E-2</v>
      </c>
      <c r="I30" s="34">
        <f t="shared" si="13"/>
        <v>2.1999999999999999E-2</v>
      </c>
      <c r="J30" s="34">
        <f t="shared" si="13"/>
        <v>2.1999999999999999E-2</v>
      </c>
      <c r="K30" s="34">
        <f t="shared" si="13"/>
        <v>2.1999999999999999E-2</v>
      </c>
      <c r="L30" s="34">
        <f t="shared" si="13"/>
        <v>2.1999999999999999E-2</v>
      </c>
      <c r="M30" s="34">
        <f t="shared" si="13"/>
        <v>2.1999999999999999E-2</v>
      </c>
      <c r="N30" s="34">
        <f t="shared" si="13"/>
        <v>2.1999999999999999E-2</v>
      </c>
      <c r="O30" s="34">
        <f t="shared" si="13"/>
        <v>2.1999999999999999E-2</v>
      </c>
    </row>
    <row r="31" spans="1:17" x14ac:dyDescent="0.25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7" x14ac:dyDescent="0.25">
      <c r="A32" t="s">
        <v>47</v>
      </c>
      <c r="D32" s="5"/>
    </row>
    <row r="33" spans="1:16" x14ac:dyDescent="0.25">
      <c r="B33" t="s">
        <v>48</v>
      </c>
      <c r="D33" s="35">
        <v>5.4170000000000003E-2</v>
      </c>
      <c r="E33" s="36">
        <f>D33</f>
        <v>5.4170000000000003E-2</v>
      </c>
      <c r="F33" s="36">
        <f t="shared" ref="F33:O34" si="14">E33</f>
        <v>5.4170000000000003E-2</v>
      </c>
      <c r="G33" s="36">
        <f t="shared" si="14"/>
        <v>5.4170000000000003E-2</v>
      </c>
      <c r="H33" s="36">
        <f t="shared" si="14"/>
        <v>5.4170000000000003E-2</v>
      </c>
      <c r="I33" s="36">
        <f t="shared" si="14"/>
        <v>5.4170000000000003E-2</v>
      </c>
      <c r="J33" s="36">
        <f t="shared" si="14"/>
        <v>5.4170000000000003E-2</v>
      </c>
      <c r="K33" s="36">
        <f t="shared" si="14"/>
        <v>5.4170000000000003E-2</v>
      </c>
      <c r="L33" s="36">
        <f t="shared" si="14"/>
        <v>5.4170000000000003E-2</v>
      </c>
      <c r="M33" s="36">
        <f t="shared" si="14"/>
        <v>5.4170000000000003E-2</v>
      </c>
      <c r="N33" s="36">
        <f t="shared" si="14"/>
        <v>5.4170000000000003E-2</v>
      </c>
      <c r="O33" s="36">
        <f t="shared" si="14"/>
        <v>5.4170000000000003E-2</v>
      </c>
    </row>
    <row r="34" spans="1:16" x14ac:dyDescent="0.25">
      <c r="B34" t="s">
        <v>49</v>
      </c>
      <c r="D34" s="35">
        <v>1.38E-2</v>
      </c>
      <c r="E34" s="36">
        <f>D34</f>
        <v>1.38E-2</v>
      </c>
      <c r="F34" s="36">
        <f t="shared" si="14"/>
        <v>1.38E-2</v>
      </c>
      <c r="G34" s="36">
        <f t="shared" si="14"/>
        <v>1.38E-2</v>
      </c>
      <c r="H34" s="36">
        <f t="shared" si="14"/>
        <v>1.38E-2</v>
      </c>
      <c r="I34" s="36">
        <f t="shared" si="14"/>
        <v>1.38E-2</v>
      </c>
      <c r="J34" s="36">
        <f t="shared" si="14"/>
        <v>1.38E-2</v>
      </c>
      <c r="K34" s="36">
        <f t="shared" si="14"/>
        <v>1.38E-2</v>
      </c>
      <c r="L34" s="36">
        <f t="shared" si="14"/>
        <v>1.38E-2</v>
      </c>
      <c r="M34" s="36">
        <f t="shared" si="14"/>
        <v>1.38E-2</v>
      </c>
      <c r="N34" s="36">
        <f t="shared" si="14"/>
        <v>1.38E-2</v>
      </c>
      <c r="O34" s="36">
        <f t="shared" si="14"/>
        <v>1.38E-2</v>
      </c>
    </row>
    <row r="35" spans="1:16" x14ac:dyDescent="0.25">
      <c r="D35" s="5"/>
    </row>
    <row r="36" spans="1:16" x14ac:dyDescent="0.25">
      <c r="B36" t="s">
        <v>50</v>
      </c>
      <c r="D36" s="27">
        <f t="shared" ref="D36:N36" si="15">D26*D33/12</f>
        <v>165464.67556500001</v>
      </c>
      <c r="E36" s="27">
        <f t="shared" si="15"/>
        <v>166136.383565</v>
      </c>
      <c r="F36" s="27">
        <f t="shared" si="15"/>
        <v>166707.42564833336</v>
      </c>
      <c r="G36" s="27">
        <f t="shared" si="15"/>
        <v>167155.86296500001</v>
      </c>
      <c r="H36" s="27">
        <f t="shared" si="15"/>
        <v>167140.11303750001</v>
      </c>
      <c r="I36" s="27">
        <f t="shared" si="15"/>
        <v>167343.86897833334</v>
      </c>
      <c r="J36" s="27">
        <f t="shared" si="15"/>
        <v>167368.155195</v>
      </c>
      <c r="K36" s="27">
        <f t="shared" si="15"/>
        <v>167187.24996583335</v>
      </c>
      <c r="L36" s="27">
        <f t="shared" si="15"/>
        <v>167176.48819249999</v>
      </c>
      <c r="M36" s="27">
        <f t="shared" si="15"/>
        <v>167174.46584583333</v>
      </c>
      <c r="N36" s="27">
        <f t="shared" si="15"/>
        <v>167071.97620583334</v>
      </c>
      <c r="O36" s="27">
        <f>O26*O33/12</f>
        <v>166931.00780916668</v>
      </c>
      <c r="P36" s="8">
        <f>SUM(D36:O36)</f>
        <v>2002857.6729733334</v>
      </c>
    </row>
    <row r="37" spans="1:16" x14ac:dyDescent="0.25">
      <c r="B37" t="s">
        <v>51</v>
      </c>
      <c r="D37" s="23">
        <f t="shared" ref="D37:O37" si="16">D26*D34/12</f>
        <v>42152.714099999997</v>
      </c>
      <c r="E37" s="23">
        <f t="shared" si="16"/>
        <v>42323.8341</v>
      </c>
      <c r="F37" s="23">
        <f t="shared" si="16"/>
        <v>42469.309099999999</v>
      </c>
      <c r="G37" s="23">
        <f t="shared" si="16"/>
        <v>42583.5501</v>
      </c>
      <c r="H37" s="23">
        <f t="shared" si="16"/>
        <v>42579.537749999996</v>
      </c>
      <c r="I37" s="23">
        <f t="shared" si="16"/>
        <v>42631.445299999999</v>
      </c>
      <c r="J37" s="23">
        <f t="shared" si="16"/>
        <v>42637.632299999997</v>
      </c>
      <c r="K37" s="23">
        <f t="shared" si="16"/>
        <v>42591.546049999997</v>
      </c>
      <c r="L37" s="23">
        <f t="shared" si="16"/>
        <v>42588.804450000003</v>
      </c>
      <c r="M37" s="23">
        <f t="shared" si="16"/>
        <v>42588.289250000002</v>
      </c>
      <c r="N37" s="23">
        <f t="shared" si="16"/>
        <v>42562.179649999998</v>
      </c>
      <c r="O37" s="23">
        <f t="shared" si="16"/>
        <v>42526.267449999999</v>
      </c>
      <c r="P37" s="23">
        <f>SUM(D37:O37)</f>
        <v>510235.10959999997</v>
      </c>
    </row>
    <row r="38" spans="1:16" ht="15.75" thickBot="1" x14ac:dyDescent="0.3">
      <c r="B38" t="s">
        <v>52</v>
      </c>
      <c r="D38" s="25">
        <f>SUM(D36:D37)</f>
        <v>207617.38966500002</v>
      </c>
      <c r="E38" s="25">
        <f t="shared" ref="E38:N38" si="17">SUM(E36:E37)</f>
        <v>208460.217665</v>
      </c>
      <c r="F38" s="25">
        <f t="shared" si="17"/>
        <v>209176.73474833334</v>
      </c>
      <c r="G38" s="25">
        <f t="shared" si="17"/>
        <v>209739.413065</v>
      </c>
      <c r="H38" s="25">
        <f t="shared" si="17"/>
        <v>209719.6507875</v>
      </c>
      <c r="I38" s="25">
        <f t="shared" si="17"/>
        <v>209975.31427833333</v>
      </c>
      <c r="J38" s="25">
        <f t="shared" si="17"/>
        <v>210005.787495</v>
      </c>
      <c r="K38" s="25">
        <f t="shared" si="17"/>
        <v>209778.79601583336</v>
      </c>
      <c r="L38" s="25">
        <f t="shared" si="17"/>
        <v>209765.29264249999</v>
      </c>
      <c r="M38" s="25">
        <f t="shared" si="17"/>
        <v>209762.75509583333</v>
      </c>
      <c r="N38" s="25">
        <f t="shared" si="17"/>
        <v>209634.15585583335</v>
      </c>
      <c r="O38" s="25">
        <f>SUM(O36:O37)</f>
        <v>209457.27525916666</v>
      </c>
      <c r="P38" s="24">
        <f>SUM(P36:P37)</f>
        <v>2513092.7825733335</v>
      </c>
    </row>
    <row r="39" spans="1:16" ht="15.75" thickTop="1" x14ac:dyDescent="0.25">
      <c r="D39" s="34"/>
    </row>
    <row r="40" spans="1:16" x14ac:dyDescent="0.25">
      <c r="A40" t="s">
        <v>53</v>
      </c>
      <c r="D40" s="34"/>
    </row>
    <row r="41" spans="1:16" x14ac:dyDescent="0.25">
      <c r="B41" t="s">
        <v>54</v>
      </c>
      <c r="D41" s="26">
        <f t="shared" ref="D41:O42" si="18">ROUND(AVERAGE(C19)*(D29/12),0)</f>
        <v>62767</v>
      </c>
      <c r="E41" s="26">
        <f t="shared" si="18"/>
        <v>62865</v>
      </c>
      <c r="F41" s="26">
        <f>ROUND(AVERAGE(E19)*(F29/12),0)</f>
        <v>62862</v>
      </c>
      <c r="G41" s="26">
        <f t="shared" si="18"/>
        <v>62932</v>
      </c>
      <c r="H41" s="26">
        <f t="shared" si="18"/>
        <v>63575</v>
      </c>
      <c r="I41" s="26">
        <f t="shared" si="18"/>
        <v>65961</v>
      </c>
      <c r="J41" s="26">
        <f t="shared" si="18"/>
        <v>66178</v>
      </c>
      <c r="K41" s="26">
        <f t="shared" si="18"/>
        <v>65950</v>
      </c>
      <c r="L41" s="26">
        <f t="shared" si="18"/>
        <v>66258</v>
      </c>
      <c r="M41" s="26">
        <f t="shared" si="18"/>
        <v>66347</v>
      </c>
      <c r="N41" s="26">
        <f t="shared" si="18"/>
        <v>66416</v>
      </c>
      <c r="O41" s="26">
        <f t="shared" si="18"/>
        <v>66505</v>
      </c>
      <c r="P41" s="8">
        <f>SUM(D41:O41)</f>
        <v>778616</v>
      </c>
    </row>
    <row r="42" spans="1:16" x14ac:dyDescent="0.25">
      <c r="B42" t="s">
        <v>55</v>
      </c>
      <c r="D42" s="37">
        <f>ROUND(AVERAGE(C20)*(D30/12),0)</f>
        <v>6426</v>
      </c>
      <c r="E42" s="37">
        <f t="shared" si="18"/>
        <v>6506</v>
      </c>
      <c r="F42" s="37">
        <f>ROUND(AVERAGE(E20)*(F30/12),0)</f>
        <v>6549</v>
      </c>
      <c r="G42" s="37">
        <f t="shared" si="18"/>
        <v>6684</v>
      </c>
      <c r="H42" s="37">
        <f t="shared" si="18"/>
        <v>6711</v>
      </c>
      <c r="I42" s="37">
        <f t="shared" si="18"/>
        <v>6770</v>
      </c>
      <c r="J42" s="37">
        <f t="shared" si="18"/>
        <v>6778</v>
      </c>
      <c r="K42" s="37">
        <f t="shared" si="18"/>
        <v>6799</v>
      </c>
      <c r="L42" s="37">
        <f t="shared" si="18"/>
        <v>6815</v>
      </c>
      <c r="M42" s="37">
        <f t="shared" si="18"/>
        <v>6908</v>
      </c>
      <c r="N42" s="37">
        <f t="shared" si="18"/>
        <v>6915</v>
      </c>
      <c r="O42" s="37">
        <f t="shared" si="18"/>
        <v>6924</v>
      </c>
      <c r="P42" s="27">
        <f>SUM(D42:O42)</f>
        <v>80785</v>
      </c>
    </row>
    <row r="43" spans="1:16" x14ac:dyDescent="0.25">
      <c r="B43" t="s">
        <v>56</v>
      </c>
      <c r="C43" s="33">
        <v>0.02</v>
      </c>
      <c r="D43" s="27">
        <f>$C24*($C43/12)</f>
        <v>60855.089545215298</v>
      </c>
      <c r="E43" s="27">
        <f t="shared" ref="E43:O43" si="19">$C24*($C43/12)</f>
        <v>60855.089545215298</v>
      </c>
      <c r="F43" s="27">
        <f t="shared" si="19"/>
        <v>60855.089545215298</v>
      </c>
      <c r="G43" s="27">
        <f t="shared" si="19"/>
        <v>60855.089545215298</v>
      </c>
      <c r="H43" s="27">
        <f t="shared" si="19"/>
        <v>60855.089545215298</v>
      </c>
      <c r="I43" s="27">
        <f t="shared" si="19"/>
        <v>60855.089545215298</v>
      </c>
      <c r="J43" s="27">
        <f t="shared" si="19"/>
        <v>60855.089545215298</v>
      </c>
      <c r="K43" s="27">
        <f t="shared" si="19"/>
        <v>60855.089545215298</v>
      </c>
      <c r="L43" s="27">
        <f t="shared" si="19"/>
        <v>60855.089545215298</v>
      </c>
      <c r="M43" s="27">
        <f t="shared" si="19"/>
        <v>60855.089545215298</v>
      </c>
      <c r="N43" s="27">
        <f t="shared" si="19"/>
        <v>60855.089545215298</v>
      </c>
      <c r="O43" s="27">
        <f t="shared" si="19"/>
        <v>60855.089545215298</v>
      </c>
      <c r="P43" s="8">
        <f>SUM(D43:O43)</f>
        <v>730261.07454258343</v>
      </c>
    </row>
    <row r="44" spans="1:16" x14ac:dyDescent="0.25">
      <c r="B44" t="s">
        <v>57</v>
      </c>
      <c r="D44" s="38">
        <v>0</v>
      </c>
      <c r="E44" s="38">
        <v>0</v>
      </c>
      <c r="F44" s="38">
        <v>0</v>
      </c>
      <c r="G44" s="39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8">
        <f>SUM(D44:O44)</f>
        <v>0</v>
      </c>
    </row>
    <row r="45" spans="1:16" x14ac:dyDescent="0.25">
      <c r="B45" t="s">
        <v>58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39">
        <v>0</v>
      </c>
      <c r="M45" s="39">
        <v>0</v>
      </c>
      <c r="N45" s="40">
        <v>0</v>
      </c>
      <c r="O45" s="40">
        <v>0</v>
      </c>
      <c r="P45" s="23">
        <f>SUM(D45:O45)</f>
        <v>0</v>
      </c>
    </row>
    <row r="46" spans="1:16" ht="15.75" thickBot="1" x14ac:dyDescent="0.3">
      <c r="B46" t="s">
        <v>59</v>
      </c>
      <c r="D46" s="24">
        <f>SUM(D41:D45)</f>
        <v>130048.08954521531</v>
      </c>
      <c r="E46" s="24">
        <f t="shared" ref="E46:N46" si="20">SUM(E41:E45)</f>
        <v>130226.08954521531</v>
      </c>
      <c r="F46" s="24">
        <f t="shared" si="20"/>
        <v>130266.08954521531</v>
      </c>
      <c r="G46" s="24">
        <f t="shared" si="20"/>
        <v>130471.08954521531</v>
      </c>
      <c r="H46" s="24">
        <f t="shared" si="20"/>
        <v>131141.08954521531</v>
      </c>
      <c r="I46" s="24">
        <f t="shared" si="20"/>
        <v>133586.08954521531</v>
      </c>
      <c r="J46" s="41">
        <f t="shared" si="20"/>
        <v>133811.08954521531</v>
      </c>
      <c r="K46" s="24">
        <f t="shared" si="20"/>
        <v>133604.08954521531</v>
      </c>
      <c r="L46" s="24">
        <f t="shared" si="20"/>
        <v>133928.08954521531</v>
      </c>
      <c r="M46" s="24">
        <f t="shared" si="20"/>
        <v>134110.08954521531</v>
      </c>
      <c r="N46" s="24">
        <f t="shared" si="20"/>
        <v>134186.08954521531</v>
      </c>
      <c r="O46" s="24">
        <f>SUM(O41:O45)</f>
        <v>134284.08954521531</v>
      </c>
      <c r="P46" s="25">
        <f>SUM(P41:P45)</f>
        <v>1589662.0745425834</v>
      </c>
    </row>
    <row r="47" spans="1:16" ht="15.75" thickTop="1" x14ac:dyDescent="0.25">
      <c r="D47" s="42"/>
    </row>
    <row r="48" spans="1:16" s="43" customFormat="1" ht="15.75" thickBot="1" x14ac:dyDescent="0.3">
      <c r="A48" s="43" t="s">
        <v>60</v>
      </c>
      <c r="D48" s="44">
        <f>D38+D46</f>
        <v>337665.47921021533</v>
      </c>
      <c r="E48" s="44">
        <f t="shared" ref="E48:P48" si="21">E38+E46</f>
        <v>338686.30721021531</v>
      </c>
      <c r="F48" s="44">
        <f t="shared" si="21"/>
        <v>339442.82429354865</v>
      </c>
      <c r="G48" s="44">
        <f t="shared" si="21"/>
        <v>340210.50261021534</v>
      </c>
      <c r="H48" s="44">
        <f t="shared" si="21"/>
        <v>340860.74033271533</v>
      </c>
      <c r="I48" s="44">
        <f t="shared" si="21"/>
        <v>343561.40382354864</v>
      </c>
      <c r="J48" s="44">
        <f t="shared" si="21"/>
        <v>343816.8770402153</v>
      </c>
      <c r="K48" s="44">
        <f t="shared" si="21"/>
        <v>343382.88556104864</v>
      </c>
      <c r="L48" s="44">
        <f t="shared" si="21"/>
        <v>343693.38218771527</v>
      </c>
      <c r="M48" s="44">
        <f t="shared" si="21"/>
        <v>343872.84464104864</v>
      </c>
      <c r="N48" s="44">
        <f t="shared" si="21"/>
        <v>343820.24540104868</v>
      </c>
      <c r="O48" s="44">
        <f>O38+O46</f>
        <v>343741.36480438197</v>
      </c>
      <c r="P48" s="44">
        <f t="shared" si="21"/>
        <v>4102754.8571159169</v>
      </c>
    </row>
    <row r="49" spans="1:16" ht="15.75" thickTop="1" x14ac:dyDescent="0.25">
      <c r="D49" s="42"/>
    </row>
    <row r="50" spans="1:16" ht="14.45" hidden="1" customHeight="1" x14ac:dyDescent="0.25">
      <c r="D50" s="42"/>
    </row>
    <row r="51" spans="1:16" ht="14.45" hidden="1" customHeight="1" x14ac:dyDescent="0.25">
      <c r="D51" s="42"/>
    </row>
    <row r="52" spans="1:16" ht="14.45" hidden="1" customHeight="1" x14ac:dyDescent="0.25">
      <c r="D52" s="42"/>
    </row>
    <row r="53" spans="1:16" x14ac:dyDescent="0.25">
      <c r="A53" t="s">
        <v>61</v>
      </c>
      <c r="D53" s="45">
        <v>416736.52</v>
      </c>
      <c r="E53" s="45">
        <v>360702.13</v>
      </c>
      <c r="F53" s="45">
        <v>385514.26</v>
      </c>
      <c r="G53" s="45">
        <v>372763.88</v>
      </c>
      <c r="H53" s="45">
        <v>319225.7</v>
      </c>
      <c r="I53" s="45">
        <v>296124.40999999997</v>
      </c>
      <c r="J53" s="45">
        <v>314109.02</v>
      </c>
      <c r="K53" s="45">
        <v>309912.7</v>
      </c>
      <c r="L53" s="45">
        <v>279340.92</v>
      </c>
      <c r="M53" s="45">
        <v>313749.40000000002</v>
      </c>
      <c r="N53" s="45">
        <v>338638.91</v>
      </c>
      <c r="O53" s="45">
        <v>380677.8</v>
      </c>
      <c r="P53" s="8">
        <f>SUM(D53:O53)</f>
        <v>4087495.65</v>
      </c>
    </row>
    <row r="54" spans="1:16" x14ac:dyDescent="0.25">
      <c r="A54" t="s">
        <v>62</v>
      </c>
      <c r="D54" s="46">
        <v>1.0050300000000001</v>
      </c>
      <c r="E54" s="46">
        <v>1.0050300000000001</v>
      </c>
      <c r="F54" s="46">
        <v>1.0050300000000001</v>
      </c>
      <c r="G54" s="46">
        <v>1.0050300000000001</v>
      </c>
      <c r="H54" s="46">
        <v>1.0050300000000001</v>
      </c>
      <c r="I54" s="46">
        <v>1.0050300000000001</v>
      </c>
      <c r="J54" s="46">
        <v>1.0050300000000001</v>
      </c>
      <c r="K54" s="46">
        <v>1.0050300000000001</v>
      </c>
      <c r="L54" s="46">
        <v>1.0050300000000001</v>
      </c>
      <c r="M54" s="46">
        <v>1.0050300000000001</v>
      </c>
      <c r="N54" s="46">
        <v>1.0050300000000001</v>
      </c>
      <c r="O54" s="46">
        <v>1.0050300000000001</v>
      </c>
      <c r="P54" s="47">
        <v>1.0050300000000001</v>
      </c>
    </row>
    <row r="55" spans="1:16" ht="15.75" thickBot="1" x14ac:dyDescent="0.3">
      <c r="A55" t="s">
        <v>63</v>
      </c>
      <c r="C55" s="5"/>
      <c r="D55" s="48">
        <f>D53/D54</f>
        <v>414650.8263434922</v>
      </c>
      <c r="E55" s="48">
        <f t="shared" ref="E55:O55" si="22">E53/E54</f>
        <v>358896.8787001383</v>
      </c>
      <c r="F55" s="48">
        <f t="shared" si="22"/>
        <v>383584.82831358264</v>
      </c>
      <c r="G55" s="48">
        <f t="shared" si="22"/>
        <v>370898.26174343051</v>
      </c>
      <c r="H55" s="48">
        <f>H53/H54</f>
        <v>317628.03100404964</v>
      </c>
      <c r="I55" s="48">
        <f t="shared" si="22"/>
        <v>294642.3589345591</v>
      </c>
      <c r="J55" s="48">
        <f t="shared" si="22"/>
        <v>312536.95909574837</v>
      </c>
      <c r="K55" s="48">
        <f>K53/K54</f>
        <v>308361.64094604139</v>
      </c>
      <c r="L55" s="48">
        <f t="shared" si="22"/>
        <v>277942.86737709318</v>
      </c>
      <c r="M55" s="48">
        <f t="shared" si="22"/>
        <v>312179.13893117616</v>
      </c>
      <c r="N55" s="48">
        <f t="shared" si="22"/>
        <v>336944.0812712058</v>
      </c>
      <c r="O55" s="48">
        <f t="shared" si="22"/>
        <v>378772.57395301625</v>
      </c>
      <c r="P55" s="48"/>
    </row>
    <row r="56" spans="1:16" ht="15.75" thickTop="1" x14ac:dyDescent="0.25">
      <c r="C56" s="5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1:16" x14ac:dyDescent="0.25">
      <c r="A57" t="s">
        <v>64</v>
      </c>
      <c r="C57" s="49">
        <v>293530.04000000004</v>
      </c>
      <c r="D57" s="50">
        <f>IF(D55=0,0,ROUND(D48-D55,0))</f>
        <v>-76985</v>
      </c>
      <c r="E57" s="50">
        <f t="shared" ref="E57:O57" si="23">IF(E55=0,0,ROUND(E48-E55,0))</f>
        <v>-20211</v>
      </c>
      <c r="F57" s="50">
        <f>IF(F55=0,0,ROUND(F48-F55,0))</f>
        <v>-44142</v>
      </c>
      <c r="G57" s="50">
        <f t="shared" si="23"/>
        <v>-30688</v>
      </c>
      <c r="H57" s="50">
        <f t="shared" si="23"/>
        <v>23233</v>
      </c>
      <c r="I57" s="50">
        <f t="shared" si="23"/>
        <v>48919</v>
      </c>
      <c r="J57" s="50">
        <f t="shared" si="23"/>
        <v>31280</v>
      </c>
      <c r="K57" s="50">
        <f t="shared" si="23"/>
        <v>35021</v>
      </c>
      <c r="L57" s="50">
        <f>IF(L55=0,0,ROUND(L48-L55,0))</f>
        <v>65751</v>
      </c>
      <c r="M57" s="50">
        <f t="shared" si="23"/>
        <v>31694</v>
      </c>
      <c r="N57" s="50">
        <f t="shared" si="23"/>
        <v>6876</v>
      </c>
      <c r="O57" s="51">
        <f t="shared" si="23"/>
        <v>-35031</v>
      </c>
      <c r="P57" s="52">
        <f>SUM(C57:O57)</f>
        <v>329247.04000000004</v>
      </c>
    </row>
    <row r="58" spans="1:16" x14ac:dyDescent="0.25">
      <c r="A58" t="s">
        <v>65</v>
      </c>
      <c r="C58" s="49">
        <v>-15254</v>
      </c>
      <c r="D58" s="50">
        <f>IF(D57=0,0,ROUND((((+C59+D57)+C59)/2)*D66,0))</f>
        <v>17</v>
      </c>
      <c r="E58" s="50">
        <f>IF(E57=0,0,ROUND((((+D59+E57)+D59)/2)*E66,0))</f>
        <v>10</v>
      </c>
      <c r="F58" s="50">
        <f t="shared" ref="F58:O58" si="24">IF(F57=0,0,ROUND((((+E59+F57)+E59)/2)*F66,0))</f>
        <v>6</v>
      </c>
      <c r="G58" s="50">
        <f t="shared" si="24"/>
        <v>4</v>
      </c>
      <c r="H58" s="50">
        <f t="shared" si="24"/>
        <v>4</v>
      </c>
      <c r="I58" s="50">
        <f t="shared" si="24"/>
        <v>5</v>
      </c>
      <c r="J58" s="50">
        <f t="shared" si="24"/>
        <v>8</v>
      </c>
      <c r="K58" s="50">
        <f t="shared" si="24"/>
        <v>9</v>
      </c>
      <c r="L58" s="50">
        <f t="shared" si="24"/>
        <v>11</v>
      </c>
      <c r="M58" s="50">
        <f>IF(M57=0,0,ROUND((((+L59+M57)+L59)/2)*M66,0))</f>
        <v>16</v>
      </c>
      <c r="N58" s="50">
        <f t="shared" si="24"/>
        <v>17</v>
      </c>
      <c r="O58" s="51">
        <f t="shared" si="24"/>
        <v>17</v>
      </c>
      <c r="P58" s="53">
        <f>SUM(C58:O58)</f>
        <v>-15130</v>
      </c>
    </row>
    <row r="59" spans="1:16" ht="15.75" thickBot="1" x14ac:dyDescent="0.3">
      <c r="A59" t="s">
        <v>66</v>
      </c>
      <c r="C59" s="54">
        <f>SUM(C57:C58)</f>
        <v>278276.04000000004</v>
      </c>
      <c r="D59" s="55">
        <f>IF(D57=0,0,C59+D57+D58)</f>
        <v>201308.04000000004</v>
      </c>
      <c r="E59" s="55">
        <f>IF(E57=0,0,D59+E57+E58)</f>
        <v>181107.04000000004</v>
      </c>
      <c r="F59" s="55">
        <f>IF(F57=0,0,E59+F57+F58)</f>
        <v>136971.04000000004</v>
      </c>
      <c r="G59" s="55">
        <f t="shared" ref="G59:O59" si="25">IF(G57=0,0,F59+G57+G58)</f>
        <v>106287.04000000004</v>
      </c>
      <c r="H59" s="55">
        <f t="shared" si="25"/>
        <v>129524.04000000004</v>
      </c>
      <c r="I59" s="54">
        <f>IF(I57=0,0,H59+I57+I58)</f>
        <v>178448.04000000004</v>
      </c>
      <c r="J59" s="54">
        <f t="shared" si="25"/>
        <v>209736.04000000004</v>
      </c>
      <c r="K59" s="55">
        <f>IF(K57=0,0,J59+K57+K58)</f>
        <v>244766.04000000004</v>
      </c>
      <c r="L59" s="55">
        <f t="shared" si="25"/>
        <v>310528.04000000004</v>
      </c>
      <c r="M59" s="55">
        <f t="shared" si="25"/>
        <v>342238.04000000004</v>
      </c>
      <c r="N59" s="55">
        <f t="shared" si="25"/>
        <v>349131.04000000004</v>
      </c>
      <c r="O59" s="55">
        <f t="shared" si="25"/>
        <v>314117.04000000004</v>
      </c>
      <c r="P59" s="55">
        <f>+O59</f>
        <v>314117.04000000004</v>
      </c>
    </row>
    <row r="60" spans="1:16" ht="15.75" thickTop="1" x14ac:dyDescent="0.25">
      <c r="A60" t="s">
        <v>67</v>
      </c>
      <c r="C60" s="56">
        <v>278276.03999999998</v>
      </c>
      <c r="D60" s="56">
        <v>208058.04</v>
      </c>
      <c r="E60" s="56">
        <v>194635.04</v>
      </c>
      <c r="F60" s="56">
        <v>136971.04</v>
      </c>
      <c r="G60" s="49">
        <v>106287.03999999999</v>
      </c>
      <c r="H60" s="49">
        <v>129524.04</v>
      </c>
      <c r="I60" s="49">
        <v>178389.04</v>
      </c>
      <c r="J60" s="49">
        <v>209618.04</v>
      </c>
      <c r="K60" s="49">
        <v>244590.04</v>
      </c>
      <c r="L60" s="56">
        <v>309111.03999999998</v>
      </c>
      <c r="M60" s="56">
        <v>342238.04</v>
      </c>
      <c r="N60" s="56">
        <v>349131.04</v>
      </c>
      <c r="O60" s="56">
        <v>314117.03999999998</v>
      </c>
      <c r="P60" s="50"/>
    </row>
    <row r="61" spans="1:16" x14ac:dyDescent="0.25">
      <c r="A61" t="s">
        <v>68</v>
      </c>
      <c r="C61" s="57">
        <f>IF(C59=0,0,C60-C59)</f>
        <v>-5.8207660913467407E-11</v>
      </c>
      <c r="D61" s="58">
        <f t="shared" ref="D61:O61" si="26">IF(D59=0,0,D60-D59)</f>
        <v>6749.9999999999709</v>
      </c>
      <c r="E61" s="58">
        <f t="shared" si="26"/>
        <v>13527.999999999971</v>
      </c>
      <c r="F61" s="58">
        <f t="shared" si="26"/>
        <v>-2.9103830456733704E-11</v>
      </c>
      <c r="G61" s="58">
        <f t="shared" si="26"/>
        <v>-4.3655745685100555E-11</v>
      </c>
      <c r="H61" s="59">
        <f t="shared" si="26"/>
        <v>-4.3655745685100555E-11</v>
      </c>
      <c r="I61" s="59">
        <f t="shared" si="26"/>
        <v>-59.000000000029104</v>
      </c>
      <c r="J61" s="59">
        <f>IF(J59=0,0,J60-J59)</f>
        <v>-118.0000000000291</v>
      </c>
      <c r="K61" s="59">
        <f>IF(K59=0,0,K60-K59)</f>
        <v>-176.0000000000291</v>
      </c>
      <c r="L61" s="58">
        <f t="shared" si="26"/>
        <v>-1417.0000000000582</v>
      </c>
      <c r="M61" s="58">
        <f t="shared" si="26"/>
        <v>-5.8207660913467407E-11</v>
      </c>
      <c r="N61" s="58">
        <f t="shared" si="26"/>
        <v>-5.8207660913467407E-11</v>
      </c>
      <c r="O61" s="58">
        <f t="shared" si="26"/>
        <v>-5.8207660913467407E-11</v>
      </c>
      <c r="P61" s="50">
        <v>0</v>
      </c>
    </row>
    <row r="62" spans="1:16" s="4" customFormat="1" x14ac:dyDescent="0.25"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60"/>
    </row>
    <row r="63" spans="1:16" x14ac:dyDescent="0.25">
      <c r="A63" t="s">
        <v>69</v>
      </c>
      <c r="C63" s="61" t="s">
        <v>70</v>
      </c>
      <c r="D63" s="62">
        <f>C59-D61</f>
        <v>271526.04000000004</v>
      </c>
      <c r="E63" s="62">
        <f t="shared" ref="E63:N63" si="27">D59-E61</f>
        <v>187780.04000000007</v>
      </c>
      <c r="F63" s="62">
        <f t="shared" si="27"/>
        <v>181107.04000000007</v>
      </c>
      <c r="G63" s="62">
        <f t="shared" si="27"/>
        <v>136971.0400000001</v>
      </c>
      <c r="H63" s="62">
        <f t="shared" si="27"/>
        <v>106287.04000000008</v>
      </c>
      <c r="I63" s="62">
        <f>H59-I61</f>
        <v>129583.04000000007</v>
      </c>
      <c r="J63" s="62">
        <f t="shared" si="27"/>
        <v>178566.04000000007</v>
      </c>
      <c r="K63" s="62">
        <f t="shared" si="27"/>
        <v>209912.04000000007</v>
      </c>
      <c r="L63" s="62">
        <f t="shared" si="27"/>
        <v>246183.0400000001</v>
      </c>
      <c r="M63" s="62">
        <f t="shared" si="27"/>
        <v>310528.0400000001</v>
      </c>
      <c r="N63" s="62">
        <f t="shared" si="27"/>
        <v>342238.0400000001</v>
      </c>
      <c r="O63" s="62">
        <f>N59-O61</f>
        <v>349131.0400000001</v>
      </c>
    </row>
    <row r="64" spans="1:16" x14ac:dyDescent="0.25">
      <c r="A64" t="s">
        <v>71</v>
      </c>
      <c r="C64" s="63"/>
      <c r="D64" s="64">
        <v>8.9999999999999998E-4</v>
      </c>
      <c r="E64" s="65">
        <f>+D65</f>
        <v>6.9999999999999999E-4</v>
      </c>
      <c r="F64" s="65">
        <f>+E65</f>
        <v>5.9999999999999995E-4</v>
      </c>
      <c r="G64" s="65">
        <f t="shared" ref="G64:O64" si="28">+F65</f>
        <v>4.0000000000000002E-4</v>
      </c>
      <c r="H64" s="65">
        <f t="shared" si="28"/>
        <v>4.0000000000000002E-4</v>
      </c>
      <c r="I64" s="65">
        <f t="shared" si="28"/>
        <v>2.9999999999999997E-4</v>
      </c>
      <c r="J64" s="65">
        <f t="shared" si="28"/>
        <v>4.0000000000000002E-4</v>
      </c>
      <c r="K64" s="65">
        <f t="shared" si="28"/>
        <v>5.0000000000000001E-4</v>
      </c>
      <c r="L64" s="65">
        <f t="shared" si="28"/>
        <v>5.0000000000000001E-4</v>
      </c>
      <c r="M64" s="65">
        <f t="shared" si="28"/>
        <v>5.0000000000000001E-4</v>
      </c>
      <c r="N64" s="65">
        <f t="shared" si="28"/>
        <v>5.9999999999999995E-4</v>
      </c>
      <c r="O64" s="65">
        <f t="shared" si="28"/>
        <v>6.9999999999999999E-4</v>
      </c>
    </row>
    <row r="65" spans="1:15" x14ac:dyDescent="0.25">
      <c r="A65" t="s">
        <v>72</v>
      </c>
      <c r="D65" s="64">
        <v>6.9999999999999999E-4</v>
      </c>
      <c r="E65" s="64">
        <v>5.9999999999999995E-4</v>
      </c>
      <c r="F65" s="64">
        <v>4.0000000000000002E-4</v>
      </c>
      <c r="G65" s="64">
        <v>4.0000000000000002E-4</v>
      </c>
      <c r="H65" s="64">
        <v>2.9999999999999997E-4</v>
      </c>
      <c r="I65" s="64">
        <v>4.0000000000000002E-4</v>
      </c>
      <c r="J65" s="64">
        <v>5.0000000000000001E-4</v>
      </c>
      <c r="K65" s="64">
        <v>5.0000000000000001E-4</v>
      </c>
      <c r="L65" s="64">
        <v>5.0000000000000001E-4</v>
      </c>
      <c r="M65" s="64">
        <v>5.9999999999999995E-4</v>
      </c>
      <c r="N65" s="64">
        <v>6.9999999999999999E-4</v>
      </c>
      <c r="O65" s="64">
        <v>5.0000000000000001E-4</v>
      </c>
    </row>
    <row r="66" spans="1:15" x14ac:dyDescent="0.25">
      <c r="A66" t="s">
        <v>73</v>
      </c>
      <c r="D66" s="34">
        <f>ROUND(((+D65+D64)/2)/12,5)</f>
        <v>6.9999999999999994E-5</v>
      </c>
      <c r="E66" s="34">
        <f t="shared" ref="E66:O66" si="29">ROUND(((+E65+E64)/2)/12,5)</f>
        <v>5.0000000000000002E-5</v>
      </c>
      <c r="F66" s="34">
        <f t="shared" si="29"/>
        <v>4.0000000000000003E-5</v>
      </c>
      <c r="G66" s="34">
        <f t="shared" si="29"/>
        <v>3.0000000000000001E-5</v>
      </c>
      <c r="H66" s="34">
        <f t="shared" si="29"/>
        <v>3.0000000000000001E-5</v>
      </c>
      <c r="I66" s="34">
        <f t="shared" si="29"/>
        <v>3.0000000000000001E-5</v>
      </c>
      <c r="J66" s="34">
        <f>ROUND(((+J65+J64)/2)/12,5)</f>
        <v>4.0000000000000003E-5</v>
      </c>
      <c r="K66" s="34">
        <f t="shared" si="29"/>
        <v>4.0000000000000003E-5</v>
      </c>
      <c r="L66" s="34">
        <f t="shared" si="29"/>
        <v>4.0000000000000003E-5</v>
      </c>
      <c r="M66" s="34">
        <f t="shared" si="29"/>
        <v>5.0000000000000002E-5</v>
      </c>
      <c r="N66" s="34">
        <f t="shared" si="29"/>
        <v>5.0000000000000002E-5</v>
      </c>
      <c r="O66" s="34">
        <f t="shared" si="29"/>
        <v>5.0000000000000002E-5</v>
      </c>
    </row>
    <row r="67" spans="1:15" x14ac:dyDescent="0.25">
      <c r="C67" s="5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5" x14ac:dyDescent="0.25">
      <c r="B68" s="66" t="s">
        <v>74</v>
      </c>
      <c r="C68" s="52"/>
      <c r="D68" s="63">
        <v>-86210</v>
      </c>
      <c r="E68" s="63">
        <v>-51823</v>
      </c>
      <c r="F68" s="63">
        <v>-74290</v>
      </c>
      <c r="G68" s="63">
        <v>-124672</v>
      </c>
      <c r="H68" s="63">
        <v>-66456</v>
      </c>
      <c r="I68" s="63">
        <v>-56392</v>
      </c>
      <c r="J68" s="63">
        <v>-75088</v>
      </c>
      <c r="K68" s="63">
        <v>-64057</v>
      </c>
      <c r="L68" s="63">
        <v>-35621</v>
      </c>
      <c r="M68" s="63">
        <v>-58708</v>
      </c>
      <c r="N68" s="63">
        <v>-81933</v>
      </c>
      <c r="O68" s="63">
        <v>-69999</v>
      </c>
    </row>
    <row r="69" spans="1:15" x14ac:dyDescent="0.25">
      <c r="B69" s="66" t="s">
        <v>75</v>
      </c>
      <c r="C69" s="52"/>
      <c r="D69" s="63">
        <v>809</v>
      </c>
      <c r="E69" s="63">
        <v>753</v>
      </c>
      <c r="F69" s="63">
        <v>786</v>
      </c>
      <c r="G69" s="63">
        <v>435</v>
      </c>
      <c r="H69" s="63">
        <v>59</v>
      </c>
      <c r="I69" s="63">
        <v>32</v>
      </c>
      <c r="J69" s="63">
        <v>23</v>
      </c>
      <c r="K69" s="63">
        <v>16</v>
      </c>
      <c r="L69" s="63">
        <v>10</v>
      </c>
      <c r="M69" s="63">
        <v>8</v>
      </c>
      <c r="N69" s="63">
        <v>1</v>
      </c>
      <c r="O69" s="63">
        <v>-4</v>
      </c>
    </row>
    <row r="70" spans="1:15" x14ac:dyDescent="0.25">
      <c r="C70" s="5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</row>
    <row r="71" spans="1:15" x14ac:dyDescent="0.25">
      <c r="C71" s="5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</row>
    <row r="72" spans="1:15" x14ac:dyDescent="0.25">
      <c r="C72" s="5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</row>
    <row r="73" spans="1:15" x14ac:dyDescent="0.25">
      <c r="C73" s="5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5" x14ac:dyDescent="0.25">
      <c r="C74" s="5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</row>
    <row r="75" spans="1:15" x14ac:dyDescent="0.25">
      <c r="C75" s="17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1:15" x14ac:dyDescent="0.25">
      <c r="A76" t="s">
        <v>76</v>
      </c>
      <c r="C76" s="17"/>
      <c r="E76" s="52"/>
      <c r="F76" s="63"/>
      <c r="G76" s="63"/>
      <c r="H76" s="63"/>
      <c r="I76" s="63"/>
      <c r="L76" s="63"/>
    </row>
    <row r="77" spans="1:15" x14ac:dyDescent="0.25">
      <c r="C77" t="s">
        <v>77</v>
      </c>
      <c r="D77" s="67">
        <v>-93116</v>
      </c>
      <c r="E77" s="67">
        <v>-44829</v>
      </c>
    </row>
    <row r="78" spans="1:15" x14ac:dyDescent="0.25">
      <c r="C78" t="s">
        <v>78</v>
      </c>
      <c r="D78" s="68">
        <v>-130534</v>
      </c>
      <c r="E78" s="68">
        <v>-83142</v>
      </c>
    </row>
    <row r="79" spans="1:15" x14ac:dyDescent="0.25">
      <c r="D79" s="52">
        <f>D77-D78</f>
        <v>37418</v>
      </c>
      <c r="E79" s="52">
        <f>E77-E78</f>
        <v>38313</v>
      </c>
    </row>
    <row r="80" spans="1:15" x14ac:dyDescent="0.25">
      <c r="D80" s="52"/>
      <c r="E80" s="52">
        <f>SUM(D79:E79)</f>
        <v>75731</v>
      </c>
    </row>
    <row r="82" spans="3:5" x14ac:dyDescent="0.25">
      <c r="C82" t="s">
        <v>77</v>
      </c>
      <c r="D82" s="17">
        <v>231</v>
      </c>
      <c r="E82" s="17">
        <v>89</v>
      </c>
    </row>
    <row r="83" spans="3:5" x14ac:dyDescent="0.25">
      <c r="C83" t="s">
        <v>78</v>
      </c>
      <c r="D83" s="68">
        <v>-528</v>
      </c>
      <c r="E83" s="68">
        <v>-737</v>
      </c>
    </row>
    <row r="84" spans="3:5" x14ac:dyDescent="0.25">
      <c r="D84" s="52">
        <f>D82-D83</f>
        <v>759</v>
      </c>
      <c r="E84" s="52">
        <f>E82-E83</f>
        <v>826</v>
      </c>
    </row>
    <row r="85" spans="3:5" x14ac:dyDescent="0.25">
      <c r="D85" s="52"/>
      <c r="E85" s="52">
        <f>SUM(D84:E84)</f>
        <v>1585</v>
      </c>
    </row>
    <row r="87" spans="3:5" x14ac:dyDescent="0.25">
      <c r="E87" s="52">
        <f>E80+E85</f>
        <v>77316</v>
      </c>
    </row>
    <row r="88" spans="3:5" x14ac:dyDescent="0.25">
      <c r="E88" s="69"/>
    </row>
    <row r="89" spans="3:5" x14ac:dyDescent="0.25">
      <c r="E89" s="58"/>
    </row>
    <row r="90" spans="3:5" x14ac:dyDescent="0.25">
      <c r="E90" s="58"/>
    </row>
    <row r="91" spans="3:5" x14ac:dyDescent="0.25">
      <c r="E91" s="58"/>
    </row>
    <row r="92" spans="3:5" x14ac:dyDescent="0.25">
      <c r="E92" s="58"/>
    </row>
    <row r="93" spans="3:5" x14ac:dyDescent="0.25">
      <c r="E93" s="69"/>
    </row>
    <row r="94" spans="3:5" x14ac:dyDescent="0.25">
      <c r="E94" s="30"/>
    </row>
    <row r="95" spans="3:5" x14ac:dyDescent="0.25">
      <c r="E95" s="30"/>
    </row>
  </sheetData>
  <protectedRanges>
    <protectedRange algorithmName="SHA-512" hashValue="ES0veo/t1U3fEOs+vum9LIGqPY8pmkCj6wKCfsKL2kHvbJFCI4WO8rematuGoT2ynNXZpSq1P7b6VYCilrOlXA==" saltValue="FvHwBuUz8IqgWBXvAFKFPg==" spinCount="100000" sqref="D33:D34" name="January_1"/>
    <protectedRange algorithmName="SHA-512" hashValue="Kodyo6eiI2IEqeYVyOtY+wnzUFRXNQpIqzisBIl8daL+JvFA7JgsGxko+HFssfSRujlRnscmmbYzDcIOfdZl3g==" saltValue="w7TQ4KWOtemWVghzi2tTGQ==" spinCount="100000" sqref="C9:O9 D11:O11 D53:O53 D64 C60:O60 D44:O45 D13:O14 C10:C14 D65:O65" name="Range1"/>
    <protectedRange algorithmName="SHA-512" hashValue="ES0veo/t1U3fEOs+vum9LIGqPY8pmkCj6wKCfsKL2kHvbJFCI4WO8rematuGoT2ynNXZpSq1P7b6VYCilrOlXA==" saltValue="FvHwBuUz8IqgWBXvAFKFPg==" spinCount="100000" sqref="C23 D29:D30 C43 C57:C58 C17:C20" name="January"/>
  </protectedRanges>
  <printOptions horizontalCentered="1"/>
  <pageMargins left="0.25" right="0.25" top="0.75" bottom="0.75" header="0.3" footer="0.3"/>
  <pageSetup scale="44" orientation="landscape" r:id="rId1"/>
  <headerFooter>
    <oddFooter>&amp;L&amp;D&amp;T&amp;R&amp;Z&amp;F</oddFooter>
  </headerFooter>
  <drawing r:id="rId2"/>
  <legacyDrawing r:id="rId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 A C T I V E ! 1 5 6 5 1 9 6 8 . 1 < / d o c u m e n t i d >  
     < s e n d e r i d > K E A B E T < / s e n d e r i d >  
     < s e n d e r e m a i l > B K E A T I N G @ G U N S T E R . C O M < / s e n d e r e m a i l >  
     < l a s t m o d i f i e d > 2 0 2 2 - 0 6 - 2 0 T 1 2 : 4 9 : 2 0 . 0 0 0 0 0 0 0 - 0 4 : 0 0 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Rev Equity Rate-CF GR</vt:lpstr>
      <vt:lpstr>'2021 Rev Equity Rate-CF GR'!Print_Area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2022-06-20T16:46:42Z</dcterms:created>
  <dcterms:modified xsi:type="dcterms:W3CDTF">2022-06-20T16:49:20Z</dcterms:modified>
</cp:coreProperties>
</file>