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0" yWindow="0" windowWidth="17280" windowHeight="6450" tabRatio="691"/>
  </bookViews>
  <sheets>
    <sheet name="12-2021" sheetId="69" r:id="rId1"/>
    <sheet name="11-2021" sheetId="68" r:id="rId2"/>
    <sheet name="10-2021" sheetId="67" r:id="rId3"/>
    <sheet name="09-2021" sheetId="66" r:id="rId4"/>
    <sheet name="08-2021" sheetId="65" r:id="rId5"/>
    <sheet name="07-2021" sheetId="64" r:id="rId6"/>
    <sheet name="06-2021" sheetId="63" r:id="rId7"/>
    <sheet name="05-2021" sheetId="62" r:id="rId8"/>
    <sheet name="04-2021" sheetId="60" r:id="rId9"/>
    <sheet name="03-2021" sheetId="59" r:id="rId10"/>
    <sheet name="02-2021" sheetId="58" r:id="rId11"/>
    <sheet name="01-2021" sheetId="57" r:id="rId12"/>
    <sheet name="12-2020" sheetId="55" r:id="rId13"/>
  </sheets>
  <definedNames>
    <definedName name="_xlnm._FilterDatabase" localSheetId="11" hidden="1">'01-2021'!$A$5:$K$86</definedName>
    <definedName name="_xlnm._FilterDatabase" localSheetId="10" hidden="1">'02-2021'!$A$5:$K$96</definedName>
    <definedName name="_xlnm._FilterDatabase" localSheetId="9" hidden="1">'03-2021'!$A$5:$K$105</definedName>
    <definedName name="_xlnm._FilterDatabase" localSheetId="8" hidden="1">'04-2021'!$A$5:$K$114</definedName>
    <definedName name="_xlnm._FilterDatabase" localSheetId="7" hidden="1">'05-2021'!$A$5:$K$122</definedName>
    <definedName name="_xlnm._FilterDatabase" localSheetId="6" hidden="1">'06-2021'!$A$5:$K$130</definedName>
    <definedName name="_xlnm._FilterDatabase" localSheetId="5" hidden="1">'07-2021'!$A$5:$K$138</definedName>
    <definedName name="_xlnm._FilterDatabase" localSheetId="4" hidden="1">'08-2021'!$A$5:$K$146</definedName>
    <definedName name="_xlnm._FilterDatabase" localSheetId="3" hidden="1">'09-2021'!$A$5:$K$154</definedName>
    <definedName name="_xlnm._FilterDatabase" localSheetId="2" hidden="1">'10-2021'!$A$5:$K$161</definedName>
    <definedName name="_xlnm._FilterDatabase" localSheetId="1" hidden="1">'11-2021'!$A$5:$K$87</definedName>
    <definedName name="_xlnm._FilterDatabase" localSheetId="12" hidden="1">'12-2020'!$A$5:$K$173</definedName>
    <definedName name="_xlnm._FilterDatabase" localSheetId="0" hidden="1">'12-2021'!$A$5:$K$96</definedName>
    <definedName name="_xlnm.Print_Area" localSheetId="11">'01-2021'!$A$1:$H$87</definedName>
    <definedName name="_xlnm.Print_Area" localSheetId="10">'02-2021'!$A$1:$H$97</definedName>
    <definedName name="_xlnm.Print_Area" localSheetId="9">'03-2021'!$A$1:$H$106</definedName>
    <definedName name="_xlnm.Print_Area" localSheetId="8">'04-2021'!$A$1:$H$115</definedName>
    <definedName name="_xlnm.Print_Area" localSheetId="7">'05-2021'!$A$1:$H$123</definedName>
    <definedName name="_xlnm.Print_Area" localSheetId="6">'06-2021'!$A$1:$H$131</definedName>
    <definedName name="_xlnm.Print_Area" localSheetId="5">'07-2021'!$A$1:$H$139</definedName>
    <definedName name="_xlnm.Print_Area" localSheetId="4">'08-2021'!$A$1:$H$147</definedName>
    <definedName name="_xlnm.Print_Area" localSheetId="3">'09-2021'!$A$1:$H$155</definedName>
    <definedName name="_xlnm.Print_Area" localSheetId="2">'10-2021'!$A$1:$H$163</definedName>
    <definedName name="_xlnm.Print_Area" localSheetId="1">'11-2021'!$A$1:$H$89</definedName>
    <definedName name="_xlnm.Print_Area" localSheetId="12">'12-2020'!$A$1:$I$174</definedName>
    <definedName name="_xlnm.Print_Area" localSheetId="0">'12-2021'!$A$1:$H$98</definedName>
  </definedNames>
  <calcPr calcId="162913"/>
</workbook>
</file>

<file path=xl/calcChain.xml><?xml version="1.0" encoding="utf-8"?>
<calcChain xmlns="http://schemas.openxmlformats.org/spreadsheetml/2006/main">
  <c r="D93" i="69" l="1"/>
  <c r="D94" i="69"/>
  <c r="D95" i="69"/>
  <c r="D62" i="69"/>
  <c r="E72" i="69"/>
  <c r="D72" i="69"/>
  <c r="E71" i="69"/>
  <c r="D71" i="69"/>
  <c r="E62" i="69"/>
  <c r="E63" i="69"/>
  <c r="D63" i="69"/>
  <c r="E64" i="69"/>
  <c r="D64" i="69"/>
  <c r="F70" i="69"/>
  <c r="D70" i="69" l="1"/>
  <c r="D6" i="69" l="1"/>
  <c r="H76" i="69" l="1"/>
  <c r="H77" i="69"/>
  <c r="H78" i="69"/>
  <c r="H79" i="69"/>
  <c r="H80" i="69"/>
  <c r="H81" i="69"/>
  <c r="H82" i="69"/>
  <c r="H83" i="69"/>
  <c r="H84" i="69"/>
  <c r="H85" i="69"/>
  <c r="H75" i="69"/>
  <c r="H74" i="69"/>
  <c r="H73" i="69"/>
  <c r="H72" i="69"/>
  <c r="H71" i="69"/>
  <c r="H70" i="69"/>
  <c r="H69" i="69"/>
  <c r="H68" i="69"/>
  <c r="H67" i="69"/>
  <c r="D66" i="69"/>
  <c r="H66" i="69" s="1"/>
  <c r="H65" i="69"/>
  <c r="H64" i="69"/>
  <c r="H63" i="69"/>
  <c r="H62" i="69"/>
  <c r="H61" i="69"/>
  <c r="H60" i="69"/>
  <c r="H59" i="69"/>
  <c r="H58" i="69"/>
  <c r="D58" i="69"/>
  <c r="H57" i="69"/>
  <c r="E56" i="69"/>
  <c r="D56" i="69"/>
  <c r="H56" i="69" s="1"/>
  <c r="E55" i="69"/>
  <c r="D55" i="69"/>
  <c r="H55" i="69" s="1"/>
  <c r="E54" i="69"/>
  <c r="D54" i="69"/>
  <c r="H54" i="69" s="1"/>
  <c r="H53" i="69"/>
  <c r="H52" i="69"/>
  <c r="H51" i="69"/>
  <c r="D50" i="69"/>
  <c r="H50" i="69" s="1"/>
  <c r="H49" i="69"/>
  <c r="H48" i="69"/>
  <c r="F48" i="69"/>
  <c r="H47" i="69"/>
  <c r="E47" i="69"/>
  <c r="D47" i="69"/>
  <c r="H46" i="69"/>
  <c r="F46" i="69"/>
  <c r="D46" i="69"/>
  <c r="H45" i="69"/>
  <c r="H44" i="69"/>
  <c r="H43" i="69"/>
  <c r="H42" i="69"/>
  <c r="H41" i="69"/>
  <c r="H40" i="69"/>
  <c r="F40" i="69"/>
  <c r="D40" i="69"/>
  <c r="E39" i="69"/>
  <c r="D39" i="69"/>
  <c r="H39" i="69" s="1"/>
  <c r="E38" i="69"/>
  <c r="D38" i="69"/>
  <c r="H38" i="69" s="1"/>
  <c r="H37" i="69"/>
  <c r="H36" i="69"/>
  <c r="H35" i="69"/>
  <c r="D35" i="69"/>
  <c r="D34" i="69"/>
  <c r="H34" i="69" s="1"/>
  <c r="H33" i="69"/>
  <c r="H32" i="69"/>
  <c r="F32" i="69"/>
  <c r="D32" i="69"/>
  <c r="E31" i="69"/>
  <c r="D31" i="69"/>
  <c r="H31" i="69" s="1"/>
  <c r="E30" i="69"/>
  <c r="D30" i="69"/>
  <c r="H30" i="69" s="1"/>
  <c r="H29" i="69"/>
  <c r="H28" i="69"/>
  <c r="H27" i="69"/>
  <c r="H26" i="69"/>
  <c r="H25" i="69"/>
  <c r="E24" i="69"/>
  <c r="D24" i="69"/>
  <c r="H24" i="69" s="1"/>
  <c r="E23" i="69"/>
  <c r="D23" i="69"/>
  <c r="H23" i="69" s="1"/>
  <c r="F22" i="69"/>
  <c r="D22" i="69"/>
  <c r="H22" i="69" s="1"/>
  <c r="H21" i="69"/>
  <c r="H20" i="69"/>
  <c r="H19" i="69"/>
  <c r="H18" i="69"/>
  <c r="H17" i="69"/>
  <c r="E16" i="69"/>
  <c r="D16" i="69"/>
  <c r="H16" i="69" s="1"/>
  <c r="E15" i="69"/>
  <c r="D15" i="69"/>
  <c r="H15" i="69" s="1"/>
  <c r="F14" i="69"/>
  <c r="F86" i="69" s="1"/>
  <c r="F89" i="69" s="1"/>
  <c r="D14" i="69"/>
  <c r="H14" i="69" s="1"/>
  <c r="H13" i="69"/>
  <c r="H12" i="69"/>
  <c r="G11" i="69"/>
  <c r="D11" i="69"/>
  <c r="G10" i="69"/>
  <c r="F10" i="69"/>
  <c r="D10" i="69"/>
  <c r="H10" i="69" s="1"/>
  <c r="G9" i="69"/>
  <c r="E9" i="69"/>
  <c r="D9" i="69"/>
  <c r="G8" i="69"/>
  <c r="E8" i="69"/>
  <c r="D8" i="69"/>
  <c r="G7" i="69"/>
  <c r="E7" i="69"/>
  <c r="D7" i="69"/>
  <c r="G6" i="69"/>
  <c r="G86" i="69" s="1"/>
  <c r="G87" i="69" s="1"/>
  <c r="H7" i="69" l="1"/>
  <c r="H86" i="69" s="1"/>
  <c r="H89" i="69" s="1"/>
  <c r="E86" i="69"/>
  <c r="E89" i="69" s="1"/>
  <c r="H8" i="69"/>
  <c r="H11" i="69"/>
  <c r="H6" i="69"/>
  <c r="H9" i="69"/>
  <c r="D96" i="69"/>
  <c r="D98" i="69" s="1"/>
  <c r="D86" i="69"/>
  <c r="E54" i="68"/>
  <c r="D86" i="68" l="1"/>
  <c r="D85" i="68"/>
  <c r="D84" i="68"/>
  <c r="D66" i="68" l="1"/>
  <c r="E62" i="68"/>
  <c r="D62" i="68"/>
  <c r="D6" i="68" l="1"/>
  <c r="H69" i="68"/>
  <c r="H70" i="68"/>
  <c r="H71" i="68"/>
  <c r="H72" i="68"/>
  <c r="H73" i="68"/>
  <c r="H74" i="68"/>
  <c r="H75" i="68"/>
  <c r="H68" i="68"/>
  <c r="H76" i="68" l="1"/>
  <c r="H67" i="68"/>
  <c r="H66" i="68"/>
  <c r="H65" i="68"/>
  <c r="H64" i="68"/>
  <c r="H63" i="68"/>
  <c r="H62" i="68"/>
  <c r="H61" i="68"/>
  <c r="H60" i="68"/>
  <c r="H59" i="68"/>
  <c r="D58" i="68"/>
  <c r="H58" i="68" s="1"/>
  <c r="H57" i="68"/>
  <c r="E56" i="68"/>
  <c r="D56" i="68"/>
  <c r="H56" i="68" s="1"/>
  <c r="E55" i="68"/>
  <c r="D55" i="68"/>
  <c r="H55" i="68" s="1"/>
  <c r="D54" i="68"/>
  <c r="H54" i="68" s="1"/>
  <c r="H53" i="68"/>
  <c r="H52" i="68"/>
  <c r="H51" i="68"/>
  <c r="D50" i="68"/>
  <c r="H50" i="68" s="1"/>
  <c r="H49" i="68"/>
  <c r="H48" i="68"/>
  <c r="F48" i="68"/>
  <c r="E47" i="68"/>
  <c r="D47" i="68"/>
  <c r="H47" i="68" s="1"/>
  <c r="F46" i="68"/>
  <c r="D46" i="68"/>
  <c r="H46" i="68" s="1"/>
  <c r="H45" i="68"/>
  <c r="H44" i="68"/>
  <c r="H43" i="68"/>
  <c r="H42" i="68"/>
  <c r="H41" i="68"/>
  <c r="F40" i="68"/>
  <c r="D40" i="68"/>
  <c r="H40" i="68" s="1"/>
  <c r="E39" i="68"/>
  <c r="D39" i="68"/>
  <c r="H39" i="68" s="1"/>
  <c r="E38" i="68"/>
  <c r="D38" i="68"/>
  <c r="H38" i="68" s="1"/>
  <c r="H37" i="68"/>
  <c r="H36" i="68"/>
  <c r="D35" i="68"/>
  <c r="H35" i="68" s="1"/>
  <c r="D34" i="68"/>
  <c r="H34" i="68" s="1"/>
  <c r="H33" i="68"/>
  <c r="F32" i="68"/>
  <c r="D32" i="68"/>
  <c r="H32" i="68" s="1"/>
  <c r="E31" i="68"/>
  <c r="D31" i="68"/>
  <c r="H31" i="68" s="1"/>
  <c r="E30" i="68"/>
  <c r="D30" i="68"/>
  <c r="H30" i="68" s="1"/>
  <c r="H29" i="68"/>
  <c r="H28" i="68"/>
  <c r="H27" i="68"/>
  <c r="H26" i="68"/>
  <c r="H25" i="68"/>
  <c r="E24" i="68"/>
  <c r="D24" i="68"/>
  <c r="H24" i="68" s="1"/>
  <c r="E23" i="68"/>
  <c r="D23" i="68"/>
  <c r="H23" i="68" s="1"/>
  <c r="F22" i="68"/>
  <c r="D22" i="68"/>
  <c r="H22" i="68" s="1"/>
  <c r="H21" i="68"/>
  <c r="H20" i="68"/>
  <c r="H19" i="68"/>
  <c r="H18" i="68"/>
  <c r="H17" i="68"/>
  <c r="E16" i="68"/>
  <c r="D16" i="68"/>
  <c r="H16" i="68" s="1"/>
  <c r="E15" i="68"/>
  <c r="D15" i="68"/>
  <c r="H15" i="68" s="1"/>
  <c r="F14" i="68"/>
  <c r="D14" i="68"/>
  <c r="H14" i="68" s="1"/>
  <c r="H13" i="68"/>
  <c r="H12" i="68"/>
  <c r="G11" i="68"/>
  <c r="D11" i="68"/>
  <c r="G10" i="68"/>
  <c r="F10" i="68"/>
  <c r="D10" i="68"/>
  <c r="G9" i="68"/>
  <c r="E9" i="68"/>
  <c r="D9" i="68"/>
  <c r="H9" i="68" s="1"/>
  <c r="G8" i="68"/>
  <c r="E8" i="68"/>
  <c r="D8" i="68"/>
  <c r="G7" i="68"/>
  <c r="E7" i="68"/>
  <c r="D7" i="68"/>
  <c r="G6" i="68"/>
  <c r="H6" i="68" l="1"/>
  <c r="F77" i="68"/>
  <c r="F80" i="68" s="1"/>
  <c r="E77" i="68"/>
  <c r="E80" i="68" s="1"/>
  <c r="H11" i="68"/>
  <c r="H7" i="68"/>
  <c r="H10" i="68"/>
  <c r="H8" i="68"/>
  <c r="D87" i="68"/>
  <c r="D89" i="68" s="1"/>
  <c r="G77" i="68"/>
  <c r="G78" i="68" s="1"/>
  <c r="D77" i="68"/>
  <c r="E138" i="67"/>
  <c r="E137" i="67"/>
  <c r="D138" i="67"/>
  <c r="D137" i="67"/>
  <c r="H77" i="68" l="1"/>
  <c r="H80" i="68" s="1"/>
  <c r="D160" i="67"/>
  <c r="D159" i="67"/>
  <c r="D158" i="67"/>
  <c r="D128" i="67"/>
  <c r="F128" i="67"/>
  <c r="E136" i="67"/>
  <c r="D136" i="67"/>
  <c r="G92" i="67" l="1"/>
  <c r="G89" i="67"/>
  <c r="G87" i="67"/>
  <c r="G80" i="67"/>
  <c r="G79" i="67"/>
  <c r="G6" i="67"/>
  <c r="D140" i="67"/>
  <c r="D6" i="67" l="1"/>
  <c r="H142" i="67" l="1"/>
  <c r="H143" i="67"/>
  <c r="H144" i="67"/>
  <c r="H145" i="67"/>
  <c r="H146" i="67"/>
  <c r="H147" i="67"/>
  <c r="H148" i="67"/>
  <c r="H149" i="67"/>
  <c r="H150" i="67"/>
  <c r="H141" i="67"/>
  <c r="H140" i="67"/>
  <c r="H139" i="67"/>
  <c r="H138" i="67"/>
  <c r="H137" i="67"/>
  <c r="H136" i="67"/>
  <c r="H135" i="67"/>
  <c r="H134" i="67"/>
  <c r="H133" i="67"/>
  <c r="D132" i="67"/>
  <c r="H132" i="67" s="1"/>
  <c r="H131" i="67"/>
  <c r="H130" i="67"/>
  <c r="F130" i="67"/>
  <c r="E129" i="67"/>
  <c r="D129" i="67"/>
  <c r="H129" i="67" s="1"/>
  <c r="H128" i="67"/>
  <c r="H127" i="67"/>
  <c r="H126" i="67"/>
  <c r="H125" i="67"/>
  <c r="H124" i="67"/>
  <c r="H123" i="67"/>
  <c r="F122" i="67"/>
  <c r="D122" i="67"/>
  <c r="H122" i="67" s="1"/>
  <c r="E121" i="67"/>
  <c r="D121" i="67"/>
  <c r="H121" i="67" s="1"/>
  <c r="E120" i="67"/>
  <c r="D120" i="67"/>
  <c r="H120" i="67" s="1"/>
  <c r="H119" i="67"/>
  <c r="H118" i="67"/>
  <c r="D117" i="67"/>
  <c r="H117" i="67" s="1"/>
  <c r="D116" i="67"/>
  <c r="H116" i="67" s="1"/>
  <c r="H115" i="67"/>
  <c r="F114" i="67"/>
  <c r="D114" i="67"/>
  <c r="H114" i="67" s="1"/>
  <c r="E113" i="67"/>
  <c r="D113" i="67"/>
  <c r="H113" i="67" s="1"/>
  <c r="E112" i="67"/>
  <c r="D112" i="67"/>
  <c r="H112" i="67" s="1"/>
  <c r="H111" i="67"/>
  <c r="H110" i="67"/>
  <c r="H109" i="67"/>
  <c r="H108" i="67"/>
  <c r="H107" i="67"/>
  <c r="E106" i="67"/>
  <c r="D106" i="67"/>
  <c r="H106" i="67" s="1"/>
  <c r="E105" i="67"/>
  <c r="D105" i="67"/>
  <c r="H105" i="67" s="1"/>
  <c r="F104" i="67"/>
  <c r="D104" i="67"/>
  <c r="H104" i="67" s="1"/>
  <c r="H103" i="67"/>
  <c r="H102" i="67"/>
  <c r="H101" i="67"/>
  <c r="H100" i="67"/>
  <c r="H99" i="67"/>
  <c r="E98" i="67"/>
  <c r="D98" i="67"/>
  <c r="H98" i="67" s="1"/>
  <c r="E97" i="67"/>
  <c r="D97" i="67"/>
  <c r="H97" i="67" s="1"/>
  <c r="F96" i="67"/>
  <c r="D96" i="67"/>
  <c r="H96" i="67" s="1"/>
  <c r="H95" i="67"/>
  <c r="H94" i="67"/>
  <c r="H93" i="67"/>
  <c r="D92" i="67"/>
  <c r="H92" i="67" s="1"/>
  <c r="H91" i="67"/>
  <c r="H90" i="67"/>
  <c r="F89" i="67"/>
  <c r="D89" i="67"/>
  <c r="H89" i="67" s="1"/>
  <c r="H88" i="67"/>
  <c r="E88" i="67"/>
  <c r="E87" i="67"/>
  <c r="D87" i="67"/>
  <c r="H87" i="67" s="1"/>
  <c r="H86" i="67"/>
  <c r="H85" i="67"/>
  <c r="H84" i="67"/>
  <c r="H83" i="67"/>
  <c r="H82" i="67"/>
  <c r="H81" i="67"/>
  <c r="E80" i="67"/>
  <c r="D80" i="67"/>
  <c r="H80" i="67" s="1"/>
  <c r="E79" i="67"/>
  <c r="D79" i="67"/>
  <c r="H79" i="67" s="1"/>
  <c r="F78" i="67"/>
  <c r="D157" i="67" s="1"/>
  <c r="D78" i="67"/>
  <c r="H78" i="67" s="1"/>
  <c r="E77" i="67"/>
  <c r="D77" i="67"/>
  <c r="H77" i="67" s="1"/>
  <c r="H76" i="67"/>
  <c r="H75" i="67"/>
  <c r="H74" i="67"/>
  <c r="D73" i="67"/>
  <c r="H73" i="67" s="1"/>
  <c r="H72" i="67"/>
  <c r="H71" i="67"/>
  <c r="E70" i="67"/>
  <c r="D70" i="67"/>
  <c r="H70" i="67" s="1"/>
  <c r="E69" i="67"/>
  <c r="D69" i="67"/>
  <c r="H69" i="67" s="1"/>
  <c r="F68" i="67"/>
  <c r="D68" i="67"/>
  <c r="H68" i="67" s="1"/>
  <c r="H67" i="67"/>
  <c r="H66" i="67"/>
  <c r="D65" i="67"/>
  <c r="H65" i="67" s="1"/>
  <c r="H64" i="67"/>
  <c r="H63" i="67"/>
  <c r="E62" i="67"/>
  <c r="D62" i="67"/>
  <c r="H62" i="67" s="1"/>
  <c r="F61" i="67"/>
  <c r="D61" i="67"/>
  <c r="H61" i="67" s="1"/>
  <c r="F60" i="67"/>
  <c r="D60" i="67"/>
  <c r="H60" i="67" s="1"/>
  <c r="H59" i="67"/>
  <c r="G58" i="67"/>
  <c r="D58" i="67"/>
  <c r="H58" i="67" s="1"/>
  <c r="H57" i="67"/>
  <c r="H56" i="67"/>
  <c r="H55" i="67"/>
  <c r="G54" i="67"/>
  <c r="F54" i="67"/>
  <c r="D54" i="67"/>
  <c r="G53" i="67"/>
  <c r="E53" i="67"/>
  <c r="D53" i="67"/>
  <c r="G52" i="67"/>
  <c r="E52" i="67"/>
  <c r="D52" i="67"/>
  <c r="H51" i="67"/>
  <c r="H50" i="67"/>
  <c r="H49" i="67"/>
  <c r="H48" i="67"/>
  <c r="H47" i="67"/>
  <c r="F46" i="67"/>
  <c r="D46" i="67"/>
  <c r="H46" i="67" s="1"/>
  <c r="G45" i="67"/>
  <c r="E45" i="67"/>
  <c r="D45" i="67"/>
  <c r="F44" i="67"/>
  <c r="D44" i="67"/>
  <c r="H44" i="67" s="1"/>
  <c r="H43" i="67"/>
  <c r="H42" i="67"/>
  <c r="H41" i="67"/>
  <c r="H40" i="67"/>
  <c r="H39" i="67"/>
  <c r="F39" i="67"/>
  <c r="E38" i="67"/>
  <c r="D38" i="67"/>
  <c r="H38" i="67" s="1"/>
  <c r="E37" i="67"/>
  <c r="D37" i="67"/>
  <c r="H37" i="67" s="1"/>
  <c r="H36" i="67"/>
  <c r="D35" i="67"/>
  <c r="H35" i="67" s="1"/>
  <c r="D34" i="67"/>
  <c r="H34" i="67" s="1"/>
  <c r="H33" i="67"/>
  <c r="H32" i="67"/>
  <c r="H31" i="67"/>
  <c r="F30" i="67"/>
  <c r="D30" i="67"/>
  <c r="H30" i="67" s="1"/>
  <c r="E29" i="67"/>
  <c r="D29" i="67"/>
  <c r="H29" i="67" s="1"/>
  <c r="E28" i="67"/>
  <c r="D28" i="67"/>
  <c r="H28" i="67" s="1"/>
  <c r="H27" i="67"/>
  <c r="D26" i="67"/>
  <c r="H26" i="67" s="1"/>
  <c r="D25" i="67"/>
  <c r="H25" i="67" s="1"/>
  <c r="H24" i="67"/>
  <c r="H23" i="67"/>
  <c r="F22" i="67"/>
  <c r="D22" i="67"/>
  <c r="H22" i="67" s="1"/>
  <c r="E21" i="67"/>
  <c r="D21" i="67"/>
  <c r="H21" i="67" s="1"/>
  <c r="E20" i="67"/>
  <c r="D20" i="67"/>
  <c r="H20" i="67" s="1"/>
  <c r="H19" i="67"/>
  <c r="D18" i="67"/>
  <c r="H18" i="67" s="1"/>
  <c r="H17" i="67"/>
  <c r="H16" i="67"/>
  <c r="E15" i="67"/>
  <c r="D15" i="67"/>
  <c r="H15" i="67" s="1"/>
  <c r="E14" i="67"/>
  <c r="D14" i="67"/>
  <c r="H14" i="67" s="1"/>
  <c r="E13" i="67"/>
  <c r="D13" i="67"/>
  <c r="H13" i="67" s="1"/>
  <c r="G12" i="67"/>
  <c r="D12" i="67"/>
  <c r="H12" i="67" s="1"/>
  <c r="G11" i="67"/>
  <c r="D11" i="67"/>
  <c r="G10" i="67"/>
  <c r="E10" i="67"/>
  <c r="D10" i="67"/>
  <c r="H10" i="67" s="1"/>
  <c r="G9" i="67"/>
  <c r="E9" i="67"/>
  <c r="D9" i="67"/>
  <c r="H9" i="67" s="1"/>
  <c r="G8" i="67"/>
  <c r="F8" i="67"/>
  <c r="D8" i="67"/>
  <c r="G7" i="67"/>
  <c r="D7" i="67"/>
  <c r="H6" i="67"/>
  <c r="H8" i="67" l="1"/>
  <c r="H45" i="67"/>
  <c r="H54" i="67"/>
  <c r="H53" i="67"/>
  <c r="D161" i="67"/>
  <c r="D163" i="67" s="1"/>
  <c r="H11" i="67"/>
  <c r="E151" i="67"/>
  <c r="E154" i="67" s="1"/>
  <c r="H7" i="67"/>
  <c r="H151" i="67" s="1"/>
  <c r="H154" i="67" s="1"/>
  <c r="D151" i="67"/>
  <c r="H52" i="67"/>
  <c r="G151" i="67"/>
  <c r="G152" i="67" s="1"/>
  <c r="G157" i="67" s="1"/>
  <c r="F151" i="67"/>
  <c r="F154" i="67" s="1"/>
  <c r="D153" i="66"/>
  <c r="D152" i="66"/>
  <c r="D151" i="66"/>
  <c r="E130" i="66"/>
  <c r="D130" i="66"/>
  <c r="F131" i="66"/>
  <c r="E121" i="66"/>
  <c r="E80" i="66"/>
  <c r="D80" i="66"/>
  <c r="D133" i="66" l="1"/>
  <c r="D129" i="66" l="1"/>
  <c r="F129" i="66"/>
  <c r="D6" i="66" l="1"/>
  <c r="H136" i="66" l="1"/>
  <c r="H137" i="66"/>
  <c r="H138" i="66"/>
  <c r="H135" i="66" l="1"/>
  <c r="H139" i="66"/>
  <c r="H140" i="66"/>
  <c r="H141" i="66"/>
  <c r="H142" i="66"/>
  <c r="H134" i="66"/>
  <c r="H133" i="66"/>
  <c r="H132" i="66"/>
  <c r="H131" i="66"/>
  <c r="H130" i="66"/>
  <c r="H129" i="66"/>
  <c r="H128" i="66"/>
  <c r="H127" i="66"/>
  <c r="H126" i="66"/>
  <c r="H125" i="66"/>
  <c r="H124" i="66"/>
  <c r="F123" i="66"/>
  <c r="D123" i="66"/>
  <c r="H123" i="66" s="1"/>
  <c r="E122" i="66"/>
  <c r="D122" i="66"/>
  <c r="H122" i="66" s="1"/>
  <c r="H121" i="66"/>
  <c r="D121" i="66"/>
  <c r="H120" i="66"/>
  <c r="H119" i="66"/>
  <c r="D118" i="66"/>
  <c r="H118" i="66" s="1"/>
  <c r="D117" i="66"/>
  <c r="H117" i="66" s="1"/>
  <c r="H116" i="66"/>
  <c r="F115" i="66"/>
  <c r="D115" i="66"/>
  <c r="H115" i="66" s="1"/>
  <c r="E114" i="66"/>
  <c r="D114" i="66"/>
  <c r="H114" i="66" s="1"/>
  <c r="E113" i="66"/>
  <c r="D113" i="66"/>
  <c r="H113" i="66" s="1"/>
  <c r="H112" i="66"/>
  <c r="H111" i="66"/>
  <c r="H110" i="66"/>
  <c r="H109" i="66"/>
  <c r="H108" i="66"/>
  <c r="D107" i="66"/>
  <c r="H107" i="66" s="1"/>
  <c r="E106" i="66"/>
  <c r="D106" i="66"/>
  <c r="H106" i="66" s="1"/>
  <c r="E105" i="66"/>
  <c r="D105" i="66"/>
  <c r="H105" i="66" s="1"/>
  <c r="F104" i="66"/>
  <c r="D104" i="66"/>
  <c r="H104" i="66" s="1"/>
  <c r="H103" i="66"/>
  <c r="H102" i="66"/>
  <c r="H101" i="66"/>
  <c r="H100" i="66"/>
  <c r="H99" i="66"/>
  <c r="E98" i="66"/>
  <c r="D98" i="66"/>
  <c r="H98" i="66" s="1"/>
  <c r="E97" i="66"/>
  <c r="D97" i="66"/>
  <c r="H97" i="66" s="1"/>
  <c r="F96" i="66"/>
  <c r="D96" i="66"/>
  <c r="H96" i="66" s="1"/>
  <c r="H95" i="66"/>
  <c r="H94" i="66"/>
  <c r="H93" i="66"/>
  <c r="H92" i="66"/>
  <c r="D92" i="66"/>
  <c r="H91" i="66"/>
  <c r="H90" i="66"/>
  <c r="H89" i="66"/>
  <c r="F89" i="66"/>
  <c r="D89" i="66"/>
  <c r="H88" i="66"/>
  <c r="E88" i="66"/>
  <c r="E87" i="66"/>
  <c r="D87" i="66"/>
  <c r="H87" i="66" s="1"/>
  <c r="H86" i="66"/>
  <c r="H85" i="66"/>
  <c r="H84" i="66"/>
  <c r="H83" i="66"/>
  <c r="H82" i="66"/>
  <c r="H81" i="66"/>
  <c r="H80" i="66"/>
  <c r="H79" i="66"/>
  <c r="E79" i="66"/>
  <c r="D79" i="66"/>
  <c r="F78" i="66"/>
  <c r="D150" i="66" s="1"/>
  <c r="D78" i="66"/>
  <c r="H78" i="66" s="1"/>
  <c r="E77" i="66"/>
  <c r="D77" i="66"/>
  <c r="H77" i="66" s="1"/>
  <c r="H76" i="66"/>
  <c r="H75" i="66"/>
  <c r="H74" i="66"/>
  <c r="D73" i="66"/>
  <c r="H73" i="66" s="1"/>
  <c r="H72" i="66"/>
  <c r="H71" i="66"/>
  <c r="E70" i="66"/>
  <c r="D70" i="66"/>
  <c r="H70" i="66" s="1"/>
  <c r="E69" i="66"/>
  <c r="D69" i="66"/>
  <c r="H69" i="66" s="1"/>
  <c r="F68" i="66"/>
  <c r="D68" i="66"/>
  <c r="H68" i="66" s="1"/>
  <c r="H67" i="66"/>
  <c r="H66" i="66"/>
  <c r="D65" i="66"/>
  <c r="H65" i="66" s="1"/>
  <c r="H64" i="66"/>
  <c r="H63" i="66"/>
  <c r="E62" i="66"/>
  <c r="D62" i="66"/>
  <c r="H62" i="66" s="1"/>
  <c r="H61" i="66"/>
  <c r="F61" i="66"/>
  <c r="D61" i="66"/>
  <c r="F60" i="66"/>
  <c r="D60" i="66"/>
  <c r="H60" i="66" s="1"/>
  <c r="H59" i="66"/>
  <c r="G58" i="66"/>
  <c r="H58" i="66" s="1"/>
  <c r="D58" i="66"/>
  <c r="H57" i="66"/>
  <c r="H56" i="66"/>
  <c r="H55" i="66"/>
  <c r="G54" i="66"/>
  <c r="H54" i="66" s="1"/>
  <c r="F54" i="66"/>
  <c r="D54" i="66"/>
  <c r="G53" i="66"/>
  <c r="H53" i="66" s="1"/>
  <c r="E53" i="66"/>
  <c r="D53" i="66"/>
  <c r="G52" i="66"/>
  <c r="E52" i="66"/>
  <c r="D52" i="66"/>
  <c r="H51" i="66"/>
  <c r="H50" i="66"/>
  <c r="H49" i="66"/>
  <c r="H48" i="66"/>
  <c r="H47" i="66"/>
  <c r="F46" i="66"/>
  <c r="D46" i="66"/>
  <c r="H46" i="66" s="1"/>
  <c r="H45" i="66"/>
  <c r="G45" i="66"/>
  <c r="E45" i="66"/>
  <c r="D45" i="66"/>
  <c r="F44" i="66"/>
  <c r="D44" i="66"/>
  <c r="H44" i="66" s="1"/>
  <c r="H43" i="66"/>
  <c r="H42" i="66"/>
  <c r="H41" i="66"/>
  <c r="H40" i="66"/>
  <c r="H39" i="66"/>
  <c r="F39" i="66"/>
  <c r="E38" i="66"/>
  <c r="D38" i="66"/>
  <c r="H38" i="66" s="1"/>
  <c r="E37" i="66"/>
  <c r="D37" i="66"/>
  <c r="H37" i="66" s="1"/>
  <c r="H36" i="66"/>
  <c r="D35" i="66"/>
  <c r="H35" i="66" s="1"/>
  <c r="D34" i="66"/>
  <c r="H34" i="66" s="1"/>
  <c r="H33" i="66"/>
  <c r="H32" i="66"/>
  <c r="H31" i="66"/>
  <c r="F30" i="66"/>
  <c r="D30" i="66"/>
  <c r="H30" i="66" s="1"/>
  <c r="H29" i="66"/>
  <c r="E29" i="66"/>
  <c r="D29" i="66"/>
  <c r="E28" i="66"/>
  <c r="D28" i="66"/>
  <c r="H28" i="66" s="1"/>
  <c r="H27" i="66"/>
  <c r="D26" i="66"/>
  <c r="H26" i="66" s="1"/>
  <c r="D25" i="66"/>
  <c r="H25" i="66" s="1"/>
  <c r="H24" i="66"/>
  <c r="H23" i="66"/>
  <c r="F22" i="66"/>
  <c r="D22" i="66"/>
  <c r="H22" i="66" s="1"/>
  <c r="H21" i="66"/>
  <c r="E21" i="66"/>
  <c r="D21" i="66"/>
  <c r="H20" i="66"/>
  <c r="E20" i="66"/>
  <c r="D20" i="66"/>
  <c r="H19" i="66"/>
  <c r="D18" i="66"/>
  <c r="H18" i="66" s="1"/>
  <c r="H17" i="66"/>
  <c r="H16" i="66"/>
  <c r="H15" i="66"/>
  <c r="E15" i="66"/>
  <c r="D15" i="66"/>
  <c r="E14" i="66"/>
  <c r="D14" i="66"/>
  <c r="H14" i="66" s="1"/>
  <c r="E13" i="66"/>
  <c r="D13" i="66"/>
  <c r="H13" i="66" s="1"/>
  <c r="G12" i="66"/>
  <c r="D12" i="66"/>
  <c r="H12" i="66" s="1"/>
  <c r="G11" i="66"/>
  <c r="H11" i="66" s="1"/>
  <c r="D11" i="66"/>
  <c r="G10" i="66"/>
  <c r="E10" i="66"/>
  <c r="D10" i="66"/>
  <c r="G9" i="66"/>
  <c r="E9" i="66"/>
  <c r="D9" i="66"/>
  <c r="G8" i="66"/>
  <c r="F8" i="66"/>
  <c r="D8" i="66"/>
  <c r="G7" i="66"/>
  <c r="D7" i="66"/>
  <c r="H7" i="66" s="1"/>
  <c r="H6" i="66"/>
  <c r="G144" i="66" l="1"/>
  <c r="G145" i="66" s="1"/>
  <c r="F144" i="66"/>
  <c r="F147" i="66" s="1"/>
  <c r="H8" i="66"/>
  <c r="H52" i="66"/>
  <c r="H144" i="66" s="1"/>
  <c r="H147" i="66" s="1"/>
  <c r="H10" i="66"/>
  <c r="E144" i="66"/>
  <c r="E147" i="66" s="1"/>
  <c r="D154" i="66"/>
  <c r="D156" i="66" s="1"/>
  <c r="D144" i="66"/>
  <c r="H9" i="66"/>
  <c r="H127" i="65"/>
  <c r="D145" i="65" l="1"/>
  <c r="D144" i="65"/>
  <c r="D143" i="65"/>
  <c r="F104" i="65"/>
  <c r="F136" i="65"/>
  <c r="F123" i="65"/>
  <c r="E122" i="65"/>
  <c r="E114" i="65"/>
  <c r="E113" i="65"/>
  <c r="D123" i="65"/>
  <c r="D122" i="65"/>
  <c r="D114" i="65"/>
  <c r="D121" i="65" l="1"/>
  <c r="E121" i="65"/>
  <c r="D6" i="65" l="1"/>
  <c r="H128" i="65" l="1"/>
  <c r="H129" i="65"/>
  <c r="H130" i="65"/>
  <c r="H131" i="65"/>
  <c r="H132" i="65"/>
  <c r="H133" i="65"/>
  <c r="H134" i="65"/>
  <c r="H126" i="65" l="1"/>
  <c r="H125" i="65"/>
  <c r="H124" i="65"/>
  <c r="H123" i="65"/>
  <c r="H122" i="65"/>
  <c r="H121" i="65"/>
  <c r="H120" i="65"/>
  <c r="H119" i="65"/>
  <c r="D118" i="65"/>
  <c r="H118" i="65" s="1"/>
  <c r="D117" i="65"/>
  <c r="H117" i="65" s="1"/>
  <c r="H116" i="65"/>
  <c r="F115" i="65"/>
  <c r="D115" i="65"/>
  <c r="H115" i="65" s="1"/>
  <c r="H114" i="65"/>
  <c r="H136" i="65" s="1"/>
  <c r="D113" i="65"/>
  <c r="H113" i="65" s="1"/>
  <c r="H112" i="65"/>
  <c r="H111" i="65"/>
  <c r="H110" i="65"/>
  <c r="H109" i="65"/>
  <c r="H108" i="65"/>
  <c r="D107" i="65"/>
  <c r="H107" i="65" s="1"/>
  <c r="E106" i="65"/>
  <c r="D106" i="65"/>
  <c r="H106" i="65" s="1"/>
  <c r="E105" i="65"/>
  <c r="D105" i="65"/>
  <c r="H105" i="65" s="1"/>
  <c r="D104" i="65"/>
  <c r="H104" i="65" s="1"/>
  <c r="H103" i="65"/>
  <c r="H102" i="65"/>
  <c r="H101" i="65"/>
  <c r="H100" i="65"/>
  <c r="H99" i="65"/>
  <c r="E98" i="65"/>
  <c r="D98" i="65"/>
  <c r="H98" i="65" s="1"/>
  <c r="E97" i="65"/>
  <c r="D97" i="65"/>
  <c r="H97" i="65" s="1"/>
  <c r="F96" i="65"/>
  <c r="D96" i="65"/>
  <c r="H96" i="65" s="1"/>
  <c r="H95" i="65"/>
  <c r="H94" i="65"/>
  <c r="H93" i="65"/>
  <c r="D92" i="65"/>
  <c r="H92" i="65" s="1"/>
  <c r="H91" i="65"/>
  <c r="H90" i="65"/>
  <c r="F89" i="65"/>
  <c r="D89" i="65"/>
  <c r="H89" i="65" s="1"/>
  <c r="H88" i="65"/>
  <c r="E88" i="65"/>
  <c r="E87" i="65"/>
  <c r="D87" i="65"/>
  <c r="H87" i="65" s="1"/>
  <c r="H86" i="65"/>
  <c r="H85" i="65"/>
  <c r="H84" i="65"/>
  <c r="H83" i="65"/>
  <c r="H82" i="65"/>
  <c r="H81" i="65"/>
  <c r="H80" i="65"/>
  <c r="E79" i="65"/>
  <c r="D79" i="65"/>
  <c r="H79" i="65" s="1"/>
  <c r="F78" i="65"/>
  <c r="D142" i="65" s="1"/>
  <c r="D78" i="65"/>
  <c r="H78" i="65" s="1"/>
  <c r="E77" i="65"/>
  <c r="D77" i="65"/>
  <c r="H77" i="65" s="1"/>
  <c r="H76" i="65"/>
  <c r="H75" i="65"/>
  <c r="H74" i="65"/>
  <c r="D73" i="65"/>
  <c r="H73" i="65" s="1"/>
  <c r="H72" i="65"/>
  <c r="H71" i="65"/>
  <c r="E70" i="65"/>
  <c r="D70" i="65"/>
  <c r="H70" i="65" s="1"/>
  <c r="E69" i="65"/>
  <c r="D69" i="65"/>
  <c r="H69" i="65" s="1"/>
  <c r="F68" i="65"/>
  <c r="D68" i="65"/>
  <c r="H68" i="65" s="1"/>
  <c r="H67" i="65"/>
  <c r="H66" i="65"/>
  <c r="D65" i="65"/>
  <c r="H65" i="65" s="1"/>
  <c r="H64" i="65"/>
  <c r="H63" i="65"/>
  <c r="E62" i="65"/>
  <c r="D62" i="65"/>
  <c r="H62" i="65" s="1"/>
  <c r="F61" i="65"/>
  <c r="D61" i="65"/>
  <c r="H61" i="65" s="1"/>
  <c r="F60" i="65"/>
  <c r="D60" i="65"/>
  <c r="H60" i="65" s="1"/>
  <c r="H59" i="65"/>
  <c r="G58" i="65"/>
  <c r="D58" i="65"/>
  <c r="H58" i="65" s="1"/>
  <c r="H57" i="65"/>
  <c r="H56" i="65"/>
  <c r="H55" i="65"/>
  <c r="G54" i="65"/>
  <c r="F54" i="65"/>
  <c r="D54" i="65"/>
  <c r="G53" i="65"/>
  <c r="E53" i="65"/>
  <c r="D53" i="65"/>
  <c r="H53" i="65" s="1"/>
  <c r="G52" i="65"/>
  <c r="E52" i="65"/>
  <c r="D52" i="65"/>
  <c r="H51" i="65"/>
  <c r="H50" i="65"/>
  <c r="H49" i="65"/>
  <c r="H48" i="65"/>
  <c r="H47" i="65"/>
  <c r="F46" i="65"/>
  <c r="D46" i="65"/>
  <c r="H46" i="65" s="1"/>
  <c r="G45" i="65"/>
  <c r="E45" i="65"/>
  <c r="D45" i="65"/>
  <c r="F44" i="65"/>
  <c r="D44" i="65"/>
  <c r="H44" i="65" s="1"/>
  <c r="H43" i="65"/>
  <c r="H42" i="65"/>
  <c r="H41" i="65"/>
  <c r="H40" i="65"/>
  <c r="H39" i="65"/>
  <c r="F39" i="65"/>
  <c r="E38" i="65"/>
  <c r="D38" i="65"/>
  <c r="H38" i="65" s="1"/>
  <c r="E37" i="65"/>
  <c r="D37" i="65"/>
  <c r="H37" i="65" s="1"/>
  <c r="H36" i="65"/>
  <c r="D35" i="65"/>
  <c r="H35" i="65" s="1"/>
  <c r="D34" i="65"/>
  <c r="H34" i="65" s="1"/>
  <c r="H33" i="65"/>
  <c r="H32" i="65"/>
  <c r="H31" i="65"/>
  <c r="F30" i="65"/>
  <c r="D30" i="65"/>
  <c r="H30" i="65" s="1"/>
  <c r="E29" i="65"/>
  <c r="D29" i="65"/>
  <c r="H29" i="65" s="1"/>
  <c r="E28" i="65"/>
  <c r="D28" i="65"/>
  <c r="H28" i="65" s="1"/>
  <c r="H27" i="65"/>
  <c r="D26" i="65"/>
  <c r="H26" i="65" s="1"/>
  <c r="D25" i="65"/>
  <c r="H25" i="65" s="1"/>
  <c r="H24" i="65"/>
  <c r="H23" i="65"/>
  <c r="F22" i="65"/>
  <c r="D22" i="65"/>
  <c r="H22" i="65" s="1"/>
  <c r="E21" i="65"/>
  <c r="D21" i="65"/>
  <c r="H21" i="65" s="1"/>
  <c r="E20" i="65"/>
  <c r="D20" i="65"/>
  <c r="H20" i="65" s="1"/>
  <c r="H19" i="65"/>
  <c r="D18" i="65"/>
  <c r="H18" i="65" s="1"/>
  <c r="H17" i="65"/>
  <c r="H16" i="65"/>
  <c r="E15" i="65"/>
  <c r="D15" i="65"/>
  <c r="H15" i="65" s="1"/>
  <c r="E14" i="65"/>
  <c r="D14" i="65"/>
  <c r="H14" i="65" s="1"/>
  <c r="E13" i="65"/>
  <c r="D13" i="65"/>
  <c r="H13" i="65" s="1"/>
  <c r="G12" i="65"/>
  <c r="D12" i="65"/>
  <c r="G11" i="65"/>
  <c r="D11" i="65"/>
  <c r="G10" i="65"/>
  <c r="E10" i="65"/>
  <c r="D10" i="65"/>
  <c r="G9" i="65"/>
  <c r="H9" i="65" s="1"/>
  <c r="E9" i="65"/>
  <c r="D9" i="65"/>
  <c r="G8" i="65"/>
  <c r="F8" i="65"/>
  <c r="D8" i="65"/>
  <c r="H8" i="65" s="1"/>
  <c r="G7" i="65"/>
  <c r="D7" i="65"/>
  <c r="H6" i="65"/>
  <c r="H12" i="65" l="1"/>
  <c r="H45" i="65"/>
  <c r="H54" i="65"/>
  <c r="G136" i="65"/>
  <c r="G137" i="65" s="1"/>
  <c r="F139" i="65"/>
  <c r="H11" i="65"/>
  <c r="E136" i="65"/>
  <c r="E139" i="65" s="1"/>
  <c r="D146" i="65"/>
  <c r="D148" i="65" s="1"/>
  <c r="H7" i="65"/>
  <c r="H10" i="65"/>
  <c r="H52" i="65"/>
  <c r="D136" i="65"/>
  <c r="D135" i="64"/>
  <c r="F128" i="64"/>
  <c r="E128" i="64"/>
  <c r="D137" i="64"/>
  <c r="D136" i="64"/>
  <c r="H139" i="65" l="1"/>
  <c r="F115" i="64"/>
  <c r="D118" i="64"/>
  <c r="D117" i="64"/>
  <c r="D113" i="64" l="1"/>
  <c r="E113" i="64"/>
  <c r="D6" i="64" l="1"/>
  <c r="D115" i="64" l="1"/>
  <c r="H115" i="64" s="1"/>
  <c r="H120" i="64"/>
  <c r="H121" i="64"/>
  <c r="H122" i="64"/>
  <c r="H123" i="64"/>
  <c r="H124" i="64"/>
  <c r="H125" i="64"/>
  <c r="H126" i="64"/>
  <c r="H119" i="64"/>
  <c r="H118" i="64"/>
  <c r="H117" i="64"/>
  <c r="H116" i="64"/>
  <c r="H114" i="64"/>
  <c r="H113" i="64"/>
  <c r="H112" i="64"/>
  <c r="H111" i="64"/>
  <c r="H110" i="64"/>
  <c r="H109" i="64"/>
  <c r="H108" i="64"/>
  <c r="H107" i="64"/>
  <c r="D107" i="64"/>
  <c r="E106" i="64"/>
  <c r="D106" i="64"/>
  <c r="H106" i="64" s="1"/>
  <c r="H105" i="64"/>
  <c r="E105" i="64"/>
  <c r="D105" i="64"/>
  <c r="H104" i="64"/>
  <c r="F104" i="64"/>
  <c r="D104" i="64"/>
  <c r="H103" i="64"/>
  <c r="H102" i="64"/>
  <c r="H101" i="64"/>
  <c r="H100" i="64"/>
  <c r="H99" i="64"/>
  <c r="H98" i="64"/>
  <c r="E98" i="64"/>
  <c r="D98" i="64"/>
  <c r="E97" i="64"/>
  <c r="D97" i="64"/>
  <c r="H97" i="64" s="1"/>
  <c r="F96" i="64"/>
  <c r="D96" i="64"/>
  <c r="H96" i="64" s="1"/>
  <c r="H95" i="64"/>
  <c r="H94" i="64"/>
  <c r="H93" i="64"/>
  <c r="D92" i="64"/>
  <c r="H92" i="64" s="1"/>
  <c r="H91" i="64"/>
  <c r="H90" i="64"/>
  <c r="H89" i="64"/>
  <c r="F89" i="64"/>
  <c r="D89" i="64"/>
  <c r="H88" i="64"/>
  <c r="E88" i="64"/>
  <c r="H87" i="64"/>
  <c r="E87" i="64"/>
  <c r="D87" i="64"/>
  <c r="H86" i="64"/>
  <c r="H85" i="64"/>
  <c r="H84" i="64"/>
  <c r="H83" i="64"/>
  <c r="H82" i="64"/>
  <c r="H81" i="64"/>
  <c r="H80" i="64"/>
  <c r="E79" i="64"/>
  <c r="D79" i="64"/>
  <c r="H79" i="64" s="1"/>
  <c r="F78" i="64"/>
  <c r="D134" i="64" s="1"/>
  <c r="D78" i="64"/>
  <c r="H78" i="64" s="1"/>
  <c r="H77" i="64"/>
  <c r="E77" i="64"/>
  <c r="D77" i="64"/>
  <c r="H76" i="64"/>
  <c r="H75" i="64"/>
  <c r="H74" i="64"/>
  <c r="D73" i="64"/>
  <c r="H73" i="64" s="1"/>
  <c r="H72" i="64"/>
  <c r="H71" i="64"/>
  <c r="E70" i="64"/>
  <c r="D70" i="64"/>
  <c r="H70" i="64" s="1"/>
  <c r="E69" i="64"/>
  <c r="D69" i="64"/>
  <c r="H69" i="64" s="1"/>
  <c r="H68" i="64"/>
  <c r="F68" i="64"/>
  <c r="D68" i="64"/>
  <c r="H67" i="64"/>
  <c r="H66" i="64"/>
  <c r="D65" i="64"/>
  <c r="H65" i="64" s="1"/>
  <c r="H64" i="64"/>
  <c r="H63" i="64"/>
  <c r="E62" i="64"/>
  <c r="D62" i="64"/>
  <c r="H62" i="64" s="1"/>
  <c r="F61" i="64"/>
  <c r="D61" i="64"/>
  <c r="H61" i="64" s="1"/>
  <c r="H60" i="64"/>
  <c r="F60" i="64"/>
  <c r="D60" i="64"/>
  <c r="H59" i="64"/>
  <c r="H58" i="64"/>
  <c r="G58" i="64"/>
  <c r="D58" i="64"/>
  <c r="H57" i="64"/>
  <c r="H56" i="64"/>
  <c r="H55" i="64"/>
  <c r="G54" i="64"/>
  <c r="F54" i="64"/>
  <c r="D54" i="64"/>
  <c r="H54" i="64" s="1"/>
  <c r="G53" i="64"/>
  <c r="E53" i="64"/>
  <c r="D53" i="64"/>
  <c r="H53" i="64" s="1"/>
  <c r="G52" i="64"/>
  <c r="E52" i="64"/>
  <c r="D52" i="64"/>
  <c r="H52" i="64" s="1"/>
  <c r="H51" i="64"/>
  <c r="H50" i="64"/>
  <c r="H49" i="64"/>
  <c r="H48" i="64"/>
  <c r="H47" i="64"/>
  <c r="F46" i="64"/>
  <c r="D46" i="64"/>
  <c r="H46" i="64" s="1"/>
  <c r="G45" i="64"/>
  <c r="E45" i="64"/>
  <c r="D45" i="64"/>
  <c r="H45" i="64" s="1"/>
  <c r="F44" i="64"/>
  <c r="D44" i="64"/>
  <c r="H44" i="64" s="1"/>
  <c r="H43" i="64"/>
  <c r="H42" i="64"/>
  <c r="H41" i="64"/>
  <c r="H40" i="64"/>
  <c r="H39" i="64"/>
  <c r="F39" i="64"/>
  <c r="E38" i="64"/>
  <c r="D38" i="64"/>
  <c r="H38" i="64" s="1"/>
  <c r="E37" i="64"/>
  <c r="D37" i="64"/>
  <c r="H37" i="64" s="1"/>
  <c r="H36" i="64"/>
  <c r="H35" i="64"/>
  <c r="D35" i="64"/>
  <c r="H34" i="64"/>
  <c r="D34" i="64"/>
  <c r="H33" i="64"/>
  <c r="H32" i="64"/>
  <c r="H31" i="64"/>
  <c r="H30" i="64"/>
  <c r="F30" i="64"/>
  <c r="D30" i="64"/>
  <c r="H29" i="64"/>
  <c r="E29" i="64"/>
  <c r="D29" i="64"/>
  <c r="E28" i="64"/>
  <c r="D28" i="64"/>
  <c r="H28" i="64" s="1"/>
  <c r="H27" i="64"/>
  <c r="D26" i="64"/>
  <c r="H26" i="64" s="1"/>
  <c r="H25" i="64"/>
  <c r="D25" i="64"/>
  <c r="H24" i="64"/>
  <c r="H23" i="64"/>
  <c r="H22" i="64"/>
  <c r="F22" i="64"/>
  <c r="D22" i="64"/>
  <c r="H21" i="64"/>
  <c r="E21" i="64"/>
  <c r="D21" i="64"/>
  <c r="E20" i="64"/>
  <c r="D20" i="64"/>
  <c r="H20" i="64" s="1"/>
  <c r="H19" i="64"/>
  <c r="D18" i="64"/>
  <c r="H18" i="64" s="1"/>
  <c r="H17" i="64"/>
  <c r="H16" i="64"/>
  <c r="E15" i="64"/>
  <c r="D15" i="64"/>
  <c r="H15" i="64" s="1"/>
  <c r="E14" i="64"/>
  <c r="D14" i="64"/>
  <c r="H14" i="64" s="1"/>
  <c r="H13" i="64"/>
  <c r="E13" i="64"/>
  <c r="D13" i="64"/>
  <c r="G12" i="64"/>
  <c r="H12" i="64" s="1"/>
  <c r="D12" i="64"/>
  <c r="G11" i="64"/>
  <c r="D11" i="64"/>
  <c r="H11" i="64" s="1"/>
  <c r="G10" i="64"/>
  <c r="E10" i="64"/>
  <c r="D10" i="64"/>
  <c r="H10" i="64" s="1"/>
  <c r="G9" i="64"/>
  <c r="E9" i="64"/>
  <c r="E131" i="64" s="1"/>
  <c r="D9" i="64"/>
  <c r="H9" i="64" s="1"/>
  <c r="G8" i="64"/>
  <c r="G128" i="64" s="1"/>
  <c r="G129" i="64" s="1"/>
  <c r="F8" i="64"/>
  <c r="F131" i="64" s="1"/>
  <c r="D8" i="64"/>
  <c r="H8" i="64" s="1"/>
  <c r="G7" i="64"/>
  <c r="D7" i="64"/>
  <c r="H7" i="64" s="1"/>
  <c r="H6" i="64"/>
  <c r="H128" i="64" l="1"/>
  <c r="H131" i="64" s="1"/>
  <c r="D138" i="64"/>
  <c r="D140" i="64" s="1"/>
  <c r="D128" i="64"/>
  <c r="D128" i="63"/>
  <c r="D129" i="63"/>
  <c r="D127" i="63"/>
  <c r="F96" i="63" l="1"/>
  <c r="E106" i="63"/>
  <c r="E105" i="63"/>
  <c r="D106" i="63" l="1"/>
  <c r="D105" i="63"/>
  <c r="D107" i="63" l="1"/>
  <c r="D104" i="63" l="1"/>
  <c r="F104" i="63"/>
  <c r="D6" i="63" l="1"/>
  <c r="H111" i="63" l="1"/>
  <c r="H112" i="63"/>
  <c r="H113" i="63"/>
  <c r="H114" i="63"/>
  <c r="H115" i="63"/>
  <c r="H116" i="63"/>
  <c r="H117" i="63"/>
  <c r="H118" i="63"/>
  <c r="H119" i="63"/>
  <c r="H110" i="63"/>
  <c r="H109" i="63"/>
  <c r="H108" i="63"/>
  <c r="H107" i="63"/>
  <c r="H106" i="63"/>
  <c r="H105" i="63"/>
  <c r="H104" i="63"/>
  <c r="H103" i="63"/>
  <c r="H102" i="63"/>
  <c r="H101" i="63"/>
  <c r="H100" i="63"/>
  <c r="H99" i="63"/>
  <c r="H98" i="63"/>
  <c r="E98" i="63"/>
  <c r="D98" i="63"/>
  <c r="E97" i="63"/>
  <c r="D97" i="63"/>
  <c r="H97" i="63" s="1"/>
  <c r="D96" i="63"/>
  <c r="H96" i="63" s="1"/>
  <c r="H95" i="63"/>
  <c r="H94" i="63"/>
  <c r="H93" i="63"/>
  <c r="D92" i="63"/>
  <c r="H92" i="63" s="1"/>
  <c r="H91" i="63"/>
  <c r="H90" i="63"/>
  <c r="F89" i="63"/>
  <c r="D89" i="63"/>
  <c r="H89" i="63" s="1"/>
  <c r="H88" i="63"/>
  <c r="E88" i="63"/>
  <c r="E87" i="63"/>
  <c r="D87" i="63"/>
  <c r="H87" i="63" s="1"/>
  <c r="H86" i="63"/>
  <c r="H85" i="63"/>
  <c r="H84" i="63"/>
  <c r="H83" i="63"/>
  <c r="H82" i="63"/>
  <c r="H81" i="63"/>
  <c r="H80" i="63"/>
  <c r="E79" i="63"/>
  <c r="D79" i="63"/>
  <c r="H79" i="63" s="1"/>
  <c r="F78" i="63"/>
  <c r="D126" i="63" s="1"/>
  <c r="D78" i="63"/>
  <c r="H78" i="63" s="1"/>
  <c r="E77" i="63"/>
  <c r="D77" i="63"/>
  <c r="H77" i="63" s="1"/>
  <c r="H76" i="63"/>
  <c r="H75" i="63"/>
  <c r="H74" i="63"/>
  <c r="D73" i="63"/>
  <c r="H73" i="63" s="1"/>
  <c r="H72" i="63"/>
  <c r="H71" i="63"/>
  <c r="E70" i="63"/>
  <c r="D70" i="63"/>
  <c r="H70" i="63" s="1"/>
  <c r="E69" i="63"/>
  <c r="D69" i="63"/>
  <c r="H69" i="63" s="1"/>
  <c r="F68" i="63"/>
  <c r="D68" i="63"/>
  <c r="H68" i="63" s="1"/>
  <c r="H67" i="63"/>
  <c r="H66" i="63"/>
  <c r="D65" i="63"/>
  <c r="H65" i="63" s="1"/>
  <c r="H64" i="63"/>
  <c r="H63" i="63"/>
  <c r="E62" i="63"/>
  <c r="D62" i="63"/>
  <c r="H62" i="63" s="1"/>
  <c r="H61" i="63"/>
  <c r="F61" i="63"/>
  <c r="D61" i="63"/>
  <c r="F60" i="63"/>
  <c r="D60" i="63"/>
  <c r="H60" i="63" s="1"/>
  <c r="H59" i="63"/>
  <c r="G58" i="63"/>
  <c r="D58" i="63"/>
  <c r="H57" i="63"/>
  <c r="H56" i="63"/>
  <c r="H55" i="63"/>
  <c r="G54" i="63"/>
  <c r="F54" i="63"/>
  <c r="D54" i="63"/>
  <c r="G53" i="63"/>
  <c r="E53" i="63"/>
  <c r="D53" i="63"/>
  <c r="H53" i="63" s="1"/>
  <c r="G52" i="63"/>
  <c r="E52" i="63"/>
  <c r="D52" i="63"/>
  <c r="H51" i="63"/>
  <c r="H50" i="63"/>
  <c r="H49" i="63"/>
  <c r="H48" i="63"/>
  <c r="H47" i="63"/>
  <c r="F46" i="63"/>
  <c r="D46" i="63"/>
  <c r="H46" i="63" s="1"/>
  <c r="G45" i="63"/>
  <c r="E45" i="63"/>
  <c r="D45" i="63"/>
  <c r="F44" i="63"/>
  <c r="D44" i="63"/>
  <c r="H44" i="63" s="1"/>
  <c r="H43" i="63"/>
  <c r="H42" i="63"/>
  <c r="H41" i="63"/>
  <c r="H40" i="63"/>
  <c r="H39" i="63"/>
  <c r="F39" i="63"/>
  <c r="E38" i="63"/>
  <c r="D38" i="63"/>
  <c r="H38" i="63" s="1"/>
  <c r="E37" i="63"/>
  <c r="D37" i="63"/>
  <c r="H37" i="63" s="1"/>
  <c r="H36" i="63"/>
  <c r="D35" i="63"/>
  <c r="H35" i="63" s="1"/>
  <c r="D34" i="63"/>
  <c r="H34" i="63" s="1"/>
  <c r="H33" i="63"/>
  <c r="H32" i="63"/>
  <c r="H31" i="63"/>
  <c r="F30" i="63"/>
  <c r="D30" i="63"/>
  <c r="H30" i="63" s="1"/>
  <c r="E29" i="63"/>
  <c r="D29" i="63"/>
  <c r="H29" i="63" s="1"/>
  <c r="E28" i="63"/>
  <c r="D28" i="63"/>
  <c r="H28" i="63" s="1"/>
  <c r="H27" i="63"/>
  <c r="H26" i="63"/>
  <c r="D26" i="63"/>
  <c r="D25" i="63"/>
  <c r="H25" i="63" s="1"/>
  <c r="H24" i="63"/>
  <c r="H23" i="63"/>
  <c r="F22" i="63"/>
  <c r="D22" i="63"/>
  <c r="H22" i="63" s="1"/>
  <c r="E21" i="63"/>
  <c r="D21" i="63"/>
  <c r="H21" i="63" s="1"/>
  <c r="E20" i="63"/>
  <c r="D20" i="63"/>
  <c r="H20" i="63" s="1"/>
  <c r="H19" i="63"/>
  <c r="D18" i="63"/>
  <c r="H18" i="63" s="1"/>
  <c r="H17" i="63"/>
  <c r="H16" i="63"/>
  <c r="E15" i="63"/>
  <c r="D15" i="63"/>
  <c r="H15" i="63" s="1"/>
  <c r="E14" i="63"/>
  <c r="D14" i="63"/>
  <c r="H14" i="63" s="1"/>
  <c r="E13" i="63"/>
  <c r="D13" i="63"/>
  <c r="H13" i="63" s="1"/>
  <c r="H12" i="63"/>
  <c r="G12" i="63"/>
  <c r="D12" i="63"/>
  <c r="G11" i="63"/>
  <c r="D11" i="63"/>
  <c r="G10" i="63"/>
  <c r="E10" i="63"/>
  <c r="D10" i="63"/>
  <c r="H10" i="63" s="1"/>
  <c r="G9" i="63"/>
  <c r="E9" i="63"/>
  <c r="D9" i="63"/>
  <c r="G8" i="63"/>
  <c r="F8" i="63"/>
  <c r="D8" i="63"/>
  <c r="G7" i="63"/>
  <c r="G120" i="63" s="1"/>
  <c r="G121" i="63" s="1"/>
  <c r="D7" i="63"/>
  <c r="H7" i="63" s="1"/>
  <c r="H6" i="63"/>
  <c r="H11" i="63" l="1"/>
  <c r="H45" i="63"/>
  <c r="H54" i="63"/>
  <c r="D120" i="63"/>
  <c r="H58" i="63"/>
  <c r="D130" i="63"/>
  <c r="D132" i="63" s="1"/>
  <c r="E120" i="63"/>
  <c r="E123" i="63" s="1"/>
  <c r="F120" i="63"/>
  <c r="F123" i="63" s="1"/>
  <c r="H9" i="63"/>
  <c r="H52" i="63"/>
  <c r="H8" i="63"/>
  <c r="H120" i="63" s="1"/>
  <c r="H123" i="63" s="1"/>
  <c r="H114" i="62"/>
  <c r="H108" i="62"/>
  <c r="H107" i="62"/>
  <c r="H105" i="62"/>
  <c r="H106" i="62"/>
  <c r="H109" i="62"/>
  <c r="H110" i="62"/>
  <c r="H111" i="62"/>
  <c r="E98" i="62"/>
  <c r="D98" i="62"/>
  <c r="E97" i="62"/>
  <c r="D97" i="62"/>
  <c r="E87" i="62"/>
  <c r="D120" i="62" l="1"/>
  <c r="D119" i="62"/>
  <c r="G58" i="62"/>
  <c r="G54" i="62"/>
  <c r="G53" i="62"/>
  <c r="G52" i="62"/>
  <c r="G45" i="62"/>
  <c r="G7" i="62"/>
  <c r="D96" i="62"/>
  <c r="H96" i="62" s="1"/>
  <c r="F96" i="62"/>
  <c r="H104" i="62"/>
  <c r="D6" i="62"/>
  <c r="H103" i="62"/>
  <c r="H102" i="62"/>
  <c r="H101" i="62"/>
  <c r="H100" i="62"/>
  <c r="H99" i="62"/>
  <c r="H98" i="62"/>
  <c r="H97" i="62"/>
  <c r="H95" i="62"/>
  <c r="H94" i="62"/>
  <c r="H93" i="62"/>
  <c r="D92" i="62"/>
  <c r="H92" i="62" s="1"/>
  <c r="H91" i="62"/>
  <c r="H90" i="62"/>
  <c r="F89" i="62"/>
  <c r="D89" i="62"/>
  <c r="H89" i="62" s="1"/>
  <c r="H88" i="62"/>
  <c r="E88" i="62"/>
  <c r="D87" i="62"/>
  <c r="H87" i="62" s="1"/>
  <c r="H86" i="62"/>
  <c r="H85" i="62"/>
  <c r="H84" i="62"/>
  <c r="H83" i="62"/>
  <c r="H82" i="62"/>
  <c r="H81" i="62"/>
  <c r="H80" i="62"/>
  <c r="E79" i="62"/>
  <c r="D79" i="62"/>
  <c r="H79" i="62" s="1"/>
  <c r="F78" i="62"/>
  <c r="D118" i="62" s="1"/>
  <c r="D78" i="62"/>
  <c r="H78" i="62" s="1"/>
  <c r="E77" i="62"/>
  <c r="D77" i="62"/>
  <c r="H77" i="62" s="1"/>
  <c r="H76" i="62"/>
  <c r="H75" i="62"/>
  <c r="H74" i="62"/>
  <c r="D73" i="62"/>
  <c r="H73" i="62" s="1"/>
  <c r="H72" i="62"/>
  <c r="H71" i="62"/>
  <c r="E70" i="62"/>
  <c r="D70" i="62"/>
  <c r="H70" i="62" s="1"/>
  <c r="E69" i="62"/>
  <c r="D69" i="62"/>
  <c r="H69" i="62" s="1"/>
  <c r="F68" i="62"/>
  <c r="D121" i="62" s="1"/>
  <c r="D68" i="62"/>
  <c r="H68" i="62" s="1"/>
  <c r="H67" i="62"/>
  <c r="H66" i="62"/>
  <c r="D65" i="62"/>
  <c r="H65" i="62" s="1"/>
  <c r="H64" i="62"/>
  <c r="H63" i="62"/>
  <c r="E62" i="62"/>
  <c r="D62" i="62"/>
  <c r="H62" i="62" s="1"/>
  <c r="F61" i="62"/>
  <c r="D61" i="62"/>
  <c r="H61" i="62" s="1"/>
  <c r="F60" i="62"/>
  <c r="D60" i="62"/>
  <c r="H60" i="62" s="1"/>
  <c r="H59" i="62"/>
  <c r="D58" i="62"/>
  <c r="H58" i="62" s="1"/>
  <c r="H57" i="62"/>
  <c r="H56" i="62"/>
  <c r="H55" i="62"/>
  <c r="F54" i="62"/>
  <c r="D54" i="62"/>
  <c r="E53" i="62"/>
  <c r="D53" i="62"/>
  <c r="H53" i="62" s="1"/>
  <c r="E52" i="62"/>
  <c r="D52" i="62"/>
  <c r="H52" i="62" s="1"/>
  <c r="H51" i="62"/>
  <c r="H50" i="62"/>
  <c r="H49" i="62"/>
  <c r="H48" i="62"/>
  <c r="H47" i="62"/>
  <c r="F46" i="62"/>
  <c r="D46" i="62"/>
  <c r="H46" i="62" s="1"/>
  <c r="E45" i="62"/>
  <c r="D45" i="62"/>
  <c r="F44" i="62"/>
  <c r="D44" i="62"/>
  <c r="H44" i="62" s="1"/>
  <c r="H43" i="62"/>
  <c r="H42" i="62"/>
  <c r="H41" i="62"/>
  <c r="H40" i="62"/>
  <c r="H39" i="62"/>
  <c r="F39" i="62"/>
  <c r="E38" i="62"/>
  <c r="D38" i="62"/>
  <c r="H38" i="62" s="1"/>
  <c r="E37" i="62"/>
  <c r="D37" i="62"/>
  <c r="H37" i="62" s="1"/>
  <c r="H36" i="62"/>
  <c r="D35" i="62"/>
  <c r="H35" i="62" s="1"/>
  <c r="D34" i="62"/>
  <c r="H34" i="62" s="1"/>
  <c r="H33" i="62"/>
  <c r="H32" i="62"/>
  <c r="H31" i="62"/>
  <c r="F30" i="62"/>
  <c r="D30" i="62"/>
  <c r="H30" i="62" s="1"/>
  <c r="E29" i="62"/>
  <c r="D29" i="62"/>
  <c r="H29" i="62" s="1"/>
  <c r="E28" i="62"/>
  <c r="D28" i="62"/>
  <c r="H28" i="62" s="1"/>
  <c r="H27" i="62"/>
  <c r="D26" i="62"/>
  <c r="H26" i="62" s="1"/>
  <c r="D25" i="62"/>
  <c r="H25" i="62" s="1"/>
  <c r="H24" i="62"/>
  <c r="H23" i="62"/>
  <c r="F22" i="62"/>
  <c r="D22" i="62"/>
  <c r="H22" i="62" s="1"/>
  <c r="E21" i="62"/>
  <c r="D21" i="62"/>
  <c r="H21" i="62" s="1"/>
  <c r="E20" i="62"/>
  <c r="D20" i="62"/>
  <c r="H20" i="62" s="1"/>
  <c r="H19" i="62"/>
  <c r="D18" i="62"/>
  <c r="H18" i="62" s="1"/>
  <c r="H17" i="62"/>
  <c r="H16" i="62"/>
  <c r="E15" i="62"/>
  <c r="D15" i="62"/>
  <c r="H15" i="62" s="1"/>
  <c r="E14" i="62"/>
  <c r="D14" i="62"/>
  <c r="H14" i="62" s="1"/>
  <c r="E13" i="62"/>
  <c r="D13" i="62"/>
  <c r="H13" i="62" s="1"/>
  <c r="G12" i="62"/>
  <c r="D12" i="62"/>
  <c r="G11" i="62"/>
  <c r="D11" i="62"/>
  <c r="G10" i="62"/>
  <c r="E10" i="62"/>
  <c r="D10" i="62"/>
  <c r="G9" i="62"/>
  <c r="E9" i="62"/>
  <c r="D9" i="62"/>
  <c r="G8" i="62"/>
  <c r="F8" i="62"/>
  <c r="D8" i="62"/>
  <c r="D7" i="62"/>
  <c r="H6" i="62"/>
  <c r="H10" i="62" l="1"/>
  <c r="H45" i="62"/>
  <c r="H9" i="62"/>
  <c r="H54" i="62"/>
  <c r="G112" i="62"/>
  <c r="G113" i="62" s="1"/>
  <c r="H8" i="62"/>
  <c r="E112" i="62"/>
  <c r="E115" i="62" s="1"/>
  <c r="F112" i="62"/>
  <c r="F115" i="62" s="1"/>
  <c r="H11" i="62"/>
  <c r="H12" i="62"/>
  <c r="D122" i="62"/>
  <c r="D124" i="62" s="1"/>
  <c r="H7" i="62"/>
  <c r="D112" i="62"/>
  <c r="H112" i="62" l="1"/>
  <c r="H115" i="62" s="1"/>
  <c r="D116" i="60"/>
  <c r="D113" i="60"/>
  <c r="D112" i="60"/>
  <c r="D111" i="60"/>
  <c r="F89" i="60"/>
  <c r="D89" i="60"/>
  <c r="E88" i="60"/>
  <c r="E79" i="60"/>
  <c r="D79" i="60"/>
  <c r="E77" i="60"/>
  <c r="D92" i="60" l="1"/>
  <c r="D87" i="60" l="1"/>
  <c r="E87" i="60"/>
  <c r="D6" i="60"/>
  <c r="H94" i="60"/>
  <c r="H95" i="60"/>
  <c r="H96" i="60"/>
  <c r="H97" i="60"/>
  <c r="H98" i="60"/>
  <c r="H99" i="60"/>
  <c r="H100" i="60"/>
  <c r="H101" i="60"/>
  <c r="H102" i="60"/>
  <c r="H103" i="60"/>
  <c r="H93" i="60"/>
  <c r="H92" i="60"/>
  <c r="H91" i="60"/>
  <c r="H90" i="60"/>
  <c r="H89" i="60"/>
  <c r="H88" i="60"/>
  <c r="H87" i="60"/>
  <c r="H86" i="60"/>
  <c r="H85" i="60"/>
  <c r="H84" i="60"/>
  <c r="H83" i="60"/>
  <c r="H82" i="60"/>
  <c r="H81" i="60"/>
  <c r="H80" i="60"/>
  <c r="H79" i="60"/>
  <c r="F78" i="60"/>
  <c r="D110" i="60" s="1"/>
  <c r="D78" i="60"/>
  <c r="H78" i="60" s="1"/>
  <c r="D77" i="60"/>
  <c r="H77" i="60" s="1"/>
  <c r="H76" i="60"/>
  <c r="H75" i="60"/>
  <c r="H74" i="60"/>
  <c r="D73" i="60"/>
  <c r="H73" i="60" s="1"/>
  <c r="H72" i="60"/>
  <c r="H71" i="60"/>
  <c r="E70" i="60"/>
  <c r="D70" i="60"/>
  <c r="H70" i="60" s="1"/>
  <c r="H69" i="60"/>
  <c r="E69" i="60"/>
  <c r="D69" i="60"/>
  <c r="F68" i="60"/>
  <c r="D68" i="60"/>
  <c r="H68" i="60" s="1"/>
  <c r="H67" i="60"/>
  <c r="H66" i="60"/>
  <c r="H65" i="60"/>
  <c r="D65" i="60"/>
  <c r="H64" i="60"/>
  <c r="H63" i="60"/>
  <c r="E62" i="60"/>
  <c r="D62" i="60"/>
  <c r="H62" i="60" s="1"/>
  <c r="F61" i="60"/>
  <c r="D61" i="60"/>
  <c r="H61" i="60" s="1"/>
  <c r="F60" i="60"/>
  <c r="D60" i="60"/>
  <c r="H60" i="60" s="1"/>
  <c r="H59" i="60"/>
  <c r="D58" i="60"/>
  <c r="H58" i="60" s="1"/>
  <c r="H57" i="60"/>
  <c r="H56" i="60"/>
  <c r="H55" i="60"/>
  <c r="F54" i="60"/>
  <c r="D54" i="60"/>
  <c r="H54" i="60" s="1"/>
  <c r="E53" i="60"/>
  <c r="D53" i="60"/>
  <c r="H53" i="60" s="1"/>
  <c r="E52" i="60"/>
  <c r="D52" i="60"/>
  <c r="H52" i="60" s="1"/>
  <c r="H51" i="60"/>
  <c r="H50" i="60"/>
  <c r="H49" i="60"/>
  <c r="H48" i="60"/>
  <c r="H47" i="60"/>
  <c r="F46" i="60"/>
  <c r="D46" i="60"/>
  <c r="H46" i="60" s="1"/>
  <c r="E45" i="60"/>
  <c r="D45" i="60"/>
  <c r="H45" i="60" s="1"/>
  <c r="H44" i="60"/>
  <c r="F44" i="60"/>
  <c r="D44" i="60"/>
  <c r="H43" i="60"/>
  <c r="H42" i="60"/>
  <c r="H41" i="60"/>
  <c r="H40" i="60"/>
  <c r="H39" i="60"/>
  <c r="F39" i="60"/>
  <c r="F104" i="60" s="1"/>
  <c r="F107" i="60" s="1"/>
  <c r="E38" i="60"/>
  <c r="D38" i="60"/>
  <c r="H38" i="60" s="1"/>
  <c r="E37" i="60"/>
  <c r="D37" i="60"/>
  <c r="H37" i="60" s="1"/>
  <c r="H36" i="60"/>
  <c r="D35" i="60"/>
  <c r="H35" i="60" s="1"/>
  <c r="D34" i="60"/>
  <c r="H34" i="60" s="1"/>
  <c r="H33" i="60"/>
  <c r="H32" i="60"/>
  <c r="H31" i="60"/>
  <c r="F30" i="60"/>
  <c r="D30" i="60"/>
  <c r="H30" i="60" s="1"/>
  <c r="E29" i="60"/>
  <c r="D29" i="60"/>
  <c r="H29" i="60" s="1"/>
  <c r="E28" i="60"/>
  <c r="D28" i="60"/>
  <c r="H28" i="60" s="1"/>
  <c r="H27" i="60"/>
  <c r="D26" i="60"/>
  <c r="H26" i="60" s="1"/>
  <c r="D25" i="60"/>
  <c r="H25" i="60" s="1"/>
  <c r="H24" i="60"/>
  <c r="H23" i="60"/>
  <c r="F22" i="60"/>
  <c r="D22" i="60"/>
  <c r="H22" i="60" s="1"/>
  <c r="E21" i="60"/>
  <c r="D21" i="60"/>
  <c r="H21" i="60" s="1"/>
  <c r="E20" i="60"/>
  <c r="D20" i="60"/>
  <c r="H20" i="60" s="1"/>
  <c r="H19" i="60"/>
  <c r="D18" i="60"/>
  <c r="H18" i="60" s="1"/>
  <c r="H17" i="60"/>
  <c r="H16" i="60"/>
  <c r="E15" i="60"/>
  <c r="D15" i="60"/>
  <c r="H15" i="60" s="1"/>
  <c r="E14" i="60"/>
  <c r="D14" i="60"/>
  <c r="H14" i="60" s="1"/>
  <c r="E13" i="60"/>
  <c r="D13" i="60"/>
  <c r="H13" i="60" s="1"/>
  <c r="G12" i="60"/>
  <c r="H12" i="60" s="1"/>
  <c r="D12" i="60"/>
  <c r="G11" i="60"/>
  <c r="D11" i="60"/>
  <c r="H11" i="60" s="1"/>
  <c r="G10" i="60"/>
  <c r="E10" i="60"/>
  <c r="D10" i="60"/>
  <c r="H10" i="60" s="1"/>
  <c r="H9" i="60"/>
  <c r="G9" i="60"/>
  <c r="E9" i="60"/>
  <c r="D9" i="60"/>
  <c r="G8" i="60"/>
  <c r="F8" i="60"/>
  <c r="D8" i="60"/>
  <c r="H8" i="60" s="1"/>
  <c r="G7" i="60"/>
  <c r="G104" i="60" s="1"/>
  <c r="G105" i="60" s="1"/>
  <c r="D7" i="60"/>
  <c r="H6" i="60"/>
  <c r="E104" i="60" l="1"/>
  <c r="E107" i="60" s="1"/>
  <c r="D114" i="60"/>
  <c r="H7" i="60"/>
  <c r="H104" i="60"/>
  <c r="H107" i="60" s="1"/>
  <c r="D104" i="60"/>
  <c r="D104" i="59"/>
  <c r="D103" i="59"/>
  <c r="D102" i="59"/>
  <c r="D77" i="59"/>
  <c r="E77" i="59"/>
  <c r="F68" i="59"/>
  <c r="H87" i="59" l="1"/>
  <c r="H88" i="59"/>
  <c r="H89" i="59"/>
  <c r="H90" i="59"/>
  <c r="H91" i="59"/>
  <c r="D6" i="59" l="1"/>
  <c r="F78" i="59" l="1"/>
  <c r="D78" i="59"/>
  <c r="H85" i="59" l="1"/>
  <c r="H86" i="59"/>
  <c r="H92" i="59"/>
  <c r="H93" i="59"/>
  <c r="D101" i="59"/>
  <c r="H94" i="59"/>
  <c r="H84" i="59"/>
  <c r="H83" i="59"/>
  <c r="H82" i="59"/>
  <c r="H81" i="59"/>
  <c r="H80" i="59"/>
  <c r="H79" i="59"/>
  <c r="H78" i="59"/>
  <c r="H77" i="59"/>
  <c r="H76" i="59"/>
  <c r="H75" i="59"/>
  <c r="H74" i="59"/>
  <c r="D73" i="59"/>
  <c r="H73" i="59" s="1"/>
  <c r="H72" i="59"/>
  <c r="H71" i="59"/>
  <c r="E70" i="59"/>
  <c r="D70" i="59"/>
  <c r="H70" i="59" s="1"/>
  <c r="E69" i="59"/>
  <c r="D69" i="59"/>
  <c r="H69" i="59" s="1"/>
  <c r="D68" i="59"/>
  <c r="H68" i="59" s="1"/>
  <c r="H67" i="59"/>
  <c r="H66" i="59"/>
  <c r="D65" i="59"/>
  <c r="H65" i="59" s="1"/>
  <c r="H64" i="59"/>
  <c r="H63" i="59"/>
  <c r="E62" i="59"/>
  <c r="D62" i="59"/>
  <c r="H62" i="59" s="1"/>
  <c r="F61" i="59"/>
  <c r="D61" i="59"/>
  <c r="H61" i="59" s="1"/>
  <c r="F60" i="59"/>
  <c r="D60" i="59"/>
  <c r="H60" i="59" s="1"/>
  <c r="H59" i="59"/>
  <c r="D58" i="59"/>
  <c r="H58" i="59" s="1"/>
  <c r="H57" i="59"/>
  <c r="H56" i="59"/>
  <c r="H55" i="59"/>
  <c r="F54" i="59"/>
  <c r="D54" i="59"/>
  <c r="H54" i="59" s="1"/>
  <c r="E53" i="59"/>
  <c r="D53" i="59"/>
  <c r="H53" i="59" s="1"/>
  <c r="E52" i="59"/>
  <c r="D52" i="59"/>
  <c r="H52" i="59" s="1"/>
  <c r="H51" i="59"/>
  <c r="H50" i="59"/>
  <c r="H49" i="59"/>
  <c r="H48" i="59"/>
  <c r="H47" i="59"/>
  <c r="F46" i="59"/>
  <c r="D46" i="59"/>
  <c r="H46" i="59" s="1"/>
  <c r="E45" i="59"/>
  <c r="D45" i="59"/>
  <c r="H45" i="59" s="1"/>
  <c r="F44" i="59"/>
  <c r="D44" i="59"/>
  <c r="H44" i="59" s="1"/>
  <c r="H43" i="59"/>
  <c r="H42" i="59"/>
  <c r="H41" i="59"/>
  <c r="H40" i="59"/>
  <c r="H39" i="59"/>
  <c r="F39" i="59"/>
  <c r="E38" i="59"/>
  <c r="D38" i="59"/>
  <c r="H38" i="59" s="1"/>
  <c r="E37" i="59"/>
  <c r="D37" i="59"/>
  <c r="H37" i="59" s="1"/>
  <c r="H36" i="59"/>
  <c r="D35" i="59"/>
  <c r="H35" i="59" s="1"/>
  <c r="D34" i="59"/>
  <c r="H34" i="59" s="1"/>
  <c r="H33" i="59"/>
  <c r="H32" i="59"/>
  <c r="H31" i="59"/>
  <c r="F30" i="59"/>
  <c r="D30" i="59"/>
  <c r="H30" i="59" s="1"/>
  <c r="E29" i="59"/>
  <c r="D29" i="59"/>
  <c r="H29" i="59" s="1"/>
  <c r="E28" i="59"/>
  <c r="D28" i="59"/>
  <c r="H28" i="59" s="1"/>
  <c r="H27" i="59"/>
  <c r="D26" i="59"/>
  <c r="H26" i="59" s="1"/>
  <c r="D25" i="59"/>
  <c r="H25" i="59" s="1"/>
  <c r="H24" i="59"/>
  <c r="H23" i="59"/>
  <c r="F22" i="59"/>
  <c r="D22" i="59"/>
  <c r="H22" i="59" s="1"/>
  <c r="E21" i="59"/>
  <c r="D21" i="59"/>
  <c r="H21" i="59" s="1"/>
  <c r="E20" i="59"/>
  <c r="D20" i="59"/>
  <c r="H20" i="59" s="1"/>
  <c r="H19" i="59"/>
  <c r="D18" i="59"/>
  <c r="H18" i="59" s="1"/>
  <c r="H17" i="59"/>
  <c r="H16" i="59"/>
  <c r="E15" i="59"/>
  <c r="D15" i="59"/>
  <c r="H15" i="59" s="1"/>
  <c r="E14" i="59"/>
  <c r="D14" i="59"/>
  <c r="H14" i="59" s="1"/>
  <c r="E13" i="59"/>
  <c r="D13" i="59"/>
  <c r="H13" i="59" s="1"/>
  <c r="G12" i="59"/>
  <c r="D12" i="59"/>
  <c r="G11" i="59"/>
  <c r="H11" i="59" s="1"/>
  <c r="D11" i="59"/>
  <c r="G10" i="59"/>
  <c r="E10" i="59"/>
  <c r="D10" i="59"/>
  <c r="H10" i="59" s="1"/>
  <c r="G9" i="59"/>
  <c r="E9" i="59"/>
  <c r="D9" i="59"/>
  <c r="G8" i="59"/>
  <c r="F8" i="59"/>
  <c r="D8" i="59"/>
  <c r="G7" i="59"/>
  <c r="D7" i="59"/>
  <c r="H6" i="59"/>
  <c r="H7" i="59" l="1"/>
  <c r="E95" i="59"/>
  <c r="E98" i="59" s="1"/>
  <c r="H9" i="59"/>
  <c r="G95" i="59"/>
  <c r="G96" i="59" s="1"/>
  <c r="H8" i="59"/>
  <c r="H95" i="59" s="1"/>
  <c r="H98" i="59" s="1"/>
  <c r="H12" i="59"/>
  <c r="F95" i="59"/>
  <c r="F98" i="59" s="1"/>
  <c r="D105" i="59"/>
  <c r="D95" i="59"/>
  <c r="D95" i="58"/>
  <c r="D92" i="58"/>
  <c r="D93" i="58"/>
  <c r="D94" i="58"/>
  <c r="D62" i="58" l="1"/>
  <c r="E62" i="58"/>
  <c r="F60" i="58"/>
  <c r="E70" i="58"/>
  <c r="D70" i="58"/>
  <c r="E69" i="58"/>
  <c r="D69" i="58"/>
  <c r="E52" i="58"/>
  <c r="H81" i="58"/>
  <c r="D73" i="58" l="1"/>
  <c r="D52" i="58" l="1"/>
  <c r="D6" i="58" l="1"/>
  <c r="H77" i="58" l="1"/>
  <c r="H78" i="58"/>
  <c r="H79" i="58"/>
  <c r="H80" i="58"/>
  <c r="F68" i="58" l="1"/>
  <c r="D68" i="58"/>
  <c r="H75" i="58" l="1"/>
  <c r="H76" i="58"/>
  <c r="H82" i="58"/>
  <c r="H83" i="58"/>
  <c r="H84" i="58"/>
  <c r="H85" i="58"/>
  <c r="H74" i="58"/>
  <c r="H73" i="58"/>
  <c r="H72" i="58"/>
  <c r="H71" i="58"/>
  <c r="H70" i="58"/>
  <c r="H69" i="58"/>
  <c r="H68" i="58"/>
  <c r="H67" i="58"/>
  <c r="H66" i="58"/>
  <c r="D65" i="58"/>
  <c r="H65" i="58" s="1"/>
  <c r="H64" i="58"/>
  <c r="H63" i="58"/>
  <c r="H62" i="58"/>
  <c r="F61" i="58"/>
  <c r="D61" i="58"/>
  <c r="H61" i="58" s="1"/>
  <c r="D60" i="58"/>
  <c r="H60" i="58" s="1"/>
  <c r="H59" i="58"/>
  <c r="D58" i="58"/>
  <c r="H58" i="58" s="1"/>
  <c r="H57" i="58"/>
  <c r="H56" i="58"/>
  <c r="H55" i="58"/>
  <c r="F54" i="58"/>
  <c r="D54" i="58"/>
  <c r="H54" i="58" s="1"/>
  <c r="E53" i="58"/>
  <c r="D53" i="58"/>
  <c r="H53" i="58" s="1"/>
  <c r="H52" i="58"/>
  <c r="H51" i="58"/>
  <c r="H50" i="58"/>
  <c r="H49" i="58"/>
  <c r="H48" i="58"/>
  <c r="H47" i="58"/>
  <c r="F46" i="58"/>
  <c r="D46" i="58"/>
  <c r="H46" i="58" s="1"/>
  <c r="H45" i="58"/>
  <c r="E45" i="58"/>
  <c r="D45" i="58"/>
  <c r="F44" i="58"/>
  <c r="D44" i="58"/>
  <c r="H44" i="58" s="1"/>
  <c r="H43" i="58"/>
  <c r="H42" i="58"/>
  <c r="H41" i="58"/>
  <c r="H40" i="58"/>
  <c r="H39" i="58"/>
  <c r="F39" i="58"/>
  <c r="E38" i="58"/>
  <c r="D38" i="58"/>
  <c r="H38" i="58" s="1"/>
  <c r="E37" i="58"/>
  <c r="D37" i="58"/>
  <c r="H37" i="58" s="1"/>
  <c r="H36" i="58"/>
  <c r="D35" i="58"/>
  <c r="H35" i="58" s="1"/>
  <c r="D34" i="58"/>
  <c r="H34" i="58" s="1"/>
  <c r="H33" i="58"/>
  <c r="H32" i="58"/>
  <c r="H31" i="58"/>
  <c r="F30" i="58"/>
  <c r="D30" i="58"/>
  <c r="H30" i="58" s="1"/>
  <c r="H29" i="58"/>
  <c r="E29" i="58"/>
  <c r="D29" i="58"/>
  <c r="E28" i="58"/>
  <c r="D28" i="58"/>
  <c r="H28" i="58" s="1"/>
  <c r="H27" i="58"/>
  <c r="D26" i="58"/>
  <c r="H26" i="58" s="1"/>
  <c r="D25" i="58"/>
  <c r="H25" i="58" s="1"/>
  <c r="H24" i="58"/>
  <c r="H23" i="58"/>
  <c r="F22" i="58"/>
  <c r="D22" i="58"/>
  <c r="H22" i="58" s="1"/>
  <c r="E21" i="58"/>
  <c r="D21" i="58"/>
  <c r="H21" i="58" s="1"/>
  <c r="H20" i="58"/>
  <c r="E20" i="58"/>
  <c r="D20" i="58"/>
  <c r="H19" i="58"/>
  <c r="D18" i="58"/>
  <c r="H18" i="58" s="1"/>
  <c r="H17" i="58"/>
  <c r="H16" i="58"/>
  <c r="H15" i="58"/>
  <c r="E15" i="58"/>
  <c r="D15" i="58"/>
  <c r="E14" i="58"/>
  <c r="D14" i="58"/>
  <c r="H14" i="58" s="1"/>
  <c r="E13" i="58"/>
  <c r="D13" i="58"/>
  <c r="H13" i="58" s="1"/>
  <c r="G12" i="58"/>
  <c r="H12" i="58" s="1"/>
  <c r="D12" i="58"/>
  <c r="G11" i="58"/>
  <c r="D11" i="58"/>
  <c r="H11" i="58" s="1"/>
  <c r="G10" i="58"/>
  <c r="E10" i="58"/>
  <c r="D10" i="58"/>
  <c r="G9" i="58"/>
  <c r="E9" i="58"/>
  <c r="E86" i="58" s="1"/>
  <c r="E89" i="58" s="1"/>
  <c r="D9" i="58"/>
  <c r="G8" i="58"/>
  <c r="F8" i="58"/>
  <c r="D8" i="58"/>
  <c r="G7" i="58"/>
  <c r="D7" i="58"/>
  <c r="H7" i="58" s="1"/>
  <c r="H6" i="58"/>
  <c r="H10" i="58" l="1"/>
  <c r="F86" i="58"/>
  <c r="F89" i="58" s="1"/>
  <c r="H8" i="58"/>
  <c r="G86" i="58"/>
  <c r="G87" i="58" s="1"/>
  <c r="D86" i="58"/>
  <c r="D96" i="58"/>
  <c r="H9" i="58"/>
  <c r="H86" i="58" s="1"/>
  <c r="H89" i="58" s="1"/>
  <c r="H78" i="57"/>
  <c r="D84" i="57" l="1"/>
  <c r="D83" i="57"/>
  <c r="F61" i="57" l="1"/>
  <c r="D61" i="57"/>
  <c r="D60" i="57"/>
  <c r="E62" i="57"/>
  <c r="G12" i="57"/>
  <c r="G11" i="57"/>
  <c r="G10" i="57"/>
  <c r="G9" i="57"/>
  <c r="G8" i="57"/>
  <c r="G7" i="57"/>
  <c r="D65" i="57"/>
  <c r="D6" i="57"/>
  <c r="H6" i="57" s="1"/>
  <c r="D62" i="57"/>
  <c r="F60" i="57" l="1"/>
  <c r="H67" i="57"/>
  <c r="H68" i="57"/>
  <c r="H69" i="57"/>
  <c r="H70" i="57"/>
  <c r="H71" i="57"/>
  <c r="H72" i="57"/>
  <c r="H73" i="57"/>
  <c r="H74" i="57"/>
  <c r="H75" i="57"/>
  <c r="H66" i="57"/>
  <c r="H65" i="57"/>
  <c r="H64" i="57"/>
  <c r="H63" i="57"/>
  <c r="H62" i="57"/>
  <c r="H61" i="57"/>
  <c r="H60" i="57"/>
  <c r="H59" i="57"/>
  <c r="D58" i="57"/>
  <c r="H58" i="57" s="1"/>
  <c r="H57" i="57"/>
  <c r="H56" i="57"/>
  <c r="H55" i="57"/>
  <c r="F54" i="57"/>
  <c r="D54" i="57"/>
  <c r="H54" i="57" s="1"/>
  <c r="E53" i="57"/>
  <c r="D53" i="57"/>
  <c r="H53" i="57" s="1"/>
  <c r="E52" i="57"/>
  <c r="D52" i="57"/>
  <c r="H52" i="57" s="1"/>
  <c r="H51" i="57"/>
  <c r="H50" i="57"/>
  <c r="H49" i="57"/>
  <c r="H48" i="57"/>
  <c r="H47" i="57"/>
  <c r="F46" i="57"/>
  <c r="D46" i="57"/>
  <c r="H46" i="57" s="1"/>
  <c r="E45" i="57"/>
  <c r="D45" i="57"/>
  <c r="H45" i="57" s="1"/>
  <c r="F44" i="57"/>
  <c r="D44" i="57"/>
  <c r="H44" i="57" s="1"/>
  <c r="H43" i="57"/>
  <c r="H42" i="57"/>
  <c r="H41" i="57"/>
  <c r="H40" i="57"/>
  <c r="H39" i="57"/>
  <c r="F39" i="57"/>
  <c r="E38" i="57"/>
  <c r="D38" i="57"/>
  <c r="H38" i="57" s="1"/>
  <c r="E37" i="57"/>
  <c r="D37" i="57"/>
  <c r="H37" i="57" s="1"/>
  <c r="H36" i="57"/>
  <c r="D35" i="57"/>
  <c r="H35" i="57" s="1"/>
  <c r="D34" i="57"/>
  <c r="H34" i="57" s="1"/>
  <c r="H33" i="57"/>
  <c r="H32" i="57"/>
  <c r="H31" i="57"/>
  <c r="F30" i="57"/>
  <c r="D30" i="57"/>
  <c r="H30" i="57" s="1"/>
  <c r="E29" i="57"/>
  <c r="D29" i="57"/>
  <c r="H29" i="57" s="1"/>
  <c r="E28" i="57"/>
  <c r="D28" i="57"/>
  <c r="H28" i="57" s="1"/>
  <c r="H27" i="57"/>
  <c r="D26" i="57"/>
  <c r="H26" i="57" s="1"/>
  <c r="D25" i="57"/>
  <c r="H25" i="57" s="1"/>
  <c r="H24" i="57"/>
  <c r="H23" i="57"/>
  <c r="F22" i="57"/>
  <c r="D22" i="57"/>
  <c r="H22" i="57" s="1"/>
  <c r="E21" i="57"/>
  <c r="D21" i="57"/>
  <c r="H21" i="57" s="1"/>
  <c r="E20" i="57"/>
  <c r="D20" i="57"/>
  <c r="H20" i="57" s="1"/>
  <c r="H19" i="57"/>
  <c r="D18" i="57"/>
  <c r="H18" i="57" s="1"/>
  <c r="H17" i="57"/>
  <c r="H16" i="57"/>
  <c r="E15" i="57"/>
  <c r="D15" i="57"/>
  <c r="H15" i="57" s="1"/>
  <c r="E14" i="57"/>
  <c r="D14" i="57"/>
  <c r="H14" i="57" s="1"/>
  <c r="E13" i="57"/>
  <c r="D13" i="57"/>
  <c r="H13" i="57" s="1"/>
  <c r="D12" i="57"/>
  <c r="H12" i="57" s="1"/>
  <c r="D11" i="57"/>
  <c r="H11" i="57" s="1"/>
  <c r="E10" i="57"/>
  <c r="D10" i="57"/>
  <c r="H10" i="57" s="1"/>
  <c r="E9" i="57"/>
  <c r="D9" i="57"/>
  <c r="H9" i="57" s="1"/>
  <c r="F8" i="57"/>
  <c r="D8" i="57"/>
  <c r="H8" i="57" s="1"/>
  <c r="D7" i="57"/>
  <c r="H7" i="57" s="1"/>
  <c r="D85" i="57" l="1"/>
  <c r="D86" i="57"/>
  <c r="F76" i="57"/>
  <c r="F79" i="57" s="1"/>
  <c r="G76" i="57"/>
  <c r="G77" i="57" s="1"/>
  <c r="E76" i="57"/>
  <c r="E79" i="57" s="1"/>
  <c r="D76" i="57"/>
  <c r="H76" i="57" l="1"/>
  <c r="H79" i="57" s="1"/>
  <c r="D159" i="55" l="1"/>
  <c r="H165" i="55"/>
  <c r="D172" i="55" l="1"/>
  <c r="D170" i="55"/>
  <c r="D171" i="55"/>
  <c r="D169" i="55"/>
  <c r="E147" i="55"/>
  <c r="E139" i="55"/>
  <c r="D147" i="55"/>
  <c r="D139" i="55"/>
  <c r="F148" i="55" l="1"/>
  <c r="D148" i="55"/>
  <c r="F138" i="55"/>
  <c r="D152" i="55" l="1"/>
  <c r="D146" i="55" l="1"/>
  <c r="E146" i="55"/>
  <c r="D7" i="55"/>
  <c r="H154" i="55" l="1"/>
  <c r="H155" i="55"/>
  <c r="H156" i="55"/>
  <c r="H157" i="55"/>
  <c r="H158" i="55"/>
  <c r="H159" i="55"/>
  <c r="H160" i="55"/>
  <c r="H161" i="55"/>
  <c r="H162" i="55"/>
  <c r="H153" i="55" l="1"/>
  <c r="H152" i="55"/>
  <c r="H151" i="55"/>
  <c r="H150" i="55"/>
  <c r="H149" i="55"/>
  <c r="H148" i="55"/>
  <c r="H147" i="55"/>
  <c r="H146" i="55"/>
  <c r="H145" i="55"/>
  <c r="H144" i="55"/>
  <c r="H143" i="55"/>
  <c r="H142" i="55"/>
  <c r="H141" i="55"/>
  <c r="F140" i="55"/>
  <c r="D140" i="55"/>
  <c r="H140" i="55" s="1"/>
  <c r="H139" i="55"/>
  <c r="H138" i="55"/>
  <c r="D138" i="55"/>
  <c r="H137" i="55"/>
  <c r="H136" i="55"/>
  <c r="H135" i="55"/>
  <c r="H134" i="55"/>
  <c r="H133" i="55"/>
  <c r="F133" i="55"/>
  <c r="E132" i="55"/>
  <c r="D132" i="55"/>
  <c r="H132" i="55" s="1"/>
  <c r="E131" i="55"/>
  <c r="D131" i="55"/>
  <c r="H131" i="55" s="1"/>
  <c r="H130" i="55"/>
  <c r="H129" i="55"/>
  <c r="D129" i="55"/>
  <c r="D128" i="55"/>
  <c r="H128" i="55" s="1"/>
  <c r="H127" i="55"/>
  <c r="H126" i="55"/>
  <c r="H125" i="55"/>
  <c r="H124" i="55"/>
  <c r="F124" i="55"/>
  <c r="D124" i="55"/>
  <c r="E123" i="55"/>
  <c r="D123" i="55"/>
  <c r="H123" i="55" s="1"/>
  <c r="H122" i="55"/>
  <c r="E122" i="55"/>
  <c r="D122" i="55"/>
  <c r="H121" i="55"/>
  <c r="D120" i="55"/>
  <c r="H120" i="55" s="1"/>
  <c r="D119" i="55"/>
  <c r="H119" i="55" s="1"/>
  <c r="H118" i="55"/>
  <c r="H117" i="55"/>
  <c r="H116" i="55"/>
  <c r="F116" i="55"/>
  <c r="D116" i="55"/>
  <c r="E115" i="55"/>
  <c r="D115" i="55"/>
  <c r="H115" i="55" s="1"/>
  <c r="H114" i="55"/>
  <c r="E114" i="55"/>
  <c r="D114" i="55"/>
  <c r="H113" i="55"/>
  <c r="H112" i="55"/>
  <c r="D111" i="55"/>
  <c r="H111" i="55" s="1"/>
  <c r="H110" i="55"/>
  <c r="H109" i="55"/>
  <c r="H108" i="55"/>
  <c r="H107" i="55"/>
  <c r="E107" i="55"/>
  <c r="D107" i="55"/>
  <c r="E106" i="55"/>
  <c r="D106" i="55"/>
  <c r="H106" i="55" s="1"/>
  <c r="H105" i="55"/>
  <c r="E105" i="55"/>
  <c r="D105" i="55"/>
  <c r="H104" i="55"/>
  <c r="H103" i="55"/>
  <c r="D103" i="55"/>
  <c r="D102" i="55"/>
  <c r="H102" i="55" s="1"/>
  <c r="H101" i="55"/>
  <c r="H100" i="55"/>
  <c r="H99" i="55"/>
  <c r="H98" i="55"/>
  <c r="E98" i="55"/>
  <c r="D98" i="55"/>
  <c r="E97" i="55"/>
  <c r="D97" i="55"/>
  <c r="H97" i="55" s="1"/>
  <c r="F96" i="55"/>
  <c r="D96" i="55"/>
  <c r="H96" i="55" s="1"/>
  <c r="H95" i="55"/>
  <c r="H94" i="55"/>
  <c r="H93" i="55"/>
  <c r="H92" i="55"/>
  <c r="H91" i="55"/>
  <c r="H90" i="55"/>
  <c r="H89" i="55"/>
  <c r="F89" i="55"/>
  <c r="D89" i="55"/>
  <c r="E88" i="55"/>
  <c r="D88" i="55"/>
  <c r="H88" i="55" s="1"/>
  <c r="H87" i="55"/>
  <c r="E87" i="55"/>
  <c r="D87" i="55"/>
  <c r="H86" i="55"/>
  <c r="H85" i="55"/>
  <c r="H84" i="55"/>
  <c r="H83" i="55"/>
  <c r="E82" i="55"/>
  <c r="D82" i="55"/>
  <c r="H82" i="55" s="1"/>
  <c r="H81" i="55"/>
  <c r="E81" i="55"/>
  <c r="D81" i="55"/>
  <c r="E80" i="55"/>
  <c r="D80" i="55"/>
  <c r="H80" i="55" s="1"/>
  <c r="H79" i="55"/>
  <c r="H78" i="55"/>
  <c r="H77" i="55"/>
  <c r="H76" i="55"/>
  <c r="H75" i="55"/>
  <c r="H74" i="55"/>
  <c r="F73" i="55"/>
  <c r="D73" i="55"/>
  <c r="H73" i="55" s="1"/>
  <c r="E72" i="55"/>
  <c r="D72" i="55"/>
  <c r="H72" i="55" s="1"/>
  <c r="E71" i="55"/>
  <c r="D71" i="55"/>
  <c r="H71" i="55" s="1"/>
  <c r="H70" i="55"/>
  <c r="H69" i="55"/>
  <c r="H68" i="55"/>
  <c r="H67" i="55"/>
  <c r="H66" i="55"/>
  <c r="H65" i="55"/>
  <c r="F64" i="55"/>
  <c r="D64" i="55"/>
  <c r="H64" i="55" s="1"/>
  <c r="E63" i="55"/>
  <c r="D63" i="55"/>
  <c r="H63" i="55" s="1"/>
  <c r="H62" i="55"/>
  <c r="F62" i="55"/>
  <c r="D62" i="55"/>
  <c r="H61" i="55"/>
  <c r="H60" i="55"/>
  <c r="H59" i="55"/>
  <c r="H58" i="55"/>
  <c r="H57" i="55"/>
  <c r="E57" i="55"/>
  <c r="D57" i="55"/>
  <c r="E56" i="55"/>
  <c r="D56" i="55"/>
  <c r="H56" i="55" s="1"/>
  <c r="E55" i="55"/>
  <c r="D55" i="55"/>
  <c r="H55" i="55" s="1"/>
  <c r="H54" i="55"/>
  <c r="H53" i="55"/>
  <c r="H52" i="55"/>
  <c r="H51" i="55"/>
  <c r="E50" i="55"/>
  <c r="D50" i="55"/>
  <c r="H50" i="55" s="1"/>
  <c r="H49" i="55"/>
  <c r="E49" i="55"/>
  <c r="D49" i="55"/>
  <c r="F48" i="55"/>
  <c r="D48" i="55"/>
  <c r="H48" i="55" s="1"/>
  <c r="H47" i="55"/>
  <c r="H46" i="55"/>
  <c r="H45" i="55"/>
  <c r="H44" i="55"/>
  <c r="E44" i="55"/>
  <c r="D44" i="55"/>
  <c r="E43" i="55"/>
  <c r="D43" i="55"/>
  <c r="H43" i="55" s="1"/>
  <c r="E42" i="55"/>
  <c r="D42" i="55"/>
  <c r="H42" i="55" s="1"/>
  <c r="H41" i="55"/>
  <c r="H40" i="55"/>
  <c r="H39" i="55"/>
  <c r="H38" i="55"/>
  <c r="H37" i="55"/>
  <c r="H36" i="55"/>
  <c r="H35" i="55"/>
  <c r="H34" i="55"/>
  <c r="G34" i="55"/>
  <c r="E34" i="55"/>
  <c r="D34" i="55"/>
  <c r="G33" i="55"/>
  <c r="E33" i="55"/>
  <c r="D33" i="55"/>
  <c r="H33" i="55" s="1"/>
  <c r="H32" i="55"/>
  <c r="G32" i="55"/>
  <c r="E32" i="55"/>
  <c r="D32" i="55"/>
  <c r="H31" i="55"/>
  <c r="H30" i="55"/>
  <c r="H29" i="55"/>
  <c r="H28" i="55"/>
  <c r="H27" i="55"/>
  <c r="H26" i="55"/>
  <c r="E25" i="55"/>
  <c r="D25" i="55"/>
  <c r="H25" i="55" s="1"/>
  <c r="E24" i="55"/>
  <c r="D24" i="55"/>
  <c r="H24" i="55" s="1"/>
  <c r="H23" i="55"/>
  <c r="E23" i="55"/>
  <c r="D23" i="55"/>
  <c r="H22" i="55"/>
  <c r="H21" i="55"/>
  <c r="H20" i="55"/>
  <c r="H19" i="55"/>
  <c r="G18" i="55"/>
  <c r="H18" i="55" s="1"/>
  <c r="E18" i="55"/>
  <c r="D18" i="55"/>
  <c r="E17" i="55"/>
  <c r="D17" i="55"/>
  <c r="H17" i="55" s="1"/>
  <c r="E16" i="55"/>
  <c r="D16" i="55"/>
  <c r="H16" i="55" s="1"/>
  <c r="E15" i="55"/>
  <c r="D15" i="55"/>
  <c r="H15" i="55" s="1"/>
  <c r="G14" i="55"/>
  <c r="H14" i="55" s="1"/>
  <c r="H13" i="55"/>
  <c r="G13" i="55"/>
  <c r="H12" i="55"/>
  <c r="G11" i="55"/>
  <c r="F11" i="55"/>
  <c r="F163" i="55" s="1"/>
  <c r="F166" i="55" s="1"/>
  <c r="D11" i="55"/>
  <c r="H11" i="55" s="1"/>
  <c r="G10" i="55"/>
  <c r="E10" i="55"/>
  <c r="D10" i="55"/>
  <c r="H10" i="55" s="1"/>
  <c r="G9" i="55"/>
  <c r="E9" i="55"/>
  <c r="D9" i="55"/>
  <c r="H9" i="55" s="1"/>
  <c r="G8" i="55"/>
  <c r="E8" i="55"/>
  <c r="E163" i="55" s="1"/>
  <c r="E166" i="55" s="1"/>
  <c r="D8" i="55"/>
  <c r="D163" i="55" s="1"/>
  <c r="H7" i="55"/>
  <c r="G6" i="55"/>
  <c r="G163" i="55" s="1"/>
  <c r="G164" i="55" s="1"/>
  <c r="D6" i="55"/>
  <c r="H6" i="55" s="1"/>
  <c r="D173" i="55" l="1"/>
  <c r="H163" i="55"/>
  <c r="H166" i="55" s="1"/>
  <c r="H8" i="55"/>
</calcChain>
</file>

<file path=xl/sharedStrings.xml><?xml version="1.0" encoding="utf-8"?>
<sst xmlns="http://schemas.openxmlformats.org/spreadsheetml/2006/main" count="3108" uniqueCount="208">
  <si>
    <t>1st Qtr Summary</t>
  </si>
  <si>
    <t>Estimated</t>
  </si>
  <si>
    <t>Final</t>
  </si>
  <si>
    <t>Summary</t>
  </si>
  <si>
    <t>OBA</t>
  </si>
  <si>
    <t>Imbalance</t>
  </si>
  <si>
    <t>G/L Balances</t>
  </si>
  <si>
    <t>February</t>
  </si>
  <si>
    <t>March</t>
  </si>
  <si>
    <t>Q1</t>
  </si>
  <si>
    <t>Q2</t>
  </si>
  <si>
    <t>2nd Qtr Summary</t>
  </si>
  <si>
    <t>3rd Qtr Summary</t>
  </si>
  <si>
    <t>Q3</t>
  </si>
  <si>
    <t>September</t>
  </si>
  <si>
    <t>Rolls until distributed</t>
  </si>
  <si>
    <t>4th Qtr Summary</t>
  </si>
  <si>
    <t>October</t>
  </si>
  <si>
    <t>Q4</t>
  </si>
  <si>
    <t>November</t>
  </si>
  <si>
    <t>December</t>
  </si>
  <si>
    <t>January</t>
  </si>
  <si>
    <t>Central Florida Gas</t>
  </si>
  <si>
    <t>July</t>
  </si>
  <si>
    <t>August</t>
  </si>
  <si>
    <t xml:space="preserve"> </t>
  </si>
  <si>
    <t>SNG</t>
  </si>
  <si>
    <t>Gulf Stream</t>
  </si>
  <si>
    <t>Difference</t>
  </si>
  <si>
    <t>Period</t>
  </si>
  <si>
    <t>Outstanding A/R &amp; A/P</t>
  </si>
  <si>
    <r>
      <t>Gas (2113-1641)</t>
    </r>
    <r>
      <rPr>
        <b/>
        <sz val="11"/>
        <color theme="1" tint="0.499984740745262"/>
        <rFont val="Calibri"/>
        <family val="2"/>
        <scheme val="minor"/>
      </rPr>
      <t>-Payable</t>
    </r>
  </si>
  <si>
    <r>
      <t>AR gas (12GB-2320)</t>
    </r>
    <r>
      <rPr>
        <b/>
        <sz val="11"/>
        <color theme="1" tint="0.499984740745262"/>
        <rFont val="Calibri"/>
        <family val="2"/>
        <scheme val="minor"/>
      </rPr>
      <t>-Receivable</t>
    </r>
  </si>
  <si>
    <t>FGT-WD</t>
  </si>
  <si>
    <t>OBA - PGA Imbalance</t>
  </si>
  <si>
    <t>OBA - Unreleased Capacity Cost</t>
  </si>
  <si>
    <t>OBA Balance Disposal</t>
  </si>
  <si>
    <t>OBA - Disposition</t>
  </si>
  <si>
    <t>FGT-MKT</t>
  </si>
  <si>
    <t>OBA - Delivery Point Operator Fee</t>
  </si>
  <si>
    <r>
      <t>Citrosuco Agreement (Recurring) 2019 -</t>
    </r>
    <r>
      <rPr>
        <b/>
        <i/>
        <sz val="11"/>
        <color theme="1"/>
        <rFont val="Calibri"/>
        <family val="2"/>
      </rPr>
      <t>Add Month To Calc</t>
    </r>
  </si>
  <si>
    <t>Accrue OBA - Delivery Point Operator Fee</t>
  </si>
  <si>
    <t>Accrue OBA - PGA Imbalance</t>
  </si>
  <si>
    <t>Accrue OBA - Unreleased Capacity Cost</t>
  </si>
  <si>
    <t>FPU Phase 2 Capacity Cost 6-19 VO719962 Inv 470666-0619</t>
  </si>
  <si>
    <t>OBA-Delivery Point Operator Fee</t>
  </si>
  <si>
    <t>Accrue OBA - OBA Disposition</t>
  </si>
  <si>
    <t>MKT FGT 6/19</t>
  </si>
  <si>
    <t>Gulf Stream 6/19</t>
  </si>
  <si>
    <t>MKT FGT 5/19</t>
  </si>
  <si>
    <t>FPU Phase 2 Capacity Cost 7-19 VO725922 Inv 470666-0719</t>
  </si>
  <si>
    <t>Accrue - MKT FGT 8/19</t>
  </si>
  <si>
    <t>Accrue - WD FGT 8/19</t>
  </si>
  <si>
    <t>Accrue - Gulf Stream 8/19</t>
  </si>
  <si>
    <t>MKT FGT 7/19</t>
  </si>
  <si>
    <t>WD FGT 6/19</t>
  </si>
  <si>
    <t>FPU Phase 2 Capacity Cost 8-19 VO732252 Inv 470666-0819</t>
  </si>
  <si>
    <t>Accrue - FLORIDA PUBLIC UTILITIES    470666-0919</t>
  </si>
  <si>
    <t>Accrue - MARLIN GAS SERVICES LLC   28048</t>
  </si>
  <si>
    <t>Accrue - MKT FGT 9/19</t>
  </si>
  <si>
    <t>Accrue - WD FGT 9/19</t>
  </si>
  <si>
    <t>Accrue - Gulf Stream 9/19</t>
  </si>
  <si>
    <t>WD FGT 7/19</t>
  </si>
  <si>
    <t>Gulf Stream 7/19</t>
  </si>
  <si>
    <t>Accrue - MARLIN GAS SERVICES LLC - 28059</t>
  </si>
  <si>
    <t>Accrue - MKT FGT 10/19</t>
  </si>
  <si>
    <t>Accrue - WD FGT 10/19</t>
  </si>
  <si>
    <t>Accrue - Gulf Stream 10/19</t>
  </si>
  <si>
    <t>Southern Natural Gas 7/19</t>
  </si>
  <si>
    <t>Accrue - MARLIN GAS SERVICES LLC</t>
  </si>
  <si>
    <t>FPU Phase 2 Capacity Cost 8-19 VO732252 Inv 470666-1019</t>
  </si>
  <si>
    <t>DUNDEE EMERGENCY CNG 10/01-10/3-Marlin 28059</t>
  </si>
  <si>
    <t xml:space="preserve"> OBA - Delivery Point Operator Fee</t>
  </si>
  <si>
    <t xml:space="preserve"> OBA - PGA Imbalance</t>
  </si>
  <si>
    <t xml:space="preserve"> OBA - Unreleased Capacity Cost</t>
  </si>
  <si>
    <t>CFG-PHASE 2 CAPACITY - NOV19 VO752999</t>
  </si>
  <si>
    <t>Accrue OBA - Disposition</t>
  </si>
  <si>
    <t>Accrue - MKT FGT 12/19</t>
  </si>
  <si>
    <r>
      <t>Citrosuco Agreement (Recurring) 2020 -</t>
    </r>
    <r>
      <rPr>
        <b/>
        <i/>
        <sz val="11"/>
        <color theme="1"/>
        <rFont val="Calibri"/>
        <family val="2"/>
      </rPr>
      <t>Add Month To Calc</t>
    </r>
  </si>
  <si>
    <t>MKT FGT 11/19</t>
  </si>
  <si>
    <t>WD FGT 11/19</t>
  </si>
  <si>
    <t>Gulf Stream 11/19</t>
  </si>
  <si>
    <t>WD FGT 12/19</t>
  </si>
  <si>
    <t>Gulf Stream 12/19</t>
  </si>
  <si>
    <t>Accr FN chgs to CFG for SNG  Capacity</t>
  </si>
  <si>
    <t>FPU Phase 2 Capacity Cost 01-20 VO766106 Inv 470666-0120</t>
  </si>
  <si>
    <t>WD FGT 01/20</t>
  </si>
  <si>
    <t>MKT FGT 01/20</t>
  </si>
  <si>
    <t>Gulf Stream 01/20</t>
  </si>
  <si>
    <t>MKT FGT 02/20</t>
  </si>
  <si>
    <t>WD FGT 02/20</t>
  </si>
  <si>
    <t>Gulf Stream 02/20</t>
  </si>
  <si>
    <t>FPU Phase 2 Capacity Cost 02-20 VO771971 Inv 470666-0220</t>
  </si>
  <si>
    <t>MKT FGT 04/20</t>
  </si>
  <si>
    <t>WD FGT 04/20</t>
  </si>
  <si>
    <t>Gulf Stream 04/20</t>
  </si>
  <si>
    <t>MKT FGT 03/20</t>
  </si>
  <si>
    <t>WD FGT 03/20</t>
  </si>
  <si>
    <t>Gulf Stream 03/20</t>
  </si>
  <si>
    <t>FPU Phase 2 Capacity Cost 03-20 VO778560 Inv 470666-0320</t>
  </si>
  <si>
    <t>FPU Phase 2 Capacity Cost 04-20 VO783404 Inv 470666-0420</t>
  </si>
  <si>
    <t>MKT FGT 05/20</t>
  </si>
  <si>
    <t>WD FGT 05/20</t>
  </si>
  <si>
    <t>Gulf Stream 05/20</t>
  </si>
  <si>
    <t>FPU Phase 2 Capacity Cost 05-20 VO788564 Inv 470666-0520</t>
  </si>
  <si>
    <t>MKT FGT 06/20</t>
  </si>
  <si>
    <t>WD FGT 06/20</t>
  </si>
  <si>
    <t>Gulf Stream 06/20</t>
  </si>
  <si>
    <t>MKT FGT 07/20</t>
  </si>
  <si>
    <t>WD FGT 07/20</t>
  </si>
  <si>
    <t>Gulf Stream 07/20</t>
  </si>
  <si>
    <t>FPU Phase 2 Capacity Cost 06-20 VO793855 Inv 470666-0620</t>
  </si>
  <si>
    <t>MKT FGT 08/20</t>
  </si>
  <si>
    <t>WD FGT 08/20</t>
  </si>
  <si>
    <t>Gulf Stream 08/20</t>
  </si>
  <si>
    <t>FPU Phase 2 Capacity Cost 07-20 VO799182 Inv 470666-0720</t>
  </si>
  <si>
    <t>Using  5/20 Balance 7/20</t>
  </si>
  <si>
    <t>MKT FGT 09/20</t>
  </si>
  <si>
    <t>WD FGT 09/20</t>
  </si>
  <si>
    <t>Gulf Stream 09/20</t>
  </si>
  <si>
    <t>Dispose at $100k, email Heather Rizo-Patron</t>
  </si>
  <si>
    <t>FPU Phase 2 Capacity Cost 08-20 VO804972 Inv 470666-0820</t>
  </si>
  <si>
    <t>Calpine Energy Services LP - Natural Gas 2020-03</t>
  </si>
  <si>
    <t>FPU Phase 2 Capacity Cost 09-20 VO810127 Inv 470666-0920</t>
  </si>
  <si>
    <t>MKT FGT 10/20</t>
  </si>
  <si>
    <t>WD FGT 10/20</t>
  </si>
  <si>
    <t>Gulf Stream 10/20</t>
  </si>
  <si>
    <t>Delivery Point Operator Fee</t>
  </si>
  <si>
    <t>PGA Imbalance</t>
  </si>
  <si>
    <t>Unreleased Capacity Cost</t>
  </si>
  <si>
    <t>OBA - Miscellaneous Charges</t>
  </si>
  <si>
    <t>MKT FGT 11/20</t>
  </si>
  <si>
    <t>WD FGT 11/20</t>
  </si>
  <si>
    <t>Gulf Stream 11/20</t>
  </si>
  <si>
    <t>FPU Phase 2 Capacity Cost 10-20 VO816531 Inv 470666-1020</t>
  </si>
  <si>
    <t>MKT FGT 12/20</t>
  </si>
  <si>
    <t>WD FGT 12/20</t>
  </si>
  <si>
    <t>Gulf Stream 12/20</t>
  </si>
  <si>
    <t>FPU Phase 2 Capacity Cost 11-20 VO821761 Inv 470666-1120</t>
  </si>
  <si>
    <t>Reclass to CF00-00000-1691-1911</t>
  </si>
  <si>
    <t>MKT FGT 01/21</t>
  </si>
  <si>
    <t>WD FGT 01/21</t>
  </si>
  <si>
    <t>Gulf Stream 01/21</t>
  </si>
  <si>
    <t>FPU Phase 2 Capacity Cost 12-20 VO829770 Inv 470666-1220</t>
  </si>
  <si>
    <t>PPD Exp - Pierpont &amp; McLelland LLC</t>
  </si>
  <si>
    <r>
      <t>Citrosuco Agreement (Recurring) 2021 -</t>
    </r>
    <r>
      <rPr>
        <b/>
        <i/>
        <sz val="11"/>
        <color theme="1"/>
        <rFont val="Calibri"/>
        <family val="2"/>
      </rPr>
      <t>Add Month To Calc</t>
    </r>
  </si>
  <si>
    <t>Using  11/20 Balance 01/21</t>
  </si>
  <si>
    <t>Reclass debit to CF00-00000-1691-1911</t>
  </si>
  <si>
    <t>FPU Phase 2 Capacity Cost 01-21 VO835832 Inv 470666-0121</t>
  </si>
  <si>
    <t>Accure OBA - Alert Day Charges</t>
  </si>
  <si>
    <t>Alert Day Penalties</t>
  </si>
  <si>
    <t>MKT FGT 02/21</t>
  </si>
  <si>
    <t>WD FGT 02/21</t>
  </si>
  <si>
    <t>Gulf Stream 02/21</t>
  </si>
  <si>
    <t>MKT FGT Alert Day Penalties 02/21</t>
  </si>
  <si>
    <t>FPU Phase 2 Capacity Cost 02-21 VO842138 Inv 470666-0221</t>
  </si>
  <si>
    <t>MKT FGT 03/21</t>
  </si>
  <si>
    <t>WD FGT 03/21</t>
  </si>
  <si>
    <t>Gulf Stream 03/21</t>
  </si>
  <si>
    <t>OBA - Alert Day Charges</t>
  </si>
  <si>
    <t>MKT FGT 04/21</t>
  </si>
  <si>
    <t>WD FGT 04/21</t>
  </si>
  <si>
    <t>Gulf Stream 04/21</t>
  </si>
  <si>
    <t>FPU Phase 2 Capacity Cost 03-21 VO848147 Inv 470666-0321</t>
  </si>
  <si>
    <t>Accure OBA - OBA Disposition</t>
  </si>
  <si>
    <t>Check</t>
  </si>
  <si>
    <t>Reclassed to 1691-1911</t>
  </si>
  <si>
    <t>April</t>
  </si>
  <si>
    <t>May</t>
  </si>
  <si>
    <t>MKT FGT 05/21</t>
  </si>
  <si>
    <t>WD FGT 05/21</t>
  </si>
  <si>
    <t>Gulf Stream 05/21</t>
  </si>
  <si>
    <t>Using  3/21 Balance 05/21</t>
  </si>
  <si>
    <t>PHASE 2 CAP COST 2021-04 VO853899 Inv 470666-0421</t>
  </si>
  <si>
    <t>Reclassed to CF00-00000-1691-1911</t>
  </si>
  <si>
    <t>June</t>
  </si>
  <si>
    <t>OBA - OBA Disposition</t>
  </si>
  <si>
    <t>PHASE 2 CAP COST 2021-05 VO859578 Inv 470666-0521</t>
  </si>
  <si>
    <t>MKT FGT 06/21</t>
  </si>
  <si>
    <t>WD FGT 06/21</t>
  </si>
  <si>
    <t>Gulf Stream 06/21</t>
  </si>
  <si>
    <t>PHASE 2 CAP COST 2021-06 VO864820 Inv 470666-0621</t>
  </si>
  <si>
    <t>MKT FGT 07/21</t>
  </si>
  <si>
    <t>WD FGT 07/21</t>
  </si>
  <si>
    <t>Gulf Stream 07/21</t>
  </si>
  <si>
    <t>MKT FGT 08/21</t>
  </si>
  <si>
    <t>WD FGT 08/21</t>
  </si>
  <si>
    <t>Gulf Stream 08/21</t>
  </si>
  <si>
    <t>PHASE 2 CAP COST 2021-07 VO870386 Inv 470666-0721</t>
  </si>
  <si>
    <t>MKT FGT 09/21</t>
  </si>
  <si>
    <t>WD FGT 09/21</t>
  </si>
  <si>
    <t>Gulf Stream 09/21</t>
  </si>
  <si>
    <t>PHASE 2 CAP COST 2021-08 VO878083 Inv 470666-0821</t>
  </si>
  <si>
    <t>MKT FGT 10/21</t>
  </si>
  <si>
    <t>WD FGT 10/21</t>
  </si>
  <si>
    <t>Gulf Stream 10/21</t>
  </si>
  <si>
    <t>PHASE 2 CAP COST 2021-09 VO880852 Inv 470666-0921</t>
  </si>
  <si>
    <t>Using  09/21 Balance 10/21</t>
  </si>
  <si>
    <t>Current disposal</t>
  </si>
  <si>
    <t>Disposal from 05/21</t>
  </si>
  <si>
    <t>PHASE 2 CAP COST 2021-10 VO886964 Inv 470666-1021</t>
  </si>
  <si>
    <t>MKT FGT 11/21</t>
  </si>
  <si>
    <t>WD FGT 11/21</t>
  </si>
  <si>
    <t>Gulf Stream 11/21</t>
  </si>
  <si>
    <t>PHASE 2 CAP COST 2021-11 VO892113 Inv 470666-1121</t>
  </si>
  <si>
    <t>MKT FGT 12/21</t>
  </si>
  <si>
    <t>WD FGT 12/21</t>
  </si>
  <si>
    <t>Gulf Stream 12/21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</si>
</sst>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</cellStyleXfs>
  <cellXfs count="108">
    <xf numFmtId="0" fontId="0" fillId="0" borderId="0" xfId="0"/>
    <xf numFmtId="44" fontId="0" fillId="0" borderId="0" xfId="0" applyNumberFormat="1" applyFill="1"/>
    <xf numFmtId="43" fontId="3" fillId="0" borderId="0" xfId="1" applyFont="1" applyFill="1"/>
    <xf numFmtId="0" fontId="2" fillId="0" borderId="0" xfId="0" applyFont="1" applyFill="1"/>
    <xf numFmtId="44" fontId="0" fillId="0" borderId="0" xfId="2" applyFont="1" applyFill="1" applyAlignment="1">
      <alignment horizontal="right"/>
    </xf>
    <xf numFmtId="44" fontId="3" fillId="0" borderId="0" xfId="2" applyFont="1" applyFill="1" applyBorder="1"/>
    <xf numFmtId="44" fontId="0" fillId="0" borderId="0" xfId="0" applyNumberFormat="1"/>
    <xf numFmtId="0" fontId="0" fillId="0" borderId="0" xfId="0"/>
    <xf numFmtId="44" fontId="3" fillId="0" borderId="0" xfId="2" applyFont="1" applyFill="1"/>
    <xf numFmtId="0" fontId="0" fillId="0" borderId="0" xfId="0" applyFill="1"/>
    <xf numFmtId="44" fontId="0" fillId="0" borderId="0" xfId="0" applyNumberFormat="1" applyFill="1" applyAlignment="1">
      <alignment horizontal="left"/>
    </xf>
    <xf numFmtId="44" fontId="0" fillId="0" borderId="0" xfId="2" applyFont="1" applyFill="1"/>
    <xf numFmtId="44" fontId="0" fillId="0" borderId="0" xfId="2" applyFont="1" applyFill="1" applyBorder="1"/>
    <xf numFmtId="49" fontId="0" fillId="0" borderId="0" xfId="0" applyNumberFormat="1"/>
    <xf numFmtId="43" fontId="0" fillId="0" borderId="0" xfId="1" applyFont="1"/>
    <xf numFmtId="44" fontId="2" fillId="0" borderId="2" xfId="2" applyFont="1" applyFill="1" applyBorder="1" applyAlignment="1">
      <alignment horizontal="center"/>
    </xf>
    <xf numFmtId="44" fontId="3" fillId="0" borderId="4" xfId="2" applyFont="1" applyFill="1" applyBorder="1"/>
    <xf numFmtId="44" fontId="3" fillId="0" borderId="5" xfId="2" applyFont="1" applyFill="1" applyBorder="1"/>
    <xf numFmtId="0" fontId="0" fillId="0" borderId="0" xfId="0" applyFill="1" applyBorder="1"/>
    <xf numFmtId="43" fontId="0" fillId="0" borderId="0" xfId="1" applyFont="1" applyFill="1" applyBorder="1" applyAlignment="1">
      <alignment horizontal="left"/>
    </xf>
    <xf numFmtId="164" fontId="0" fillId="0" borderId="0" xfId="2" applyNumberFormat="1" applyFont="1" applyFill="1" applyBorder="1" applyAlignment="1">
      <alignment horizontal="center"/>
    </xf>
    <xf numFmtId="44" fontId="3" fillId="0" borderId="1" xfId="2" applyFont="1" applyFill="1" applyBorder="1"/>
    <xf numFmtId="44" fontId="3" fillId="0" borderId="3" xfId="2" applyFont="1" applyFill="1" applyBorder="1"/>
    <xf numFmtId="0" fontId="0" fillId="0" borderId="0" xfId="0" applyFont="1" applyFill="1" applyAlignment="1">
      <alignment wrapText="1"/>
    </xf>
    <xf numFmtId="0" fontId="0" fillId="3" borderId="0" xfId="0" applyFill="1"/>
    <xf numFmtId="43" fontId="0" fillId="0" borderId="0" xfId="1" applyFont="1" applyFill="1"/>
    <xf numFmtId="49" fontId="0" fillId="3" borderId="0" xfId="0" applyNumberFormat="1" applyFill="1"/>
    <xf numFmtId="14" fontId="0" fillId="0" borderId="0" xfId="0" quotePrefix="1" applyNumberFormat="1" applyFill="1" applyBorder="1" applyAlignment="1">
      <alignment horizontal="center"/>
    </xf>
    <xf numFmtId="0" fontId="4" fillId="0" borderId="9" xfId="0" applyFont="1" applyFill="1" applyBorder="1"/>
    <xf numFmtId="0" fontId="0" fillId="0" borderId="9" xfId="0" applyFill="1" applyBorder="1"/>
    <xf numFmtId="0" fontId="0" fillId="0" borderId="9" xfId="0" applyFill="1" applyBorder="1" applyAlignment="1">
      <alignment wrapText="1"/>
    </xf>
    <xf numFmtId="0" fontId="0" fillId="0" borderId="11" xfId="0" applyFill="1" applyBorder="1"/>
    <xf numFmtId="43" fontId="0" fillId="0" borderId="12" xfId="1" applyFont="1" applyFill="1" applyBorder="1" applyAlignment="1">
      <alignment horizontal="left"/>
    </xf>
    <xf numFmtId="44" fontId="3" fillId="3" borderId="5" xfId="2" applyFont="1" applyFill="1" applyBorder="1"/>
    <xf numFmtId="44" fontId="2" fillId="0" borderId="5" xfId="2" applyFont="1" applyFill="1" applyBorder="1" applyAlignment="1">
      <alignment horizontal="center"/>
    </xf>
    <xf numFmtId="49" fontId="0" fillId="0" borderId="0" xfId="0" applyNumberFormat="1" applyFill="1"/>
    <xf numFmtId="44" fontId="3" fillId="4" borderId="5" xfId="2" applyFont="1" applyFill="1" applyBorder="1"/>
    <xf numFmtId="14" fontId="0" fillId="0" borderId="0" xfId="0" quotePrefix="1" applyNumberFormat="1" applyFont="1" applyFill="1" applyBorder="1" applyAlignment="1">
      <alignment horizontal="center"/>
    </xf>
    <xf numFmtId="0" fontId="0" fillId="0" borderId="0" xfId="0" applyFont="1" applyFill="1"/>
    <xf numFmtId="49" fontId="0" fillId="0" borderId="0" xfId="0" applyNumberFormat="1" applyFont="1"/>
    <xf numFmtId="49" fontId="0" fillId="0" borderId="0" xfId="0" applyNumberFormat="1" applyFont="1" applyFill="1"/>
    <xf numFmtId="44" fontId="6" fillId="0" borderId="5" xfId="2" applyFont="1" applyFill="1" applyBorder="1"/>
    <xf numFmtId="43" fontId="0" fillId="6" borderId="10" xfId="1" applyFont="1" applyFill="1" applyBorder="1"/>
    <xf numFmtId="43" fontId="0" fillId="0" borderId="0" xfId="1" applyFont="1" applyFill="1" applyBorder="1"/>
    <xf numFmtId="14" fontId="0" fillId="3" borderId="0" xfId="0" quotePrefix="1" applyNumberFormat="1" applyFill="1" applyBorder="1" applyAlignment="1">
      <alignment horizontal="center"/>
    </xf>
    <xf numFmtId="44" fontId="0" fillId="0" borderId="1" xfId="2" applyFont="1" applyFill="1" applyBorder="1"/>
    <xf numFmtId="0" fontId="0" fillId="0" borderId="1" xfId="0" applyFill="1" applyBorder="1"/>
    <xf numFmtId="44" fontId="2" fillId="0" borderId="0" xfId="2" applyFont="1" applyFill="1" applyBorder="1" applyAlignment="1">
      <alignment horizontal="center"/>
    </xf>
    <xf numFmtId="44" fontId="2" fillId="0" borderId="6" xfId="2" applyFont="1" applyFill="1" applyBorder="1" applyAlignment="1">
      <alignment horizontal="center"/>
    </xf>
    <xf numFmtId="0" fontId="2" fillId="0" borderId="6" xfId="0" applyFont="1" applyFill="1" applyBorder="1"/>
    <xf numFmtId="0" fontId="0" fillId="0" borderId="0" xfId="0" applyBorder="1"/>
    <xf numFmtId="0" fontId="2" fillId="0" borderId="0" xfId="0" applyFont="1" applyFill="1" applyBorder="1"/>
    <xf numFmtId="44" fontId="2" fillId="2" borderId="0" xfId="2" applyFont="1" applyFill="1" applyBorder="1" applyAlignment="1">
      <alignment horizontal="center"/>
    </xf>
    <xf numFmtId="44" fontId="2" fillId="2" borderId="6" xfId="2" applyFont="1" applyFill="1" applyBorder="1" applyAlignment="1">
      <alignment horizontal="center"/>
    </xf>
    <xf numFmtId="44" fontId="3" fillId="6" borderId="0" xfId="2" applyFont="1" applyFill="1" applyBorder="1"/>
    <xf numFmtId="43" fontId="0" fillId="7" borderId="10" xfId="1" applyFont="1" applyFill="1" applyBorder="1"/>
    <xf numFmtId="44" fontId="3" fillId="7" borderId="0" xfId="2" applyFont="1" applyFill="1" applyBorder="1"/>
    <xf numFmtId="44" fontId="2" fillId="0" borderId="0" xfId="2" applyFont="1" applyFill="1" applyBorder="1" applyAlignment="1">
      <alignment horizontal="center" wrapText="1"/>
    </xf>
    <xf numFmtId="0" fontId="8" fillId="0" borderId="0" xfId="0" applyFont="1" applyFill="1"/>
    <xf numFmtId="43" fontId="0" fillId="0" borderId="0" xfId="0" applyNumberFormat="1" applyFill="1"/>
    <xf numFmtId="17" fontId="8" fillId="0" borderId="0" xfId="0" applyNumberFormat="1" applyFont="1" applyFill="1"/>
    <xf numFmtId="43" fontId="4" fillId="5" borderId="10" xfId="1" applyFont="1" applyFill="1" applyBorder="1"/>
    <xf numFmtId="44" fontId="1" fillId="0" borderId="0" xfId="2" applyFont="1" applyFill="1" applyBorder="1"/>
    <xf numFmtId="14" fontId="0" fillId="0" borderId="1" xfId="0" quotePrefix="1" applyNumberFormat="1" applyFill="1" applyBorder="1" applyAlignment="1">
      <alignment horizontal="center"/>
    </xf>
    <xf numFmtId="49" fontId="0" fillId="0" borderId="1" xfId="0" applyNumberFormat="1" applyFill="1" applyBorder="1"/>
    <xf numFmtId="49" fontId="0" fillId="0" borderId="0" xfId="0" applyNumberFormat="1" applyFill="1" applyBorder="1"/>
    <xf numFmtId="44" fontId="6" fillId="0" borderId="0" xfId="2" applyFont="1" applyFill="1" applyBorder="1"/>
    <xf numFmtId="0" fontId="0" fillId="0" borderId="0" xfId="0" applyFont="1" applyFill="1" applyBorder="1"/>
    <xf numFmtId="44" fontId="3" fillId="0" borderId="0" xfId="0" applyNumberFormat="1" applyFont="1" applyFill="1"/>
    <xf numFmtId="44" fontId="3" fillId="0" borderId="5" xfId="2" applyNumberFormat="1" applyFont="1" applyFill="1" applyBorder="1"/>
    <xf numFmtId="44" fontId="1" fillId="0" borderId="1" xfId="2" applyFont="1" applyFill="1" applyBorder="1"/>
    <xf numFmtId="49" fontId="0" fillId="0" borderId="0" xfId="0" applyNumberFormat="1" applyFont="1" applyFill="1" applyBorder="1"/>
    <xf numFmtId="43" fontId="0" fillId="0" borderId="5" xfId="1" applyFont="1" applyFill="1" applyBorder="1" applyAlignment="1">
      <alignment horizontal="left" wrapText="1"/>
    </xf>
    <xf numFmtId="43" fontId="0" fillId="0" borderId="5" xfId="1" applyFont="1" applyFill="1" applyBorder="1"/>
    <xf numFmtId="44" fontId="4" fillId="0" borderId="0" xfId="2" applyFont="1" applyFill="1" applyBorder="1" applyAlignment="1">
      <alignment horizontal="center"/>
    </xf>
    <xf numFmtId="44" fontId="4" fillId="0" borderId="0" xfId="2" applyFont="1" applyFill="1" applyBorder="1"/>
    <xf numFmtId="43" fontId="2" fillId="0" borderId="0" xfId="1" applyFont="1" applyFill="1"/>
    <xf numFmtId="43" fontId="0" fillId="0" borderId="4" xfId="1" applyFont="1" applyFill="1" applyBorder="1" applyAlignment="1">
      <alignment horizontal="left" wrapText="1"/>
    </xf>
    <xf numFmtId="43" fontId="0" fillId="0" borderId="4" xfId="1" applyFont="1" applyFill="1" applyBorder="1"/>
    <xf numFmtId="44" fontId="3" fillId="8" borderId="0" xfId="2" applyFont="1" applyFill="1" applyBorder="1"/>
    <xf numFmtId="43" fontId="0" fillId="8" borderId="13" xfId="1" applyFont="1" applyFill="1" applyBorder="1" applyAlignment="1">
      <alignment horizontal="left" wrapText="1"/>
    </xf>
    <xf numFmtId="44" fontId="3" fillId="8" borderId="5" xfId="2" applyFont="1" applyFill="1" applyBorder="1"/>
    <xf numFmtId="44" fontId="3" fillId="9" borderId="0" xfId="2" applyFont="1" applyFill="1" applyBorder="1"/>
    <xf numFmtId="44" fontId="0" fillId="0" borderId="0" xfId="2" applyFont="1" applyFill="1" applyBorder="1" applyAlignment="1">
      <alignment horizontal="right"/>
    </xf>
    <xf numFmtId="44" fontId="3" fillId="7" borderId="5" xfId="2" applyFont="1" applyFill="1" applyBorder="1"/>
    <xf numFmtId="0" fontId="0" fillId="0" borderId="0" xfId="0" applyAlignment="1">
      <alignment wrapText="1"/>
    </xf>
    <xf numFmtId="44" fontId="0" fillId="0" borderId="0" xfId="2" applyFont="1" applyFill="1" applyBorder="1" applyAlignment="1">
      <alignment horizontal="right"/>
    </xf>
    <xf numFmtId="44" fontId="0" fillId="0" borderId="0" xfId="2" applyFont="1" applyFill="1" applyBorder="1" applyAlignment="1">
      <alignment horizontal="right"/>
    </xf>
    <xf numFmtId="44" fontId="3" fillId="5" borderId="5" xfId="2" applyFont="1" applyFill="1" applyBorder="1"/>
    <xf numFmtId="44" fontId="0" fillId="0" borderId="0" xfId="2" applyFont="1" applyFill="1" applyBorder="1" applyAlignment="1">
      <alignment horizontal="right"/>
    </xf>
    <xf numFmtId="44" fontId="0" fillId="0" borderId="0" xfId="2" applyFont="1" applyFill="1" applyBorder="1" applyAlignment="1">
      <alignment horizontal="right"/>
    </xf>
    <xf numFmtId="44" fontId="3" fillId="6" borderId="5" xfId="2" applyFont="1" applyFill="1" applyBorder="1"/>
    <xf numFmtId="0" fontId="0" fillId="0" borderId="0" xfId="0" applyFill="1" applyBorder="1" applyAlignment="1">
      <alignment horizontal="right"/>
    </xf>
    <xf numFmtId="44" fontId="0" fillId="0" borderId="0" xfId="2" applyFont="1" applyFill="1" applyBorder="1" applyAlignment="1">
      <alignment horizontal="right"/>
    </xf>
    <xf numFmtId="44" fontId="0" fillId="10" borderId="0" xfId="2" applyFont="1" applyFill="1" applyBorder="1"/>
    <xf numFmtId="44" fontId="1" fillId="10" borderId="0" xfId="2" applyFont="1" applyFill="1" applyBorder="1"/>
    <xf numFmtId="44" fontId="0" fillId="0" borderId="0" xfId="2" applyFont="1" applyFill="1" applyBorder="1" applyAlignment="1">
      <alignment horizontal="right"/>
    </xf>
    <xf numFmtId="44" fontId="0" fillId="0" borderId="0" xfId="2" applyFont="1" applyFill="1" applyBorder="1" applyAlignment="1">
      <alignment horizontal="right"/>
    </xf>
    <xf numFmtId="44" fontId="0" fillId="0" borderId="0" xfId="2" applyFont="1" applyFill="1" applyBorder="1" applyAlignment="1">
      <alignment horizontal="right"/>
    </xf>
    <xf numFmtId="44" fontId="0" fillId="0" borderId="0" xfId="2" applyFont="1" applyFill="1" applyBorder="1" applyAlignment="1">
      <alignment horizontal="right"/>
    </xf>
    <xf numFmtId="44" fontId="0" fillId="0" borderId="0" xfId="2" applyFont="1" applyFill="1" applyBorder="1" applyAlignment="1">
      <alignment horizontal="right"/>
    </xf>
    <xf numFmtId="44" fontId="0" fillId="2" borderId="0" xfId="2" applyFont="1" applyFill="1" applyBorder="1" applyAlignment="1">
      <alignment horizontal="right"/>
    </xf>
    <xf numFmtId="44" fontId="0" fillId="0" borderId="0" xfId="2" applyFont="1" applyFill="1" applyBorder="1" applyAlignment="1">
      <alignment horizontal="right"/>
    </xf>
    <xf numFmtId="44" fontId="0" fillId="0" borderId="0" xfId="2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 2" xfId="3"/>
  </cellStyles>
  <dxfs count="0"/>
  <tableStyles count="0" defaultTableStyle="TableStyleMedium9" defaultPivotStyle="PivotStyleLight16"/>
  <colors>
    <mruColors>
      <color rgb="FFFF00FF"/>
      <color rgb="FF00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calcChain" Target="calcChain.xml" Id="rId17" /><Relationship Type="http://schemas.openxmlformats.org/officeDocument/2006/relationships/worksheet" Target="worksheets/sheet2.xml" Id="rId2" /><Relationship Type="http://schemas.openxmlformats.org/officeDocument/2006/relationships/sharedStrings" Target="sharedString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theme" Target="theme/theme1.xml" Id="rId1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tabSelected="1" topLeftCell="G1" zoomScale="90" zoomScaleNormal="90" workbookViewId="0">
      <pane ySplit="5" topLeftCell="A78" activePane="bottomLeft" state="frozen"/>
      <selection activeCell="C1" sqref="C1"/>
      <selection pane="bottomLeft" activeCell="J82" sqref="J82"/>
    </sheetView>
  </sheetViews>
  <sheetFormatPr defaultColWidth="9.140625" defaultRowHeight="15" x14ac:dyDescent="0.25"/>
  <cols>
    <col min="1" max="1" width="13.85546875" style="7" customWidth="1"/>
    <col min="2" max="2" width="8.7109375" style="7" customWidth="1"/>
    <col min="3" max="3" width="64.5703125" style="7" bestFit="1" customWidth="1"/>
    <col min="4" max="4" width="16" style="7" bestFit="1" customWidth="1"/>
    <col min="5" max="5" width="26.42578125" style="7" bestFit="1" customWidth="1"/>
    <col min="6" max="6" width="22.7109375" style="7" bestFit="1" customWidth="1"/>
    <col min="7" max="7" width="36.28515625" style="7" customWidth="1"/>
    <col min="8" max="8" width="21.42578125" style="7" bestFit="1" customWidth="1"/>
    <col min="9" max="9" width="16.42578125" style="7" customWidth="1"/>
    <col min="10" max="10" width="43.140625" style="7" customWidth="1"/>
    <col min="11" max="11" width="26" style="7" customWidth="1"/>
    <col min="12" max="16384" width="9.140625" style="7"/>
  </cols>
  <sheetData>
    <row r="1" spans="1:10" ht="21" x14ac:dyDescent="0.35">
      <c r="A1" s="58" t="s">
        <v>22</v>
      </c>
    </row>
    <row r="2" spans="1:10" ht="21" x14ac:dyDescent="0.35">
      <c r="A2" s="60" t="s">
        <v>20</v>
      </c>
      <c r="E2" s="14"/>
      <c r="F2" s="14"/>
    </row>
    <row r="3" spans="1:10" ht="21" x14ac:dyDescent="0.35">
      <c r="A3" s="58" t="s">
        <v>16</v>
      </c>
      <c r="B3" s="9"/>
      <c r="D3" s="1"/>
      <c r="E3" s="9"/>
      <c r="F3" s="9"/>
      <c r="G3" s="9"/>
      <c r="H3" s="9"/>
    </row>
    <row r="4" spans="1:10" ht="30.6" customHeight="1" x14ac:dyDescent="0.25">
      <c r="A4" s="50"/>
      <c r="B4" s="18"/>
      <c r="C4" s="51"/>
      <c r="D4" s="47" t="s">
        <v>1</v>
      </c>
      <c r="E4" s="57" t="s">
        <v>32</v>
      </c>
      <c r="F4" s="57" t="s">
        <v>31</v>
      </c>
      <c r="G4" s="52" t="s">
        <v>36</v>
      </c>
      <c r="H4" s="47" t="s">
        <v>2</v>
      </c>
    </row>
    <row r="5" spans="1:10" ht="15.75" thickBot="1" x14ac:dyDescent="0.3">
      <c r="A5" s="104" t="s">
        <v>29</v>
      </c>
      <c r="B5" s="104"/>
      <c r="C5" s="49" t="s">
        <v>3</v>
      </c>
      <c r="D5" s="48" t="s">
        <v>4</v>
      </c>
      <c r="E5" s="48" t="s">
        <v>5</v>
      </c>
      <c r="F5" s="48" t="s">
        <v>5</v>
      </c>
      <c r="G5" s="53" t="s">
        <v>197</v>
      </c>
      <c r="H5" s="48" t="s">
        <v>4</v>
      </c>
    </row>
    <row r="6" spans="1:10" x14ac:dyDescent="0.25">
      <c r="A6" s="105" t="s">
        <v>15</v>
      </c>
      <c r="B6" s="105"/>
      <c r="C6" s="23" t="s">
        <v>145</v>
      </c>
      <c r="D6" s="17">
        <f>1148.11+7643.37+1151.59+7639.89+1155.09+7636.39+1158.59+7632.89+1162.1+7629.38+1165.63+7625.85+1169.16+7622.32+1172.71+7618.77+1176.26+7615.22+772.18+8019.3+774.52+8016.96+776.87+8014.61</f>
        <v>105497.76</v>
      </c>
      <c r="E6" s="47"/>
      <c r="F6" s="34"/>
      <c r="G6" s="74">
        <f>26374.44+52748.88</f>
        <v>79123.319999999992</v>
      </c>
      <c r="H6" s="12">
        <f>D6-G6</f>
        <v>26374.440000000002</v>
      </c>
      <c r="I6" s="6"/>
    </row>
    <row r="7" spans="1:10" s="9" customFormat="1" ht="13.9" customHeight="1" x14ac:dyDescent="0.25">
      <c r="A7" s="27">
        <v>44255</v>
      </c>
      <c r="B7" s="9" t="s">
        <v>9</v>
      </c>
      <c r="C7" s="35" t="s">
        <v>152</v>
      </c>
      <c r="D7" s="17">
        <f>-14380.2+856.44</f>
        <v>-13523.76</v>
      </c>
      <c r="E7" s="5">
        <f>14380.2-856.44-13523.76</f>
        <v>0</v>
      </c>
      <c r="F7" s="17"/>
      <c r="G7" s="25">
        <f>-14380.2+856.44</f>
        <v>-13523.76</v>
      </c>
      <c r="H7" s="62">
        <f t="shared" ref="H7:H70" si="0">D7-G7</f>
        <v>0</v>
      </c>
      <c r="I7" s="3"/>
      <c r="J7" s="1"/>
    </row>
    <row r="8" spans="1:10" s="9" customFormat="1" ht="13.9" customHeight="1" x14ac:dyDescent="0.25">
      <c r="A8" s="27">
        <v>44255</v>
      </c>
      <c r="B8" s="9" t="s">
        <v>9</v>
      </c>
      <c r="C8" s="35" t="s">
        <v>153</v>
      </c>
      <c r="D8" s="17">
        <f>-33060.54-1224.49</f>
        <v>-34285.03</v>
      </c>
      <c r="E8" s="5">
        <f>33060.54+1224.49-34285.03</f>
        <v>0</v>
      </c>
      <c r="F8" s="17"/>
      <c r="G8" s="25">
        <f>-33060.54-1224.49</f>
        <v>-34285.03</v>
      </c>
      <c r="H8" s="62">
        <f t="shared" si="0"/>
        <v>0</v>
      </c>
      <c r="I8" s="3"/>
      <c r="J8" s="1"/>
    </row>
    <row r="9" spans="1:10" s="9" customFormat="1" ht="13.9" customHeight="1" x14ac:dyDescent="0.25">
      <c r="A9" s="27">
        <v>44286</v>
      </c>
      <c r="B9" s="9" t="s">
        <v>9</v>
      </c>
      <c r="C9" s="35" t="s">
        <v>156</v>
      </c>
      <c r="D9" s="17">
        <f>-347595.01+220070.8</f>
        <v>-127524.21000000002</v>
      </c>
      <c r="E9" s="5">
        <f>347595.01-220070.8-127524.21</f>
        <v>0</v>
      </c>
      <c r="F9" s="17"/>
      <c r="G9" s="25">
        <f>-347595.01+220070.8</f>
        <v>-127524.21000000002</v>
      </c>
      <c r="H9" s="62">
        <f t="shared" si="0"/>
        <v>0</v>
      </c>
      <c r="I9" s="3"/>
      <c r="J9" s="1"/>
    </row>
    <row r="10" spans="1:10" s="9" customFormat="1" ht="13.9" customHeight="1" x14ac:dyDescent="0.25">
      <c r="A10" s="27">
        <v>44286</v>
      </c>
      <c r="B10" s="9" t="s">
        <v>9</v>
      </c>
      <c r="C10" s="35" t="s">
        <v>158</v>
      </c>
      <c r="D10" s="17">
        <f>7729.12+0.31</f>
        <v>7729.43</v>
      </c>
      <c r="E10" s="5"/>
      <c r="F10" s="17">
        <f>-7729.12-0.31+7729.43</f>
        <v>0</v>
      </c>
      <c r="G10" s="25">
        <f>7729.12+0.31</f>
        <v>7729.43</v>
      </c>
      <c r="H10" s="62">
        <f t="shared" si="0"/>
        <v>0</v>
      </c>
      <c r="I10" s="3"/>
      <c r="J10" s="1"/>
    </row>
    <row r="11" spans="1:10" s="9" customFormat="1" ht="13.9" customHeight="1" x14ac:dyDescent="0.25">
      <c r="A11" s="27">
        <v>44286</v>
      </c>
      <c r="B11" s="9" t="s">
        <v>9</v>
      </c>
      <c r="C11" s="35" t="s">
        <v>34</v>
      </c>
      <c r="D11" s="17">
        <f>136248.52-16861.37</f>
        <v>119387.15</v>
      </c>
      <c r="E11" s="5"/>
      <c r="F11" s="17"/>
      <c r="G11" s="25">
        <f>136248.52-16861.37</f>
        <v>119387.15</v>
      </c>
      <c r="H11" s="62">
        <f t="shared" si="0"/>
        <v>0</v>
      </c>
      <c r="I11" s="3"/>
      <c r="J11" s="1"/>
    </row>
    <row r="12" spans="1:10" s="9" customFormat="1" ht="13.9" customHeight="1" x14ac:dyDescent="0.25">
      <c r="A12" s="27">
        <v>44316</v>
      </c>
      <c r="B12" s="9" t="s">
        <v>10</v>
      </c>
      <c r="C12" s="35" t="s">
        <v>163</v>
      </c>
      <c r="D12" s="17">
        <v>14663.53</v>
      </c>
      <c r="E12" s="5"/>
      <c r="F12" s="17"/>
      <c r="G12" s="25">
        <v>14663.53</v>
      </c>
      <c r="H12" s="62">
        <f t="shared" si="0"/>
        <v>0</v>
      </c>
      <c r="I12" s="3"/>
      <c r="J12" s="1"/>
    </row>
    <row r="13" spans="1:10" s="9" customFormat="1" ht="13.9" customHeight="1" x14ac:dyDescent="0.25">
      <c r="A13" s="27">
        <v>44316</v>
      </c>
      <c r="B13" s="9" t="s">
        <v>10</v>
      </c>
      <c r="C13" s="35" t="s">
        <v>144</v>
      </c>
      <c r="D13" s="17">
        <v>1302.08</v>
      </c>
      <c r="E13" s="5"/>
      <c r="F13" s="17"/>
      <c r="G13" s="25">
        <v>1302.08</v>
      </c>
      <c r="H13" s="62">
        <f t="shared" si="0"/>
        <v>0</v>
      </c>
      <c r="I13" s="3"/>
      <c r="J13" s="1"/>
    </row>
    <row r="14" spans="1:10" s="9" customFormat="1" ht="13.9" customHeight="1" x14ac:dyDescent="0.25">
      <c r="A14" s="27">
        <v>44316</v>
      </c>
      <c r="B14" s="9" t="s">
        <v>10</v>
      </c>
      <c r="C14" s="35" t="s">
        <v>160</v>
      </c>
      <c r="D14" s="17">
        <f>51294.87-546.91</f>
        <v>50747.96</v>
      </c>
      <c r="E14" s="5"/>
      <c r="F14" s="17">
        <f>-51294.87+546.91+50747.96</f>
        <v>0</v>
      </c>
      <c r="G14" s="25">
        <v>50747.96</v>
      </c>
      <c r="H14" s="62">
        <f t="shared" si="0"/>
        <v>0</v>
      </c>
      <c r="I14" s="3"/>
      <c r="J14" s="1"/>
    </row>
    <row r="15" spans="1:10" s="9" customFormat="1" ht="13.9" customHeight="1" x14ac:dyDescent="0.25">
      <c r="A15" s="27">
        <v>44316</v>
      </c>
      <c r="B15" s="9" t="s">
        <v>10</v>
      </c>
      <c r="C15" s="35" t="s">
        <v>161</v>
      </c>
      <c r="D15" s="17">
        <f>-116256.56-802.69</f>
        <v>-117059.25</v>
      </c>
      <c r="E15" s="5">
        <f>116256.56+802.69-117059.25</f>
        <v>0</v>
      </c>
      <c r="F15" s="17"/>
      <c r="G15" s="25">
        <v>-117059.25</v>
      </c>
      <c r="H15" s="62">
        <f t="shared" si="0"/>
        <v>0</v>
      </c>
      <c r="I15" s="3"/>
      <c r="J15" s="1"/>
    </row>
    <row r="16" spans="1:10" s="9" customFormat="1" ht="13.9" customHeight="1" x14ac:dyDescent="0.25">
      <c r="A16" s="27">
        <v>44316</v>
      </c>
      <c r="B16" s="9" t="s">
        <v>10</v>
      </c>
      <c r="C16" s="35" t="s">
        <v>162</v>
      </c>
      <c r="D16" s="17">
        <f>-112001.41-27926.96</f>
        <v>-139928.37</v>
      </c>
      <c r="E16" s="5">
        <f>112001.41+27926.96-139928.37</f>
        <v>0</v>
      </c>
      <c r="F16" s="17"/>
      <c r="G16" s="25">
        <v>-139928.37</v>
      </c>
      <c r="H16" s="62">
        <f t="shared" si="0"/>
        <v>0</v>
      </c>
      <c r="I16" s="3"/>
      <c r="J16" s="1"/>
    </row>
    <row r="17" spans="1:10" s="9" customFormat="1" ht="13.9" customHeight="1" x14ac:dyDescent="0.25">
      <c r="A17" s="27">
        <v>44316</v>
      </c>
      <c r="B17" s="9" t="s">
        <v>10</v>
      </c>
      <c r="C17" s="35" t="s">
        <v>39</v>
      </c>
      <c r="D17" s="17">
        <v>-2750.02</v>
      </c>
      <c r="E17" s="5"/>
      <c r="F17" s="17"/>
      <c r="G17" s="25">
        <v>-2750.02</v>
      </c>
      <c r="H17" s="62">
        <f t="shared" si="0"/>
        <v>0</v>
      </c>
      <c r="I17" s="3"/>
      <c r="J17" s="1"/>
    </row>
    <row r="18" spans="1:10" s="9" customFormat="1" ht="13.9" customHeight="1" x14ac:dyDescent="0.25">
      <c r="A18" s="27">
        <v>44316</v>
      </c>
      <c r="B18" s="9" t="s">
        <v>10</v>
      </c>
      <c r="C18" s="35" t="s">
        <v>34</v>
      </c>
      <c r="D18" s="17">
        <v>119838.63</v>
      </c>
      <c r="E18" s="5"/>
      <c r="F18" s="17"/>
      <c r="G18" s="25">
        <v>119838.63</v>
      </c>
      <c r="H18" s="62">
        <f t="shared" si="0"/>
        <v>0</v>
      </c>
      <c r="I18" s="3"/>
      <c r="J18" s="1"/>
    </row>
    <row r="19" spans="1:10" s="9" customFormat="1" ht="13.9" customHeight="1" x14ac:dyDescent="0.25">
      <c r="A19" s="27">
        <v>44316</v>
      </c>
      <c r="B19" s="9" t="s">
        <v>10</v>
      </c>
      <c r="C19" s="35" t="s">
        <v>35</v>
      </c>
      <c r="D19" s="17">
        <v>-27582.58</v>
      </c>
      <c r="E19" s="5"/>
      <c r="F19" s="17"/>
      <c r="G19" s="25">
        <v>-27582.58</v>
      </c>
      <c r="H19" s="62">
        <f t="shared" si="0"/>
        <v>0</v>
      </c>
      <c r="I19" s="3"/>
      <c r="J19" s="1"/>
    </row>
    <row r="20" spans="1:10" s="9" customFormat="1" ht="13.9" customHeight="1" x14ac:dyDescent="0.25">
      <c r="A20" s="27">
        <v>44347</v>
      </c>
      <c r="B20" s="9" t="s">
        <v>10</v>
      </c>
      <c r="C20" s="35" t="s">
        <v>173</v>
      </c>
      <c r="D20" s="17">
        <v>27582.58</v>
      </c>
      <c r="E20" s="5"/>
      <c r="F20" s="17"/>
      <c r="G20" s="25">
        <v>27582.58</v>
      </c>
      <c r="H20" s="62">
        <f t="shared" si="0"/>
        <v>0</v>
      </c>
      <c r="I20" s="3"/>
      <c r="J20" s="1"/>
    </row>
    <row r="21" spans="1:10" s="9" customFormat="1" ht="13.9" customHeight="1" x14ac:dyDescent="0.25">
      <c r="A21" s="27">
        <v>44347</v>
      </c>
      <c r="B21" s="9" t="s">
        <v>10</v>
      </c>
      <c r="C21" s="35" t="s">
        <v>144</v>
      </c>
      <c r="D21" s="17">
        <v>1302.08</v>
      </c>
      <c r="E21" s="5"/>
      <c r="F21" s="17"/>
      <c r="G21" s="25">
        <v>1302.08</v>
      </c>
      <c r="H21" s="62">
        <f t="shared" si="0"/>
        <v>0</v>
      </c>
      <c r="I21" s="3"/>
      <c r="J21" s="1"/>
    </row>
    <row r="22" spans="1:10" s="9" customFormat="1" ht="13.9" customHeight="1" x14ac:dyDescent="0.25">
      <c r="A22" s="27">
        <v>44347</v>
      </c>
      <c r="B22" s="9" t="s">
        <v>10</v>
      </c>
      <c r="C22" s="35" t="s">
        <v>169</v>
      </c>
      <c r="D22" s="17">
        <f>32913.07+2479.65</f>
        <v>35392.720000000001</v>
      </c>
      <c r="E22" s="5"/>
      <c r="F22" s="17">
        <f>-32913.07-2479.65+35392.72</f>
        <v>0</v>
      </c>
      <c r="G22" s="25">
        <v>35392.720000000001</v>
      </c>
      <c r="H22" s="62">
        <f t="shared" si="0"/>
        <v>0</v>
      </c>
      <c r="I22" s="3"/>
      <c r="J22" s="1"/>
    </row>
    <row r="23" spans="1:10" s="9" customFormat="1" ht="13.9" customHeight="1" x14ac:dyDescent="0.25">
      <c r="A23" s="27">
        <v>44347</v>
      </c>
      <c r="B23" s="9" t="s">
        <v>10</v>
      </c>
      <c r="C23" s="35" t="s">
        <v>170</v>
      </c>
      <c r="D23" s="17">
        <f>-51385.5-272.94</f>
        <v>-51658.44</v>
      </c>
      <c r="E23" s="5">
        <f>51385.5+272.94-51658.44</f>
        <v>0</v>
      </c>
      <c r="F23" s="17"/>
      <c r="G23" s="25">
        <v>-51658.44</v>
      </c>
      <c r="H23" s="62">
        <f t="shared" si="0"/>
        <v>0</v>
      </c>
      <c r="I23" s="3"/>
      <c r="J23" s="1"/>
    </row>
    <row r="24" spans="1:10" s="9" customFormat="1" ht="13.9" customHeight="1" x14ac:dyDescent="0.25">
      <c r="A24" s="27">
        <v>44347</v>
      </c>
      <c r="B24" s="9" t="s">
        <v>10</v>
      </c>
      <c r="C24" s="35" t="s">
        <v>171</v>
      </c>
      <c r="D24" s="17">
        <f>-102615.53-14035.31</f>
        <v>-116650.84</v>
      </c>
      <c r="E24" s="5">
        <f>102615.53+14035.31-116650.84</f>
        <v>0</v>
      </c>
      <c r="F24" s="17"/>
      <c r="G24" s="25">
        <v>-116650.84</v>
      </c>
      <c r="H24" s="62">
        <f t="shared" si="0"/>
        <v>0</v>
      </c>
      <c r="I24" s="3"/>
      <c r="J24" s="1"/>
    </row>
    <row r="25" spans="1:10" s="9" customFormat="1" ht="13.9" customHeight="1" x14ac:dyDescent="0.25">
      <c r="A25" s="27">
        <v>44347</v>
      </c>
      <c r="B25" s="9" t="s">
        <v>10</v>
      </c>
      <c r="C25" s="35" t="s">
        <v>39</v>
      </c>
      <c r="D25" s="17">
        <v>-2333.35</v>
      </c>
      <c r="E25" s="5"/>
      <c r="F25" s="17"/>
      <c r="G25" s="25">
        <v>-2333.35</v>
      </c>
      <c r="H25" s="62">
        <f t="shared" si="0"/>
        <v>0</v>
      </c>
      <c r="I25" s="3"/>
      <c r="J25" s="1"/>
    </row>
    <row r="26" spans="1:10" s="9" customFormat="1" ht="13.9" customHeight="1" x14ac:dyDescent="0.25">
      <c r="A26" s="27">
        <v>44347</v>
      </c>
      <c r="B26" s="9" t="s">
        <v>10</v>
      </c>
      <c r="C26" s="35" t="s">
        <v>34</v>
      </c>
      <c r="D26" s="17">
        <v>111752.93</v>
      </c>
      <c r="E26" s="5"/>
      <c r="F26" s="17"/>
      <c r="G26" s="25">
        <v>111752.93</v>
      </c>
      <c r="H26" s="62">
        <f t="shared" si="0"/>
        <v>0</v>
      </c>
      <c r="I26" s="3"/>
      <c r="J26" s="1"/>
    </row>
    <row r="27" spans="1:10" s="9" customFormat="1" ht="13.9" customHeight="1" x14ac:dyDescent="0.25">
      <c r="A27" s="27">
        <v>44347</v>
      </c>
      <c r="B27" s="9" t="s">
        <v>10</v>
      </c>
      <c r="C27" s="35" t="s">
        <v>35</v>
      </c>
      <c r="D27" s="17">
        <v>-13309.03</v>
      </c>
      <c r="E27" s="5"/>
      <c r="F27" s="17"/>
      <c r="G27" s="25">
        <v>-13309.03</v>
      </c>
      <c r="H27" s="62">
        <f t="shared" si="0"/>
        <v>0</v>
      </c>
      <c r="I27" s="3"/>
      <c r="J27" s="1"/>
    </row>
    <row r="28" spans="1:10" s="9" customFormat="1" ht="13.9" customHeight="1" x14ac:dyDescent="0.25">
      <c r="A28" s="27">
        <v>44377</v>
      </c>
      <c r="B28" s="9" t="s">
        <v>10</v>
      </c>
      <c r="C28" s="35" t="s">
        <v>177</v>
      </c>
      <c r="D28" s="17">
        <v>13309.03</v>
      </c>
      <c r="E28" s="5"/>
      <c r="F28" s="17"/>
      <c r="G28" s="25">
        <v>13309.03</v>
      </c>
      <c r="H28" s="62">
        <f t="shared" si="0"/>
        <v>0</v>
      </c>
      <c r="I28" s="3"/>
      <c r="J28" s="1"/>
    </row>
    <row r="29" spans="1:10" s="9" customFormat="1" ht="13.9" customHeight="1" x14ac:dyDescent="0.25">
      <c r="A29" s="27">
        <v>44377</v>
      </c>
      <c r="B29" s="9" t="s">
        <v>10</v>
      </c>
      <c r="C29" s="35" t="s">
        <v>144</v>
      </c>
      <c r="D29" s="17">
        <v>1302.08</v>
      </c>
      <c r="E29" s="5"/>
      <c r="F29" s="17"/>
      <c r="G29" s="25">
        <v>1302.08</v>
      </c>
      <c r="H29" s="62">
        <f t="shared" si="0"/>
        <v>0</v>
      </c>
      <c r="I29" s="3"/>
      <c r="J29" s="1"/>
    </row>
    <row r="30" spans="1:10" s="9" customFormat="1" ht="13.9" customHeight="1" x14ac:dyDescent="0.25">
      <c r="A30" s="27">
        <v>44377</v>
      </c>
      <c r="B30" s="9" t="s">
        <v>10</v>
      </c>
      <c r="C30" s="35" t="s">
        <v>178</v>
      </c>
      <c r="D30" s="17">
        <f>-63449.2+392.75</f>
        <v>-63056.45</v>
      </c>
      <c r="E30" s="5">
        <f>63449.2-392.75-63056.45</f>
        <v>0</v>
      </c>
      <c r="F30" s="17"/>
      <c r="G30" s="25">
        <v>-63056.45</v>
      </c>
      <c r="H30" s="62">
        <f t="shared" si="0"/>
        <v>0</v>
      </c>
      <c r="I30" s="3"/>
      <c r="J30" s="1"/>
    </row>
    <row r="31" spans="1:10" s="9" customFormat="1" ht="13.9" customHeight="1" x14ac:dyDescent="0.25">
      <c r="A31" s="27">
        <v>44377</v>
      </c>
      <c r="B31" s="9" t="s">
        <v>10</v>
      </c>
      <c r="C31" s="35" t="s">
        <v>179</v>
      </c>
      <c r="D31" s="17">
        <f>-50517.43-1607.01</f>
        <v>-52124.44</v>
      </c>
      <c r="E31" s="5">
        <f>50517.43+1607.01-52124.44</f>
        <v>0</v>
      </c>
      <c r="F31" s="17"/>
      <c r="G31" s="25">
        <v>-52124.44</v>
      </c>
      <c r="H31" s="62">
        <f t="shared" si="0"/>
        <v>0</v>
      </c>
      <c r="I31" s="3"/>
      <c r="J31" s="1"/>
    </row>
    <row r="32" spans="1:10" s="9" customFormat="1" ht="13.9" customHeight="1" x14ac:dyDescent="0.25">
      <c r="A32" s="27">
        <v>44377</v>
      </c>
      <c r="B32" s="9" t="s">
        <v>10</v>
      </c>
      <c r="C32" s="35" t="s">
        <v>180</v>
      </c>
      <c r="D32" s="17">
        <f>29857.96+2466.7</f>
        <v>32324.66</v>
      </c>
      <c r="E32" s="5"/>
      <c r="F32" s="17">
        <f>-29857.96-2466.7+32324.66</f>
        <v>0</v>
      </c>
      <c r="G32" s="25">
        <v>32324.66</v>
      </c>
      <c r="H32" s="62">
        <f t="shared" si="0"/>
        <v>0</v>
      </c>
      <c r="I32" s="3"/>
      <c r="J32" s="1"/>
    </row>
    <row r="33" spans="1:10" s="9" customFormat="1" ht="13.9" customHeight="1" x14ac:dyDescent="0.25">
      <c r="A33" s="27">
        <v>44377</v>
      </c>
      <c r="B33" s="9" t="s">
        <v>10</v>
      </c>
      <c r="C33" s="35" t="s">
        <v>39</v>
      </c>
      <c r="D33" s="17">
        <v>-2750.02</v>
      </c>
      <c r="E33" s="5"/>
      <c r="F33" s="17"/>
      <c r="G33" s="25">
        <v>-2750.02</v>
      </c>
      <c r="H33" s="62">
        <f t="shared" si="0"/>
        <v>0</v>
      </c>
      <c r="I33" s="3"/>
      <c r="J33" s="1"/>
    </row>
    <row r="34" spans="1:10" s="9" customFormat="1" ht="13.9" customHeight="1" x14ac:dyDescent="0.25">
      <c r="A34" s="27">
        <v>44377</v>
      </c>
      <c r="B34" s="9" t="s">
        <v>10</v>
      </c>
      <c r="C34" s="35" t="s">
        <v>34</v>
      </c>
      <c r="D34" s="17">
        <f>-20712.66</f>
        <v>-20712.66</v>
      </c>
      <c r="E34" s="5"/>
      <c r="F34" s="17"/>
      <c r="G34" s="25">
        <v>-20712.66</v>
      </c>
      <c r="H34" s="62">
        <f t="shared" si="0"/>
        <v>0</v>
      </c>
      <c r="I34" s="3"/>
      <c r="J34" s="1"/>
    </row>
    <row r="35" spans="1:10" s="9" customFormat="1" ht="13.9" customHeight="1" x14ac:dyDescent="0.25">
      <c r="A35" s="27">
        <v>44377</v>
      </c>
      <c r="B35" s="9" t="s">
        <v>10</v>
      </c>
      <c r="C35" s="35" t="s">
        <v>35</v>
      </c>
      <c r="D35" s="17">
        <f>-37149.39</f>
        <v>-37149.39</v>
      </c>
      <c r="E35" s="5"/>
      <c r="F35" s="17"/>
      <c r="G35" s="25">
        <v>-37149.39</v>
      </c>
      <c r="H35" s="62">
        <f t="shared" si="0"/>
        <v>0</v>
      </c>
      <c r="I35" s="3"/>
      <c r="J35" s="1"/>
    </row>
    <row r="36" spans="1:10" s="9" customFormat="1" ht="13.9" customHeight="1" x14ac:dyDescent="0.25">
      <c r="A36" s="27">
        <v>44408</v>
      </c>
      <c r="B36" s="9" t="s">
        <v>13</v>
      </c>
      <c r="C36" s="35" t="s">
        <v>181</v>
      </c>
      <c r="D36" s="17">
        <v>37149.39</v>
      </c>
      <c r="E36" s="5"/>
      <c r="F36" s="17"/>
      <c r="G36" s="25">
        <v>37149.39</v>
      </c>
      <c r="H36" s="62">
        <f t="shared" si="0"/>
        <v>0</v>
      </c>
      <c r="I36" s="3"/>
      <c r="J36" s="1"/>
    </row>
    <row r="37" spans="1:10" s="9" customFormat="1" ht="13.9" customHeight="1" x14ac:dyDescent="0.25">
      <c r="A37" s="27">
        <v>44408</v>
      </c>
      <c r="B37" s="9" t="s">
        <v>13</v>
      </c>
      <c r="C37" s="35" t="s">
        <v>144</v>
      </c>
      <c r="D37" s="17">
        <v>1302.08</v>
      </c>
      <c r="E37" s="5"/>
      <c r="F37" s="17"/>
      <c r="G37" s="25">
        <v>1302.08</v>
      </c>
      <c r="H37" s="62">
        <f t="shared" si="0"/>
        <v>0</v>
      </c>
      <c r="I37" s="3"/>
      <c r="J37" s="1"/>
    </row>
    <row r="38" spans="1:10" s="9" customFormat="1" ht="13.9" customHeight="1" x14ac:dyDescent="0.25">
      <c r="A38" s="27">
        <v>44408</v>
      </c>
      <c r="B38" s="9" t="s">
        <v>13</v>
      </c>
      <c r="C38" s="35" t="s">
        <v>182</v>
      </c>
      <c r="D38" s="17">
        <f>-227777.44+52161.97</f>
        <v>-175615.47</v>
      </c>
      <c r="E38" s="5">
        <f>227777.44-52161.97-175615.47</f>
        <v>0</v>
      </c>
      <c r="F38" s="17"/>
      <c r="G38" s="25">
        <v>-175615.47</v>
      </c>
      <c r="H38" s="62">
        <f t="shared" si="0"/>
        <v>0</v>
      </c>
      <c r="I38" s="3"/>
      <c r="J38" s="1"/>
    </row>
    <row r="39" spans="1:10" s="9" customFormat="1" ht="13.9" customHeight="1" x14ac:dyDescent="0.25">
      <c r="A39" s="27">
        <v>44408</v>
      </c>
      <c r="B39" s="9" t="s">
        <v>13</v>
      </c>
      <c r="C39" s="35" t="s">
        <v>183</v>
      </c>
      <c r="D39" s="17">
        <f>-76777.05+9343.07</f>
        <v>-67433.98000000001</v>
      </c>
      <c r="E39" s="5">
        <f>76777.05-9343.07-67433.98</f>
        <v>0</v>
      </c>
      <c r="F39" s="17"/>
      <c r="G39" s="25">
        <v>-67433.98000000001</v>
      </c>
      <c r="H39" s="62">
        <f t="shared" si="0"/>
        <v>0</v>
      </c>
      <c r="I39" s="3"/>
      <c r="J39" s="1"/>
    </row>
    <row r="40" spans="1:10" s="9" customFormat="1" ht="13.9" customHeight="1" x14ac:dyDescent="0.25">
      <c r="A40" s="27">
        <v>44408</v>
      </c>
      <c r="B40" s="9" t="s">
        <v>13</v>
      </c>
      <c r="C40" s="35" t="s">
        <v>184</v>
      </c>
      <c r="D40" s="17">
        <f>15161.23+6.09</f>
        <v>15167.32</v>
      </c>
      <c r="E40" s="5"/>
      <c r="F40" s="17">
        <f>-6.09-15161.23+15167.32</f>
        <v>0</v>
      </c>
      <c r="G40" s="25">
        <v>15167.32</v>
      </c>
      <c r="H40" s="62">
        <f t="shared" si="0"/>
        <v>0</v>
      </c>
      <c r="I40" s="3"/>
      <c r="J40" s="1"/>
    </row>
    <row r="41" spans="1:10" s="9" customFormat="1" ht="13.9" customHeight="1" x14ac:dyDescent="0.25">
      <c r="A41" s="27">
        <v>44408</v>
      </c>
      <c r="B41" s="9" t="s">
        <v>13</v>
      </c>
      <c r="C41" s="35" t="s">
        <v>39</v>
      </c>
      <c r="D41" s="17">
        <v>-2750.02</v>
      </c>
      <c r="E41" s="5"/>
      <c r="F41" s="17"/>
      <c r="G41" s="25">
        <v>-2750.02</v>
      </c>
      <c r="H41" s="62">
        <f t="shared" si="0"/>
        <v>0</v>
      </c>
      <c r="I41" s="3"/>
      <c r="J41" s="1"/>
    </row>
    <row r="42" spans="1:10" s="9" customFormat="1" ht="13.9" customHeight="1" x14ac:dyDescent="0.25">
      <c r="A42" s="27">
        <v>44408</v>
      </c>
      <c r="B42" s="9" t="s">
        <v>13</v>
      </c>
      <c r="C42" s="35" t="s">
        <v>34</v>
      </c>
      <c r="D42" s="17">
        <v>104368.19</v>
      </c>
      <c r="E42" s="5"/>
      <c r="F42" s="17"/>
      <c r="G42" s="25">
        <v>104368.19</v>
      </c>
      <c r="H42" s="62">
        <f t="shared" si="0"/>
        <v>0</v>
      </c>
      <c r="I42" s="3"/>
      <c r="J42" s="1"/>
    </row>
    <row r="43" spans="1:10" s="9" customFormat="1" ht="13.9" customHeight="1" x14ac:dyDescent="0.25">
      <c r="A43" s="27">
        <v>44408</v>
      </c>
      <c r="B43" s="9" t="s">
        <v>13</v>
      </c>
      <c r="C43" s="35" t="s">
        <v>35</v>
      </c>
      <c r="D43" s="17">
        <v>-27290.78</v>
      </c>
      <c r="E43" s="5"/>
      <c r="F43" s="17"/>
      <c r="G43" s="25">
        <v>-27290.78</v>
      </c>
      <c r="H43" s="62">
        <f t="shared" si="0"/>
        <v>0</v>
      </c>
      <c r="I43" s="3"/>
      <c r="J43" s="1"/>
    </row>
    <row r="44" spans="1:10" s="9" customFormat="1" ht="13.9" customHeight="1" x14ac:dyDescent="0.25">
      <c r="A44" s="27">
        <v>44439</v>
      </c>
      <c r="B44" s="9" t="s">
        <v>13</v>
      </c>
      <c r="C44" s="35" t="s">
        <v>188</v>
      </c>
      <c r="D44" s="17">
        <v>27290.78</v>
      </c>
      <c r="E44" s="5"/>
      <c r="F44" s="17"/>
      <c r="G44" s="25">
        <v>27290.78</v>
      </c>
      <c r="H44" s="62">
        <f t="shared" si="0"/>
        <v>0</v>
      </c>
      <c r="I44" s="3"/>
      <c r="J44" s="1"/>
    </row>
    <row r="45" spans="1:10" s="9" customFormat="1" ht="13.9" customHeight="1" x14ac:dyDescent="0.25">
      <c r="A45" s="27">
        <v>44439</v>
      </c>
      <c r="B45" s="9" t="s">
        <v>13</v>
      </c>
      <c r="C45" s="35" t="s">
        <v>144</v>
      </c>
      <c r="D45" s="17">
        <v>1302.08</v>
      </c>
      <c r="E45" s="5"/>
      <c r="F45" s="17"/>
      <c r="G45" s="25">
        <v>1302.08</v>
      </c>
      <c r="H45" s="62">
        <f t="shared" si="0"/>
        <v>0</v>
      </c>
      <c r="I45" s="3"/>
      <c r="J45" s="1"/>
    </row>
    <row r="46" spans="1:10" s="9" customFormat="1" ht="13.9" customHeight="1" x14ac:dyDescent="0.25">
      <c r="A46" s="27">
        <v>44439</v>
      </c>
      <c r="B46" s="9" t="s">
        <v>13</v>
      </c>
      <c r="C46" s="35" t="s">
        <v>185</v>
      </c>
      <c r="D46" s="17">
        <f>27902.34+531.5</f>
        <v>28433.84</v>
      </c>
      <c r="E46" s="5"/>
      <c r="F46" s="17">
        <f>-27902.34-531.5+28433.84</f>
        <v>0</v>
      </c>
      <c r="G46" s="25">
        <v>28433.84</v>
      </c>
      <c r="H46" s="62">
        <f t="shared" si="0"/>
        <v>0</v>
      </c>
      <c r="I46" s="3"/>
      <c r="J46" s="1"/>
    </row>
    <row r="47" spans="1:10" s="9" customFormat="1" ht="13.9" customHeight="1" x14ac:dyDescent="0.25">
      <c r="A47" s="27">
        <v>44439</v>
      </c>
      <c r="B47" s="9" t="s">
        <v>13</v>
      </c>
      <c r="C47" s="35" t="s">
        <v>186</v>
      </c>
      <c r="D47" s="17">
        <f>-149539.76-3479.41</f>
        <v>-153019.17000000001</v>
      </c>
      <c r="E47" s="5">
        <f>149539.76+3479.41-153019.17</f>
        <v>0</v>
      </c>
      <c r="F47" s="17"/>
      <c r="G47" s="25">
        <v>-153019.17000000001</v>
      </c>
      <c r="H47" s="62">
        <f t="shared" si="0"/>
        <v>0</v>
      </c>
      <c r="I47" s="3"/>
      <c r="J47" s="1"/>
    </row>
    <row r="48" spans="1:10" s="9" customFormat="1" ht="13.9" customHeight="1" x14ac:dyDescent="0.25">
      <c r="A48" s="27">
        <v>44439</v>
      </c>
      <c r="B48" s="9" t="s">
        <v>13</v>
      </c>
      <c r="C48" s="35" t="s">
        <v>187</v>
      </c>
      <c r="D48" s="17">
        <v>33821.83</v>
      </c>
      <c r="E48" s="5"/>
      <c r="F48" s="17">
        <f>-33821.83+33821.83</f>
        <v>0</v>
      </c>
      <c r="G48" s="25">
        <v>33821.83</v>
      </c>
      <c r="H48" s="62">
        <f t="shared" si="0"/>
        <v>0</v>
      </c>
      <c r="I48" s="3"/>
      <c r="J48" s="1"/>
    </row>
    <row r="49" spans="1:10" s="9" customFormat="1" ht="13.9" customHeight="1" x14ac:dyDescent="0.25">
      <c r="A49" s="27">
        <v>44439</v>
      </c>
      <c r="B49" s="9" t="s">
        <v>13</v>
      </c>
      <c r="C49" s="35" t="s">
        <v>39</v>
      </c>
      <c r="D49" s="17">
        <v>-2750.02</v>
      </c>
      <c r="E49" s="5"/>
      <c r="F49" s="17"/>
      <c r="G49" s="25">
        <v>-2750.02</v>
      </c>
      <c r="H49" s="62">
        <f t="shared" si="0"/>
        <v>0</v>
      </c>
      <c r="I49" s="3"/>
      <c r="J49" s="1"/>
    </row>
    <row r="50" spans="1:10" s="9" customFormat="1" ht="13.9" customHeight="1" x14ac:dyDescent="0.25">
      <c r="A50" s="27">
        <v>44439</v>
      </c>
      <c r="B50" s="9" t="s">
        <v>13</v>
      </c>
      <c r="C50" s="35" t="s">
        <v>34</v>
      </c>
      <c r="D50" s="17">
        <f>-174012.31+24159.79</f>
        <v>-149852.51999999999</v>
      </c>
      <c r="E50" s="5"/>
      <c r="F50" s="17"/>
      <c r="G50" s="25">
        <v>-149852.51999999999</v>
      </c>
      <c r="H50" s="62">
        <f t="shared" si="0"/>
        <v>0</v>
      </c>
      <c r="I50" s="3"/>
      <c r="J50" s="1"/>
    </row>
    <row r="51" spans="1:10" s="9" customFormat="1" ht="13.9" customHeight="1" x14ac:dyDescent="0.25">
      <c r="A51" s="27">
        <v>44439</v>
      </c>
      <c r="B51" s="9" t="s">
        <v>13</v>
      </c>
      <c r="C51" s="35" t="s">
        <v>35</v>
      </c>
      <c r="D51" s="17">
        <v>-46615.29</v>
      </c>
      <c r="E51" s="5"/>
      <c r="F51" s="17"/>
      <c r="G51" s="25">
        <v>-46615.29</v>
      </c>
      <c r="H51" s="62">
        <f t="shared" si="0"/>
        <v>0</v>
      </c>
      <c r="I51" s="3"/>
      <c r="J51" s="1"/>
    </row>
    <row r="52" spans="1:10" s="9" customFormat="1" ht="13.9" customHeight="1" x14ac:dyDescent="0.25">
      <c r="A52" s="27">
        <v>44469</v>
      </c>
      <c r="B52" s="9" t="s">
        <v>13</v>
      </c>
      <c r="C52" s="35" t="s">
        <v>192</v>
      </c>
      <c r="D52" s="17">
        <v>46615.29</v>
      </c>
      <c r="E52" s="5"/>
      <c r="F52" s="17"/>
      <c r="G52" s="25">
        <v>46615.29</v>
      </c>
      <c r="H52" s="62">
        <f t="shared" si="0"/>
        <v>0</v>
      </c>
      <c r="I52" s="3"/>
      <c r="J52" s="1"/>
    </row>
    <row r="53" spans="1:10" s="9" customFormat="1" ht="13.9" customHeight="1" x14ac:dyDescent="0.25">
      <c r="A53" s="27">
        <v>44469</v>
      </c>
      <c r="B53" s="9" t="s">
        <v>13</v>
      </c>
      <c r="C53" s="35" t="s">
        <v>144</v>
      </c>
      <c r="D53" s="17">
        <v>1302.08</v>
      </c>
      <c r="E53" s="5"/>
      <c r="F53" s="17"/>
      <c r="G53" s="25">
        <v>1302.08</v>
      </c>
      <c r="H53" s="62">
        <f t="shared" si="0"/>
        <v>0</v>
      </c>
      <c r="I53" s="3"/>
      <c r="J53" s="1"/>
    </row>
    <row r="54" spans="1:10" s="9" customFormat="1" ht="13.9" customHeight="1" x14ac:dyDescent="0.25">
      <c r="A54" s="27">
        <v>44469</v>
      </c>
      <c r="B54" s="9" t="s">
        <v>13</v>
      </c>
      <c r="C54" s="35" t="s">
        <v>189</v>
      </c>
      <c r="D54" s="17">
        <f>-13384.83+4474.73</f>
        <v>-8910.1</v>
      </c>
      <c r="E54" s="5">
        <f>13384.83-4474.73-8910.1</f>
        <v>0</v>
      </c>
      <c r="F54" s="17"/>
      <c r="G54" s="25">
        <v>-13384.83</v>
      </c>
      <c r="H54" s="62">
        <f t="shared" si="0"/>
        <v>4474.7299999999996</v>
      </c>
      <c r="I54" s="3"/>
      <c r="J54" s="1"/>
    </row>
    <row r="55" spans="1:10" s="9" customFormat="1" ht="13.9" customHeight="1" x14ac:dyDescent="0.25">
      <c r="A55" s="27">
        <v>44469</v>
      </c>
      <c r="B55" s="9" t="s">
        <v>13</v>
      </c>
      <c r="C55" s="35" t="s">
        <v>190</v>
      </c>
      <c r="D55" s="17">
        <f>-67613.26-1061.92</f>
        <v>-68675.179999999993</v>
      </c>
      <c r="E55" s="5">
        <f>67613.26+1061.92-68675.18</f>
        <v>0</v>
      </c>
      <c r="F55" s="17"/>
      <c r="G55" s="25">
        <v>-67613.259999999995</v>
      </c>
      <c r="H55" s="62">
        <f t="shared" si="0"/>
        <v>-1061.9199999999983</v>
      </c>
      <c r="I55" s="3"/>
      <c r="J55" s="1"/>
    </row>
    <row r="56" spans="1:10" s="9" customFormat="1" ht="13.9" customHeight="1" x14ac:dyDescent="0.25">
      <c r="A56" s="27">
        <v>44469</v>
      </c>
      <c r="B56" s="9" t="s">
        <v>13</v>
      </c>
      <c r="C56" s="35" t="s">
        <v>191</v>
      </c>
      <c r="D56" s="17">
        <f>-148366.03-19367.43</f>
        <v>-167733.46</v>
      </c>
      <c r="E56" s="5">
        <f>148366.03+19367.43-167733.46</f>
        <v>0</v>
      </c>
      <c r="F56" s="17"/>
      <c r="G56" s="25">
        <v>-148366.03</v>
      </c>
      <c r="H56" s="62">
        <f t="shared" si="0"/>
        <v>-19367.429999999993</v>
      </c>
      <c r="I56" s="3"/>
      <c r="J56" s="1"/>
    </row>
    <row r="57" spans="1:10" s="9" customFormat="1" ht="13.9" customHeight="1" x14ac:dyDescent="0.25">
      <c r="A57" s="27">
        <v>44469</v>
      </c>
      <c r="B57" s="9" t="s">
        <v>13</v>
      </c>
      <c r="C57" s="35" t="s">
        <v>39</v>
      </c>
      <c r="D57" s="17">
        <v>-2750.02</v>
      </c>
      <c r="E57" s="5"/>
      <c r="F57" s="17"/>
      <c r="G57" s="25">
        <v>-2750.02</v>
      </c>
      <c r="H57" s="62">
        <f t="shared" si="0"/>
        <v>0</v>
      </c>
      <c r="I57" s="3"/>
      <c r="J57" s="1"/>
    </row>
    <row r="58" spans="1:10" s="9" customFormat="1" ht="13.9" customHeight="1" x14ac:dyDescent="0.25">
      <c r="A58" s="27">
        <v>44469</v>
      </c>
      <c r="B58" s="9" t="s">
        <v>13</v>
      </c>
      <c r="C58" s="35" t="s">
        <v>34</v>
      </c>
      <c r="D58" s="17">
        <f>108395.7-49411.97</f>
        <v>58983.729999999996</v>
      </c>
      <c r="E58" s="5"/>
      <c r="F58" s="17"/>
      <c r="G58" s="25">
        <v>108395.7</v>
      </c>
      <c r="H58" s="62">
        <f t="shared" si="0"/>
        <v>-49411.97</v>
      </c>
      <c r="I58" s="3"/>
      <c r="J58" s="1"/>
    </row>
    <row r="59" spans="1:10" s="9" customFormat="1" ht="13.9" customHeight="1" x14ac:dyDescent="0.25">
      <c r="A59" s="27">
        <v>44469</v>
      </c>
      <c r="B59" s="9" t="s">
        <v>13</v>
      </c>
      <c r="C59" s="35" t="s">
        <v>35</v>
      </c>
      <c r="D59" s="17">
        <v>-63680.79</v>
      </c>
      <c r="E59" s="5"/>
      <c r="F59" s="17"/>
      <c r="G59" s="25">
        <v>-63680.79</v>
      </c>
      <c r="H59" s="62">
        <f t="shared" si="0"/>
        <v>0</v>
      </c>
      <c r="I59" s="3"/>
      <c r="J59" s="1"/>
    </row>
    <row r="60" spans="1:10" s="9" customFormat="1" ht="13.9" customHeight="1" x14ac:dyDescent="0.25">
      <c r="A60" s="27">
        <v>44500</v>
      </c>
      <c r="B60" s="9" t="s">
        <v>18</v>
      </c>
      <c r="C60" s="35" t="s">
        <v>196</v>
      </c>
      <c r="D60" s="17">
        <v>63680.78</v>
      </c>
      <c r="E60" s="5"/>
      <c r="F60" s="17"/>
      <c r="G60" s="38"/>
      <c r="H60" s="62">
        <f t="shared" si="0"/>
        <v>63680.78</v>
      </c>
      <c r="I60" s="3"/>
      <c r="J60" s="1"/>
    </row>
    <row r="61" spans="1:10" s="9" customFormat="1" ht="13.9" customHeight="1" x14ac:dyDescent="0.25">
      <c r="A61" s="27">
        <v>44500</v>
      </c>
      <c r="B61" s="9" t="s">
        <v>18</v>
      </c>
      <c r="C61" s="35" t="s">
        <v>144</v>
      </c>
      <c r="D61" s="17">
        <v>1302.08</v>
      </c>
      <c r="E61" s="5"/>
      <c r="F61" s="17"/>
      <c r="G61" s="38"/>
      <c r="H61" s="62">
        <f t="shared" si="0"/>
        <v>1302.08</v>
      </c>
      <c r="I61" s="3"/>
      <c r="J61" s="1"/>
    </row>
    <row r="62" spans="1:10" s="9" customFormat="1" ht="13.9" customHeight="1" x14ac:dyDescent="0.25">
      <c r="A62" s="27">
        <v>44500</v>
      </c>
      <c r="B62" s="9" t="s">
        <v>18</v>
      </c>
      <c r="C62" s="35" t="s">
        <v>193</v>
      </c>
      <c r="D62" s="17">
        <f>-20970.68+1269.76+19700.92+19700.92</f>
        <v>19700.919999999995</v>
      </c>
      <c r="E62" s="5">
        <f>20970.68-1269.76-19700.92</f>
        <v>0</v>
      </c>
      <c r="F62" s="17"/>
      <c r="G62" s="38"/>
      <c r="H62" s="62">
        <f t="shared" si="0"/>
        <v>19700.919999999995</v>
      </c>
      <c r="I62" s="3"/>
      <c r="J62" s="1"/>
    </row>
    <row r="63" spans="1:10" s="9" customFormat="1" ht="13.9" customHeight="1" x14ac:dyDescent="0.25">
      <c r="A63" s="27">
        <v>44500</v>
      </c>
      <c r="B63" s="9" t="s">
        <v>18</v>
      </c>
      <c r="C63" s="35" t="s">
        <v>194</v>
      </c>
      <c r="D63" s="17">
        <f>-132112.59-147.23</f>
        <v>-132259.82</v>
      </c>
      <c r="E63" s="5">
        <f>132112.59+147.23-132259.82</f>
        <v>0</v>
      </c>
      <c r="F63" s="17"/>
      <c r="G63" s="38"/>
      <c r="H63" s="62">
        <f t="shared" si="0"/>
        <v>-132259.82</v>
      </c>
      <c r="I63" s="3"/>
      <c r="J63" s="1"/>
    </row>
    <row r="64" spans="1:10" s="9" customFormat="1" ht="13.9" customHeight="1" x14ac:dyDescent="0.25">
      <c r="A64" s="27">
        <v>44500</v>
      </c>
      <c r="B64" s="9" t="s">
        <v>18</v>
      </c>
      <c r="C64" s="35" t="s">
        <v>195</v>
      </c>
      <c r="D64" s="17">
        <f>-35621.22-2421.64</f>
        <v>-38042.86</v>
      </c>
      <c r="E64" s="5">
        <f>35621.22+2421.64-38042.86</f>
        <v>0</v>
      </c>
      <c r="F64" s="17"/>
      <c r="G64" s="38"/>
      <c r="H64" s="62">
        <f t="shared" si="0"/>
        <v>-38042.86</v>
      </c>
      <c r="I64" s="3"/>
      <c r="J64" s="1"/>
    </row>
    <row r="65" spans="1:10" s="9" customFormat="1" ht="13.9" customHeight="1" x14ac:dyDescent="0.25">
      <c r="A65" s="27">
        <v>44500</v>
      </c>
      <c r="B65" s="9" t="s">
        <v>18</v>
      </c>
      <c r="C65" s="35" t="s">
        <v>39</v>
      </c>
      <c r="D65" s="17">
        <v>-2750.02</v>
      </c>
      <c r="E65" s="5"/>
      <c r="F65" s="17"/>
      <c r="G65" s="38"/>
      <c r="H65" s="62">
        <f t="shared" si="0"/>
        <v>-2750.02</v>
      </c>
      <c r="I65" s="3"/>
      <c r="J65" s="1"/>
    </row>
    <row r="66" spans="1:10" s="9" customFormat="1" ht="13.9" customHeight="1" x14ac:dyDescent="0.25">
      <c r="A66" s="27">
        <v>44500</v>
      </c>
      <c r="B66" s="9" t="s">
        <v>18</v>
      </c>
      <c r="C66" s="35" t="s">
        <v>34</v>
      </c>
      <c r="D66" s="17">
        <f>12117.93+24000</f>
        <v>36117.93</v>
      </c>
      <c r="E66" s="5"/>
      <c r="F66" s="17"/>
      <c r="G66" s="38"/>
      <c r="H66" s="62">
        <f t="shared" si="0"/>
        <v>36117.93</v>
      </c>
      <c r="I66" s="3"/>
      <c r="J66" s="1"/>
    </row>
    <row r="67" spans="1:10" s="9" customFormat="1" ht="13.9" customHeight="1" x14ac:dyDescent="0.25">
      <c r="A67" s="27">
        <v>44500</v>
      </c>
      <c r="B67" s="9" t="s">
        <v>18</v>
      </c>
      <c r="C67" s="35" t="s">
        <v>35</v>
      </c>
      <c r="D67" s="17">
        <v>-4476.42</v>
      </c>
      <c r="E67" s="5"/>
      <c r="F67" s="17"/>
      <c r="G67" s="38"/>
      <c r="H67" s="62">
        <f t="shared" si="0"/>
        <v>-4476.42</v>
      </c>
      <c r="I67" s="3"/>
      <c r="J67" s="1"/>
    </row>
    <row r="68" spans="1:10" s="9" customFormat="1" ht="13.9" customHeight="1" x14ac:dyDescent="0.25">
      <c r="A68" s="27">
        <v>44530</v>
      </c>
      <c r="B68" s="9" t="s">
        <v>18</v>
      </c>
      <c r="C68" s="35" t="s">
        <v>200</v>
      </c>
      <c r="D68" s="17">
        <v>4476.42</v>
      </c>
      <c r="E68" s="5"/>
      <c r="F68" s="17"/>
      <c r="G68" s="38"/>
      <c r="H68" s="62">
        <f t="shared" si="0"/>
        <v>4476.42</v>
      </c>
      <c r="I68" s="3"/>
      <c r="J68" s="1"/>
    </row>
    <row r="69" spans="1:10" s="9" customFormat="1" ht="13.9" customHeight="1" x14ac:dyDescent="0.25">
      <c r="A69" s="27">
        <v>44530</v>
      </c>
      <c r="B69" s="9" t="s">
        <v>18</v>
      </c>
      <c r="C69" s="35" t="s">
        <v>144</v>
      </c>
      <c r="D69" s="17">
        <v>1302.08</v>
      </c>
      <c r="E69" s="5"/>
      <c r="F69" s="17"/>
      <c r="G69" s="38"/>
      <c r="H69" s="62">
        <f t="shared" si="0"/>
        <v>1302.08</v>
      </c>
      <c r="I69" s="3"/>
      <c r="J69" s="1"/>
    </row>
    <row r="70" spans="1:10" s="9" customFormat="1" ht="13.9" customHeight="1" x14ac:dyDescent="0.25">
      <c r="A70" s="27">
        <v>44530</v>
      </c>
      <c r="B70" s="9" t="s">
        <v>18</v>
      </c>
      <c r="C70" s="35" t="s">
        <v>201</v>
      </c>
      <c r="D70" s="17">
        <f>309699.09-5575.83</f>
        <v>304123.26</v>
      </c>
      <c r="E70" s="5"/>
      <c r="F70" s="81">
        <f>-309699.09+5575.83</f>
        <v>-304123.26</v>
      </c>
      <c r="G70" s="38"/>
      <c r="H70" s="62">
        <f t="shared" si="0"/>
        <v>304123.26</v>
      </c>
      <c r="I70" s="3"/>
      <c r="J70" s="1"/>
    </row>
    <row r="71" spans="1:10" s="9" customFormat="1" ht="13.9" customHeight="1" x14ac:dyDescent="0.25">
      <c r="A71" s="27">
        <v>44530</v>
      </c>
      <c r="B71" s="9" t="s">
        <v>18</v>
      </c>
      <c r="C71" s="35" t="s">
        <v>202</v>
      </c>
      <c r="D71" s="17">
        <f>-332840.28+7181.62</f>
        <v>-325658.66000000003</v>
      </c>
      <c r="E71" s="5">
        <f>332840.28-7181.62-325658.66</f>
        <v>0</v>
      </c>
      <c r="F71" s="17"/>
      <c r="G71" s="38"/>
      <c r="H71" s="62">
        <f t="shared" ref="H71:H85" si="1">D71-G71</f>
        <v>-325658.66000000003</v>
      </c>
      <c r="I71" s="3"/>
      <c r="J71" s="1"/>
    </row>
    <row r="72" spans="1:10" s="9" customFormat="1" ht="13.9" customHeight="1" x14ac:dyDescent="0.25">
      <c r="A72" s="27">
        <v>44530</v>
      </c>
      <c r="B72" s="9" t="s">
        <v>18</v>
      </c>
      <c r="C72" s="35" t="s">
        <v>203</v>
      </c>
      <c r="D72" s="17">
        <f>-84316.47-3158.99</f>
        <v>-87475.46</v>
      </c>
      <c r="E72" s="5">
        <f>84316.47+3158.99-87475.46</f>
        <v>0</v>
      </c>
      <c r="F72" s="17"/>
      <c r="G72" s="38"/>
      <c r="H72" s="62">
        <f t="shared" si="1"/>
        <v>-87475.46</v>
      </c>
      <c r="I72" s="3"/>
      <c r="J72" s="1"/>
    </row>
    <row r="73" spans="1:10" s="9" customFormat="1" ht="13.9" customHeight="1" x14ac:dyDescent="0.25">
      <c r="A73" s="27">
        <v>44530</v>
      </c>
      <c r="B73" s="9" t="s">
        <v>18</v>
      </c>
      <c r="C73" s="35" t="s">
        <v>39</v>
      </c>
      <c r="D73" s="17">
        <v>166.64</v>
      </c>
      <c r="E73" s="5"/>
      <c r="F73" s="17"/>
      <c r="G73" s="38"/>
      <c r="H73" s="62">
        <f t="shared" si="1"/>
        <v>166.64</v>
      </c>
      <c r="I73" s="3"/>
      <c r="J73" s="1"/>
    </row>
    <row r="74" spans="1:10" s="9" customFormat="1" ht="13.9" customHeight="1" x14ac:dyDescent="0.25">
      <c r="A74" s="27">
        <v>44530</v>
      </c>
      <c r="B74" s="9" t="s">
        <v>18</v>
      </c>
      <c r="C74" s="35" t="s">
        <v>34</v>
      </c>
      <c r="D74" s="17">
        <v>125611.93</v>
      </c>
      <c r="E74" s="5"/>
      <c r="F74" s="17"/>
      <c r="G74" s="38"/>
      <c r="H74" s="62">
        <f t="shared" si="1"/>
        <v>125611.93</v>
      </c>
      <c r="I74" s="3"/>
      <c r="J74" s="1"/>
    </row>
    <row r="75" spans="1:10" s="9" customFormat="1" ht="13.9" customHeight="1" x14ac:dyDescent="0.25">
      <c r="A75" s="27">
        <v>44530</v>
      </c>
      <c r="B75" s="9" t="s">
        <v>18</v>
      </c>
      <c r="C75" s="35" t="s">
        <v>35</v>
      </c>
      <c r="D75" s="17">
        <v>-53584.14</v>
      </c>
      <c r="E75" s="5"/>
      <c r="F75" s="17"/>
      <c r="G75" s="38"/>
      <c r="H75" s="62">
        <f t="shared" si="1"/>
        <v>-53584.14</v>
      </c>
      <c r="I75" s="3"/>
      <c r="J75" s="1"/>
    </row>
    <row r="76" spans="1:10" s="9" customFormat="1" ht="13.9" customHeight="1" x14ac:dyDescent="0.25">
      <c r="A76" s="27">
        <v>44561</v>
      </c>
      <c r="B76" s="9" t="s">
        <v>18</v>
      </c>
      <c r="C76" s="35" t="s">
        <v>204</v>
      </c>
      <c r="D76" s="17">
        <v>53584.14</v>
      </c>
      <c r="E76" s="5"/>
      <c r="F76" s="17"/>
      <c r="G76" s="38"/>
      <c r="H76" s="62">
        <f t="shared" si="1"/>
        <v>53584.14</v>
      </c>
      <c r="I76" s="3"/>
      <c r="J76" s="1"/>
    </row>
    <row r="77" spans="1:10" s="9" customFormat="1" ht="13.9" customHeight="1" x14ac:dyDescent="0.25">
      <c r="A77" s="27">
        <v>44561</v>
      </c>
      <c r="B77" s="9" t="s">
        <v>18</v>
      </c>
      <c r="C77" s="35" t="s">
        <v>144</v>
      </c>
      <c r="D77" s="17">
        <v>1302.1199999999999</v>
      </c>
      <c r="E77" s="5"/>
      <c r="F77" s="17"/>
      <c r="G77" s="38"/>
      <c r="H77" s="62">
        <f t="shared" si="1"/>
        <v>1302.1199999999999</v>
      </c>
      <c r="I77" s="3"/>
      <c r="J77" s="1"/>
    </row>
    <row r="78" spans="1:10" s="9" customFormat="1" ht="13.9" customHeight="1" x14ac:dyDescent="0.25">
      <c r="A78" s="27">
        <v>44561</v>
      </c>
      <c r="B78" s="9" t="s">
        <v>18</v>
      </c>
      <c r="C78" s="35" t="s">
        <v>205</v>
      </c>
      <c r="D78" s="17">
        <v>-282618.86</v>
      </c>
      <c r="E78" s="79">
        <v>282618.86</v>
      </c>
      <c r="F78" s="17"/>
      <c r="G78" s="38"/>
      <c r="H78" s="62">
        <f t="shared" si="1"/>
        <v>-282618.86</v>
      </c>
      <c r="I78" s="3"/>
      <c r="J78" s="1"/>
    </row>
    <row r="79" spans="1:10" s="9" customFormat="1" ht="13.9" customHeight="1" x14ac:dyDescent="0.25">
      <c r="A79" s="27">
        <v>44561</v>
      </c>
      <c r="B79" s="9" t="s">
        <v>18</v>
      </c>
      <c r="C79" s="35" t="s">
        <v>206</v>
      </c>
      <c r="D79" s="17">
        <v>-132205.56</v>
      </c>
      <c r="E79" s="56">
        <v>132205.56</v>
      </c>
      <c r="F79" s="17"/>
      <c r="G79" s="38"/>
      <c r="H79" s="62">
        <f t="shared" si="1"/>
        <v>-132205.56</v>
      </c>
      <c r="I79" s="3"/>
      <c r="J79" s="1"/>
    </row>
    <row r="80" spans="1:10" s="9" customFormat="1" ht="13.9" customHeight="1" x14ac:dyDescent="0.25">
      <c r="A80" s="27">
        <v>44561</v>
      </c>
      <c r="B80" s="9" t="s">
        <v>18</v>
      </c>
      <c r="C80" s="35" t="s">
        <v>207</v>
      </c>
      <c r="D80" s="17">
        <v>72646.37</v>
      </c>
      <c r="E80" s="5"/>
      <c r="F80" s="91">
        <v>-72646.37</v>
      </c>
      <c r="G80" s="38"/>
      <c r="H80" s="62">
        <f t="shared" si="1"/>
        <v>72646.37</v>
      </c>
      <c r="I80" s="3"/>
      <c r="J80" s="1"/>
    </row>
    <row r="81" spans="1:10" s="9" customFormat="1" ht="13.9" customHeight="1" x14ac:dyDescent="0.25">
      <c r="A81" s="44">
        <v>44561</v>
      </c>
      <c r="B81" s="24" t="s">
        <v>18</v>
      </c>
      <c r="C81" s="26" t="s">
        <v>41</v>
      </c>
      <c r="D81" s="33">
        <v>-3000.02</v>
      </c>
      <c r="E81" s="5"/>
      <c r="F81" s="17"/>
      <c r="G81" s="38"/>
      <c r="H81" s="62">
        <f t="shared" si="1"/>
        <v>-3000.02</v>
      </c>
      <c r="I81" s="3"/>
      <c r="J81" s="1"/>
    </row>
    <row r="82" spans="1:10" s="9" customFormat="1" ht="13.9" customHeight="1" x14ac:dyDescent="0.25">
      <c r="A82" s="44">
        <v>44561</v>
      </c>
      <c r="B82" s="24" t="s">
        <v>18</v>
      </c>
      <c r="C82" s="26" t="s">
        <v>42</v>
      </c>
      <c r="D82" s="33">
        <v>177020.78</v>
      </c>
      <c r="E82" s="5"/>
      <c r="F82" s="17"/>
      <c r="G82" s="38"/>
      <c r="H82" s="62">
        <f t="shared" si="1"/>
        <v>177020.78</v>
      </c>
      <c r="I82" s="3"/>
      <c r="J82" s="1"/>
    </row>
    <row r="83" spans="1:10" s="9" customFormat="1" ht="13.9" customHeight="1" x14ac:dyDescent="0.25">
      <c r="A83" s="44">
        <v>44561</v>
      </c>
      <c r="B83" s="24" t="s">
        <v>18</v>
      </c>
      <c r="C83" s="26" t="s">
        <v>43</v>
      </c>
      <c r="D83" s="33">
        <v>-51382.93</v>
      </c>
      <c r="E83" s="5"/>
      <c r="F83" s="17"/>
      <c r="G83" s="38"/>
      <c r="H83" s="62">
        <f t="shared" si="1"/>
        <v>-51382.93</v>
      </c>
      <c r="I83" s="3"/>
      <c r="J83" s="1"/>
    </row>
    <row r="84" spans="1:10" s="9" customFormat="1" ht="13.9" customHeight="1" x14ac:dyDescent="0.25">
      <c r="A84" s="27"/>
      <c r="C84" s="35"/>
      <c r="D84" s="17"/>
      <c r="E84" s="5"/>
      <c r="F84" s="17"/>
      <c r="G84" s="38"/>
      <c r="H84" s="62">
        <f t="shared" si="1"/>
        <v>0</v>
      </c>
      <c r="I84" s="3"/>
      <c r="J84" s="1"/>
    </row>
    <row r="85" spans="1:10" s="9" customFormat="1" x14ac:dyDescent="0.25">
      <c r="A85" s="63"/>
      <c r="B85" s="46"/>
      <c r="C85" s="64"/>
      <c r="D85" s="22"/>
      <c r="E85" s="21"/>
      <c r="F85" s="22"/>
      <c r="G85" s="21"/>
      <c r="H85" s="62">
        <f t="shared" si="1"/>
        <v>0</v>
      </c>
      <c r="J85" s="1"/>
    </row>
    <row r="86" spans="1:10" x14ac:dyDescent="0.25">
      <c r="B86" s="9"/>
      <c r="C86" s="9"/>
      <c r="D86" s="45">
        <f>SUM(D7:D85)</f>
        <v>-1119522.4699999997</v>
      </c>
      <c r="E86" s="45">
        <f>SUM(E7:E85)</f>
        <v>414824.42</v>
      </c>
      <c r="F86" s="45">
        <f>SUM(F7:F85)</f>
        <v>-376769.63</v>
      </c>
      <c r="G86" s="45">
        <f>SUM(G6:G85)</f>
        <v>-722613.26000000013</v>
      </c>
      <c r="H86" s="45">
        <f>SUM(H6:H85)</f>
        <v>-291411.45000000007</v>
      </c>
      <c r="J86" s="1"/>
    </row>
    <row r="87" spans="1:10" x14ac:dyDescent="0.25">
      <c r="B87" s="9"/>
      <c r="C87" s="9"/>
      <c r="D87" s="2"/>
      <c r="E87" s="2"/>
      <c r="F87" s="2"/>
      <c r="G87" s="1">
        <f>G86*-1</f>
        <v>722613.26000000013</v>
      </c>
      <c r="H87" s="2"/>
    </row>
    <row r="88" spans="1:10" ht="45" x14ac:dyDescent="0.25">
      <c r="B88" s="9"/>
      <c r="C88" s="9" t="s">
        <v>6</v>
      </c>
      <c r="D88" s="11"/>
      <c r="E88" s="68">
        <v>414824.42</v>
      </c>
      <c r="F88" s="8">
        <v>-376769.63</v>
      </c>
      <c r="G88" s="9"/>
      <c r="H88" s="8">
        <v>-291411.45</v>
      </c>
      <c r="I88" s="85" t="s">
        <v>174</v>
      </c>
      <c r="J88" s="1" t="s">
        <v>120</v>
      </c>
    </row>
    <row r="89" spans="1:10" x14ac:dyDescent="0.25">
      <c r="B89" s="9"/>
      <c r="C89" s="9" t="s">
        <v>28</v>
      </c>
      <c r="D89" s="10"/>
      <c r="E89" s="10">
        <f>E86-E88</f>
        <v>0</v>
      </c>
      <c r="F89" s="10">
        <f>F86-F88</f>
        <v>0</v>
      </c>
      <c r="G89" s="10"/>
      <c r="H89" s="10">
        <f>H86-H88</f>
        <v>0</v>
      </c>
      <c r="J89" s="1"/>
    </row>
    <row r="90" spans="1:10" x14ac:dyDescent="0.25">
      <c r="B90" s="9"/>
      <c r="C90" s="9"/>
      <c r="D90" s="9"/>
      <c r="E90" s="9"/>
      <c r="F90" s="4"/>
      <c r="G90" s="20"/>
      <c r="H90" s="1"/>
    </row>
    <row r="91" spans="1:10" x14ac:dyDescent="0.25">
      <c r="B91" s="9"/>
      <c r="C91" s="106" t="s">
        <v>30</v>
      </c>
      <c r="D91" s="107"/>
      <c r="E91" s="10"/>
      <c r="F91" s="12"/>
      <c r="G91" s="103"/>
      <c r="H91" s="19"/>
      <c r="J91" s="1"/>
    </row>
    <row r="92" spans="1:10" x14ac:dyDescent="0.25">
      <c r="B92" s="9"/>
      <c r="C92" s="28" t="s">
        <v>150</v>
      </c>
      <c r="D92" s="61">
        <v>0</v>
      </c>
      <c r="E92" s="9"/>
      <c r="F92" s="103"/>
      <c r="G92" s="103"/>
      <c r="H92" s="19"/>
      <c r="J92" s="1"/>
    </row>
    <row r="93" spans="1:10" x14ac:dyDescent="0.25">
      <c r="B93" s="9"/>
      <c r="C93" s="29" t="s">
        <v>27</v>
      </c>
      <c r="D93" s="42">
        <f>F80</f>
        <v>-72646.37</v>
      </c>
      <c r="E93" s="9"/>
      <c r="F93" s="103"/>
      <c r="G93" s="103"/>
      <c r="H93" s="19"/>
      <c r="J93" s="1"/>
    </row>
    <row r="94" spans="1:10" x14ac:dyDescent="0.25">
      <c r="B94" s="9"/>
      <c r="C94" s="29" t="s">
        <v>33</v>
      </c>
      <c r="D94" s="55">
        <f>E79</f>
        <v>132205.56</v>
      </c>
      <c r="E94" s="59"/>
      <c r="F94" s="103"/>
      <c r="G94" s="103" t="s">
        <v>25</v>
      </c>
      <c r="H94" s="19"/>
      <c r="J94" s="1"/>
    </row>
    <row r="95" spans="1:10" ht="15.75" thickBot="1" x14ac:dyDescent="0.3">
      <c r="C95" s="30" t="s">
        <v>38</v>
      </c>
      <c r="D95" s="80">
        <f>+E54+E62+F70+E78</f>
        <v>-21504.400000000023</v>
      </c>
      <c r="F95" s="103"/>
      <c r="G95" s="103"/>
      <c r="H95" s="43"/>
      <c r="J95" s="1"/>
    </row>
    <row r="96" spans="1:10" x14ac:dyDescent="0.25">
      <c r="C96" s="31"/>
      <c r="D96" s="32">
        <f>SUM(D92:D95)</f>
        <v>38054.789999999979</v>
      </c>
      <c r="F96" s="12"/>
      <c r="G96" s="103"/>
      <c r="H96" s="43"/>
    </row>
    <row r="97" spans="3:8" x14ac:dyDescent="0.25">
      <c r="C97" s="18"/>
      <c r="D97" s="19"/>
      <c r="F97" s="12"/>
      <c r="G97" s="103"/>
      <c r="H97" s="43"/>
    </row>
    <row r="98" spans="3:8" x14ac:dyDescent="0.25">
      <c r="C98" s="92" t="s">
        <v>165</v>
      </c>
      <c r="D98" s="19">
        <f>(E88+F88)-D96</f>
        <v>0</v>
      </c>
      <c r="F98" s="18"/>
      <c r="G98" s="103"/>
      <c r="H98" s="43"/>
    </row>
    <row r="99" spans="3:8" x14ac:dyDescent="0.25">
      <c r="C99" s="18"/>
      <c r="D99" s="19"/>
      <c r="F99" s="18"/>
      <c r="G99" s="103"/>
      <c r="H99" s="43"/>
    </row>
    <row r="100" spans="3:8" x14ac:dyDescent="0.25">
      <c r="F100" s="18"/>
      <c r="G100" s="103"/>
      <c r="H100" s="43"/>
    </row>
    <row r="101" spans="3:8" x14ac:dyDescent="0.25">
      <c r="F101" s="18"/>
      <c r="G101" s="103"/>
      <c r="H101" s="43"/>
    </row>
    <row r="102" spans="3:8" x14ac:dyDescent="0.25">
      <c r="F102" s="18"/>
      <c r="G102" s="103"/>
      <c r="H102" s="43"/>
    </row>
    <row r="103" spans="3:8" x14ac:dyDescent="0.25">
      <c r="F103" s="18"/>
      <c r="G103" s="103"/>
      <c r="H103" s="43"/>
    </row>
    <row r="104" spans="3:8" x14ac:dyDescent="0.25">
      <c r="F104" s="18"/>
      <c r="G104" s="18"/>
      <c r="H104" s="18"/>
    </row>
  </sheetData>
  <autoFilter ref="A5:K96">
    <filterColumn colId="0" showButton="0"/>
  </autoFilter>
  <mergeCells count="3">
    <mergeCell ref="A5:B5"/>
    <mergeCell ref="A6:B6"/>
    <mergeCell ref="C91:D91"/>
  </mergeCells>
  <pageMargins left="0.7" right="0.7" top="0.5" bottom="0.5" header="0.3" footer="0.3"/>
  <pageSetup scale="43" orientation="portrait" r:id="rId1"/>
  <headerFooter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zoomScaleNormal="100" workbookViewId="0">
      <pane ySplit="5" topLeftCell="A85" activePane="bottomLeft" state="frozen"/>
      <selection activeCell="C1" sqref="C1"/>
      <selection pane="bottomLeft" activeCell="A99" sqref="A99"/>
    </sheetView>
  </sheetViews>
  <sheetFormatPr defaultColWidth="9.140625" defaultRowHeight="15" x14ac:dyDescent="0.25"/>
  <cols>
    <col min="1" max="1" width="13.85546875" style="7" customWidth="1"/>
    <col min="2" max="2" width="8.7109375" style="7" customWidth="1"/>
    <col min="3" max="3" width="57" style="7" customWidth="1"/>
    <col min="4" max="4" width="16.28515625" style="7" customWidth="1"/>
    <col min="5" max="5" width="17.7109375" style="7" customWidth="1"/>
    <col min="6" max="6" width="17.28515625" style="7" customWidth="1"/>
    <col min="7" max="7" width="21.7109375" style="7" bestFit="1" customWidth="1"/>
    <col min="8" max="8" width="15.7109375" style="7" customWidth="1"/>
    <col min="9" max="9" width="11.28515625" style="7" customWidth="1"/>
    <col min="10" max="10" width="43.140625" style="7" customWidth="1"/>
    <col min="11" max="11" width="26" style="7" customWidth="1"/>
    <col min="12" max="16384" width="9.140625" style="7"/>
  </cols>
  <sheetData>
    <row r="1" spans="1:10" ht="21" x14ac:dyDescent="0.35">
      <c r="A1" s="58" t="s">
        <v>22</v>
      </c>
    </row>
    <row r="2" spans="1:10" ht="21" x14ac:dyDescent="0.35">
      <c r="A2" s="60" t="s">
        <v>8</v>
      </c>
      <c r="E2" s="14"/>
      <c r="F2" s="14"/>
    </row>
    <row r="3" spans="1:10" ht="21" x14ac:dyDescent="0.35">
      <c r="A3" s="58" t="s">
        <v>0</v>
      </c>
      <c r="B3" s="9"/>
      <c r="D3" s="1"/>
      <c r="E3" s="9"/>
      <c r="F3" s="9"/>
      <c r="G3" s="9"/>
      <c r="H3" s="9"/>
    </row>
    <row r="4" spans="1:10" ht="30.6" customHeight="1" x14ac:dyDescent="0.25">
      <c r="A4" s="50"/>
      <c r="B4" s="18"/>
      <c r="C4" s="51"/>
      <c r="D4" s="47" t="s">
        <v>1</v>
      </c>
      <c r="E4" s="57" t="s">
        <v>32</v>
      </c>
      <c r="F4" s="57" t="s">
        <v>31</v>
      </c>
      <c r="G4" s="52" t="s">
        <v>36</v>
      </c>
      <c r="H4" s="47" t="s">
        <v>2</v>
      </c>
    </row>
    <row r="5" spans="1:10" ht="15.75" thickBot="1" x14ac:dyDescent="0.3">
      <c r="A5" s="104" t="s">
        <v>29</v>
      </c>
      <c r="B5" s="104"/>
      <c r="C5" s="49" t="s">
        <v>3</v>
      </c>
      <c r="D5" s="48" t="s">
        <v>4</v>
      </c>
      <c r="E5" s="48" t="s">
        <v>5</v>
      </c>
      <c r="F5" s="48" t="s">
        <v>5</v>
      </c>
      <c r="G5" s="53" t="s">
        <v>146</v>
      </c>
      <c r="H5" s="48" t="s">
        <v>4</v>
      </c>
    </row>
    <row r="6" spans="1:10" x14ac:dyDescent="0.25">
      <c r="A6" s="105" t="s">
        <v>15</v>
      </c>
      <c r="B6" s="105"/>
      <c r="C6" s="23" t="s">
        <v>145</v>
      </c>
      <c r="D6" s="17">
        <f>1148.11+7643.37+1151.59+7639.89+1155.09+7636.39</f>
        <v>26374.44</v>
      </c>
      <c r="E6" s="47"/>
      <c r="F6" s="34"/>
      <c r="G6" s="74"/>
      <c r="H6" s="94">
        <f>D6-G6</f>
        <v>26374.44</v>
      </c>
      <c r="I6" s="6"/>
    </row>
    <row r="7" spans="1:10" x14ac:dyDescent="0.25">
      <c r="A7" s="105" t="s">
        <v>15</v>
      </c>
      <c r="B7" s="105"/>
      <c r="C7" s="23" t="s">
        <v>78</v>
      </c>
      <c r="D7" s="17">
        <f>11199.33+11199.33+11199.33+11199.33+11199.33+11199.33+11199.33+11199.33+11199.33+1906.78+6492.72+1141.18+7650.3+1144.64+7646.84</f>
        <v>126776.43</v>
      </c>
      <c r="E7" s="47"/>
      <c r="F7" s="34"/>
      <c r="G7" s="74">
        <f>55996.65+61988.3</f>
        <v>117984.95000000001</v>
      </c>
      <c r="H7" s="94">
        <f>D7-G7</f>
        <v>8791.4799999999814</v>
      </c>
      <c r="I7" s="6"/>
    </row>
    <row r="8" spans="1:10" s="9" customFormat="1" ht="13.9" hidden="1" customHeight="1" x14ac:dyDescent="0.25">
      <c r="A8" s="27">
        <v>43982</v>
      </c>
      <c r="B8" s="9" t="s">
        <v>10</v>
      </c>
      <c r="C8" s="35" t="s">
        <v>101</v>
      </c>
      <c r="D8" s="17">
        <f>6657.07-246.45</f>
        <v>6410.62</v>
      </c>
      <c r="E8" s="5"/>
      <c r="F8" s="17">
        <f>-6657.07+246.45+6410.62</f>
        <v>0</v>
      </c>
      <c r="G8" s="11">
        <f>6657.07-246.45</f>
        <v>6410.62</v>
      </c>
      <c r="H8" s="62">
        <f t="shared" ref="H8:H94" si="0">D8-G8</f>
        <v>0</v>
      </c>
      <c r="I8" s="3"/>
      <c r="J8" s="1"/>
    </row>
    <row r="9" spans="1:10" s="9" customFormat="1" ht="13.9" hidden="1" customHeight="1" x14ac:dyDescent="0.25">
      <c r="A9" s="27">
        <v>43982</v>
      </c>
      <c r="B9" s="9" t="s">
        <v>10</v>
      </c>
      <c r="C9" s="35" t="s">
        <v>102</v>
      </c>
      <c r="D9" s="17">
        <f>-39806.95+23.74</f>
        <v>-39783.21</v>
      </c>
      <c r="E9" s="5">
        <f>39806.95-23.74-39783.21</f>
        <v>0</v>
      </c>
      <c r="F9" s="17"/>
      <c r="G9" s="11">
        <f>-39806.95+23.74</f>
        <v>-39783.21</v>
      </c>
      <c r="H9" s="62">
        <f t="shared" si="0"/>
        <v>0</v>
      </c>
      <c r="I9" s="3"/>
      <c r="J9" s="1"/>
    </row>
    <row r="10" spans="1:10" s="9" customFormat="1" ht="13.9" hidden="1" customHeight="1" x14ac:dyDescent="0.25">
      <c r="A10" s="27">
        <v>43982</v>
      </c>
      <c r="B10" s="9" t="s">
        <v>10</v>
      </c>
      <c r="C10" s="35" t="s">
        <v>103</v>
      </c>
      <c r="D10" s="17">
        <f>-27747.51-275.24</f>
        <v>-28022.75</v>
      </c>
      <c r="E10" s="5">
        <f>27747.51+275.24-28022.75</f>
        <v>0</v>
      </c>
      <c r="F10" s="17"/>
      <c r="G10" s="11">
        <f>-27747.51-275.24</f>
        <v>-28022.75</v>
      </c>
      <c r="H10" s="62">
        <f t="shared" si="0"/>
        <v>0</v>
      </c>
      <c r="I10" s="3"/>
      <c r="J10" s="1"/>
    </row>
    <row r="11" spans="1:10" s="9" customFormat="1" ht="13.9" hidden="1" customHeight="1" x14ac:dyDescent="0.25">
      <c r="A11" s="27">
        <v>43982</v>
      </c>
      <c r="B11" s="9" t="s">
        <v>10</v>
      </c>
      <c r="C11" s="35" t="s">
        <v>34</v>
      </c>
      <c r="D11" s="17">
        <f>-25900.51-29.59</f>
        <v>-25930.1</v>
      </c>
      <c r="E11" s="5"/>
      <c r="F11" s="17"/>
      <c r="G11" s="11">
        <f>-25900.51-29.59</f>
        <v>-25930.1</v>
      </c>
      <c r="H11" s="62">
        <f t="shared" si="0"/>
        <v>0</v>
      </c>
      <c r="I11" s="3"/>
      <c r="J11" s="1"/>
    </row>
    <row r="12" spans="1:10" s="9" customFormat="1" ht="13.9" hidden="1" customHeight="1" x14ac:dyDescent="0.25">
      <c r="A12" s="27">
        <v>43982</v>
      </c>
      <c r="B12" s="9" t="s">
        <v>10</v>
      </c>
      <c r="C12" s="35" t="s">
        <v>35</v>
      </c>
      <c r="D12" s="17">
        <f>-33642.7+9266.09</f>
        <v>-24376.609999999997</v>
      </c>
      <c r="E12" s="5"/>
      <c r="F12" s="17"/>
      <c r="G12" s="11">
        <f>-33642.7+9266.09</f>
        <v>-24376.609999999997</v>
      </c>
      <c r="H12" s="62">
        <f t="shared" si="0"/>
        <v>0</v>
      </c>
      <c r="I12" s="3"/>
      <c r="J12" s="1"/>
    </row>
    <row r="13" spans="1:10" s="9" customFormat="1" ht="13.9" hidden="1" customHeight="1" x14ac:dyDescent="0.25">
      <c r="A13" s="27">
        <v>44012</v>
      </c>
      <c r="B13" s="9" t="s">
        <v>10</v>
      </c>
      <c r="C13" s="35" t="s">
        <v>105</v>
      </c>
      <c r="D13" s="17">
        <f>-6884.15+353.43</f>
        <v>-6530.7199999999993</v>
      </c>
      <c r="E13" s="5">
        <f>6884.15-353.43-6530.72</f>
        <v>0</v>
      </c>
      <c r="F13" s="17"/>
      <c r="G13" s="11">
        <v>-6530.7199999999993</v>
      </c>
      <c r="H13" s="62">
        <f t="shared" si="0"/>
        <v>0</v>
      </c>
      <c r="I13" s="3"/>
      <c r="J13" s="1"/>
    </row>
    <row r="14" spans="1:10" s="9" customFormat="1" ht="13.9" hidden="1" customHeight="1" x14ac:dyDescent="0.25">
      <c r="A14" s="27">
        <v>44012</v>
      </c>
      <c r="B14" s="9" t="s">
        <v>10</v>
      </c>
      <c r="C14" s="35" t="s">
        <v>106</v>
      </c>
      <c r="D14" s="17">
        <f>-30007.16+38.79</f>
        <v>-29968.37</v>
      </c>
      <c r="E14" s="5">
        <f>30007.16-38.79-29968.37</f>
        <v>0</v>
      </c>
      <c r="F14" s="17"/>
      <c r="G14" s="11">
        <v>-29968.37</v>
      </c>
      <c r="H14" s="62">
        <f t="shared" si="0"/>
        <v>0</v>
      </c>
      <c r="I14" s="3"/>
      <c r="J14" s="1"/>
    </row>
    <row r="15" spans="1:10" s="9" customFormat="1" ht="13.9" hidden="1" customHeight="1" x14ac:dyDescent="0.25">
      <c r="A15" s="27">
        <v>44012</v>
      </c>
      <c r="B15" s="9" t="s">
        <v>10</v>
      </c>
      <c r="C15" s="35" t="s">
        <v>107</v>
      </c>
      <c r="D15" s="17">
        <f>-45333.66-2312.7</f>
        <v>-47646.36</v>
      </c>
      <c r="E15" s="5">
        <f>45333.66+2312.7-47646.36</f>
        <v>0</v>
      </c>
      <c r="F15" s="17"/>
      <c r="G15" s="11">
        <v>-47646.36</v>
      </c>
      <c r="H15" s="62">
        <f t="shared" si="0"/>
        <v>0</v>
      </c>
      <c r="I15" s="3"/>
      <c r="J15" s="1"/>
    </row>
    <row r="16" spans="1:10" s="9" customFormat="1" ht="13.9" hidden="1" customHeight="1" x14ac:dyDescent="0.25">
      <c r="A16" s="27">
        <v>44012</v>
      </c>
      <c r="B16" s="9" t="s">
        <v>10</v>
      </c>
      <c r="C16" s="35" t="s">
        <v>104</v>
      </c>
      <c r="D16" s="17">
        <v>24376.61</v>
      </c>
      <c r="E16" s="5"/>
      <c r="F16" s="17"/>
      <c r="G16" s="11">
        <v>24376.61</v>
      </c>
      <c r="H16" s="62">
        <f t="shared" si="0"/>
        <v>0</v>
      </c>
      <c r="I16" s="3"/>
      <c r="J16" s="1"/>
    </row>
    <row r="17" spans="1:10" s="9" customFormat="1" ht="13.9" hidden="1" customHeight="1" x14ac:dyDescent="0.25">
      <c r="A17" s="27">
        <v>44012</v>
      </c>
      <c r="B17" s="9" t="s">
        <v>10</v>
      </c>
      <c r="C17" s="35" t="s">
        <v>39</v>
      </c>
      <c r="D17" s="17">
        <v>-2833.36</v>
      </c>
      <c r="E17" s="5"/>
      <c r="F17" s="17"/>
      <c r="G17" s="11">
        <v>-2833.36</v>
      </c>
      <c r="H17" s="62">
        <f t="shared" si="0"/>
        <v>0</v>
      </c>
      <c r="I17" s="3"/>
      <c r="J17" s="1"/>
    </row>
    <row r="18" spans="1:10" s="9" customFormat="1" ht="13.9" hidden="1" customHeight="1" x14ac:dyDescent="0.25">
      <c r="A18" s="27">
        <v>44012</v>
      </c>
      <c r="B18" s="9" t="s">
        <v>10</v>
      </c>
      <c r="C18" s="35" t="s">
        <v>34</v>
      </c>
      <c r="D18" s="17">
        <f>382.03-0.01</f>
        <v>382.02</v>
      </c>
      <c r="E18" s="5"/>
      <c r="F18" s="17"/>
      <c r="G18" s="11">
        <v>382.02</v>
      </c>
      <c r="H18" s="62">
        <f t="shared" si="0"/>
        <v>0</v>
      </c>
      <c r="I18" s="3"/>
      <c r="J18" s="1"/>
    </row>
    <row r="19" spans="1:10" s="9" customFormat="1" ht="13.9" hidden="1" customHeight="1" x14ac:dyDescent="0.25">
      <c r="A19" s="27">
        <v>44012</v>
      </c>
      <c r="B19" s="9" t="s">
        <v>10</v>
      </c>
      <c r="C19" s="35" t="s">
        <v>35</v>
      </c>
      <c r="D19" s="17">
        <v>-33642.699999999997</v>
      </c>
      <c r="E19" s="5"/>
      <c r="F19" s="17"/>
      <c r="G19" s="11">
        <v>-33642.699999999997</v>
      </c>
      <c r="H19" s="62">
        <f t="shared" si="0"/>
        <v>0</v>
      </c>
      <c r="I19" s="3"/>
      <c r="J19" s="1"/>
    </row>
    <row r="20" spans="1:10" s="9" customFormat="1" ht="13.9" hidden="1" customHeight="1" x14ac:dyDescent="0.25">
      <c r="A20" s="27">
        <v>44043</v>
      </c>
      <c r="B20" s="9" t="s">
        <v>13</v>
      </c>
      <c r="C20" s="35" t="s">
        <v>108</v>
      </c>
      <c r="D20" s="17">
        <f>-83244.29-875.23</f>
        <v>-84119.51999999999</v>
      </c>
      <c r="E20" s="5">
        <f>83244.29+875.23-84119.52</f>
        <v>0</v>
      </c>
      <c r="F20" s="17"/>
      <c r="G20" s="11">
        <v>-84119.51999999999</v>
      </c>
      <c r="H20" s="62">
        <f t="shared" si="0"/>
        <v>0</v>
      </c>
      <c r="I20" s="3"/>
      <c r="J20" s="1"/>
    </row>
    <row r="21" spans="1:10" s="9" customFormat="1" ht="13.9" hidden="1" customHeight="1" x14ac:dyDescent="0.25">
      <c r="A21" s="27">
        <v>44043</v>
      </c>
      <c r="B21" s="9" t="s">
        <v>13</v>
      </c>
      <c r="C21" s="35" t="s">
        <v>109</v>
      </c>
      <c r="D21" s="17">
        <f>-25846.06-271.75</f>
        <v>-26117.81</v>
      </c>
      <c r="E21" s="5">
        <f>25846.06+271.75-26117.81</f>
        <v>0</v>
      </c>
      <c r="F21" s="17"/>
      <c r="G21" s="11">
        <v>-26117.81</v>
      </c>
      <c r="H21" s="62">
        <f t="shared" si="0"/>
        <v>0</v>
      </c>
      <c r="I21" s="3"/>
      <c r="J21" s="1"/>
    </row>
    <row r="22" spans="1:10" s="9" customFormat="1" ht="13.9" hidden="1" customHeight="1" x14ac:dyDescent="0.25">
      <c r="A22" s="27">
        <v>44043</v>
      </c>
      <c r="B22" s="9" t="s">
        <v>13</v>
      </c>
      <c r="C22" s="35" t="s">
        <v>110</v>
      </c>
      <c r="D22" s="17">
        <f>4826.49+671.36</f>
        <v>5497.8499999999995</v>
      </c>
      <c r="E22" s="5"/>
      <c r="F22" s="17">
        <f>-4826.49-671.36+5497.85</f>
        <v>0</v>
      </c>
      <c r="G22" s="11">
        <v>5497.8499999999995</v>
      </c>
      <c r="H22" s="62">
        <f t="shared" si="0"/>
        <v>0</v>
      </c>
      <c r="I22" s="3"/>
      <c r="J22" s="1"/>
    </row>
    <row r="23" spans="1:10" s="9" customFormat="1" ht="13.9" hidden="1" customHeight="1" x14ac:dyDescent="0.25">
      <c r="A23" s="27">
        <v>44043</v>
      </c>
      <c r="B23" s="9" t="s">
        <v>13</v>
      </c>
      <c r="C23" s="35" t="s">
        <v>37</v>
      </c>
      <c r="D23" s="17">
        <v>0</v>
      </c>
      <c r="E23" s="5"/>
      <c r="F23" s="17"/>
      <c r="G23" s="11">
        <v>0</v>
      </c>
      <c r="H23" s="62">
        <f t="shared" si="0"/>
        <v>0</v>
      </c>
      <c r="I23" s="3"/>
      <c r="J23" s="1"/>
    </row>
    <row r="24" spans="1:10" s="9" customFormat="1" ht="13.9" hidden="1" customHeight="1" x14ac:dyDescent="0.25">
      <c r="A24" s="27">
        <v>44043</v>
      </c>
      <c r="B24" s="9" t="s">
        <v>13</v>
      </c>
      <c r="C24" s="35" t="s">
        <v>111</v>
      </c>
      <c r="D24" s="17">
        <v>33642.699999999997</v>
      </c>
      <c r="E24" s="5"/>
      <c r="F24" s="17"/>
      <c r="G24" s="11">
        <v>33642.699999999997</v>
      </c>
      <c r="H24" s="62">
        <f t="shared" si="0"/>
        <v>0</v>
      </c>
      <c r="I24" s="3"/>
      <c r="J24" s="1"/>
    </row>
    <row r="25" spans="1:10" s="9" customFormat="1" ht="13.9" hidden="1" customHeight="1" x14ac:dyDescent="0.25">
      <c r="A25" s="27">
        <v>44043</v>
      </c>
      <c r="B25" s="9" t="s">
        <v>13</v>
      </c>
      <c r="C25" s="35" t="s">
        <v>39</v>
      </c>
      <c r="D25" s="17">
        <f>-2041.69+3208.37</f>
        <v>1166.6799999999998</v>
      </c>
      <c r="E25" s="5"/>
      <c r="F25" s="17"/>
      <c r="G25" s="11">
        <v>1166.6799999999998</v>
      </c>
      <c r="H25" s="62">
        <f t="shared" si="0"/>
        <v>0</v>
      </c>
      <c r="I25" s="3"/>
      <c r="J25" s="1"/>
    </row>
    <row r="26" spans="1:10" s="9" customFormat="1" ht="13.9" hidden="1" customHeight="1" x14ac:dyDescent="0.25">
      <c r="A26" s="27">
        <v>44043</v>
      </c>
      <c r="B26" s="9" t="s">
        <v>13</v>
      </c>
      <c r="C26" s="35" t="s">
        <v>34</v>
      </c>
      <c r="D26" s="17">
        <f>33893.09+757.05</f>
        <v>34650.14</v>
      </c>
      <c r="E26" s="5"/>
      <c r="F26" s="17"/>
      <c r="G26" s="11">
        <v>34650.14</v>
      </c>
      <c r="H26" s="62">
        <f t="shared" si="0"/>
        <v>0</v>
      </c>
      <c r="I26" s="3"/>
      <c r="J26" s="1"/>
    </row>
    <row r="27" spans="1:10" s="9" customFormat="1" ht="13.9" hidden="1" customHeight="1" x14ac:dyDescent="0.25">
      <c r="A27" s="27">
        <v>44043</v>
      </c>
      <c r="B27" s="9" t="s">
        <v>13</v>
      </c>
      <c r="C27" s="35" t="s">
        <v>35</v>
      </c>
      <c r="D27" s="17">
        <v>-40947.879999999997</v>
      </c>
      <c r="E27" s="5"/>
      <c r="F27" s="17"/>
      <c r="G27" s="11">
        <v>-40947.879999999997</v>
      </c>
      <c r="H27" s="62">
        <f t="shared" si="0"/>
        <v>0</v>
      </c>
      <c r="I27" s="3"/>
      <c r="J27" s="1"/>
    </row>
    <row r="28" spans="1:10" s="9" customFormat="1" ht="13.9" hidden="1" customHeight="1" x14ac:dyDescent="0.25">
      <c r="A28" s="27">
        <v>44074</v>
      </c>
      <c r="B28" s="18" t="s">
        <v>13</v>
      </c>
      <c r="C28" s="65" t="s">
        <v>112</v>
      </c>
      <c r="D28" s="17">
        <f>-108715.97+13701.77</f>
        <v>-95014.2</v>
      </c>
      <c r="E28" s="5">
        <f>108715.97-13701.77-95014.2</f>
        <v>0</v>
      </c>
      <c r="F28" s="17"/>
      <c r="G28" s="11">
        <v>-95014.2</v>
      </c>
      <c r="H28" s="62">
        <f t="shared" si="0"/>
        <v>0</v>
      </c>
      <c r="I28" s="3"/>
      <c r="J28" s="1"/>
    </row>
    <row r="29" spans="1:10" s="9" customFormat="1" ht="13.9" hidden="1" customHeight="1" x14ac:dyDescent="0.25">
      <c r="A29" s="27">
        <v>44074</v>
      </c>
      <c r="B29" s="18" t="s">
        <v>13</v>
      </c>
      <c r="C29" s="65" t="s">
        <v>113</v>
      </c>
      <c r="D29" s="17">
        <f>-52697.04+39912.35</f>
        <v>-12784.690000000002</v>
      </c>
      <c r="E29" s="5">
        <f>52697.04-39912.35-12784.69</f>
        <v>0</v>
      </c>
      <c r="F29" s="17"/>
      <c r="G29" s="11">
        <v>-12784.690000000002</v>
      </c>
      <c r="H29" s="62">
        <f t="shared" si="0"/>
        <v>0</v>
      </c>
      <c r="I29" s="3"/>
      <c r="J29" s="1"/>
    </row>
    <row r="30" spans="1:10" s="9" customFormat="1" ht="13.9" hidden="1" customHeight="1" x14ac:dyDescent="0.25">
      <c r="A30" s="27">
        <v>44074</v>
      </c>
      <c r="B30" s="18" t="s">
        <v>13</v>
      </c>
      <c r="C30" s="65" t="s">
        <v>114</v>
      </c>
      <c r="D30" s="17">
        <f>4362.1-1.63</f>
        <v>4360.47</v>
      </c>
      <c r="E30" s="5"/>
      <c r="F30" s="17">
        <f>-4362.1+1.63+4360.47</f>
        <v>0</v>
      </c>
      <c r="G30" s="11">
        <v>4360.47</v>
      </c>
      <c r="H30" s="62">
        <f t="shared" si="0"/>
        <v>0</v>
      </c>
      <c r="I30" s="3"/>
      <c r="J30" s="1"/>
    </row>
    <row r="31" spans="1:10" s="9" customFormat="1" ht="13.9" hidden="1" customHeight="1" x14ac:dyDescent="0.25">
      <c r="A31" s="27">
        <v>44074</v>
      </c>
      <c r="B31" s="18" t="s">
        <v>13</v>
      </c>
      <c r="C31" s="65" t="s">
        <v>37</v>
      </c>
      <c r="D31" s="17">
        <v>0</v>
      </c>
      <c r="E31" s="5"/>
      <c r="F31" s="17"/>
      <c r="G31" s="11">
        <v>0</v>
      </c>
      <c r="H31" s="62">
        <f t="shared" si="0"/>
        <v>0</v>
      </c>
      <c r="I31" s="3"/>
      <c r="J31" s="1"/>
    </row>
    <row r="32" spans="1:10" s="9" customFormat="1" ht="13.9" hidden="1" customHeight="1" x14ac:dyDescent="0.25">
      <c r="A32" s="27">
        <v>44074</v>
      </c>
      <c r="B32" s="18" t="s">
        <v>13</v>
      </c>
      <c r="C32" s="65" t="s">
        <v>115</v>
      </c>
      <c r="D32" s="17">
        <v>40947.879999999997</v>
      </c>
      <c r="E32" s="5"/>
      <c r="F32" s="17"/>
      <c r="G32" s="11">
        <v>40947.879999999997</v>
      </c>
      <c r="H32" s="62">
        <f t="shared" si="0"/>
        <v>0</v>
      </c>
      <c r="I32" s="3"/>
      <c r="J32" s="1"/>
    </row>
    <row r="33" spans="1:10" s="9" customFormat="1" ht="13.9" hidden="1" customHeight="1" x14ac:dyDescent="0.25">
      <c r="A33" s="27">
        <v>44074</v>
      </c>
      <c r="B33" s="18" t="s">
        <v>13</v>
      </c>
      <c r="C33" s="65" t="s">
        <v>127</v>
      </c>
      <c r="D33" s="17">
        <v>-1958.35</v>
      </c>
      <c r="E33" s="5"/>
      <c r="F33" s="17"/>
      <c r="G33" s="11">
        <v>-1958.35</v>
      </c>
      <c r="H33" s="62">
        <f t="shared" si="0"/>
        <v>0</v>
      </c>
      <c r="I33" s="3"/>
      <c r="J33" s="1"/>
    </row>
    <row r="34" spans="1:10" s="9" customFormat="1" ht="13.9" hidden="1" customHeight="1" x14ac:dyDescent="0.25">
      <c r="A34" s="27">
        <v>44074</v>
      </c>
      <c r="B34" s="18" t="s">
        <v>13</v>
      </c>
      <c r="C34" s="65" t="s">
        <v>128</v>
      </c>
      <c r="D34" s="17">
        <f>-14987.39+14229.62</f>
        <v>-757.76999999999862</v>
      </c>
      <c r="E34" s="5"/>
      <c r="F34" s="17"/>
      <c r="G34" s="11">
        <v>-757.76999999999862</v>
      </c>
      <c r="H34" s="62">
        <f t="shared" si="0"/>
        <v>0</v>
      </c>
      <c r="I34" s="3"/>
      <c r="J34" s="1"/>
    </row>
    <row r="35" spans="1:10" s="9" customFormat="1" ht="13.9" hidden="1" customHeight="1" x14ac:dyDescent="0.25">
      <c r="A35" s="27">
        <v>44074</v>
      </c>
      <c r="B35" s="18" t="s">
        <v>13</v>
      </c>
      <c r="C35" s="65" t="s">
        <v>129</v>
      </c>
      <c r="D35" s="17">
        <f>-37867.09</f>
        <v>-37867.089999999997</v>
      </c>
      <c r="E35" s="5"/>
      <c r="F35" s="17"/>
      <c r="G35" s="11">
        <v>-37867.089999999997</v>
      </c>
      <c r="H35" s="62">
        <f t="shared" si="0"/>
        <v>0</v>
      </c>
      <c r="I35" s="3"/>
      <c r="J35" s="1"/>
    </row>
    <row r="36" spans="1:10" s="9" customFormat="1" ht="13.9" hidden="1" customHeight="1" x14ac:dyDescent="0.25">
      <c r="A36" s="27">
        <v>44074</v>
      </c>
      <c r="B36" s="18" t="s">
        <v>13</v>
      </c>
      <c r="C36" s="65" t="s">
        <v>130</v>
      </c>
      <c r="D36" s="17">
        <v>-135.47999999999999</v>
      </c>
      <c r="E36" s="5"/>
      <c r="F36" s="17"/>
      <c r="G36" s="11">
        <v>-135.47999999999999</v>
      </c>
      <c r="H36" s="62">
        <f t="shared" si="0"/>
        <v>0</v>
      </c>
      <c r="I36" s="3"/>
      <c r="J36" s="1"/>
    </row>
    <row r="37" spans="1:10" s="9" customFormat="1" ht="13.9" hidden="1" customHeight="1" x14ac:dyDescent="0.25">
      <c r="A37" s="27">
        <v>44104</v>
      </c>
      <c r="B37" s="18" t="s">
        <v>13</v>
      </c>
      <c r="C37" s="65" t="s">
        <v>117</v>
      </c>
      <c r="D37" s="17">
        <f>-37463.1+1902.1</f>
        <v>-35561</v>
      </c>
      <c r="E37" s="5">
        <f>37463.1-1902.1-35561</f>
        <v>0</v>
      </c>
      <c r="F37" s="17"/>
      <c r="G37" s="11">
        <v>-35561</v>
      </c>
      <c r="H37" s="62">
        <f t="shared" si="0"/>
        <v>0</v>
      </c>
      <c r="I37" s="3"/>
      <c r="J37" s="1"/>
    </row>
    <row r="38" spans="1:10" s="9" customFormat="1" ht="13.9" hidden="1" customHeight="1" x14ac:dyDescent="0.25">
      <c r="A38" s="27">
        <v>44104</v>
      </c>
      <c r="B38" s="18" t="s">
        <v>13</v>
      </c>
      <c r="C38" s="65" t="s">
        <v>118</v>
      </c>
      <c r="D38" s="17">
        <f>-11819.68+600.12</f>
        <v>-11219.56</v>
      </c>
      <c r="E38" s="5">
        <f>11819.68-600.12-11219.56</f>
        <v>0</v>
      </c>
      <c r="F38" s="17"/>
      <c r="G38" s="11">
        <v>-11219.56</v>
      </c>
      <c r="H38" s="62">
        <f t="shared" si="0"/>
        <v>0</v>
      </c>
      <c r="I38" s="3"/>
      <c r="J38" s="1"/>
    </row>
    <row r="39" spans="1:10" s="9" customFormat="1" ht="13.9" hidden="1" customHeight="1" x14ac:dyDescent="0.25">
      <c r="A39" s="27">
        <v>44104</v>
      </c>
      <c r="B39" s="18" t="s">
        <v>13</v>
      </c>
      <c r="C39" s="65" t="s">
        <v>119</v>
      </c>
      <c r="D39" s="17">
        <v>20528.650000000001</v>
      </c>
      <c r="E39" s="5"/>
      <c r="F39" s="17">
        <f>-20528.65+20528.65</f>
        <v>0</v>
      </c>
      <c r="G39" s="11">
        <v>20528.650000000001</v>
      </c>
      <c r="H39" s="62">
        <f t="shared" si="0"/>
        <v>0</v>
      </c>
      <c r="I39" s="3"/>
      <c r="J39" s="1"/>
    </row>
    <row r="40" spans="1:10" s="9" customFormat="1" ht="13.9" hidden="1" customHeight="1" x14ac:dyDescent="0.25">
      <c r="A40" s="27">
        <v>44104</v>
      </c>
      <c r="B40" s="18" t="s">
        <v>13</v>
      </c>
      <c r="C40" s="65" t="s">
        <v>121</v>
      </c>
      <c r="D40" s="17">
        <v>37867.089999999997</v>
      </c>
      <c r="E40" s="5"/>
      <c r="F40" s="17"/>
      <c r="G40" s="11">
        <v>37867.089999999997</v>
      </c>
      <c r="H40" s="62">
        <f t="shared" si="0"/>
        <v>0</v>
      </c>
      <c r="I40" s="3"/>
      <c r="J40" s="1"/>
    </row>
    <row r="41" spans="1:10" s="9" customFormat="1" ht="13.9" hidden="1" customHeight="1" x14ac:dyDescent="0.25">
      <c r="A41" s="27">
        <v>44104</v>
      </c>
      <c r="B41" s="9" t="s">
        <v>13</v>
      </c>
      <c r="C41" s="35" t="s">
        <v>127</v>
      </c>
      <c r="D41" s="17">
        <v>-2000.02</v>
      </c>
      <c r="E41" s="5"/>
      <c r="F41" s="17"/>
      <c r="G41" s="11">
        <v>-2000.02</v>
      </c>
      <c r="H41" s="62">
        <f t="shared" si="0"/>
        <v>0</v>
      </c>
      <c r="I41" s="3"/>
      <c r="J41" s="1"/>
    </row>
    <row r="42" spans="1:10" s="9" customFormat="1" ht="13.9" hidden="1" customHeight="1" x14ac:dyDescent="0.25">
      <c r="A42" s="27">
        <v>44104</v>
      </c>
      <c r="B42" s="9" t="s">
        <v>13</v>
      </c>
      <c r="C42" s="35" t="s">
        <v>128</v>
      </c>
      <c r="D42" s="17">
        <v>-14372.82</v>
      </c>
      <c r="E42" s="5"/>
      <c r="F42" s="17"/>
      <c r="G42" s="11">
        <v>-14372.82</v>
      </c>
      <c r="H42" s="62">
        <f>D42-G42</f>
        <v>0</v>
      </c>
      <c r="I42" s="3"/>
      <c r="J42" s="1"/>
    </row>
    <row r="43" spans="1:10" s="9" customFormat="1" ht="13.9" hidden="1" customHeight="1" x14ac:dyDescent="0.25">
      <c r="A43" s="27">
        <v>44104</v>
      </c>
      <c r="B43" s="9" t="s">
        <v>13</v>
      </c>
      <c r="C43" s="35" t="s">
        <v>129</v>
      </c>
      <c r="D43" s="17">
        <v>-47238.51</v>
      </c>
      <c r="E43" s="5"/>
      <c r="F43" s="17"/>
      <c r="G43" s="11">
        <v>-47238.51</v>
      </c>
      <c r="H43" s="62">
        <f t="shared" si="0"/>
        <v>0</v>
      </c>
      <c r="I43" s="3"/>
      <c r="J43" s="1"/>
    </row>
    <row r="44" spans="1:10" s="9" customFormat="1" ht="13.9" hidden="1" customHeight="1" x14ac:dyDescent="0.25">
      <c r="A44" s="27">
        <v>44135</v>
      </c>
      <c r="B44" s="9" t="s">
        <v>18</v>
      </c>
      <c r="C44" s="35" t="s">
        <v>124</v>
      </c>
      <c r="D44" s="17">
        <f>64170.88+1365.58</f>
        <v>65536.459999999992</v>
      </c>
      <c r="E44" s="5"/>
      <c r="F44" s="17">
        <f>-64170.88-1365.58+65536.46</f>
        <v>0</v>
      </c>
      <c r="G44" s="11">
        <v>65536.459999999992</v>
      </c>
      <c r="H44" s="62">
        <f t="shared" si="0"/>
        <v>0</v>
      </c>
      <c r="I44" s="3"/>
      <c r="J44" s="1"/>
    </row>
    <row r="45" spans="1:10" s="9" customFormat="1" ht="13.9" customHeight="1" x14ac:dyDescent="0.25">
      <c r="A45" s="27">
        <v>44135</v>
      </c>
      <c r="B45" s="9" t="s">
        <v>18</v>
      </c>
      <c r="C45" s="35" t="s">
        <v>125</v>
      </c>
      <c r="D45" s="17">
        <f>-33917.68-1172.07</f>
        <v>-35089.75</v>
      </c>
      <c r="E45" s="5">
        <f>33917.68+1172.07-35089.75</f>
        <v>0</v>
      </c>
      <c r="F45" s="17"/>
      <c r="G45" s="11">
        <v>-33917.68</v>
      </c>
      <c r="H45" s="95">
        <f t="shared" si="0"/>
        <v>-1172.0699999999997</v>
      </c>
      <c r="I45" s="3"/>
      <c r="J45" s="1"/>
    </row>
    <row r="46" spans="1:10" s="9" customFormat="1" ht="13.9" hidden="1" customHeight="1" x14ac:dyDescent="0.25">
      <c r="A46" s="27">
        <v>44135</v>
      </c>
      <c r="B46" s="9" t="s">
        <v>18</v>
      </c>
      <c r="C46" s="35" t="s">
        <v>126</v>
      </c>
      <c r="D46" s="17">
        <f>10587.87+44.55</f>
        <v>10632.42</v>
      </c>
      <c r="E46" s="5"/>
      <c r="F46" s="17">
        <f>-10587.87-44.55+10632.42</f>
        <v>0</v>
      </c>
      <c r="G46" s="11">
        <v>10632.42</v>
      </c>
      <c r="H46" s="62">
        <f t="shared" si="0"/>
        <v>0</v>
      </c>
      <c r="I46" s="3"/>
      <c r="J46" s="1"/>
    </row>
    <row r="47" spans="1:10" s="9" customFormat="1" ht="13.9" hidden="1" customHeight="1" x14ac:dyDescent="0.25">
      <c r="A47" s="27">
        <v>44135</v>
      </c>
      <c r="B47" s="9" t="s">
        <v>18</v>
      </c>
      <c r="C47" s="35" t="s">
        <v>122</v>
      </c>
      <c r="D47" s="17">
        <v>300.42</v>
      </c>
      <c r="E47" s="5"/>
      <c r="F47" s="17"/>
      <c r="G47" s="11">
        <v>300.42</v>
      </c>
      <c r="H47" s="62">
        <f t="shared" si="0"/>
        <v>0</v>
      </c>
      <c r="I47" s="3"/>
      <c r="J47" s="1"/>
    </row>
    <row r="48" spans="1:10" s="9" customFormat="1" ht="13.9" hidden="1" customHeight="1" x14ac:dyDescent="0.25">
      <c r="A48" s="27">
        <v>44135</v>
      </c>
      <c r="B48" s="9" t="s">
        <v>18</v>
      </c>
      <c r="C48" s="35" t="s">
        <v>123</v>
      </c>
      <c r="D48" s="17">
        <v>47238.51</v>
      </c>
      <c r="E48" s="5"/>
      <c r="F48" s="17"/>
      <c r="G48" s="11">
        <v>47238.51</v>
      </c>
      <c r="H48" s="62">
        <f t="shared" si="0"/>
        <v>0</v>
      </c>
      <c r="I48" s="3"/>
      <c r="J48" s="1"/>
    </row>
    <row r="49" spans="1:10" s="9" customFormat="1" ht="13.9" hidden="1" customHeight="1" x14ac:dyDescent="0.25">
      <c r="A49" s="27">
        <v>44135</v>
      </c>
      <c r="B49" s="9" t="s">
        <v>18</v>
      </c>
      <c r="C49" s="35" t="s">
        <v>39</v>
      </c>
      <c r="D49" s="17">
        <v>-2041.72</v>
      </c>
      <c r="E49" s="5"/>
      <c r="F49" s="17"/>
      <c r="G49" s="11">
        <v>-2041.72</v>
      </c>
      <c r="H49" s="62">
        <f t="shared" si="0"/>
        <v>0</v>
      </c>
      <c r="I49" s="3"/>
      <c r="J49" s="1"/>
    </row>
    <row r="50" spans="1:10" s="9" customFormat="1" ht="13.9" hidden="1" customHeight="1" x14ac:dyDescent="0.25">
      <c r="A50" s="27">
        <v>44135</v>
      </c>
      <c r="B50" s="9" t="s">
        <v>18</v>
      </c>
      <c r="C50" s="35" t="s">
        <v>34</v>
      </c>
      <c r="D50" s="17">
        <v>-152373.14000000001</v>
      </c>
      <c r="E50" s="5"/>
      <c r="F50" s="17"/>
      <c r="G50" s="11">
        <v>-152373.14000000001</v>
      </c>
      <c r="H50" s="62">
        <f t="shared" si="0"/>
        <v>0</v>
      </c>
      <c r="I50" s="3"/>
      <c r="J50" s="1"/>
    </row>
    <row r="51" spans="1:10" s="9" customFormat="1" ht="13.9" hidden="1" customHeight="1" x14ac:dyDescent="0.25">
      <c r="A51" s="27">
        <v>44135</v>
      </c>
      <c r="B51" s="9" t="s">
        <v>18</v>
      </c>
      <c r="C51" s="35" t="s">
        <v>35</v>
      </c>
      <c r="D51" s="17">
        <v>-25801.4</v>
      </c>
      <c r="E51" s="5"/>
      <c r="F51" s="17"/>
      <c r="G51" s="11">
        <v>-25801.4</v>
      </c>
      <c r="H51" s="62">
        <f t="shared" si="0"/>
        <v>0</v>
      </c>
      <c r="I51" s="3"/>
      <c r="J51" s="1"/>
    </row>
    <row r="52" spans="1:10" s="9" customFormat="1" ht="13.9" customHeight="1" x14ac:dyDescent="0.25">
      <c r="A52" s="27">
        <v>44165</v>
      </c>
      <c r="B52" s="9" t="s">
        <v>18</v>
      </c>
      <c r="C52" s="35" t="s">
        <v>131</v>
      </c>
      <c r="D52" s="17">
        <f>-79402.45-127.71</f>
        <v>-79530.16</v>
      </c>
      <c r="E52" s="5">
        <f>127.71+79402.45-79530.16</f>
        <v>0</v>
      </c>
      <c r="F52" s="17"/>
      <c r="G52" s="11">
        <v>-79402.45</v>
      </c>
      <c r="H52" s="95">
        <f t="shared" si="0"/>
        <v>-127.7100000000064</v>
      </c>
      <c r="I52" s="3"/>
      <c r="J52" s="1"/>
    </row>
    <row r="53" spans="1:10" s="9" customFormat="1" ht="13.9" customHeight="1" x14ac:dyDescent="0.25">
      <c r="A53" s="27">
        <v>44165</v>
      </c>
      <c r="B53" s="9" t="s">
        <v>18</v>
      </c>
      <c r="C53" s="35" t="s">
        <v>132</v>
      </c>
      <c r="D53" s="17">
        <f>-80066.48-128.77</f>
        <v>-80195.25</v>
      </c>
      <c r="E53" s="5">
        <f>80066.48+128.77-80195.25</f>
        <v>0</v>
      </c>
      <c r="F53" s="17"/>
      <c r="G53" s="11">
        <v>-80066.48</v>
      </c>
      <c r="H53" s="95">
        <f t="shared" si="0"/>
        <v>-128.77000000000407</v>
      </c>
      <c r="I53" s="3"/>
      <c r="J53" s="1"/>
    </row>
    <row r="54" spans="1:10" s="9" customFormat="1" ht="13.9" customHeight="1" x14ac:dyDescent="0.25">
      <c r="A54" s="27">
        <v>44165</v>
      </c>
      <c r="B54" s="9" t="s">
        <v>18</v>
      </c>
      <c r="C54" s="35" t="s">
        <v>133</v>
      </c>
      <c r="D54" s="17">
        <f>23388.88+0.6</f>
        <v>23389.48</v>
      </c>
      <c r="E54" s="5"/>
      <c r="F54" s="17">
        <f>-23388.88-0.6+23389.48</f>
        <v>0</v>
      </c>
      <c r="G54" s="11">
        <v>23388.880000000001</v>
      </c>
      <c r="H54" s="95">
        <f t="shared" si="0"/>
        <v>0.59999999999854481</v>
      </c>
      <c r="I54" s="3"/>
      <c r="J54" s="1"/>
    </row>
    <row r="55" spans="1:10" s="9" customFormat="1" ht="13.9" hidden="1" customHeight="1" x14ac:dyDescent="0.25">
      <c r="A55" s="27">
        <v>44165</v>
      </c>
      <c r="B55" s="9" t="s">
        <v>18</v>
      </c>
      <c r="C55" s="35" t="s">
        <v>134</v>
      </c>
      <c r="D55" s="17">
        <v>25801.4</v>
      </c>
      <c r="E55" s="5"/>
      <c r="F55" s="17"/>
      <c r="G55" s="11">
        <v>25801.4</v>
      </c>
      <c r="H55" s="95">
        <f t="shared" si="0"/>
        <v>0</v>
      </c>
      <c r="I55" s="3"/>
      <c r="J55" s="1"/>
    </row>
    <row r="56" spans="1:10" s="9" customFormat="1" ht="13.9" hidden="1" customHeight="1" x14ac:dyDescent="0.25">
      <c r="A56" s="27">
        <v>44165</v>
      </c>
      <c r="B56" s="9" t="s">
        <v>18</v>
      </c>
      <c r="C56" s="35" t="s">
        <v>39</v>
      </c>
      <c r="D56" s="17">
        <v>-2166.69</v>
      </c>
      <c r="E56" s="5"/>
      <c r="F56" s="17"/>
      <c r="G56" s="11">
        <v>-2166.69</v>
      </c>
      <c r="H56" s="95">
        <f t="shared" si="0"/>
        <v>0</v>
      </c>
      <c r="I56" s="3"/>
      <c r="J56" s="1"/>
    </row>
    <row r="57" spans="1:10" s="9" customFormat="1" ht="13.9" hidden="1" customHeight="1" x14ac:dyDescent="0.25">
      <c r="A57" s="27">
        <v>44165</v>
      </c>
      <c r="B57" s="9" t="s">
        <v>18</v>
      </c>
      <c r="C57" s="35" t="s">
        <v>34</v>
      </c>
      <c r="D57" s="17">
        <v>73988.95</v>
      </c>
      <c r="E57" s="5"/>
      <c r="F57" s="17"/>
      <c r="G57" s="11">
        <v>73988.95</v>
      </c>
      <c r="H57" s="95">
        <f t="shared" si="0"/>
        <v>0</v>
      </c>
      <c r="I57" s="3"/>
      <c r="J57" s="1"/>
    </row>
    <row r="58" spans="1:10" s="9" customFormat="1" ht="13.9" customHeight="1" x14ac:dyDescent="0.25">
      <c r="A58" s="27">
        <v>44165</v>
      </c>
      <c r="B58" s="9" t="s">
        <v>18</v>
      </c>
      <c r="C58" s="35" t="s">
        <v>35</v>
      </c>
      <c r="D58" s="17">
        <f>-53621.76+300</f>
        <v>-53321.760000000002</v>
      </c>
      <c r="E58" s="5"/>
      <c r="F58" s="17"/>
      <c r="G58" s="11">
        <v>-53621.760000000002</v>
      </c>
      <c r="H58" s="95">
        <f t="shared" si="0"/>
        <v>300</v>
      </c>
      <c r="I58" s="3"/>
      <c r="J58" s="1"/>
    </row>
    <row r="59" spans="1:10" s="9" customFormat="1" ht="13.9" hidden="1" customHeight="1" x14ac:dyDescent="0.25">
      <c r="A59" s="27">
        <v>44165</v>
      </c>
      <c r="B59" s="9" t="s">
        <v>18</v>
      </c>
      <c r="C59" s="35" t="s">
        <v>76</v>
      </c>
      <c r="D59" s="17">
        <v>0</v>
      </c>
      <c r="E59" s="5"/>
      <c r="F59" s="17"/>
      <c r="G59" s="38"/>
      <c r="H59" s="62">
        <f t="shared" si="0"/>
        <v>0</v>
      </c>
      <c r="I59" s="3"/>
      <c r="J59" s="1"/>
    </row>
    <row r="60" spans="1:10" s="9" customFormat="1" ht="13.9" customHeight="1" x14ac:dyDescent="0.25">
      <c r="A60" s="27">
        <v>44196</v>
      </c>
      <c r="B60" s="9" t="s">
        <v>18</v>
      </c>
      <c r="C60" s="35" t="s">
        <v>135</v>
      </c>
      <c r="D60" s="17">
        <f>102485.65+1508.75</f>
        <v>103994.4</v>
      </c>
      <c r="E60" s="5"/>
      <c r="F60" s="17">
        <f>-102485.65-1508.75+103994.4</f>
        <v>0</v>
      </c>
      <c r="G60" s="38"/>
      <c r="H60" s="62">
        <f t="shared" si="0"/>
        <v>103994.4</v>
      </c>
      <c r="I60" s="3"/>
      <c r="J60" s="1"/>
    </row>
    <row r="61" spans="1:10" s="9" customFormat="1" ht="13.9" customHeight="1" x14ac:dyDescent="0.25">
      <c r="A61" s="27">
        <v>44196</v>
      </c>
      <c r="B61" s="9" t="s">
        <v>18</v>
      </c>
      <c r="C61" s="35" t="s">
        <v>136</v>
      </c>
      <c r="D61" s="17">
        <f>20128.19+10.1</f>
        <v>20138.289999999997</v>
      </c>
      <c r="E61" s="5"/>
      <c r="F61" s="17">
        <f>-20128.19-10.1+20138.29</f>
        <v>0</v>
      </c>
      <c r="G61" s="38"/>
      <c r="H61" s="62">
        <f t="shared" si="0"/>
        <v>20138.289999999997</v>
      </c>
      <c r="I61" s="3"/>
      <c r="J61" s="1"/>
    </row>
    <row r="62" spans="1:10" s="9" customFormat="1" ht="13.9" customHeight="1" x14ac:dyDescent="0.25">
      <c r="A62" s="27">
        <v>44196</v>
      </c>
      <c r="B62" s="9" t="s">
        <v>18</v>
      </c>
      <c r="C62" s="35" t="s">
        <v>137</v>
      </c>
      <c r="D62" s="17">
        <f>-71825.21-8153.61</f>
        <v>-79978.820000000007</v>
      </c>
      <c r="E62" s="5">
        <f>71825.21+8153.61-79978.82</f>
        <v>0</v>
      </c>
      <c r="F62" s="17"/>
      <c r="G62" s="38"/>
      <c r="H62" s="62">
        <f t="shared" si="0"/>
        <v>-79978.820000000007</v>
      </c>
      <c r="I62" s="3"/>
      <c r="J62" s="1"/>
    </row>
    <row r="63" spans="1:10" s="9" customFormat="1" ht="13.9" customHeight="1" x14ac:dyDescent="0.25">
      <c r="A63" s="27">
        <v>44196</v>
      </c>
      <c r="B63" s="9" t="s">
        <v>18</v>
      </c>
      <c r="C63" s="35" t="s">
        <v>138</v>
      </c>
      <c r="D63" s="17">
        <v>53321.760000000002</v>
      </c>
      <c r="E63" s="5"/>
      <c r="F63" s="17"/>
      <c r="G63" s="38"/>
      <c r="H63" s="62">
        <f t="shared" si="0"/>
        <v>53321.760000000002</v>
      </c>
      <c r="I63" s="3"/>
      <c r="J63" s="1"/>
    </row>
    <row r="64" spans="1:10" s="9" customFormat="1" ht="13.9" customHeight="1" x14ac:dyDescent="0.25">
      <c r="A64" s="27">
        <v>44196</v>
      </c>
      <c r="B64" s="9" t="s">
        <v>18</v>
      </c>
      <c r="C64" s="35" t="s">
        <v>39</v>
      </c>
      <c r="D64" s="17">
        <v>-2791.69</v>
      </c>
      <c r="E64" s="5"/>
      <c r="F64" s="17"/>
      <c r="G64" s="38"/>
      <c r="H64" s="62">
        <f t="shared" si="0"/>
        <v>-2791.69</v>
      </c>
      <c r="I64" s="3"/>
      <c r="J64" s="1"/>
    </row>
    <row r="65" spans="1:10" s="9" customFormat="1" ht="13.9" customHeight="1" x14ac:dyDescent="0.25">
      <c r="A65" s="27">
        <v>44196</v>
      </c>
      <c r="B65" s="9" t="s">
        <v>18</v>
      </c>
      <c r="C65" s="35" t="s">
        <v>34</v>
      </c>
      <c r="D65" s="17">
        <f>-1923.93+7011.57+180</f>
        <v>5267.6399999999994</v>
      </c>
      <c r="E65" s="5"/>
      <c r="F65" s="17"/>
      <c r="G65" s="38"/>
      <c r="H65" s="62">
        <f t="shared" si="0"/>
        <v>5267.6399999999994</v>
      </c>
      <c r="I65" s="3"/>
      <c r="J65" s="1"/>
    </row>
    <row r="66" spans="1:10" s="9" customFormat="1" ht="13.9" customHeight="1" x14ac:dyDescent="0.25">
      <c r="A66" s="27">
        <v>44196</v>
      </c>
      <c r="B66" s="9" t="s">
        <v>18</v>
      </c>
      <c r="C66" s="35" t="s">
        <v>35</v>
      </c>
      <c r="D66" s="17">
        <v>-74388.570000000007</v>
      </c>
      <c r="E66" s="5"/>
      <c r="F66" s="17"/>
      <c r="G66" s="38"/>
      <c r="H66" s="62">
        <f t="shared" si="0"/>
        <v>-74388.570000000007</v>
      </c>
      <c r="I66" s="3"/>
      <c r="J66" s="1"/>
    </row>
    <row r="67" spans="1:10" s="9" customFormat="1" ht="13.9" customHeight="1" x14ac:dyDescent="0.25">
      <c r="A67" s="27">
        <v>44227</v>
      </c>
      <c r="B67" s="9" t="s">
        <v>9</v>
      </c>
      <c r="C67" s="35" t="s">
        <v>144</v>
      </c>
      <c r="D67" s="17">
        <v>1302.08</v>
      </c>
      <c r="E67" s="5"/>
      <c r="F67" s="17"/>
      <c r="G67" s="38"/>
      <c r="H67" s="62">
        <f t="shared" si="0"/>
        <v>1302.08</v>
      </c>
      <c r="I67" s="3"/>
      <c r="J67" s="1"/>
    </row>
    <row r="68" spans="1:10" s="9" customFormat="1" ht="13.9" customHeight="1" x14ac:dyDescent="0.25">
      <c r="A68" s="27">
        <v>44227</v>
      </c>
      <c r="B68" s="9" t="s">
        <v>9</v>
      </c>
      <c r="C68" s="35" t="s">
        <v>140</v>
      </c>
      <c r="D68" s="17">
        <f>361443.6+53107.39</f>
        <v>414550.99</v>
      </c>
      <c r="E68" s="5"/>
      <c r="F68" s="17">
        <f>-361443.6-53107.39+414550.99</f>
        <v>0</v>
      </c>
      <c r="G68" s="38"/>
      <c r="H68" s="62">
        <f t="shared" si="0"/>
        <v>414550.99</v>
      </c>
      <c r="I68" s="3"/>
      <c r="J68" s="1"/>
    </row>
    <row r="69" spans="1:10" s="9" customFormat="1" ht="13.9" customHeight="1" x14ac:dyDescent="0.25">
      <c r="A69" s="27">
        <v>44227</v>
      </c>
      <c r="B69" s="9" t="s">
        <v>9</v>
      </c>
      <c r="C69" s="35" t="s">
        <v>141</v>
      </c>
      <c r="D69" s="17">
        <f>-99869.3+66423.59</f>
        <v>-33445.710000000006</v>
      </c>
      <c r="E69" s="5">
        <f>99869.3-66423.59-33445.71</f>
        <v>0</v>
      </c>
      <c r="F69" s="17"/>
      <c r="G69" s="38"/>
      <c r="H69" s="62">
        <f t="shared" si="0"/>
        <v>-33445.710000000006</v>
      </c>
      <c r="I69" s="3"/>
      <c r="J69" s="1"/>
    </row>
    <row r="70" spans="1:10" s="9" customFormat="1" ht="13.9" customHeight="1" x14ac:dyDescent="0.25">
      <c r="A70" s="27">
        <v>44227</v>
      </c>
      <c r="B70" s="9" t="s">
        <v>9</v>
      </c>
      <c r="C70" s="35" t="s">
        <v>142</v>
      </c>
      <c r="D70" s="17">
        <f>-127977.09-22406.86</f>
        <v>-150383.95000000001</v>
      </c>
      <c r="E70" s="5">
        <f>127977.09+22406.86-150383.95</f>
        <v>0</v>
      </c>
      <c r="F70" s="17"/>
      <c r="G70" s="38"/>
      <c r="H70" s="62">
        <f t="shared" si="0"/>
        <v>-150383.95000000001</v>
      </c>
      <c r="I70" s="3"/>
      <c r="J70" s="1"/>
    </row>
    <row r="71" spans="1:10" s="9" customFormat="1" ht="13.9" customHeight="1" x14ac:dyDescent="0.25">
      <c r="A71" s="27">
        <v>44227</v>
      </c>
      <c r="B71" s="9" t="s">
        <v>9</v>
      </c>
      <c r="C71" s="35" t="s">
        <v>143</v>
      </c>
      <c r="D71" s="17">
        <v>74388.570000000007</v>
      </c>
      <c r="E71" s="5"/>
      <c r="F71" s="17"/>
      <c r="G71" s="38"/>
      <c r="H71" s="62">
        <f t="shared" si="0"/>
        <v>74388.570000000007</v>
      </c>
      <c r="I71" s="3"/>
      <c r="J71" s="1"/>
    </row>
    <row r="72" spans="1:10" s="9" customFormat="1" ht="13.9" customHeight="1" x14ac:dyDescent="0.25">
      <c r="A72" s="27">
        <v>44227</v>
      </c>
      <c r="B72" s="9" t="s">
        <v>9</v>
      </c>
      <c r="C72" s="35" t="s">
        <v>127</v>
      </c>
      <c r="D72" s="17">
        <v>-3000.02</v>
      </c>
      <c r="E72" s="5"/>
      <c r="F72" s="17"/>
      <c r="G72" s="38"/>
      <c r="H72" s="62">
        <f t="shared" si="0"/>
        <v>-3000.02</v>
      </c>
      <c r="I72" s="3"/>
      <c r="J72" s="1"/>
    </row>
    <row r="73" spans="1:10" s="9" customFormat="1" ht="13.9" customHeight="1" x14ac:dyDescent="0.25">
      <c r="A73" s="27">
        <v>44227</v>
      </c>
      <c r="B73" s="9" t="s">
        <v>9</v>
      </c>
      <c r="C73" s="35" t="s">
        <v>128</v>
      </c>
      <c r="D73" s="17">
        <f>-178477.07+23944.61</f>
        <v>-154532.46000000002</v>
      </c>
      <c r="E73" s="5"/>
      <c r="F73" s="17"/>
      <c r="G73" s="38"/>
      <c r="H73" s="62">
        <f t="shared" si="0"/>
        <v>-154532.46000000002</v>
      </c>
      <c r="I73" s="3"/>
      <c r="J73" s="1"/>
    </row>
    <row r="74" spans="1:10" s="9" customFormat="1" ht="13.9" customHeight="1" x14ac:dyDescent="0.25">
      <c r="A74" s="27">
        <v>44227</v>
      </c>
      <c r="B74" s="9" t="s">
        <v>9</v>
      </c>
      <c r="C74" s="35" t="s">
        <v>129</v>
      </c>
      <c r="D74" s="17">
        <v>-42165.79</v>
      </c>
      <c r="E74" s="5"/>
      <c r="F74" s="17"/>
      <c r="G74" s="38"/>
      <c r="H74" s="62">
        <f t="shared" si="0"/>
        <v>-42165.79</v>
      </c>
      <c r="I74" s="3"/>
      <c r="J74" s="1"/>
    </row>
    <row r="75" spans="1:10" s="9" customFormat="1" ht="13.9" customHeight="1" x14ac:dyDescent="0.25">
      <c r="A75" s="27">
        <v>44255</v>
      </c>
      <c r="B75" s="9" t="s">
        <v>9</v>
      </c>
      <c r="C75" s="35" t="s">
        <v>144</v>
      </c>
      <c r="D75" s="17">
        <v>1302.08</v>
      </c>
      <c r="E75" s="5"/>
      <c r="F75" s="17"/>
      <c r="G75" s="38"/>
      <c r="H75" s="62">
        <f t="shared" si="0"/>
        <v>1302.08</v>
      </c>
      <c r="I75" s="3"/>
      <c r="J75" s="1"/>
    </row>
    <row r="76" spans="1:10" s="9" customFormat="1" ht="13.9" customHeight="1" x14ac:dyDescent="0.25">
      <c r="A76" s="27">
        <v>44255</v>
      </c>
      <c r="B76" s="9" t="s">
        <v>9</v>
      </c>
      <c r="C76" s="35" t="s">
        <v>148</v>
      </c>
      <c r="D76" s="17">
        <v>42165.79</v>
      </c>
      <c r="E76" s="5"/>
      <c r="F76" s="17"/>
      <c r="G76" s="38"/>
      <c r="H76" s="62">
        <f t="shared" si="0"/>
        <v>42165.79</v>
      </c>
      <c r="I76" s="3"/>
      <c r="J76" s="1"/>
    </row>
    <row r="77" spans="1:10" s="9" customFormat="1" ht="13.9" customHeight="1" x14ac:dyDescent="0.25">
      <c r="A77" s="27">
        <v>44255</v>
      </c>
      <c r="B77" s="9" t="s">
        <v>9</v>
      </c>
      <c r="C77" s="35" t="s">
        <v>151</v>
      </c>
      <c r="D77" s="17">
        <f>-411154.26+24063.88</f>
        <v>-387090.38</v>
      </c>
      <c r="E77" s="79">
        <f>411154.26-24063.88</f>
        <v>387090.38</v>
      </c>
      <c r="F77" s="17"/>
      <c r="G77" s="38"/>
      <c r="H77" s="62">
        <f t="shared" si="0"/>
        <v>-387090.38</v>
      </c>
      <c r="I77" s="3"/>
      <c r="J77" s="1"/>
    </row>
    <row r="78" spans="1:10" s="9" customFormat="1" ht="13.9" customHeight="1" x14ac:dyDescent="0.25">
      <c r="A78" s="27">
        <v>44255</v>
      </c>
      <c r="B78" s="9" t="s">
        <v>9</v>
      </c>
      <c r="C78" s="35" t="s">
        <v>154</v>
      </c>
      <c r="D78" s="17">
        <f>83000+18631.04</f>
        <v>101631.04000000001</v>
      </c>
      <c r="E78" s="5"/>
      <c r="F78" s="17">
        <f>-83000-18631.04+101631.04</f>
        <v>0</v>
      </c>
      <c r="G78" s="38"/>
      <c r="H78" s="62">
        <f t="shared" si="0"/>
        <v>101631.04000000001</v>
      </c>
      <c r="I78" s="3"/>
      <c r="J78" s="1"/>
    </row>
    <row r="79" spans="1:10" s="9" customFormat="1" ht="13.9" customHeight="1" x14ac:dyDescent="0.25">
      <c r="A79" s="27">
        <v>44255</v>
      </c>
      <c r="B79" s="9" t="s">
        <v>9</v>
      </c>
      <c r="C79" s="35" t="s">
        <v>152</v>
      </c>
      <c r="D79" s="17">
        <v>-14380.2</v>
      </c>
      <c r="E79" s="56">
        <v>14380.2</v>
      </c>
      <c r="F79" s="17"/>
      <c r="G79" s="38"/>
      <c r="H79" s="62">
        <f t="shared" si="0"/>
        <v>-14380.2</v>
      </c>
      <c r="I79" s="3"/>
      <c r="J79" s="1"/>
    </row>
    <row r="80" spans="1:10" s="9" customFormat="1" ht="13.9" customHeight="1" x14ac:dyDescent="0.25">
      <c r="A80" s="27">
        <v>44255</v>
      </c>
      <c r="B80" s="9" t="s">
        <v>9</v>
      </c>
      <c r="C80" s="35" t="s">
        <v>153</v>
      </c>
      <c r="D80" s="17">
        <v>-33060.54</v>
      </c>
      <c r="E80" s="54">
        <v>33060.54</v>
      </c>
      <c r="F80" s="17"/>
      <c r="G80" s="38"/>
      <c r="H80" s="62">
        <f t="shared" si="0"/>
        <v>-33060.54</v>
      </c>
      <c r="I80" s="3"/>
      <c r="J80" s="1"/>
    </row>
    <row r="81" spans="1:10" s="9" customFormat="1" ht="13.9" customHeight="1" x14ac:dyDescent="0.25">
      <c r="A81" s="27">
        <v>44255</v>
      </c>
      <c r="B81" s="9" t="s">
        <v>9</v>
      </c>
      <c r="C81" s="35" t="s">
        <v>159</v>
      </c>
      <c r="D81" s="17">
        <v>-101864.83</v>
      </c>
      <c r="E81" s="5"/>
      <c r="F81" s="17"/>
      <c r="G81" s="38"/>
      <c r="H81" s="62">
        <f t="shared" si="0"/>
        <v>-101864.83</v>
      </c>
      <c r="I81" s="3"/>
      <c r="J81" s="1"/>
    </row>
    <row r="82" spans="1:10" s="9" customFormat="1" ht="13.9" customHeight="1" x14ac:dyDescent="0.25">
      <c r="A82" s="27">
        <v>44255</v>
      </c>
      <c r="B82" s="9" t="s">
        <v>9</v>
      </c>
      <c r="C82" s="35" t="s">
        <v>39</v>
      </c>
      <c r="D82" s="17">
        <v>-2166.69</v>
      </c>
      <c r="E82" s="5"/>
      <c r="F82" s="17"/>
      <c r="G82" s="38"/>
      <c r="H82" s="62">
        <f t="shared" si="0"/>
        <v>-2166.69</v>
      </c>
      <c r="I82" s="3"/>
      <c r="J82" s="1"/>
    </row>
    <row r="83" spans="1:10" s="9" customFormat="1" ht="13.9" customHeight="1" x14ac:dyDescent="0.25">
      <c r="A83" s="27">
        <v>44255</v>
      </c>
      <c r="B83" s="9" t="s">
        <v>9</v>
      </c>
      <c r="C83" s="35" t="s">
        <v>34</v>
      </c>
      <c r="D83" s="17">
        <v>273826.5</v>
      </c>
      <c r="E83" s="5"/>
      <c r="F83" s="17"/>
      <c r="G83" s="38"/>
      <c r="H83" s="62">
        <f t="shared" si="0"/>
        <v>273826.5</v>
      </c>
      <c r="I83" s="3"/>
      <c r="J83" s="1"/>
    </row>
    <row r="84" spans="1:10" s="9" customFormat="1" ht="13.9" customHeight="1" x14ac:dyDescent="0.25">
      <c r="A84" s="27">
        <v>44255</v>
      </c>
      <c r="B84" s="9" t="s">
        <v>9</v>
      </c>
      <c r="C84" s="35" t="s">
        <v>35</v>
      </c>
      <c r="D84" s="17">
        <v>-44307.71</v>
      </c>
      <c r="E84" s="5"/>
      <c r="F84" s="17"/>
      <c r="G84" s="38"/>
      <c r="H84" s="62">
        <f t="shared" si="0"/>
        <v>-44307.71</v>
      </c>
      <c r="I84" s="3"/>
      <c r="J84" s="1"/>
    </row>
    <row r="85" spans="1:10" s="9" customFormat="1" ht="13.9" customHeight="1" x14ac:dyDescent="0.25">
      <c r="A85" s="27">
        <v>44286</v>
      </c>
      <c r="B85" s="9" t="s">
        <v>9</v>
      </c>
      <c r="C85" s="35" t="s">
        <v>155</v>
      </c>
      <c r="D85" s="17">
        <v>44307.71</v>
      </c>
      <c r="E85" s="5"/>
      <c r="F85" s="17"/>
      <c r="G85" s="38"/>
      <c r="H85" s="62">
        <f t="shared" si="0"/>
        <v>44307.71</v>
      </c>
      <c r="I85" s="3"/>
      <c r="J85" s="1"/>
    </row>
    <row r="86" spans="1:10" s="9" customFormat="1" ht="13.9" customHeight="1" x14ac:dyDescent="0.25">
      <c r="A86" s="27">
        <v>44286</v>
      </c>
      <c r="B86" s="9" t="s">
        <v>9</v>
      </c>
      <c r="C86" s="35" t="s">
        <v>144</v>
      </c>
      <c r="D86" s="17">
        <v>1302.08</v>
      </c>
      <c r="E86" s="5"/>
      <c r="F86" s="17"/>
      <c r="G86" s="38"/>
      <c r="H86" s="62">
        <f t="shared" si="0"/>
        <v>1302.08</v>
      </c>
      <c r="I86" s="3"/>
      <c r="J86" s="1"/>
    </row>
    <row r="87" spans="1:10" s="9" customFormat="1" ht="13.9" customHeight="1" x14ac:dyDescent="0.25">
      <c r="A87" s="27">
        <v>44286</v>
      </c>
      <c r="B87" s="9" t="s">
        <v>9</v>
      </c>
      <c r="C87" s="35" t="s">
        <v>156</v>
      </c>
      <c r="D87" s="17">
        <v>-347595.01</v>
      </c>
      <c r="E87" s="79">
        <v>347595.01</v>
      </c>
      <c r="F87" s="17"/>
      <c r="G87" s="38"/>
      <c r="H87" s="62">
        <f t="shared" si="0"/>
        <v>-347595.01</v>
      </c>
      <c r="I87" s="3"/>
      <c r="J87" s="1"/>
    </row>
    <row r="88" spans="1:10" s="9" customFormat="1" ht="13.9" customHeight="1" x14ac:dyDescent="0.25">
      <c r="A88" s="27">
        <v>44286</v>
      </c>
      <c r="B88" s="9" t="s">
        <v>9</v>
      </c>
      <c r="C88" s="35" t="s">
        <v>157</v>
      </c>
      <c r="D88" s="17">
        <v>-58083.5</v>
      </c>
      <c r="E88" s="56">
        <v>58083.5</v>
      </c>
      <c r="F88" s="17"/>
      <c r="G88" s="38"/>
      <c r="H88" s="62">
        <f t="shared" si="0"/>
        <v>-58083.5</v>
      </c>
      <c r="I88" s="3"/>
      <c r="J88" s="1"/>
    </row>
    <row r="89" spans="1:10" s="9" customFormat="1" ht="13.9" customHeight="1" x14ac:dyDescent="0.25">
      <c r="A89" s="27">
        <v>44286</v>
      </c>
      <c r="B89" s="9" t="s">
        <v>9</v>
      </c>
      <c r="C89" s="35" t="s">
        <v>158</v>
      </c>
      <c r="D89" s="17">
        <v>7729.12</v>
      </c>
      <c r="E89" s="5"/>
      <c r="F89" s="91">
        <v>-7729.12</v>
      </c>
      <c r="G89" s="38"/>
      <c r="H89" s="62">
        <f t="shared" si="0"/>
        <v>7729.12</v>
      </c>
      <c r="I89" s="3"/>
      <c r="J89" s="1"/>
    </row>
    <row r="90" spans="1:10" s="9" customFormat="1" ht="13.9" customHeight="1" x14ac:dyDescent="0.25">
      <c r="A90" s="44">
        <v>44286</v>
      </c>
      <c r="B90" s="24" t="s">
        <v>9</v>
      </c>
      <c r="C90" s="26" t="s">
        <v>149</v>
      </c>
      <c r="D90" s="33">
        <v>2821.97</v>
      </c>
      <c r="E90" s="5"/>
      <c r="F90" s="17"/>
      <c r="G90" s="38"/>
      <c r="H90" s="62">
        <f t="shared" si="0"/>
        <v>2821.97</v>
      </c>
      <c r="I90" s="3"/>
      <c r="J90" s="1"/>
    </row>
    <row r="91" spans="1:10" s="9" customFormat="1" ht="13.9" customHeight="1" x14ac:dyDescent="0.25">
      <c r="A91" s="44">
        <v>44286</v>
      </c>
      <c r="B91" s="24" t="s">
        <v>9</v>
      </c>
      <c r="C91" s="26" t="s">
        <v>41</v>
      </c>
      <c r="D91" s="33">
        <v>-2750.0200000000004</v>
      </c>
      <c r="E91" s="5"/>
      <c r="F91" s="17"/>
      <c r="G91" s="38"/>
      <c r="H91" s="62">
        <f t="shared" si="0"/>
        <v>-2750.0200000000004</v>
      </c>
      <c r="I91" s="3"/>
      <c r="J91" s="1"/>
    </row>
    <row r="92" spans="1:10" s="9" customFormat="1" ht="13.9" customHeight="1" x14ac:dyDescent="0.25">
      <c r="A92" s="44">
        <v>44286</v>
      </c>
      <c r="B92" s="24" t="s">
        <v>9</v>
      </c>
      <c r="C92" s="26" t="s">
        <v>42</v>
      </c>
      <c r="D92" s="33">
        <v>136248.52000000005</v>
      </c>
      <c r="E92" s="5"/>
      <c r="F92" s="17"/>
      <c r="G92" s="38"/>
      <c r="H92" s="62">
        <f t="shared" si="0"/>
        <v>136248.52000000005</v>
      </c>
      <c r="I92" s="3"/>
      <c r="J92" s="1"/>
    </row>
    <row r="93" spans="1:10" s="9" customFormat="1" ht="13.9" customHeight="1" x14ac:dyDescent="0.25">
      <c r="A93" s="44">
        <v>44286</v>
      </c>
      <c r="B93" s="24" t="s">
        <v>9</v>
      </c>
      <c r="C93" s="26" t="s">
        <v>43</v>
      </c>
      <c r="D93" s="33">
        <v>-14663.53</v>
      </c>
      <c r="E93" s="5"/>
      <c r="F93" s="17"/>
      <c r="G93" s="38"/>
      <c r="H93" s="62">
        <f t="shared" si="0"/>
        <v>-14663.53</v>
      </c>
      <c r="I93" s="3"/>
      <c r="J93" s="1"/>
    </row>
    <row r="94" spans="1:10" s="9" customFormat="1" x14ac:dyDescent="0.25">
      <c r="A94" s="63"/>
      <c r="B94" s="46"/>
      <c r="C94" s="64"/>
      <c r="D94" s="22"/>
      <c r="E94" s="21"/>
      <c r="F94" s="22"/>
      <c r="G94" s="21"/>
      <c r="H94" s="62">
        <f t="shared" si="0"/>
        <v>0</v>
      </c>
      <c r="J94" s="1"/>
    </row>
    <row r="95" spans="1:10" x14ac:dyDescent="0.25">
      <c r="B95" s="9"/>
      <c r="C95" s="9"/>
      <c r="D95" s="45">
        <f>SUM(D8:D94)</f>
        <v>-884981.27999999991</v>
      </c>
      <c r="E95" s="45">
        <f>SUM(E8:E94)</f>
        <v>840209.63</v>
      </c>
      <c r="F95" s="45">
        <f>SUM(F8:F94)</f>
        <v>-7729.12</v>
      </c>
      <c r="G95" s="45">
        <f>SUM(G6:G94)</f>
        <v>-503517.5</v>
      </c>
      <c r="H95" s="45">
        <f>SUM(H6:H94)</f>
        <v>-228312.91000000009</v>
      </c>
      <c r="J95" s="1"/>
    </row>
    <row r="96" spans="1:10" x14ac:dyDescent="0.25">
      <c r="B96" s="9"/>
      <c r="C96" s="9"/>
      <c r="D96" s="2"/>
      <c r="E96" s="2"/>
      <c r="F96" s="2"/>
      <c r="G96" s="1">
        <f>G95*-1</f>
        <v>503517.5</v>
      </c>
      <c r="H96" s="2"/>
      <c r="J96" s="85" t="s">
        <v>147</v>
      </c>
    </row>
    <row r="97" spans="2:10" x14ac:dyDescent="0.25">
      <c r="B97" s="9"/>
      <c r="C97" s="9" t="s">
        <v>6</v>
      </c>
      <c r="D97" s="11"/>
      <c r="E97" s="68">
        <v>840209.63</v>
      </c>
      <c r="F97" s="8">
        <v>-7729.12</v>
      </c>
      <c r="G97" s="9"/>
      <c r="H97" s="8">
        <v>-228312.91</v>
      </c>
      <c r="J97" s="1" t="s">
        <v>120</v>
      </c>
    </row>
    <row r="98" spans="2:10" x14ac:dyDescent="0.25">
      <c r="B98" s="9"/>
      <c r="C98" s="9" t="s">
        <v>28</v>
      </c>
      <c r="D98" s="10"/>
      <c r="E98" s="10">
        <f>E95-E97</f>
        <v>0</v>
      </c>
      <c r="F98" s="10">
        <f>F95-F97</f>
        <v>0</v>
      </c>
      <c r="G98" s="10"/>
      <c r="H98" s="10">
        <f>H95-H97</f>
        <v>0</v>
      </c>
      <c r="J98" s="1"/>
    </row>
    <row r="99" spans="2:10" x14ac:dyDescent="0.25">
      <c r="B99" s="9"/>
      <c r="C99" s="9"/>
      <c r="D99" s="9"/>
      <c r="E99" s="9"/>
      <c r="F99" s="4"/>
      <c r="G99" s="20"/>
      <c r="H99" s="1"/>
    </row>
    <row r="100" spans="2:10" x14ac:dyDescent="0.25">
      <c r="B100" s="9"/>
      <c r="C100" s="106" t="s">
        <v>30</v>
      </c>
      <c r="D100" s="107"/>
      <c r="E100" s="10"/>
      <c r="F100" s="12"/>
      <c r="G100" s="89"/>
      <c r="H100" s="19"/>
      <c r="J100" s="1"/>
    </row>
    <row r="101" spans="2:10" x14ac:dyDescent="0.25">
      <c r="B101" s="9"/>
      <c r="C101" s="28" t="s">
        <v>150</v>
      </c>
      <c r="D101" s="61">
        <f>F78</f>
        <v>0</v>
      </c>
      <c r="E101" s="9"/>
      <c r="F101" s="89"/>
      <c r="G101" s="89"/>
      <c r="H101" s="19"/>
      <c r="J101" s="1"/>
    </row>
    <row r="102" spans="2:10" x14ac:dyDescent="0.25">
      <c r="B102" s="9"/>
      <c r="C102" s="29" t="s">
        <v>27</v>
      </c>
      <c r="D102" s="42">
        <f>E80+F89</f>
        <v>25331.420000000002</v>
      </c>
      <c r="E102" s="9"/>
      <c r="F102" s="89"/>
      <c r="G102" s="89"/>
      <c r="H102" s="19"/>
      <c r="J102" s="1"/>
    </row>
    <row r="103" spans="2:10" x14ac:dyDescent="0.25">
      <c r="B103" s="9"/>
      <c r="C103" s="29" t="s">
        <v>33</v>
      </c>
      <c r="D103" s="55">
        <f>E79+E88</f>
        <v>72463.7</v>
      </c>
      <c r="E103" s="59"/>
      <c r="F103" s="89"/>
      <c r="G103" s="89" t="s">
        <v>25</v>
      </c>
      <c r="H103" s="19"/>
      <c r="J103" s="1"/>
    </row>
    <row r="104" spans="2:10" ht="15.75" thickBot="1" x14ac:dyDescent="0.3">
      <c r="C104" s="30" t="s">
        <v>38</v>
      </c>
      <c r="D104" s="80">
        <f>F68+E77+E87</f>
        <v>734685.39</v>
      </c>
      <c r="F104" s="89"/>
      <c r="G104" s="89"/>
      <c r="H104" s="43"/>
      <c r="J104" s="1"/>
    </row>
    <row r="105" spans="2:10" x14ac:dyDescent="0.25">
      <c r="C105" s="31"/>
      <c r="D105" s="32">
        <f>SUM(D101:D104)</f>
        <v>832480.51</v>
      </c>
      <c r="F105" s="12"/>
      <c r="G105" s="89"/>
      <c r="H105" s="43"/>
    </row>
    <row r="106" spans="2:10" x14ac:dyDescent="0.25">
      <c r="C106" s="18"/>
      <c r="D106" s="19"/>
      <c r="F106" s="12"/>
      <c r="G106" s="89"/>
      <c r="H106" s="43"/>
    </row>
    <row r="107" spans="2:10" x14ac:dyDescent="0.25">
      <c r="C107" s="18"/>
      <c r="D107" s="19"/>
      <c r="F107" s="18"/>
      <c r="G107" s="89"/>
      <c r="H107" s="43"/>
    </row>
    <row r="108" spans="2:10" x14ac:dyDescent="0.25">
      <c r="C108" s="18"/>
      <c r="D108" s="19"/>
      <c r="F108" s="18"/>
      <c r="G108" s="89"/>
      <c r="H108" s="43"/>
    </row>
    <row r="109" spans="2:10" x14ac:dyDescent="0.25">
      <c r="F109" s="18"/>
      <c r="G109" s="89"/>
      <c r="H109" s="43"/>
    </row>
    <row r="110" spans="2:10" x14ac:dyDescent="0.25">
      <c r="F110" s="18"/>
      <c r="G110" s="89"/>
      <c r="H110" s="43"/>
    </row>
    <row r="111" spans="2:10" x14ac:dyDescent="0.25">
      <c r="F111" s="18"/>
      <c r="G111" s="89"/>
      <c r="H111" s="43"/>
    </row>
    <row r="112" spans="2:10" x14ac:dyDescent="0.25">
      <c r="F112" s="18"/>
      <c r="G112" s="89"/>
      <c r="H112" s="43"/>
    </row>
    <row r="113" spans="6:8" x14ac:dyDescent="0.25">
      <c r="F113" s="18"/>
      <c r="G113" s="18"/>
      <c r="H113" s="18"/>
    </row>
  </sheetData>
  <autoFilter ref="A5:K105">
    <filterColumn colId="0" showButton="0"/>
  </autoFilter>
  <mergeCells count="4">
    <mergeCell ref="A5:B5"/>
    <mergeCell ref="A6:B6"/>
    <mergeCell ref="A7:B7"/>
    <mergeCell ref="C100:D100"/>
  </mergeCells>
  <pageMargins left="0.7" right="0.7" top="0.5" bottom="0.5" header="0.3" footer="0.3"/>
  <pageSetup scale="54" fitToHeight="0" orientation="portrait" r:id="rId1"/>
  <headerFooter>
    <oddFooter>&amp;L&amp;Z&amp;F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zoomScaleNormal="100" workbookViewId="0">
      <pane ySplit="5" topLeftCell="A73" activePane="bottomLeft" state="frozen"/>
      <selection activeCell="C1" sqref="C1"/>
      <selection pane="bottomLeft" activeCell="D77" sqref="D77"/>
    </sheetView>
  </sheetViews>
  <sheetFormatPr defaultColWidth="9.140625" defaultRowHeight="15" x14ac:dyDescent="0.25"/>
  <cols>
    <col min="1" max="1" width="13.85546875" style="7" customWidth="1"/>
    <col min="2" max="2" width="8.7109375" style="7" customWidth="1"/>
    <col min="3" max="3" width="57" style="7" customWidth="1"/>
    <col min="4" max="4" width="16.28515625" style="7" customWidth="1"/>
    <col min="5" max="5" width="17.7109375" style="7" customWidth="1"/>
    <col min="6" max="6" width="17.28515625" style="7" customWidth="1"/>
    <col min="7" max="7" width="21.7109375" style="7" bestFit="1" customWidth="1"/>
    <col min="8" max="8" width="15.7109375" style="7" customWidth="1"/>
    <col min="9" max="9" width="11.28515625" style="7" customWidth="1"/>
    <col min="10" max="10" width="43.140625" style="7" customWidth="1"/>
    <col min="11" max="11" width="26" style="7" customWidth="1"/>
    <col min="12" max="16384" width="9.140625" style="7"/>
  </cols>
  <sheetData>
    <row r="1" spans="1:10" ht="21" x14ac:dyDescent="0.35">
      <c r="A1" s="58" t="s">
        <v>22</v>
      </c>
    </row>
    <row r="2" spans="1:10" ht="21" x14ac:dyDescent="0.35">
      <c r="A2" s="60" t="s">
        <v>7</v>
      </c>
      <c r="E2" s="14"/>
      <c r="F2" s="14"/>
    </row>
    <row r="3" spans="1:10" ht="21" x14ac:dyDescent="0.35">
      <c r="A3" s="58" t="s">
        <v>0</v>
      </c>
      <c r="B3" s="9"/>
      <c r="D3" s="1"/>
      <c r="E3" s="9"/>
      <c r="F3" s="9"/>
      <c r="G3" s="9"/>
      <c r="H3" s="9"/>
    </row>
    <row r="4" spans="1:10" ht="30.6" customHeight="1" x14ac:dyDescent="0.25">
      <c r="A4" s="50"/>
      <c r="B4" s="18"/>
      <c r="C4" s="51"/>
      <c r="D4" s="47" t="s">
        <v>1</v>
      </c>
      <c r="E4" s="57" t="s">
        <v>32</v>
      </c>
      <c r="F4" s="57" t="s">
        <v>31</v>
      </c>
      <c r="G4" s="52" t="s">
        <v>36</v>
      </c>
      <c r="H4" s="47" t="s">
        <v>2</v>
      </c>
    </row>
    <row r="5" spans="1:10" ht="15.75" thickBot="1" x14ac:dyDescent="0.3">
      <c r="A5" s="104" t="s">
        <v>29</v>
      </c>
      <c r="B5" s="104"/>
      <c r="C5" s="49" t="s">
        <v>3</v>
      </c>
      <c r="D5" s="48" t="s">
        <v>4</v>
      </c>
      <c r="E5" s="48" t="s">
        <v>5</v>
      </c>
      <c r="F5" s="48" t="s">
        <v>5</v>
      </c>
      <c r="G5" s="53" t="s">
        <v>146</v>
      </c>
      <c r="H5" s="48" t="s">
        <v>4</v>
      </c>
    </row>
    <row r="6" spans="1:10" x14ac:dyDescent="0.25">
      <c r="A6" s="105" t="s">
        <v>15</v>
      </c>
      <c r="B6" s="105"/>
      <c r="C6" s="23" t="s">
        <v>145</v>
      </c>
      <c r="D6" s="17">
        <f>1148.11+7643.37+1151.59+7639.89</f>
        <v>17582.96</v>
      </c>
      <c r="E6" s="47"/>
      <c r="F6" s="34"/>
      <c r="G6" s="74"/>
      <c r="H6" s="12">
        <f>D6-G6</f>
        <v>17582.96</v>
      </c>
      <c r="I6" s="6"/>
    </row>
    <row r="7" spans="1:10" x14ac:dyDescent="0.25">
      <c r="A7" s="105" t="s">
        <v>15</v>
      </c>
      <c r="B7" s="105"/>
      <c r="C7" s="23" t="s">
        <v>78</v>
      </c>
      <c r="D7" s="17">
        <f>11199.33+11199.33+11199.33+11199.33+11199.33+11199.33+11199.33+11199.33+11199.33+1906.78+6492.72+1141.18+7650.3+1144.64+7646.84</f>
        <v>126776.43</v>
      </c>
      <c r="E7" s="47"/>
      <c r="F7" s="34"/>
      <c r="G7" s="74">
        <f>55996.65+61988.3</f>
        <v>117984.95000000001</v>
      </c>
      <c r="H7" s="12">
        <f>D7-G7</f>
        <v>8791.4799999999814</v>
      </c>
      <c r="I7" s="6"/>
    </row>
    <row r="8" spans="1:10" s="9" customFormat="1" ht="13.9" hidden="1" customHeight="1" x14ac:dyDescent="0.25">
      <c r="A8" s="27">
        <v>43982</v>
      </c>
      <c r="B8" s="9" t="s">
        <v>10</v>
      </c>
      <c r="C8" s="35" t="s">
        <v>101</v>
      </c>
      <c r="D8" s="17">
        <f>6657.07-246.45</f>
        <v>6410.62</v>
      </c>
      <c r="E8" s="5"/>
      <c r="F8" s="17">
        <f>-6657.07+246.45+6410.62</f>
        <v>0</v>
      </c>
      <c r="G8" s="11">
        <f>6657.07-246.45</f>
        <v>6410.62</v>
      </c>
      <c r="H8" s="62">
        <f t="shared" ref="H8:H85" si="0">D8-G8</f>
        <v>0</v>
      </c>
      <c r="I8" s="3"/>
      <c r="J8" s="1"/>
    </row>
    <row r="9" spans="1:10" s="9" customFormat="1" ht="13.9" hidden="1" customHeight="1" x14ac:dyDescent="0.25">
      <c r="A9" s="27">
        <v>43982</v>
      </c>
      <c r="B9" s="9" t="s">
        <v>10</v>
      </c>
      <c r="C9" s="35" t="s">
        <v>102</v>
      </c>
      <c r="D9" s="17">
        <f>-39806.95+23.74</f>
        <v>-39783.21</v>
      </c>
      <c r="E9" s="5">
        <f>39806.95-23.74-39783.21</f>
        <v>0</v>
      </c>
      <c r="F9" s="17"/>
      <c r="G9" s="11">
        <f>-39806.95+23.74</f>
        <v>-39783.21</v>
      </c>
      <c r="H9" s="62">
        <f t="shared" si="0"/>
        <v>0</v>
      </c>
      <c r="I9" s="3"/>
      <c r="J9" s="1"/>
    </row>
    <row r="10" spans="1:10" s="9" customFormat="1" ht="13.9" hidden="1" customHeight="1" x14ac:dyDescent="0.25">
      <c r="A10" s="27">
        <v>43982</v>
      </c>
      <c r="B10" s="9" t="s">
        <v>10</v>
      </c>
      <c r="C10" s="35" t="s">
        <v>103</v>
      </c>
      <c r="D10" s="17">
        <f>-27747.51-275.24</f>
        <v>-28022.75</v>
      </c>
      <c r="E10" s="5">
        <f>27747.51+275.24-28022.75</f>
        <v>0</v>
      </c>
      <c r="F10" s="17"/>
      <c r="G10" s="11">
        <f>-27747.51-275.24</f>
        <v>-28022.75</v>
      </c>
      <c r="H10" s="62">
        <f t="shared" si="0"/>
        <v>0</v>
      </c>
      <c r="I10" s="3"/>
      <c r="J10" s="1"/>
    </row>
    <row r="11" spans="1:10" s="9" customFormat="1" ht="13.9" hidden="1" customHeight="1" x14ac:dyDescent="0.25">
      <c r="A11" s="27">
        <v>43982</v>
      </c>
      <c r="B11" s="9" t="s">
        <v>10</v>
      </c>
      <c r="C11" s="35" t="s">
        <v>34</v>
      </c>
      <c r="D11" s="17">
        <f>-25900.51-29.59</f>
        <v>-25930.1</v>
      </c>
      <c r="E11" s="5"/>
      <c r="F11" s="17"/>
      <c r="G11" s="11">
        <f>-25900.51-29.59</f>
        <v>-25930.1</v>
      </c>
      <c r="H11" s="62">
        <f t="shared" si="0"/>
        <v>0</v>
      </c>
      <c r="I11" s="3"/>
      <c r="J11" s="1"/>
    </row>
    <row r="12" spans="1:10" s="9" customFormat="1" ht="13.9" hidden="1" customHeight="1" x14ac:dyDescent="0.25">
      <c r="A12" s="27">
        <v>43982</v>
      </c>
      <c r="B12" s="9" t="s">
        <v>10</v>
      </c>
      <c r="C12" s="35" t="s">
        <v>35</v>
      </c>
      <c r="D12" s="17">
        <f>-33642.7+9266.09</f>
        <v>-24376.609999999997</v>
      </c>
      <c r="E12" s="5"/>
      <c r="F12" s="17"/>
      <c r="G12" s="11">
        <f>-33642.7+9266.09</f>
        <v>-24376.609999999997</v>
      </c>
      <c r="H12" s="62">
        <f t="shared" si="0"/>
        <v>0</v>
      </c>
      <c r="I12" s="3"/>
      <c r="J12" s="1"/>
    </row>
    <row r="13" spans="1:10" s="9" customFormat="1" ht="13.9" hidden="1" customHeight="1" x14ac:dyDescent="0.25">
      <c r="A13" s="27">
        <v>44012</v>
      </c>
      <c r="B13" s="9" t="s">
        <v>10</v>
      </c>
      <c r="C13" s="35" t="s">
        <v>105</v>
      </c>
      <c r="D13" s="17">
        <f>-6884.15+353.43</f>
        <v>-6530.7199999999993</v>
      </c>
      <c r="E13" s="5">
        <f>6884.15-353.43-6530.72</f>
        <v>0</v>
      </c>
      <c r="F13" s="17"/>
      <c r="G13" s="11">
        <v>-6530.7199999999993</v>
      </c>
      <c r="H13" s="62">
        <f t="shared" si="0"/>
        <v>0</v>
      </c>
      <c r="I13" s="3"/>
      <c r="J13" s="1"/>
    </row>
    <row r="14" spans="1:10" s="9" customFormat="1" ht="13.9" hidden="1" customHeight="1" x14ac:dyDescent="0.25">
      <c r="A14" s="27">
        <v>44012</v>
      </c>
      <c r="B14" s="9" t="s">
        <v>10</v>
      </c>
      <c r="C14" s="35" t="s">
        <v>106</v>
      </c>
      <c r="D14" s="17">
        <f>-30007.16+38.79</f>
        <v>-29968.37</v>
      </c>
      <c r="E14" s="5">
        <f>30007.16-38.79-29968.37</f>
        <v>0</v>
      </c>
      <c r="F14" s="17"/>
      <c r="G14" s="11">
        <v>-29968.37</v>
      </c>
      <c r="H14" s="62">
        <f t="shared" si="0"/>
        <v>0</v>
      </c>
      <c r="I14" s="3"/>
      <c r="J14" s="1"/>
    </row>
    <row r="15" spans="1:10" s="9" customFormat="1" ht="13.9" hidden="1" customHeight="1" x14ac:dyDescent="0.25">
      <c r="A15" s="27">
        <v>44012</v>
      </c>
      <c r="B15" s="9" t="s">
        <v>10</v>
      </c>
      <c r="C15" s="35" t="s">
        <v>107</v>
      </c>
      <c r="D15" s="17">
        <f>-45333.66-2312.7</f>
        <v>-47646.36</v>
      </c>
      <c r="E15" s="5">
        <f>45333.66+2312.7-47646.36</f>
        <v>0</v>
      </c>
      <c r="F15" s="17"/>
      <c r="G15" s="11">
        <v>-47646.36</v>
      </c>
      <c r="H15" s="62">
        <f t="shared" si="0"/>
        <v>0</v>
      </c>
      <c r="I15" s="3"/>
      <c r="J15" s="1"/>
    </row>
    <row r="16" spans="1:10" s="9" customFormat="1" ht="13.9" hidden="1" customHeight="1" x14ac:dyDescent="0.25">
      <c r="A16" s="27">
        <v>44012</v>
      </c>
      <c r="B16" s="9" t="s">
        <v>10</v>
      </c>
      <c r="C16" s="35" t="s">
        <v>104</v>
      </c>
      <c r="D16" s="17">
        <v>24376.61</v>
      </c>
      <c r="E16" s="5"/>
      <c r="F16" s="17"/>
      <c r="G16" s="11">
        <v>24376.61</v>
      </c>
      <c r="H16" s="62">
        <f t="shared" si="0"/>
        <v>0</v>
      </c>
      <c r="I16" s="3"/>
      <c r="J16" s="1"/>
    </row>
    <row r="17" spans="1:10" s="9" customFormat="1" ht="13.9" hidden="1" customHeight="1" x14ac:dyDescent="0.25">
      <c r="A17" s="27">
        <v>44012</v>
      </c>
      <c r="B17" s="9" t="s">
        <v>10</v>
      </c>
      <c r="C17" s="35" t="s">
        <v>39</v>
      </c>
      <c r="D17" s="17">
        <v>-2833.36</v>
      </c>
      <c r="E17" s="5"/>
      <c r="F17" s="17"/>
      <c r="G17" s="11">
        <v>-2833.36</v>
      </c>
      <c r="H17" s="62">
        <f t="shared" si="0"/>
        <v>0</v>
      </c>
      <c r="I17" s="3"/>
      <c r="J17" s="1"/>
    </row>
    <row r="18" spans="1:10" s="9" customFormat="1" ht="13.9" hidden="1" customHeight="1" x14ac:dyDescent="0.25">
      <c r="A18" s="27">
        <v>44012</v>
      </c>
      <c r="B18" s="9" t="s">
        <v>10</v>
      </c>
      <c r="C18" s="35" t="s">
        <v>34</v>
      </c>
      <c r="D18" s="17">
        <f>382.03-0.01</f>
        <v>382.02</v>
      </c>
      <c r="E18" s="5"/>
      <c r="F18" s="17"/>
      <c r="G18" s="11">
        <v>382.02</v>
      </c>
      <c r="H18" s="62">
        <f t="shared" si="0"/>
        <v>0</v>
      </c>
      <c r="I18" s="3"/>
      <c r="J18" s="1"/>
    </row>
    <row r="19" spans="1:10" s="9" customFormat="1" ht="13.9" hidden="1" customHeight="1" x14ac:dyDescent="0.25">
      <c r="A19" s="27">
        <v>44012</v>
      </c>
      <c r="B19" s="9" t="s">
        <v>10</v>
      </c>
      <c r="C19" s="35" t="s">
        <v>35</v>
      </c>
      <c r="D19" s="17">
        <v>-33642.699999999997</v>
      </c>
      <c r="E19" s="5"/>
      <c r="F19" s="17"/>
      <c r="G19" s="11">
        <v>-33642.699999999997</v>
      </c>
      <c r="H19" s="62">
        <f t="shared" si="0"/>
        <v>0</v>
      </c>
      <c r="I19" s="3"/>
      <c r="J19" s="1"/>
    </row>
    <row r="20" spans="1:10" s="9" customFormat="1" ht="13.9" hidden="1" customHeight="1" x14ac:dyDescent="0.25">
      <c r="A20" s="27">
        <v>44043</v>
      </c>
      <c r="B20" s="9" t="s">
        <v>13</v>
      </c>
      <c r="C20" s="35" t="s">
        <v>108</v>
      </c>
      <c r="D20" s="17">
        <f>-83244.29-875.23</f>
        <v>-84119.51999999999</v>
      </c>
      <c r="E20" s="5">
        <f>83244.29+875.23-84119.52</f>
        <v>0</v>
      </c>
      <c r="F20" s="17"/>
      <c r="G20" s="11">
        <v>-84119.51999999999</v>
      </c>
      <c r="H20" s="62">
        <f t="shared" si="0"/>
        <v>0</v>
      </c>
      <c r="I20" s="3"/>
      <c r="J20" s="1"/>
    </row>
    <row r="21" spans="1:10" s="9" customFormat="1" ht="13.9" hidden="1" customHeight="1" x14ac:dyDescent="0.25">
      <c r="A21" s="27">
        <v>44043</v>
      </c>
      <c r="B21" s="9" t="s">
        <v>13</v>
      </c>
      <c r="C21" s="35" t="s">
        <v>109</v>
      </c>
      <c r="D21" s="17">
        <f>-25846.06-271.75</f>
        <v>-26117.81</v>
      </c>
      <c r="E21" s="5">
        <f>25846.06+271.75-26117.81</f>
        <v>0</v>
      </c>
      <c r="F21" s="17"/>
      <c r="G21" s="11">
        <v>-26117.81</v>
      </c>
      <c r="H21" s="62">
        <f t="shared" si="0"/>
        <v>0</v>
      </c>
      <c r="I21" s="3"/>
      <c r="J21" s="1"/>
    </row>
    <row r="22" spans="1:10" s="9" customFormat="1" ht="13.9" hidden="1" customHeight="1" x14ac:dyDescent="0.25">
      <c r="A22" s="27">
        <v>44043</v>
      </c>
      <c r="B22" s="9" t="s">
        <v>13</v>
      </c>
      <c r="C22" s="35" t="s">
        <v>110</v>
      </c>
      <c r="D22" s="17">
        <f>4826.49+671.36</f>
        <v>5497.8499999999995</v>
      </c>
      <c r="E22" s="5"/>
      <c r="F22" s="17">
        <f>-4826.49-671.36+5497.85</f>
        <v>0</v>
      </c>
      <c r="G22" s="11">
        <v>5497.8499999999995</v>
      </c>
      <c r="H22" s="62">
        <f t="shared" si="0"/>
        <v>0</v>
      </c>
      <c r="I22" s="3"/>
      <c r="J22" s="1"/>
    </row>
    <row r="23" spans="1:10" s="9" customFormat="1" ht="13.9" hidden="1" customHeight="1" x14ac:dyDescent="0.25">
      <c r="A23" s="27">
        <v>44043</v>
      </c>
      <c r="B23" s="9" t="s">
        <v>13</v>
      </c>
      <c r="C23" s="35" t="s">
        <v>37</v>
      </c>
      <c r="D23" s="17">
        <v>0</v>
      </c>
      <c r="E23" s="5"/>
      <c r="F23" s="17"/>
      <c r="G23" s="11">
        <v>0</v>
      </c>
      <c r="H23" s="62">
        <f t="shared" si="0"/>
        <v>0</v>
      </c>
      <c r="I23" s="3"/>
      <c r="J23" s="1"/>
    </row>
    <row r="24" spans="1:10" s="9" customFormat="1" ht="13.9" hidden="1" customHeight="1" x14ac:dyDescent="0.25">
      <c r="A24" s="27">
        <v>44043</v>
      </c>
      <c r="B24" s="9" t="s">
        <v>13</v>
      </c>
      <c r="C24" s="35" t="s">
        <v>111</v>
      </c>
      <c r="D24" s="17">
        <v>33642.699999999997</v>
      </c>
      <c r="E24" s="5"/>
      <c r="F24" s="17"/>
      <c r="G24" s="11">
        <v>33642.699999999997</v>
      </c>
      <c r="H24" s="62">
        <f t="shared" si="0"/>
        <v>0</v>
      </c>
      <c r="I24" s="3"/>
      <c r="J24" s="1"/>
    </row>
    <row r="25" spans="1:10" s="9" customFormat="1" ht="13.9" hidden="1" customHeight="1" x14ac:dyDescent="0.25">
      <c r="A25" s="27">
        <v>44043</v>
      </c>
      <c r="B25" s="9" t="s">
        <v>13</v>
      </c>
      <c r="C25" s="35" t="s">
        <v>39</v>
      </c>
      <c r="D25" s="17">
        <f>-2041.69+3208.37</f>
        <v>1166.6799999999998</v>
      </c>
      <c r="E25" s="5"/>
      <c r="F25" s="17"/>
      <c r="G25" s="11">
        <v>1166.6799999999998</v>
      </c>
      <c r="H25" s="62">
        <f t="shared" si="0"/>
        <v>0</v>
      </c>
      <c r="I25" s="3"/>
      <c r="J25" s="1"/>
    </row>
    <row r="26" spans="1:10" s="9" customFormat="1" ht="13.9" hidden="1" customHeight="1" x14ac:dyDescent="0.25">
      <c r="A26" s="27">
        <v>44043</v>
      </c>
      <c r="B26" s="9" t="s">
        <v>13</v>
      </c>
      <c r="C26" s="35" t="s">
        <v>34</v>
      </c>
      <c r="D26" s="17">
        <f>33893.09+757.05</f>
        <v>34650.14</v>
      </c>
      <c r="E26" s="5"/>
      <c r="F26" s="17"/>
      <c r="G26" s="11">
        <v>34650.14</v>
      </c>
      <c r="H26" s="62">
        <f t="shared" si="0"/>
        <v>0</v>
      </c>
      <c r="I26" s="3"/>
      <c r="J26" s="1"/>
    </row>
    <row r="27" spans="1:10" s="9" customFormat="1" ht="13.9" hidden="1" customHeight="1" x14ac:dyDescent="0.25">
      <c r="A27" s="27">
        <v>44043</v>
      </c>
      <c r="B27" s="9" t="s">
        <v>13</v>
      </c>
      <c r="C27" s="35" t="s">
        <v>35</v>
      </c>
      <c r="D27" s="17">
        <v>-40947.879999999997</v>
      </c>
      <c r="E27" s="5"/>
      <c r="F27" s="17"/>
      <c r="G27" s="11">
        <v>-40947.879999999997</v>
      </c>
      <c r="H27" s="62">
        <f t="shared" si="0"/>
        <v>0</v>
      </c>
      <c r="I27" s="3"/>
      <c r="J27" s="1"/>
    </row>
    <row r="28" spans="1:10" s="9" customFormat="1" ht="13.9" hidden="1" customHeight="1" x14ac:dyDescent="0.25">
      <c r="A28" s="27">
        <v>44074</v>
      </c>
      <c r="B28" s="18" t="s">
        <v>13</v>
      </c>
      <c r="C28" s="65" t="s">
        <v>112</v>
      </c>
      <c r="D28" s="17">
        <f>-108715.97+13701.77</f>
        <v>-95014.2</v>
      </c>
      <c r="E28" s="5">
        <f>108715.97-13701.77-95014.2</f>
        <v>0</v>
      </c>
      <c r="F28" s="17"/>
      <c r="G28" s="11">
        <v>-95014.2</v>
      </c>
      <c r="H28" s="62">
        <f t="shared" si="0"/>
        <v>0</v>
      </c>
      <c r="I28" s="3"/>
      <c r="J28" s="1"/>
    </row>
    <row r="29" spans="1:10" s="9" customFormat="1" ht="13.9" hidden="1" customHeight="1" x14ac:dyDescent="0.25">
      <c r="A29" s="27">
        <v>44074</v>
      </c>
      <c r="B29" s="18" t="s">
        <v>13</v>
      </c>
      <c r="C29" s="65" t="s">
        <v>113</v>
      </c>
      <c r="D29" s="17">
        <f>-52697.04+39912.35</f>
        <v>-12784.690000000002</v>
      </c>
      <c r="E29" s="5">
        <f>52697.04-39912.35-12784.69</f>
        <v>0</v>
      </c>
      <c r="F29" s="17"/>
      <c r="G29" s="11">
        <v>-12784.690000000002</v>
      </c>
      <c r="H29" s="62">
        <f t="shared" si="0"/>
        <v>0</v>
      </c>
      <c r="I29" s="3"/>
      <c r="J29" s="1"/>
    </row>
    <row r="30" spans="1:10" s="9" customFormat="1" ht="13.9" hidden="1" customHeight="1" x14ac:dyDescent="0.25">
      <c r="A30" s="27">
        <v>44074</v>
      </c>
      <c r="B30" s="18" t="s">
        <v>13</v>
      </c>
      <c r="C30" s="65" t="s">
        <v>114</v>
      </c>
      <c r="D30" s="17">
        <f>4362.1-1.63</f>
        <v>4360.47</v>
      </c>
      <c r="E30" s="5"/>
      <c r="F30" s="17">
        <f>-4362.1+1.63+4360.47</f>
        <v>0</v>
      </c>
      <c r="G30" s="11">
        <v>4360.47</v>
      </c>
      <c r="H30" s="62">
        <f t="shared" si="0"/>
        <v>0</v>
      </c>
      <c r="I30" s="3"/>
      <c r="J30" s="1"/>
    </row>
    <row r="31" spans="1:10" s="9" customFormat="1" ht="13.9" hidden="1" customHeight="1" x14ac:dyDescent="0.25">
      <c r="A31" s="27">
        <v>44074</v>
      </c>
      <c r="B31" s="18" t="s">
        <v>13</v>
      </c>
      <c r="C31" s="65" t="s">
        <v>37</v>
      </c>
      <c r="D31" s="17">
        <v>0</v>
      </c>
      <c r="E31" s="5"/>
      <c r="F31" s="17"/>
      <c r="G31" s="11">
        <v>0</v>
      </c>
      <c r="H31" s="62">
        <f t="shared" si="0"/>
        <v>0</v>
      </c>
      <c r="I31" s="3"/>
      <c r="J31" s="1"/>
    </row>
    <row r="32" spans="1:10" s="9" customFormat="1" ht="13.9" hidden="1" customHeight="1" x14ac:dyDescent="0.25">
      <c r="A32" s="27">
        <v>44074</v>
      </c>
      <c r="B32" s="18" t="s">
        <v>13</v>
      </c>
      <c r="C32" s="65" t="s">
        <v>115</v>
      </c>
      <c r="D32" s="17">
        <v>40947.879999999997</v>
      </c>
      <c r="E32" s="5"/>
      <c r="F32" s="17"/>
      <c r="G32" s="11">
        <v>40947.879999999997</v>
      </c>
      <c r="H32" s="62">
        <f t="shared" si="0"/>
        <v>0</v>
      </c>
      <c r="I32" s="3"/>
      <c r="J32" s="1"/>
    </row>
    <row r="33" spans="1:10" s="9" customFormat="1" ht="13.9" hidden="1" customHeight="1" x14ac:dyDescent="0.25">
      <c r="A33" s="27">
        <v>44074</v>
      </c>
      <c r="B33" s="18" t="s">
        <v>13</v>
      </c>
      <c r="C33" s="65" t="s">
        <v>127</v>
      </c>
      <c r="D33" s="17">
        <v>-1958.35</v>
      </c>
      <c r="E33" s="5"/>
      <c r="F33" s="17"/>
      <c r="G33" s="11">
        <v>-1958.35</v>
      </c>
      <c r="H33" s="62">
        <f t="shared" si="0"/>
        <v>0</v>
      </c>
      <c r="I33" s="3"/>
      <c r="J33" s="1"/>
    </row>
    <row r="34" spans="1:10" s="9" customFormat="1" ht="13.9" hidden="1" customHeight="1" x14ac:dyDescent="0.25">
      <c r="A34" s="27">
        <v>44074</v>
      </c>
      <c r="B34" s="18" t="s">
        <v>13</v>
      </c>
      <c r="C34" s="65" t="s">
        <v>128</v>
      </c>
      <c r="D34" s="17">
        <f>-14987.39+14229.62</f>
        <v>-757.76999999999862</v>
      </c>
      <c r="E34" s="5"/>
      <c r="F34" s="17"/>
      <c r="G34" s="11">
        <v>-757.76999999999862</v>
      </c>
      <c r="H34" s="62">
        <f t="shared" si="0"/>
        <v>0</v>
      </c>
      <c r="I34" s="3"/>
      <c r="J34" s="1"/>
    </row>
    <row r="35" spans="1:10" s="9" customFormat="1" ht="13.9" hidden="1" customHeight="1" x14ac:dyDescent="0.25">
      <c r="A35" s="27">
        <v>44074</v>
      </c>
      <c r="B35" s="18" t="s">
        <v>13</v>
      </c>
      <c r="C35" s="65" t="s">
        <v>129</v>
      </c>
      <c r="D35" s="17">
        <f>-37867.09</f>
        <v>-37867.089999999997</v>
      </c>
      <c r="E35" s="5"/>
      <c r="F35" s="17"/>
      <c r="G35" s="11">
        <v>-37867.089999999997</v>
      </c>
      <c r="H35" s="62">
        <f t="shared" si="0"/>
        <v>0</v>
      </c>
      <c r="I35" s="3"/>
      <c r="J35" s="1"/>
    </row>
    <row r="36" spans="1:10" s="9" customFormat="1" ht="13.9" hidden="1" customHeight="1" x14ac:dyDescent="0.25">
      <c r="A36" s="27">
        <v>44074</v>
      </c>
      <c r="B36" s="18" t="s">
        <v>13</v>
      </c>
      <c r="C36" s="65" t="s">
        <v>130</v>
      </c>
      <c r="D36" s="17">
        <v>-135.47999999999999</v>
      </c>
      <c r="E36" s="5"/>
      <c r="F36" s="17"/>
      <c r="G36" s="11">
        <v>-135.47999999999999</v>
      </c>
      <c r="H36" s="62">
        <f t="shared" si="0"/>
        <v>0</v>
      </c>
      <c r="I36" s="3"/>
      <c r="J36" s="1"/>
    </row>
    <row r="37" spans="1:10" s="9" customFormat="1" ht="13.9" hidden="1" customHeight="1" x14ac:dyDescent="0.25">
      <c r="A37" s="27">
        <v>44104</v>
      </c>
      <c r="B37" s="18" t="s">
        <v>13</v>
      </c>
      <c r="C37" s="65" t="s">
        <v>117</v>
      </c>
      <c r="D37" s="17">
        <f>-37463.1+1902.1</f>
        <v>-35561</v>
      </c>
      <c r="E37" s="5">
        <f>37463.1-1902.1-35561</f>
        <v>0</v>
      </c>
      <c r="F37" s="17"/>
      <c r="G37" s="11">
        <v>-35561</v>
      </c>
      <c r="H37" s="62">
        <f t="shared" si="0"/>
        <v>0</v>
      </c>
      <c r="I37" s="3"/>
      <c r="J37" s="1"/>
    </row>
    <row r="38" spans="1:10" s="9" customFormat="1" ht="13.9" hidden="1" customHeight="1" x14ac:dyDescent="0.25">
      <c r="A38" s="27">
        <v>44104</v>
      </c>
      <c r="B38" s="18" t="s">
        <v>13</v>
      </c>
      <c r="C38" s="65" t="s">
        <v>118</v>
      </c>
      <c r="D38" s="17">
        <f>-11819.68+600.12</f>
        <v>-11219.56</v>
      </c>
      <c r="E38" s="5">
        <f>11819.68-600.12-11219.56</f>
        <v>0</v>
      </c>
      <c r="F38" s="17"/>
      <c r="G38" s="11">
        <v>-11219.56</v>
      </c>
      <c r="H38" s="62">
        <f t="shared" si="0"/>
        <v>0</v>
      </c>
      <c r="I38" s="3"/>
      <c r="J38" s="1"/>
    </row>
    <row r="39" spans="1:10" s="9" customFormat="1" ht="13.9" hidden="1" customHeight="1" x14ac:dyDescent="0.25">
      <c r="A39" s="27">
        <v>44104</v>
      </c>
      <c r="B39" s="18" t="s">
        <v>13</v>
      </c>
      <c r="C39" s="65" t="s">
        <v>119</v>
      </c>
      <c r="D39" s="17">
        <v>20528.650000000001</v>
      </c>
      <c r="E39" s="5"/>
      <c r="F39" s="17">
        <f>-20528.65+20528.65</f>
        <v>0</v>
      </c>
      <c r="G39" s="11">
        <v>20528.650000000001</v>
      </c>
      <c r="H39" s="62">
        <f t="shared" si="0"/>
        <v>0</v>
      </c>
      <c r="I39" s="3"/>
      <c r="J39" s="1"/>
    </row>
    <row r="40" spans="1:10" s="9" customFormat="1" ht="13.9" hidden="1" customHeight="1" x14ac:dyDescent="0.25">
      <c r="A40" s="27">
        <v>44104</v>
      </c>
      <c r="B40" s="18" t="s">
        <v>13</v>
      </c>
      <c r="C40" s="65" t="s">
        <v>121</v>
      </c>
      <c r="D40" s="17">
        <v>37867.089999999997</v>
      </c>
      <c r="E40" s="5"/>
      <c r="F40" s="17"/>
      <c r="G40" s="11">
        <v>37867.089999999997</v>
      </c>
      <c r="H40" s="62">
        <f t="shared" si="0"/>
        <v>0</v>
      </c>
      <c r="I40" s="3"/>
      <c r="J40" s="1"/>
    </row>
    <row r="41" spans="1:10" s="9" customFormat="1" ht="13.9" hidden="1" customHeight="1" x14ac:dyDescent="0.25">
      <c r="A41" s="27">
        <v>44104</v>
      </c>
      <c r="B41" s="9" t="s">
        <v>13</v>
      </c>
      <c r="C41" s="35" t="s">
        <v>127</v>
      </c>
      <c r="D41" s="17">
        <v>-2000.02</v>
      </c>
      <c r="E41" s="5"/>
      <c r="F41" s="17"/>
      <c r="G41" s="11">
        <v>-2000.02</v>
      </c>
      <c r="H41" s="62">
        <f t="shared" si="0"/>
        <v>0</v>
      </c>
      <c r="I41" s="3"/>
      <c r="J41" s="1"/>
    </row>
    <row r="42" spans="1:10" s="9" customFormat="1" ht="13.9" hidden="1" customHeight="1" x14ac:dyDescent="0.25">
      <c r="A42" s="27">
        <v>44104</v>
      </c>
      <c r="B42" s="9" t="s">
        <v>13</v>
      </c>
      <c r="C42" s="35" t="s">
        <v>128</v>
      </c>
      <c r="D42" s="17">
        <v>-14372.82</v>
      </c>
      <c r="E42" s="5"/>
      <c r="F42" s="17"/>
      <c r="G42" s="11">
        <v>-14372.82</v>
      </c>
      <c r="H42" s="62">
        <f>D42-G42</f>
        <v>0</v>
      </c>
      <c r="I42" s="3"/>
      <c r="J42" s="1"/>
    </row>
    <row r="43" spans="1:10" s="9" customFormat="1" ht="13.9" hidden="1" customHeight="1" x14ac:dyDescent="0.25">
      <c r="A43" s="27">
        <v>44104</v>
      </c>
      <c r="B43" s="9" t="s">
        <v>13</v>
      </c>
      <c r="C43" s="35" t="s">
        <v>129</v>
      </c>
      <c r="D43" s="17">
        <v>-47238.51</v>
      </c>
      <c r="E43" s="5"/>
      <c r="F43" s="17"/>
      <c r="G43" s="11">
        <v>-47238.51</v>
      </c>
      <c r="H43" s="62">
        <f t="shared" si="0"/>
        <v>0</v>
      </c>
      <c r="I43" s="3"/>
      <c r="J43" s="1"/>
    </row>
    <row r="44" spans="1:10" s="9" customFormat="1" ht="13.9" hidden="1" customHeight="1" x14ac:dyDescent="0.25">
      <c r="A44" s="27">
        <v>44135</v>
      </c>
      <c r="B44" s="9" t="s">
        <v>18</v>
      </c>
      <c r="C44" s="35" t="s">
        <v>124</v>
      </c>
      <c r="D44" s="17">
        <f>64170.88+1365.58</f>
        <v>65536.459999999992</v>
      </c>
      <c r="E44" s="5"/>
      <c r="F44" s="17">
        <f>-64170.88-1365.58+65536.46</f>
        <v>0</v>
      </c>
      <c r="G44" s="11">
        <v>65536.459999999992</v>
      </c>
      <c r="H44" s="62">
        <f t="shared" si="0"/>
        <v>0</v>
      </c>
      <c r="I44" s="3"/>
      <c r="J44" s="1"/>
    </row>
    <row r="45" spans="1:10" s="9" customFormat="1" ht="13.9" customHeight="1" x14ac:dyDescent="0.25">
      <c r="A45" s="27">
        <v>44135</v>
      </c>
      <c r="B45" s="9" t="s">
        <v>18</v>
      </c>
      <c r="C45" s="35" t="s">
        <v>125</v>
      </c>
      <c r="D45" s="17">
        <f>-33917.68-1172.07</f>
        <v>-35089.75</v>
      </c>
      <c r="E45" s="5">
        <f>33917.68+1172.07-35089.75</f>
        <v>0</v>
      </c>
      <c r="F45" s="17"/>
      <c r="G45" s="11">
        <v>-33917.68</v>
      </c>
      <c r="H45" s="62">
        <f t="shared" si="0"/>
        <v>-1172.0699999999997</v>
      </c>
      <c r="I45" s="3"/>
      <c r="J45" s="1"/>
    </row>
    <row r="46" spans="1:10" s="9" customFormat="1" ht="13.9" hidden="1" customHeight="1" x14ac:dyDescent="0.25">
      <c r="A46" s="27">
        <v>44135</v>
      </c>
      <c r="B46" s="9" t="s">
        <v>18</v>
      </c>
      <c r="C46" s="35" t="s">
        <v>126</v>
      </c>
      <c r="D46" s="17">
        <f>10587.87+44.55</f>
        <v>10632.42</v>
      </c>
      <c r="E46" s="5"/>
      <c r="F46" s="17">
        <f>-10587.87-44.55+10632.42</f>
        <v>0</v>
      </c>
      <c r="G46" s="11">
        <v>10632.42</v>
      </c>
      <c r="H46" s="62">
        <f t="shared" si="0"/>
        <v>0</v>
      </c>
      <c r="I46" s="3"/>
      <c r="J46" s="1"/>
    </row>
    <row r="47" spans="1:10" s="9" customFormat="1" ht="13.9" hidden="1" customHeight="1" x14ac:dyDescent="0.25">
      <c r="A47" s="27">
        <v>44135</v>
      </c>
      <c r="B47" s="9" t="s">
        <v>18</v>
      </c>
      <c r="C47" s="35" t="s">
        <v>122</v>
      </c>
      <c r="D47" s="17">
        <v>300.42</v>
      </c>
      <c r="E47" s="5"/>
      <c r="F47" s="17"/>
      <c r="G47" s="11">
        <v>300.42</v>
      </c>
      <c r="H47" s="62">
        <f t="shared" si="0"/>
        <v>0</v>
      </c>
      <c r="I47" s="3"/>
      <c r="J47" s="1"/>
    </row>
    <row r="48" spans="1:10" s="9" customFormat="1" ht="13.9" hidden="1" customHeight="1" x14ac:dyDescent="0.25">
      <c r="A48" s="27">
        <v>44135</v>
      </c>
      <c r="B48" s="9" t="s">
        <v>18</v>
      </c>
      <c r="C48" s="35" t="s">
        <v>123</v>
      </c>
      <c r="D48" s="17">
        <v>47238.51</v>
      </c>
      <c r="E48" s="5"/>
      <c r="F48" s="17"/>
      <c r="G48" s="11">
        <v>47238.51</v>
      </c>
      <c r="H48" s="62">
        <f t="shared" si="0"/>
        <v>0</v>
      </c>
      <c r="I48" s="3"/>
      <c r="J48" s="1"/>
    </row>
    <row r="49" spans="1:10" s="9" customFormat="1" ht="13.9" hidden="1" customHeight="1" x14ac:dyDescent="0.25">
      <c r="A49" s="27">
        <v>44135</v>
      </c>
      <c r="B49" s="9" t="s">
        <v>18</v>
      </c>
      <c r="C49" s="35" t="s">
        <v>39</v>
      </c>
      <c r="D49" s="17">
        <v>-2041.72</v>
      </c>
      <c r="E49" s="5"/>
      <c r="F49" s="17"/>
      <c r="G49" s="11">
        <v>-2041.72</v>
      </c>
      <c r="H49" s="62">
        <f t="shared" si="0"/>
        <v>0</v>
      </c>
      <c r="I49" s="3"/>
      <c r="J49" s="1"/>
    </row>
    <row r="50" spans="1:10" s="9" customFormat="1" ht="13.9" hidden="1" customHeight="1" x14ac:dyDescent="0.25">
      <c r="A50" s="27">
        <v>44135</v>
      </c>
      <c r="B50" s="9" t="s">
        <v>18</v>
      </c>
      <c r="C50" s="35" t="s">
        <v>34</v>
      </c>
      <c r="D50" s="17">
        <v>-152373.14000000001</v>
      </c>
      <c r="E50" s="5"/>
      <c r="F50" s="17"/>
      <c r="G50" s="11">
        <v>-152373.14000000001</v>
      </c>
      <c r="H50" s="62">
        <f t="shared" si="0"/>
        <v>0</v>
      </c>
      <c r="I50" s="3"/>
      <c r="J50" s="1"/>
    </row>
    <row r="51" spans="1:10" s="9" customFormat="1" ht="13.9" hidden="1" customHeight="1" x14ac:dyDescent="0.25">
      <c r="A51" s="27">
        <v>44135</v>
      </c>
      <c r="B51" s="9" t="s">
        <v>18</v>
      </c>
      <c r="C51" s="35" t="s">
        <v>35</v>
      </c>
      <c r="D51" s="17">
        <v>-25801.4</v>
      </c>
      <c r="E51" s="5"/>
      <c r="F51" s="17"/>
      <c r="G51" s="11">
        <v>-25801.4</v>
      </c>
      <c r="H51" s="62">
        <f t="shared" si="0"/>
        <v>0</v>
      </c>
      <c r="I51" s="3"/>
      <c r="J51" s="1"/>
    </row>
    <row r="52" spans="1:10" s="9" customFormat="1" ht="13.9" customHeight="1" x14ac:dyDescent="0.25">
      <c r="A52" s="27">
        <v>44165</v>
      </c>
      <c r="B52" s="9" t="s">
        <v>18</v>
      </c>
      <c r="C52" s="35" t="s">
        <v>131</v>
      </c>
      <c r="D52" s="17">
        <f>-79402.45-127.71</f>
        <v>-79530.16</v>
      </c>
      <c r="E52" s="5">
        <f>127.71+79402.45-79530.16</f>
        <v>0</v>
      </c>
      <c r="F52" s="17"/>
      <c r="G52" s="11">
        <v>-79402.45</v>
      </c>
      <c r="H52" s="62">
        <f t="shared" si="0"/>
        <v>-127.7100000000064</v>
      </c>
      <c r="I52" s="3"/>
      <c r="J52" s="1"/>
    </row>
    <row r="53" spans="1:10" s="9" customFormat="1" ht="13.9" customHeight="1" x14ac:dyDescent="0.25">
      <c r="A53" s="27">
        <v>44165</v>
      </c>
      <c r="B53" s="9" t="s">
        <v>18</v>
      </c>
      <c r="C53" s="35" t="s">
        <v>132</v>
      </c>
      <c r="D53" s="17">
        <f>-80066.48-128.77</f>
        <v>-80195.25</v>
      </c>
      <c r="E53" s="5">
        <f>80066.48+128.77-80195.25</f>
        <v>0</v>
      </c>
      <c r="F53" s="17"/>
      <c r="G53" s="11">
        <v>-80066.48</v>
      </c>
      <c r="H53" s="62">
        <f t="shared" si="0"/>
        <v>-128.77000000000407</v>
      </c>
      <c r="I53" s="3"/>
      <c r="J53" s="1"/>
    </row>
    <row r="54" spans="1:10" s="9" customFormat="1" ht="13.9" customHeight="1" x14ac:dyDescent="0.25">
      <c r="A54" s="27">
        <v>44165</v>
      </c>
      <c r="B54" s="9" t="s">
        <v>18</v>
      </c>
      <c r="C54" s="35" t="s">
        <v>133</v>
      </c>
      <c r="D54" s="17">
        <f>23388.88+0.6</f>
        <v>23389.48</v>
      </c>
      <c r="E54" s="5"/>
      <c r="F54" s="17">
        <f>-23388.88-0.6+23389.48</f>
        <v>0</v>
      </c>
      <c r="G54" s="11">
        <v>23388.880000000001</v>
      </c>
      <c r="H54" s="62">
        <f t="shared" si="0"/>
        <v>0.59999999999854481</v>
      </c>
      <c r="I54" s="3"/>
      <c r="J54" s="1"/>
    </row>
    <row r="55" spans="1:10" s="9" customFormat="1" ht="13.9" hidden="1" customHeight="1" x14ac:dyDescent="0.25">
      <c r="A55" s="27">
        <v>44165</v>
      </c>
      <c r="B55" s="9" t="s">
        <v>18</v>
      </c>
      <c r="C55" s="35" t="s">
        <v>134</v>
      </c>
      <c r="D55" s="17">
        <v>25801.4</v>
      </c>
      <c r="E55" s="5"/>
      <c r="F55" s="17"/>
      <c r="G55" s="11">
        <v>25801.4</v>
      </c>
      <c r="H55" s="62">
        <f t="shared" si="0"/>
        <v>0</v>
      </c>
      <c r="I55" s="3"/>
      <c r="J55" s="1"/>
    </row>
    <row r="56" spans="1:10" s="9" customFormat="1" ht="13.9" hidden="1" customHeight="1" x14ac:dyDescent="0.25">
      <c r="A56" s="27">
        <v>44165</v>
      </c>
      <c r="B56" s="9" t="s">
        <v>18</v>
      </c>
      <c r="C56" s="35" t="s">
        <v>39</v>
      </c>
      <c r="D56" s="17">
        <v>-2166.69</v>
      </c>
      <c r="E56" s="5"/>
      <c r="F56" s="17"/>
      <c r="G56" s="11">
        <v>-2166.69</v>
      </c>
      <c r="H56" s="62">
        <f t="shared" si="0"/>
        <v>0</v>
      </c>
      <c r="I56" s="3"/>
      <c r="J56" s="1"/>
    </row>
    <row r="57" spans="1:10" s="9" customFormat="1" ht="13.9" hidden="1" customHeight="1" x14ac:dyDescent="0.25">
      <c r="A57" s="27">
        <v>44165</v>
      </c>
      <c r="B57" s="9" t="s">
        <v>18</v>
      </c>
      <c r="C57" s="35" t="s">
        <v>34</v>
      </c>
      <c r="D57" s="17">
        <v>73988.95</v>
      </c>
      <c r="E57" s="5"/>
      <c r="F57" s="17"/>
      <c r="G57" s="11">
        <v>73988.95</v>
      </c>
      <c r="H57" s="62">
        <f t="shared" si="0"/>
        <v>0</v>
      </c>
      <c r="I57" s="3"/>
      <c r="J57" s="1"/>
    </row>
    <row r="58" spans="1:10" s="9" customFormat="1" ht="13.9" customHeight="1" x14ac:dyDescent="0.25">
      <c r="A58" s="27">
        <v>44165</v>
      </c>
      <c r="B58" s="9" t="s">
        <v>18</v>
      </c>
      <c r="C58" s="35" t="s">
        <v>35</v>
      </c>
      <c r="D58" s="17">
        <f>-53621.76+300</f>
        <v>-53321.760000000002</v>
      </c>
      <c r="E58" s="5"/>
      <c r="F58" s="17"/>
      <c r="G58" s="11">
        <v>-53621.760000000002</v>
      </c>
      <c r="H58" s="62">
        <f t="shared" si="0"/>
        <v>300</v>
      </c>
      <c r="I58" s="3"/>
      <c r="J58" s="1"/>
    </row>
    <row r="59" spans="1:10" s="9" customFormat="1" ht="13.9" hidden="1" customHeight="1" x14ac:dyDescent="0.25">
      <c r="A59" s="27">
        <v>44165</v>
      </c>
      <c r="B59" s="9" t="s">
        <v>18</v>
      </c>
      <c r="C59" s="35" t="s">
        <v>76</v>
      </c>
      <c r="D59" s="17">
        <v>0</v>
      </c>
      <c r="E59" s="5"/>
      <c r="F59" s="17"/>
      <c r="G59" s="38"/>
      <c r="H59" s="62">
        <f t="shared" si="0"/>
        <v>0</v>
      </c>
      <c r="I59" s="3"/>
      <c r="J59" s="1"/>
    </row>
    <row r="60" spans="1:10" s="9" customFormat="1" ht="13.9" customHeight="1" x14ac:dyDescent="0.25">
      <c r="A60" s="27">
        <v>44196</v>
      </c>
      <c r="B60" s="9" t="s">
        <v>18</v>
      </c>
      <c r="C60" s="35" t="s">
        <v>135</v>
      </c>
      <c r="D60" s="17">
        <f>102485.65+1508.75</f>
        <v>103994.4</v>
      </c>
      <c r="E60" s="5"/>
      <c r="F60" s="17">
        <f>-102485.65-1508.75+103994.4</f>
        <v>0</v>
      </c>
      <c r="G60" s="38"/>
      <c r="H60" s="62">
        <f t="shared" si="0"/>
        <v>103994.4</v>
      </c>
      <c r="I60" s="3"/>
      <c r="J60" s="1"/>
    </row>
    <row r="61" spans="1:10" s="9" customFormat="1" ht="13.9" customHeight="1" x14ac:dyDescent="0.25">
      <c r="A61" s="27">
        <v>44196</v>
      </c>
      <c r="B61" s="9" t="s">
        <v>18</v>
      </c>
      <c r="C61" s="35" t="s">
        <v>136</v>
      </c>
      <c r="D61" s="17">
        <f>20128.19+10.1</f>
        <v>20138.289999999997</v>
      </c>
      <c r="E61" s="5"/>
      <c r="F61" s="17">
        <f>-20128.19-10.1+20138.29</f>
        <v>0</v>
      </c>
      <c r="G61" s="38"/>
      <c r="H61" s="62">
        <f t="shared" si="0"/>
        <v>20138.289999999997</v>
      </c>
      <c r="I61" s="3"/>
      <c r="J61" s="1"/>
    </row>
    <row r="62" spans="1:10" s="9" customFormat="1" ht="13.9" customHeight="1" x14ac:dyDescent="0.25">
      <c r="A62" s="27">
        <v>44196</v>
      </c>
      <c r="B62" s="9" t="s">
        <v>18</v>
      </c>
      <c r="C62" s="35" t="s">
        <v>137</v>
      </c>
      <c r="D62" s="17">
        <f>-71825.21-8153.61</f>
        <v>-79978.820000000007</v>
      </c>
      <c r="E62" s="5">
        <f>71825.21+8153.61-79978.82</f>
        <v>0</v>
      </c>
      <c r="F62" s="17"/>
      <c r="G62" s="38"/>
      <c r="H62" s="62">
        <f t="shared" si="0"/>
        <v>-79978.820000000007</v>
      </c>
      <c r="I62" s="3"/>
      <c r="J62" s="1"/>
    </row>
    <row r="63" spans="1:10" s="9" customFormat="1" ht="13.9" customHeight="1" x14ac:dyDescent="0.25">
      <c r="A63" s="27">
        <v>44196</v>
      </c>
      <c r="B63" s="9" t="s">
        <v>18</v>
      </c>
      <c r="C63" s="35" t="s">
        <v>138</v>
      </c>
      <c r="D63" s="17">
        <v>53321.760000000002</v>
      </c>
      <c r="E63" s="5"/>
      <c r="F63" s="17"/>
      <c r="G63" s="38"/>
      <c r="H63" s="62">
        <f t="shared" si="0"/>
        <v>53321.760000000002</v>
      </c>
      <c r="I63" s="3"/>
      <c r="J63" s="1"/>
    </row>
    <row r="64" spans="1:10" s="9" customFormat="1" ht="13.9" customHeight="1" x14ac:dyDescent="0.25">
      <c r="A64" s="27">
        <v>44196</v>
      </c>
      <c r="B64" s="9" t="s">
        <v>18</v>
      </c>
      <c r="C64" s="35" t="s">
        <v>39</v>
      </c>
      <c r="D64" s="17">
        <v>-2791.69</v>
      </c>
      <c r="E64" s="5"/>
      <c r="F64" s="17"/>
      <c r="G64" s="38"/>
      <c r="H64" s="62">
        <f t="shared" si="0"/>
        <v>-2791.69</v>
      </c>
      <c r="I64" s="3"/>
      <c r="J64" s="1"/>
    </row>
    <row r="65" spans="1:10" s="9" customFormat="1" ht="13.9" customHeight="1" x14ac:dyDescent="0.25">
      <c r="A65" s="27">
        <v>44196</v>
      </c>
      <c r="B65" s="9" t="s">
        <v>18</v>
      </c>
      <c r="C65" s="35" t="s">
        <v>34</v>
      </c>
      <c r="D65" s="17">
        <f>-1923.93+7011.57+180</f>
        <v>5267.6399999999994</v>
      </c>
      <c r="E65" s="5"/>
      <c r="F65" s="17"/>
      <c r="G65" s="38"/>
      <c r="H65" s="62">
        <f t="shared" si="0"/>
        <v>5267.6399999999994</v>
      </c>
      <c r="I65" s="3"/>
      <c r="J65" s="1"/>
    </row>
    <row r="66" spans="1:10" s="9" customFormat="1" ht="13.9" customHeight="1" x14ac:dyDescent="0.25">
      <c r="A66" s="27">
        <v>44196</v>
      </c>
      <c r="B66" s="9" t="s">
        <v>18</v>
      </c>
      <c r="C66" s="35" t="s">
        <v>35</v>
      </c>
      <c r="D66" s="17">
        <v>-74388.570000000007</v>
      </c>
      <c r="E66" s="5"/>
      <c r="F66" s="17"/>
      <c r="G66" s="38"/>
      <c r="H66" s="62">
        <f t="shared" si="0"/>
        <v>-74388.570000000007</v>
      </c>
      <c r="I66" s="3"/>
      <c r="J66" s="1"/>
    </row>
    <row r="67" spans="1:10" s="9" customFormat="1" ht="13.9" customHeight="1" x14ac:dyDescent="0.25">
      <c r="A67" s="27">
        <v>44227</v>
      </c>
      <c r="B67" s="9" t="s">
        <v>9</v>
      </c>
      <c r="C67" s="35" t="s">
        <v>144</v>
      </c>
      <c r="D67" s="17">
        <v>1302.08</v>
      </c>
      <c r="E67" s="5"/>
      <c r="F67" s="17"/>
      <c r="G67" s="38"/>
      <c r="H67" s="62">
        <f t="shared" si="0"/>
        <v>1302.08</v>
      </c>
      <c r="I67" s="3"/>
      <c r="J67" s="1"/>
    </row>
    <row r="68" spans="1:10" s="9" customFormat="1" ht="13.9" customHeight="1" x14ac:dyDescent="0.25">
      <c r="A68" s="27">
        <v>44227</v>
      </c>
      <c r="B68" s="9" t="s">
        <v>9</v>
      </c>
      <c r="C68" s="35" t="s">
        <v>140</v>
      </c>
      <c r="D68" s="17">
        <f>361443.6+53107.39</f>
        <v>414550.99</v>
      </c>
      <c r="E68" s="5"/>
      <c r="F68" s="81">
        <f>-361443.6-53107.39</f>
        <v>-414550.99</v>
      </c>
      <c r="G68" s="38"/>
      <c r="H68" s="62">
        <f t="shared" si="0"/>
        <v>414550.99</v>
      </c>
      <c r="I68" s="3"/>
      <c r="J68" s="1"/>
    </row>
    <row r="69" spans="1:10" s="9" customFormat="1" ht="13.9" customHeight="1" x14ac:dyDescent="0.25">
      <c r="A69" s="27">
        <v>44227</v>
      </c>
      <c r="B69" s="9" t="s">
        <v>9</v>
      </c>
      <c r="C69" s="35" t="s">
        <v>141</v>
      </c>
      <c r="D69" s="17">
        <f>-99869.3+66423.59</f>
        <v>-33445.710000000006</v>
      </c>
      <c r="E69" s="5">
        <f>99869.3-66423.59-33445.71</f>
        <v>0</v>
      </c>
      <c r="F69" s="17"/>
      <c r="G69" s="38"/>
      <c r="H69" s="62">
        <f t="shared" si="0"/>
        <v>-33445.710000000006</v>
      </c>
      <c r="I69" s="3"/>
      <c r="J69" s="1"/>
    </row>
    <row r="70" spans="1:10" s="9" customFormat="1" ht="13.9" customHeight="1" x14ac:dyDescent="0.25">
      <c r="A70" s="27">
        <v>44227</v>
      </c>
      <c r="B70" s="9" t="s">
        <v>9</v>
      </c>
      <c r="C70" s="35" t="s">
        <v>142</v>
      </c>
      <c r="D70" s="17">
        <f>-127977.09-22406.86</f>
        <v>-150383.95000000001</v>
      </c>
      <c r="E70" s="5">
        <f>127977.09+22406.86-150383.95</f>
        <v>0</v>
      </c>
      <c r="F70" s="17"/>
      <c r="G70" s="38"/>
      <c r="H70" s="62">
        <f t="shared" si="0"/>
        <v>-150383.95000000001</v>
      </c>
      <c r="I70" s="3"/>
      <c r="J70" s="1"/>
    </row>
    <row r="71" spans="1:10" s="9" customFormat="1" ht="13.9" customHeight="1" x14ac:dyDescent="0.25">
      <c r="A71" s="27">
        <v>44227</v>
      </c>
      <c r="B71" s="9" t="s">
        <v>9</v>
      </c>
      <c r="C71" s="35" t="s">
        <v>143</v>
      </c>
      <c r="D71" s="17">
        <v>74388.570000000007</v>
      </c>
      <c r="E71" s="5"/>
      <c r="F71" s="17"/>
      <c r="G71" s="38"/>
      <c r="H71" s="62">
        <f t="shared" si="0"/>
        <v>74388.570000000007</v>
      </c>
      <c r="I71" s="3"/>
      <c r="J71" s="1"/>
    </row>
    <row r="72" spans="1:10" s="9" customFormat="1" ht="13.9" customHeight="1" x14ac:dyDescent="0.25">
      <c r="A72" s="27">
        <v>44227</v>
      </c>
      <c r="B72" s="9" t="s">
        <v>9</v>
      </c>
      <c r="C72" s="35" t="s">
        <v>127</v>
      </c>
      <c r="D72" s="17">
        <v>-3000.02</v>
      </c>
      <c r="E72" s="5"/>
      <c r="F72" s="17"/>
      <c r="G72" s="38"/>
      <c r="H72" s="62">
        <f t="shared" si="0"/>
        <v>-3000.02</v>
      </c>
      <c r="I72" s="3"/>
      <c r="J72" s="1"/>
    </row>
    <row r="73" spans="1:10" s="9" customFormat="1" ht="13.9" customHeight="1" x14ac:dyDescent="0.25">
      <c r="A73" s="27">
        <v>44227</v>
      </c>
      <c r="B73" s="9" t="s">
        <v>9</v>
      </c>
      <c r="C73" s="35" t="s">
        <v>128</v>
      </c>
      <c r="D73" s="17">
        <f>-178477.07+23944.61</f>
        <v>-154532.46000000002</v>
      </c>
      <c r="E73" s="5"/>
      <c r="F73" s="17"/>
      <c r="G73" s="38"/>
      <c r="H73" s="62">
        <f t="shared" si="0"/>
        <v>-154532.46000000002</v>
      </c>
      <c r="I73" s="3"/>
      <c r="J73" s="1"/>
    </row>
    <row r="74" spans="1:10" s="9" customFormat="1" ht="13.9" customHeight="1" x14ac:dyDescent="0.25">
      <c r="A74" s="27">
        <v>44227</v>
      </c>
      <c r="B74" s="9" t="s">
        <v>9</v>
      </c>
      <c r="C74" s="35" t="s">
        <v>129</v>
      </c>
      <c r="D74" s="17">
        <v>-42165.79</v>
      </c>
      <c r="E74" s="5"/>
      <c r="F74" s="17"/>
      <c r="G74" s="38"/>
      <c r="H74" s="62">
        <f t="shared" si="0"/>
        <v>-42165.79</v>
      </c>
      <c r="I74" s="3"/>
      <c r="J74" s="1"/>
    </row>
    <row r="75" spans="1:10" s="9" customFormat="1" ht="13.9" customHeight="1" x14ac:dyDescent="0.25">
      <c r="A75" s="27">
        <v>44255</v>
      </c>
      <c r="B75" s="9" t="s">
        <v>9</v>
      </c>
      <c r="C75" s="35" t="s">
        <v>144</v>
      </c>
      <c r="D75" s="17">
        <v>1302.08</v>
      </c>
      <c r="E75" s="5"/>
      <c r="F75" s="17"/>
      <c r="G75" s="38"/>
      <c r="H75" s="62">
        <f t="shared" si="0"/>
        <v>1302.08</v>
      </c>
      <c r="I75" s="3"/>
      <c r="J75" s="1"/>
    </row>
    <row r="76" spans="1:10" s="9" customFormat="1" ht="13.9" customHeight="1" x14ac:dyDescent="0.25">
      <c r="A76" s="27">
        <v>44255</v>
      </c>
      <c r="B76" s="9" t="s">
        <v>9</v>
      </c>
      <c r="C76" s="35" t="s">
        <v>148</v>
      </c>
      <c r="D76" s="17">
        <v>42165.79</v>
      </c>
      <c r="E76" s="5"/>
      <c r="F76" s="17"/>
      <c r="G76" s="38"/>
      <c r="H76" s="62">
        <f t="shared" si="0"/>
        <v>42165.79</v>
      </c>
      <c r="I76" s="3"/>
      <c r="J76" s="1"/>
    </row>
    <row r="77" spans="1:10" s="9" customFormat="1" ht="13.9" customHeight="1" x14ac:dyDescent="0.25">
      <c r="A77" s="27">
        <v>44255</v>
      </c>
      <c r="B77" s="9" t="s">
        <v>9</v>
      </c>
      <c r="C77" s="35" t="s">
        <v>151</v>
      </c>
      <c r="D77" s="17">
        <v>-411154.26</v>
      </c>
      <c r="E77" s="79">
        <v>411154.26</v>
      </c>
      <c r="F77" s="17"/>
      <c r="G77" s="38"/>
      <c r="H77" s="62">
        <f t="shared" si="0"/>
        <v>-411154.26</v>
      </c>
      <c r="I77" s="3"/>
      <c r="J77" s="1"/>
    </row>
    <row r="78" spans="1:10" s="9" customFormat="1" ht="13.9" customHeight="1" x14ac:dyDescent="0.25">
      <c r="A78" s="27">
        <v>44255</v>
      </c>
      <c r="B78" s="9" t="s">
        <v>9</v>
      </c>
      <c r="C78" s="35" t="s">
        <v>154</v>
      </c>
      <c r="D78" s="17">
        <v>83000</v>
      </c>
      <c r="E78" s="5"/>
      <c r="F78" s="88">
        <v>-83000</v>
      </c>
      <c r="G78" s="38"/>
      <c r="H78" s="62">
        <f t="shared" si="0"/>
        <v>83000</v>
      </c>
      <c r="I78" s="3"/>
      <c r="J78" s="1"/>
    </row>
    <row r="79" spans="1:10" s="9" customFormat="1" ht="13.9" customHeight="1" x14ac:dyDescent="0.25">
      <c r="A79" s="27">
        <v>44255</v>
      </c>
      <c r="B79" s="9" t="s">
        <v>9</v>
      </c>
      <c r="C79" s="35" t="s">
        <v>152</v>
      </c>
      <c r="D79" s="17">
        <v>-14380.2</v>
      </c>
      <c r="E79" s="56">
        <v>14380.2</v>
      </c>
      <c r="F79" s="17"/>
      <c r="G79" s="38"/>
      <c r="H79" s="62">
        <f t="shared" si="0"/>
        <v>-14380.2</v>
      </c>
      <c r="I79" s="3"/>
      <c r="J79" s="1"/>
    </row>
    <row r="80" spans="1:10" s="9" customFormat="1" ht="13.9" customHeight="1" x14ac:dyDescent="0.25">
      <c r="A80" s="27">
        <v>44255</v>
      </c>
      <c r="B80" s="9" t="s">
        <v>9</v>
      </c>
      <c r="C80" s="35" t="s">
        <v>153</v>
      </c>
      <c r="D80" s="17">
        <v>-33060.54</v>
      </c>
      <c r="E80" s="54">
        <v>33060.54</v>
      </c>
      <c r="F80" s="17"/>
      <c r="G80" s="38"/>
      <c r="H80" s="62">
        <f t="shared" si="0"/>
        <v>-33060.54</v>
      </c>
      <c r="I80" s="3"/>
      <c r="J80" s="1"/>
    </row>
    <row r="81" spans="1:10" s="9" customFormat="1" ht="13.9" customHeight="1" x14ac:dyDescent="0.25">
      <c r="A81" s="44">
        <v>44255</v>
      </c>
      <c r="B81" s="24" t="s">
        <v>9</v>
      </c>
      <c r="C81" s="26" t="s">
        <v>149</v>
      </c>
      <c r="D81" s="33">
        <v>-101864.83</v>
      </c>
      <c r="E81" s="5"/>
      <c r="F81" s="17"/>
      <c r="G81" s="38"/>
      <c r="H81" s="62">
        <f t="shared" si="0"/>
        <v>-101864.83</v>
      </c>
      <c r="I81" s="3"/>
      <c r="J81" s="1"/>
    </row>
    <row r="82" spans="1:10" s="9" customFormat="1" ht="13.9" customHeight="1" x14ac:dyDescent="0.25">
      <c r="A82" s="44">
        <v>44255</v>
      </c>
      <c r="B82" s="24" t="s">
        <v>9</v>
      </c>
      <c r="C82" s="26" t="s">
        <v>41</v>
      </c>
      <c r="D82" s="33">
        <v>-2166.69</v>
      </c>
      <c r="E82" s="5"/>
      <c r="F82" s="17"/>
      <c r="G82" s="38"/>
      <c r="H82" s="62">
        <f t="shared" si="0"/>
        <v>-2166.69</v>
      </c>
      <c r="I82" s="3"/>
      <c r="J82" s="1"/>
    </row>
    <row r="83" spans="1:10" s="9" customFormat="1" ht="13.9" customHeight="1" x14ac:dyDescent="0.25">
      <c r="A83" s="44">
        <v>44255</v>
      </c>
      <c r="B83" s="24" t="s">
        <v>9</v>
      </c>
      <c r="C83" s="26" t="s">
        <v>42</v>
      </c>
      <c r="D83" s="33">
        <v>273826.5</v>
      </c>
      <c r="E83" s="5"/>
      <c r="F83" s="17"/>
      <c r="G83" s="38"/>
      <c r="H83" s="62">
        <f t="shared" si="0"/>
        <v>273826.5</v>
      </c>
      <c r="I83" s="3"/>
      <c r="J83" s="1"/>
    </row>
    <row r="84" spans="1:10" s="9" customFormat="1" ht="13.9" customHeight="1" x14ac:dyDescent="0.25">
      <c r="A84" s="44">
        <v>44255</v>
      </c>
      <c r="B84" s="24" t="s">
        <v>9</v>
      </c>
      <c r="C84" s="26" t="s">
        <v>43</v>
      </c>
      <c r="D84" s="33">
        <v>-44307.71</v>
      </c>
      <c r="E84" s="5"/>
      <c r="F84" s="17"/>
      <c r="G84" s="38"/>
      <c r="H84" s="62">
        <f t="shared" si="0"/>
        <v>-44307.71</v>
      </c>
      <c r="I84" s="3"/>
      <c r="J84" s="1"/>
    </row>
    <row r="85" spans="1:10" s="9" customFormat="1" x14ac:dyDescent="0.25">
      <c r="A85" s="63"/>
      <c r="B85" s="46"/>
      <c r="C85" s="64"/>
      <c r="D85" s="22"/>
      <c r="E85" s="21"/>
      <c r="F85" s="22"/>
      <c r="G85" s="21"/>
      <c r="H85" s="62">
        <f t="shared" si="0"/>
        <v>0</v>
      </c>
      <c r="J85" s="1"/>
    </row>
    <row r="86" spans="1:10" x14ac:dyDescent="0.25">
      <c r="B86" s="9"/>
      <c r="C86" s="9"/>
      <c r="D86" s="45">
        <f>SUM(D8:D85)</f>
        <v>-696993.53999999992</v>
      </c>
      <c r="E86" s="45">
        <f>SUM(E8:E85)</f>
        <v>458595</v>
      </c>
      <c r="F86" s="45">
        <f>SUM(F8:F85)</f>
        <v>-497550.99</v>
      </c>
      <c r="G86" s="45">
        <f>SUM(G6:G85)</f>
        <v>-503517.5</v>
      </c>
      <c r="H86" s="45">
        <f>SUM(H6:H85)</f>
        <v>-49116.650000000176</v>
      </c>
      <c r="J86" s="1"/>
    </row>
    <row r="87" spans="1:10" x14ac:dyDescent="0.25">
      <c r="B87" s="9"/>
      <c r="C87" s="9"/>
      <c r="D87" s="2"/>
      <c r="E87" s="2"/>
      <c r="F87" s="2"/>
      <c r="G87" s="1">
        <f>G86*-1</f>
        <v>503517.5</v>
      </c>
      <c r="H87" s="2"/>
      <c r="J87" s="85" t="s">
        <v>147</v>
      </c>
    </row>
    <row r="88" spans="1:10" x14ac:dyDescent="0.25">
      <c r="B88" s="9"/>
      <c r="C88" s="9" t="s">
        <v>6</v>
      </c>
      <c r="D88" s="11"/>
      <c r="E88" s="68">
        <v>458595</v>
      </c>
      <c r="F88" s="8">
        <v>-497550.99</v>
      </c>
      <c r="G88" s="9"/>
      <c r="H88" s="8">
        <v>-49116.65</v>
      </c>
      <c r="J88" s="1" t="s">
        <v>120</v>
      </c>
    </row>
    <row r="89" spans="1:10" x14ac:dyDescent="0.25">
      <c r="B89" s="9"/>
      <c r="C89" s="9" t="s">
        <v>28</v>
      </c>
      <c r="D89" s="10"/>
      <c r="E89" s="10">
        <f>E86-E88</f>
        <v>0</v>
      </c>
      <c r="F89" s="10">
        <f>F86-F88</f>
        <v>0</v>
      </c>
      <c r="G89" s="10"/>
      <c r="H89" s="10">
        <f>H86-H88</f>
        <v>-1.7462298274040222E-10</v>
      </c>
      <c r="J89" s="1"/>
    </row>
    <row r="90" spans="1:10" x14ac:dyDescent="0.25">
      <c r="B90" s="9"/>
      <c r="C90" s="9"/>
      <c r="D90" s="9"/>
      <c r="E90" s="9"/>
      <c r="F90" s="4"/>
      <c r="G90" s="20"/>
      <c r="H90" s="1"/>
    </row>
    <row r="91" spans="1:10" x14ac:dyDescent="0.25">
      <c r="B91" s="9"/>
      <c r="C91" s="106" t="s">
        <v>30</v>
      </c>
      <c r="D91" s="107"/>
      <c r="E91" s="10"/>
      <c r="F91" s="12"/>
      <c r="G91" s="87"/>
      <c r="H91" s="19"/>
      <c r="J91" s="1"/>
    </row>
    <row r="92" spans="1:10" x14ac:dyDescent="0.25">
      <c r="B92" s="9"/>
      <c r="C92" s="28" t="s">
        <v>150</v>
      </c>
      <c r="D92" s="61">
        <f>F78</f>
        <v>-83000</v>
      </c>
      <c r="E92" s="9"/>
      <c r="F92" s="87"/>
      <c r="G92" s="87"/>
      <c r="H92" s="19"/>
      <c r="J92" s="1"/>
    </row>
    <row r="93" spans="1:10" x14ac:dyDescent="0.25">
      <c r="B93" s="9"/>
      <c r="C93" s="29" t="s">
        <v>27</v>
      </c>
      <c r="D93" s="42">
        <f>E80</f>
        <v>33060.54</v>
      </c>
      <c r="E93" s="9"/>
      <c r="F93" s="87"/>
      <c r="G93" s="87"/>
      <c r="H93" s="19"/>
      <c r="J93" s="1"/>
    </row>
    <row r="94" spans="1:10" x14ac:dyDescent="0.25">
      <c r="B94" s="9"/>
      <c r="C94" s="29" t="s">
        <v>33</v>
      </c>
      <c r="D94" s="55">
        <f>E79</f>
        <v>14380.2</v>
      </c>
      <c r="E94" s="59"/>
      <c r="F94" s="87"/>
      <c r="G94" s="87" t="s">
        <v>25</v>
      </c>
      <c r="H94" s="19"/>
      <c r="J94" s="1"/>
    </row>
    <row r="95" spans="1:10" ht="15.75" thickBot="1" x14ac:dyDescent="0.3">
      <c r="C95" s="30" t="s">
        <v>38</v>
      </c>
      <c r="D95" s="80">
        <f>F68+E77</f>
        <v>-3396.7299999999814</v>
      </c>
      <c r="F95" s="87"/>
      <c r="G95" s="87"/>
      <c r="H95" s="43"/>
      <c r="J95" s="1"/>
    </row>
    <row r="96" spans="1:10" x14ac:dyDescent="0.25">
      <c r="C96" s="31"/>
      <c r="D96" s="32">
        <f>SUM(D92:D95)</f>
        <v>-38955.989999999976</v>
      </c>
      <c r="F96" s="12"/>
      <c r="G96" s="87"/>
      <c r="H96" s="43"/>
    </row>
    <row r="97" spans="3:8" x14ac:dyDescent="0.25">
      <c r="C97" s="18"/>
      <c r="D97" s="19"/>
      <c r="F97" s="12"/>
      <c r="G97" s="87"/>
      <c r="H97" s="43"/>
    </row>
    <row r="98" spans="3:8" x14ac:dyDescent="0.25">
      <c r="C98" s="18"/>
      <c r="D98" s="19"/>
      <c r="F98" s="18"/>
      <c r="G98" s="87"/>
      <c r="H98" s="43"/>
    </row>
    <row r="99" spans="3:8" x14ac:dyDescent="0.25">
      <c r="C99" s="18"/>
      <c r="D99" s="19"/>
      <c r="F99" s="18"/>
      <c r="G99" s="87"/>
      <c r="H99" s="43"/>
    </row>
    <row r="100" spans="3:8" x14ac:dyDescent="0.25">
      <c r="F100" s="18"/>
      <c r="G100" s="87"/>
      <c r="H100" s="43"/>
    </row>
    <row r="101" spans="3:8" x14ac:dyDescent="0.25">
      <c r="F101" s="18"/>
      <c r="G101" s="87"/>
      <c r="H101" s="43"/>
    </row>
    <row r="102" spans="3:8" x14ac:dyDescent="0.25">
      <c r="F102" s="18"/>
      <c r="G102" s="87"/>
      <c r="H102" s="43"/>
    </row>
    <row r="103" spans="3:8" x14ac:dyDescent="0.25">
      <c r="F103" s="18"/>
      <c r="G103" s="87"/>
      <c r="H103" s="43"/>
    </row>
    <row r="104" spans="3:8" x14ac:dyDescent="0.25">
      <c r="F104" s="18"/>
      <c r="G104" s="18"/>
      <c r="H104" s="18"/>
    </row>
  </sheetData>
  <autoFilter ref="A5:K96">
    <filterColumn colId="0" showButton="0"/>
  </autoFilter>
  <mergeCells count="4">
    <mergeCell ref="A5:B5"/>
    <mergeCell ref="A6:B6"/>
    <mergeCell ref="A7:B7"/>
    <mergeCell ref="C91:D91"/>
  </mergeCells>
  <pageMargins left="0.7" right="0.7" top="0.5" bottom="0.5" header="0.3" footer="0.3"/>
  <pageSetup scale="54" fitToHeight="0" orientation="portrait" r:id="rId1"/>
  <headerFooter>
    <oddFooter>&amp;L&amp;Z&amp;F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opLeftCell="D1" zoomScaleNormal="100" workbookViewId="0">
      <pane ySplit="5" topLeftCell="A70" activePane="bottomLeft" state="frozen"/>
      <selection activeCell="C1" sqref="C1"/>
      <selection pane="bottomLeft" activeCell="H78" sqref="H78"/>
    </sheetView>
  </sheetViews>
  <sheetFormatPr defaultColWidth="9.140625" defaultRowHeight="15" x14ac:dyDescent="0.25"/>
  <cols>
    <col min="1" max="1" width="13.85546875" style="7" customWidth="1"/>
    <col min="2" max="2" width="8.7109375" style="7" customWidth="1"/>
    <col min="3" max="3" width="57" style="7" customWidth="1"/>
    <col min="4" max="4" width="16.28515625" style="7" customWidth="1"/>
    <col min="5" max="5" width="17.7109375" style="7" customWidth="1"/>
    <col min="6" max="6" width="17.28515625" style="7" customWidth="1"/>
    <col min="7" max="7" width="21.7109375" style="7" bestFit="1" customWidth="1"/>
    <col min="8" max="8" width="15.7109375" style="7" customWidth="1"/>
    <col min="9" max="9" width="11.28515625" style="7" customWidth="1"/>
    <col min="10" max="10" width="43.140625" style="7" customWidth="1"/>
    <col min="11" max="11" width="26" style="7" customWidth="1"/>
    <col min="12" max="16384" width="9.140625" style="7"/>
  </cols>
  <sheetData>
    <row r="1" spans="1:10" ht="21" x14ac:dyDescent="0.35">
      <c r="A1" s="58" t="s">
        <v>22</v>
      </c>
    </row>
    <row r="2" spans="1:10" ht="21" x14ac:dyDescent="0.35">
      <c r="A2" s="60" t="s">
        <v>21</v>
      </c>
      <c r="E2" s="14"/>
      <c r="F2" s="14"/>
    </row>
    <row r="3" spans="1:10" ht="21" x14ac:dyDescent="0.35">
      <c r="A3" s="58" t="s">
        <v>0</v>
      </c>
      <c r="B3" s="9"/>
      <c r="D3" s="1"/>
      <c r="E3" s="9"/>
      <c r="F3" s="9"/>
      <c r="G3" s="9"/>
      <c r="H3" s="9"/>
    </row>
    <row r="4" spans="1:10" ht="30.6" customHeight="1" x14ac:dyDescent="0.25">
      <c r="A4" s="50"/>
      <c r="B4" s="18"/>
      <c r="C4" s="51"/>
      <c r="D4" s="47" t="s">
        <v>1</v>
      </c>
      <c r="E4" s="57" t="s">
        <v>32</v>
      </c>
      <c r="F4" s="57" t="s">
        <v>31</v>
      </c>
      <c r="G4" s="52" t="s">
        <v>36</v>
      </c>
      <c r="H4" s="47" t="s">
        <v>2</v>
      </c>
    </row>
    <row r="5" spans="1:10" ht="15.75" thickBot="1" x14ac:dyDescent="0.3">
      <c r="A5" s="104" t="s">
        <v>29</v>
      </c>
      <c r="B5" s="104"/>
      <c r="C5" s="49" t="s">
        <v>3</v>
      </c>
      <c r="D5" s="48" t="s">
        <v>4</v>
      </c>
      <c r="E5" s="48" t="s">
        <v>5</v>
      </c>
      <c r="F5" s="48" t="s">
        <v>5</v>
      </c>
      <c r="G5" s="53" t="s">
        <v>146</v>
      </c>
      <c r="H5" s="48" t="s">
        <v>4</v>
      </c>
    </row>
    <row r="6" spans="1:10" x14ac:dyDescent="0.25">
      <c r="A6" s="105" t="s">
        <v>15</v>
      </c>
      <c r="B6" s="105"/>
      <c r="C6" s="23" t="s">
        <v>145</v>
      </c>
      <c r="D6" s="17">
        <f>1148.11+7643.37</f>
        <v>8791.48</v>
      </c>
      <c r="E6" s="47"/>
      <c r="F6" s="34"/>
      <c r="G6" s="74"/>
      <c r="H6" s="12">
        <f>D6-G6</f>
        <v>8791.48</v>
      </c>
      <c r="I6" s="6"/>
    </row>
    <row r="7" spans="1:10" x14ac:dyDescent="0.25">
      <c r="A7" s="105" t="s">
        <v>15</v>
      </c>
      <c r="B7" s="105"/>
      <c r="C7" s="23" t="s">
        <v>78</v>
      </c>
      <c r="D7" s="17">
        <f>11199.33+11199.33+11199.33+11199.33+11199.33+11199.33+11199.33+11199.33+11199.33+1906.78+6492.72+1141.18+7650.3+1144.64+7646.84</f>
        <v>126776.43</v>
      </c>
      <c r="E7" s="47"/>
      <c r="F7" s="34"/>
      <c r="G7" s="74">
        <f>55996.65+61988.3</f>
        <v>117984.95000000001</v>
      </c>
      <c r="H7" s="12">
        <f>D7-G7</f>
        <v>8791.4799999999814</v>
      </c>
      <c r="I7" s="6"/>
    </row>
    <row r="8" spans="1:10" s="9" customFormat="1" ht="13.9" customHeight="1" x14ac:dyDescent="0.25">
      <c r="A8" s="27">
        <v>43982</v>
      </c>
      <c r="B8" s="9" t="s">
        <v>10</v>
      </c>
      <c r="C8" s="35" t="s">
        <v>101</v>
      </c>
      <c r="D8" s="17">
        <f>6657.07-246.45</f>
        <v>6410.62</v>
      </c>
      <c r="E8" s="5"/>
      <c r="F8" s="17">
        <f>-6657.07+246.45+6410.62</f>
        <v>0</v>
      </c>
      <c r="G8" s="11">
        <f>6657.07-246.45</f>
        <v>6410.62</v>
      </c>
      <c r="H8" s="62">
        <f t="shared" ref="H8:H75" si="0">D8-G8</f>
        <v>0</v>
      </c>
      <c r="I8" s="3"/>
      <c r="J8" s="1"/>
    </row>
    <row r="9" spans="1:10" s="9" customFormat="1" ht="13.9" customHeight="1" x14ac:dyDescent="0.25">
      <c r="A9" s="27">
        <v>43982</v>
      </c>
      <c r="B9" s="9" t="s">
        <v>10</v>
      </c>
      <c r="C9" s="35" t="s">
        <v>102</v>
      </c>
      <c r="D9" s="17">
        <f>-39806.95+23.74</f>
        <v>-39783.21</v>
      </c>
      <c r="E9" s="5">
        <f>39806.95-23.74-39783.21</f>
        <v>0</v>
      </c>
      <c r="F9" s="17"/>
      <c r="G9" s="11">
        <f>-39806.95+23.74</f>
        <v>-39783.21</v>
      </c>
      <c r="H9" s="62">
        <f t="shared" si="0"/>
        <v>0</v>
      </c>
      <c r="I9" s="3"/>
      <c r="J9" s="1"/>
    </row>
    <row r="10" spans="1:10" s="9" customFormat="1" ht="13.9" customHeight="1" x14ac:dyDescent="0.25">
      <c r="A10" s="27">
        <v>43982</v>
      </c>
      <c r="B10" s="9" t="s">
        <v>10</v>
      </c>
      <c r="C10" s="35" t="s">
        <v>103</v>
      </c>
      <c r="D10" s="17">
        <f>-27747.51-275.24</f>
        <v>-28022.75</v>
      </c>
      <c r="E10" s="5">
        <f>27747.51+275.24-28022.75</f>
        <v>0</v>
      </c>
      <c r="F10" s="17"/>
      <c r="G10" s="11">
        <f>-27747.51-275.24</f>
        <v>-28022.75</v>
      </c>
      <c r="H10" s="62">
        <f t="shared" si="0"/>
        <v>0</v>
      </c>
      <c r="I10" s="3"/>
      <c r="J10" s="1"/>
    </row>
    <row r="11" spans="1:10" s="9" customFormat="1" ht="13.9" customHeight="1" x14ac:dyDescent="0.25">
      <c r="A11" s="27">
        <v>43982</v>
      </c>
      <c r="B11" s="9" t="s">
        <v>10</v>
      </c>
      <c r="C11" s="35" t="s">
        <v>34</v>
      </c>
      <c r="D11" s="17">
        <f>-25900.51-29.59</f>
        <v>-25930.1</v>
      </c>
      <c r="E11" s="5"/>
      <c r="F11" s="17"/>
      <c r="G11" s="11">
        <f>-25900.51-29.59</f>
        <v>-25930.1</v>
      </c>
      <c r="H11" s="62">
        <f t="shared" si="0"/>
        <v>0</v>
      </c>
      <c r="I11" s="3"/>
      <c r="J11" s="1"/>
    </row>
    <row r="12" spans="1:10" s="9" customFormat="1" ht="13.9" customHeight="1" x14ac:dyDescent="0.25">
      <c r="A12" s="27">
        <v>43982</v>
      </c>
      <c r="B12" s="9" t="s">
        <v>10</v>
      </c>
      <c r="C12" s="35" t="s">
        <v>35</v>
      </c>
      <c r="D12" s="17">
        <f>-33642.7+9266.09</f>
        <v>-24376.609999999997</v>
      </c>
      <c r="E12" s="5"/>
      <c r="F12" s="17"/>
      <c r="G12" s="11">
        <f>-33642.7+9266.09</f>
        <v>-24376.609999999997</v>
      </c>
      <c r="H12" s="62">
        <f t="shared" si="0"/>
        <v>0</v>
      </c>
      <c r="I12" s="3"/>
      <c r="J12" s="1"/>
    </row>
    <row r="13" spans="1:10" s="9" customFormat="1" ht="13.9" customHeight="1" x14ac:dyDescent="0.25">
      <c r="A13" s="27">
        <v>44012</v>
      </c>
      <c r="B13" s="9" t="s">
        <v>10</v>
      </c>
      <c r="C13" s="35" t="s">
        <v>105</v>
      </c>
      <c r="D13" s="17">
        <f>-6884.15+353.43</f>
        <v>-6530.7199999999993</v>
      </c>
      <c r="E13" s="5">
        <f>6884.15-353.43-6530.72</f>
        <v>0</v>
      </c>
      <c r="F13" s="17"/>
      <c r="G13" s="11">
        <v>-6530.7199999999993</v>
      </c>
      <c r="H13" s="62">
        <f t="shared" si="0"/>
        <v>0</v>
      </c>
      <c r="I13" s="3"/>
      <c r="J13" s="1"/>
    </row>
    <row r="14" spans="1:10" s="9" customFormat="1" ht="13.9" customHeight="1" x14ac:dyDescent="0.25">
      <c r="A14" s="27">
        <v>44012</v>
      </c>
      <c r="B14" s="9" t="s">
        <v>10</v>
      </c>
      <c r="C14" s="35" t="s">
        <v>106</v>
      </c>
      <c r="D14" s="17">
        <f>-30007.16+38.79</f>
        <v>-29968.37</v>
      </c>
      <c r="E14" s="5">
        <f>30007.16-38.79-29968.37</f>
        <v>0</v>
      </c>
      <c r="F14" s="17"/>
      <c r="G14" s="11">
        <v>-29968.37</v>
      </c>
      <c r="H14" s="62">
        <f t="shared" si="0"/>
        <v>0</v>
      </c>
      <c r="I14" s="3"/>
      <c r="J14" s="1"/>
    </row>
    <row r="15" spans="1:10" s="9" customFormat="1" ht="13.9" customHeight="1" x14ac:dyDescent="0.25">
      <c r="A15" s="27">
        <v>44012</v>
      </c>
      <c r="B15" s="9" t="s">
        <v>10</v>
      </c>
      <c r="C15" s="35" t="s">
        <v>107</v>
      </c>
      <c r="D15" s="17">
        <f>-45333.66-2312.7</f>
        <v>-47646.36</v>
      </c>
      <c r="E15" s="5">
        <f>45333.66+2312.7-47646.36</f>
        <v>0</v>
      </c>
      <c r="F15" s="17"/>
      <c r="G15" s="11">
        <v>-47646.36</v>
      </c>
      <c r="H15" s="62">
        <f t="shared" si="0"/>
        <v>0</v>
      </c>
      <c r="I15" s="3"/>
      <c r="J15" s="1"/>
    </row>
    <row r="16" spans="1:10" s="9" customFormat="1" ht="13.9" customHeight="1" x14ac:dyDescent="0.25">
      <c r="A16" s="27">
        <v>44012</v>
      </c>
      <c r="B16" s="9" t="s">
        <v>10</v>
      </c>
      <c r="C16" s="35" t="s">
        <v>104</v>
      </c>
      <c r="D16" s="17">
        <v>24376.61</v>
      </c>
      <c r="E16" s="5"/>
      <c r="F16" s="17"/>
      <c r="G16" s="11">
        <v>24376.61</v>
      </c>
      <c r="H16" s="62">
        <f t="shared" si="0"/>
        <v>0</v>
      </c>
      <c r="I16" s="3"/>
      <c r="J16" s="1"/>
    </row>
    <row r="17" spans="1:10" s="9" customFormat="1" ht="13.9" customHeight="1" x14ac:dyDescent="0.25">
      <c r="A17" s="27">
        <v>44012</v>
      </c>
      <c r="B17" s="9" t="s">
        <v>10</v>
      </c>
      <c r="C17" s="35" t="s">
        <v>39</v>
      </c>
      <c r="D17" s="17">
        <v>-2833.36</v>
      </c>
      <c r="E17" s="5"/>
      <c r="F17" s="17"/>
      <c r="G17" s="11">
        <v>-2833.36</v>
      </c>
      <c r="H17" s="62">
        <f t="shared" si="0"/>
        <v>0</v>
      </c>
      <c r="I17" s="3"/>
      <c r="J17" s="1"/>
    </row>
    <row r="18" spans="1:10" s="9" customFormat="1" ht="13.9" customHeight="1" x14ac:dyDescent="0.25">
      <c r="A18" s="27">
        <v>44012</v>
      </c>
      <c r="B18" s="9" t="s">
        <v>10</v>
      </c>
      <c r="C18" s="35" t="s">
        <v>34</v>
      </c>
      <c r="D18" s="17">
        <f>382.03-0.01</f>
        <v>382.02</v>
      </c>
      <c r="E18" s="5"/>
      <c r="F18" s="17"/>
      <c r="G18" s="11">
        <v>382.02</v>
      </c>
      <c r="H18" s="62">
        <f t="shared" si="0"/>
        <v>0</v>
      </c>
      <c r="I18" s="3"/>
      <c r="J18" s="1"/>
    </row>
    <row r="19" spans="1:10" s="9" customFormat="1" ht="13.9" customHeight="1" x14ac:dyDescent="0.25">
      <c r="A19" s="27">
        <v>44012</v>
      </c>
      <c r="B19" s="9" t="s">
        <v>10</v>
      </c>
      <c r="C19" s="35" t="s">
        <v>35</v>
      </c>
      <c r="D19" s="17">
        <v>-33642.699999999997</v>
      </c>
      <c r="E19" s="5"/>
      <c r="F19" s="17"/>
      <c r="G19" s="11">
        <v>-33642.699999999997</v>
      </c>
      <c r="H19" s="62">
        <f t="shared" si="0"/>
        <v>0</v>
      </c>
      <c r="I19" s="3"/>
      <c r="J19" s="1"/>
    </row>
    <row r="20" spans="1:10" s="9" customFormat="1" ht="13.9" customHeight="1" x14ac:dyDescent="0.25">
      <c r="A20" s="27">
        <v>44043</v>
      </c>
      <c r="B20" s="9" t="s">
        <v>13</v>
      </c>
      <c r="C20" s="35" t="s">
        <v>108</v>
      </c>
      <c r="D20" s="17">
        <f>-83244.29-875.23</f>
        <v>-84119.51999999999</v>
      </c>
      <c r="E20" s="5">
        <f>83244.29+875.23-84119.52</f>
        <v>0</v>
      </c>
      <c r="F20" s="17"/>
      <c r="G20" s="11">
        <v>-84119.51999999999</v>
      </c>
      <c r="H20" s="62">
        <f t="shared" si="0"/>
        <v>0</v>
      </c>
      <c r="I20" s="3"/>
      <c r="J20" s="1"/>
    </row>
    <row r="21" spans="1:10" s="9" customFormat="1" ht="13.9" customHeight="1" x14ac:dyDescent="0.25">
      <c r="A21" s="27">
        <v>44043</v>
      </c>
      <c r="B21" s="9" t="s">
        <v>13</v>
      </c>
      <c r="C21" s="35" t="s">
        <v>109</v>
      </c>
      <c r="D21" s="17">
        <f>-25846.06-271.75</f>
        <v>-26117.81</v>
      </c>
      <c r="E21" s="5">
        <f>25846.06+271.75-26117.81</f>
        <v>0</v>
      </c>
      <c r="F21" s="17"/>
      <c r="G21" s="11">
        <v>-26117.81</v>
      </c>
      <c r="H21" s="62">
        <f t="shared" si="0"/>
        <v>0</v>
      </c>
      <c r="I21" s="3"/>
      <c r="J21" s="1"/>
    </row>
    <row r="22" spans="1:10" s="9" customFormat="1" ht="13.9" customHeight="1" x14ac:dyDescent="0.25">
      <c r="A22" s="27">
        <v>44043</v>
      </c>
      <c r="B22" s="9" t="s">
        <v>13</v>
      </c>
      <c r="C22" s="35" t="s">
        <v>110</v>
      </c>
      <c r="D22" s="17">
        <f>4826.49+671.36</f>
        <v>5497.8499999999995</v>
      </c>
      <c r="E22" s="5"/>
      <c r="F22" s="17">
        <f>-4826.49-671.36+5497.85</f>
        <v>0</v>
      </c>
      <c r="G22" s="11">
        <v>5497.8499999999995</v>
      </c>
      <c r="H22" s="62">
        <f t="shared" si="0"/>
        <v>0</v>
      </c>
      <c r="I22" s="3"/>
      <c r="J22" s="1"/>
    </row>
    <row r="23" spans="1:10" s="9" customFormat="1" ht="13.9" customHeight="1" x14ac:dyDescent="0.25">
      <c r="A23" s="27">
        <v>44043</v>
      </c>
      <c r="B23" s="9" t="s">
        <v>13</v>
      </c>
      <c r="C23" s="35" t="s">
        <v>37</v>
      </c>
      <c r="D23" s="17">
        <v>0</v>
      </c>
      <c r="E23" s="5"/>
      <c r="F23" s="17"/>
      <c r="G23" s="11">
        <v>0</v>
      </c>
      <c r="H23" s="62">
        <f t="shared" si="0"/>
        <v>0</v>
      </c>
      <c r="I23" s="3"/>
      <c r="J23" s="1"/>
    </row>
    <row r="24" spans="1:10" s="9" customFormat="1" ht="13.9" customHeight="1" x14ac:dyDescent="0.25">
      <c r="A24" s="27">
        <v>44043</v>
      </c>
      <c r="B24" s="9" t="s">
        <v>13</v>
      </c>
      <c r="C24" s="35" t="s">
        <v>111</v>
      </c>
      <c r="D24" s="17">
        <v>33642.699999999997</v>
      </c>
      <c r="E24" s="5"/>
      <c r="F24" s="17"/>
      <c r="G24" s="11">
        <v>33642.699999999997</v>
      </c>
      <c r="H24" s="62">
        <f t="shared" si="0"/>
        <v>0</v>
      </c>
      <c r="I24" s="3"/>
      <c r="J24" s="1"/>
    </row>
    <row r="25" spans="1:10" s="9" customFormat="1" ht="13.9" customHeight="1" x14ac:dyDescent="0.25">
      <c r="A25" s="27">
        <v>44043</v>
      </c>
      <c r="B25" s="9" t="s">
        <v>13</v>
      </c>
      <c r="C25" s="35" t="s">
        <v>39</v>
      </c>
      <c r="D25" s="17">
        <f>-2041.69+3208.37</f>
        <v>1166.6799999999998</v>
      </c>
      <c r="E25" s="5"/>
      <c r="F25" s="17"/>
      <c r="G25" s="11">
        <v>1166.6799999999998</v>
      </c>
      <c r="H25" s="62">
        <f t="shared" si="0"/>
        <v>0</v>
      </c>
      <c r="I25" s="3"/>
      <c r="J25" s="1"/>
    </row>
    <row r="26" spans="1:10" s="9" customFormat="1" ht="13.9" customHeight="1" x14ac:dyDescent="0.25">
      <c r="A26" s="27">
        <v>44043</v>
      </c>
      <c r="B26" s="9" t="s">
        <v>13</v>
      </c>
      <c r="C26" s="35" t="s">
        <v>34</v>
      </c>
      <c r="D26" s="17">
        <f>33893.09+757.05</f>
        <v>34650.14</v>
      </c>
      <c r="E26" s="5"/>
      <c r="F26" s="17"/>
      <c r="G26" s="11">
        <v>34650.14</v>
      </c>
      <c r="H26" s="62">
        <f t="shared" si="0"/>
        <v>0</v>
      </c>
      <c r="I26" s="3"/>
      <c r="J26" s="1"/>
    </row>
    <row r="27" spans="1:10" s="9" customFormat="1" ht="13.9" customHeight="1" x14ac:dyDescent="0.25">
      <c r="A27" s="27">
        <v>44043</v>
      </c>
      <c r="B27" s="9" t="s">
        <v>13</v>
      </c>
      <c r="C27" s="35" t="s">
        <v>35</v>
      </c>
      <c r="D27" s="17">
        <v>-40947.879999999997</v>
      </c>
      <c r="E27" s="5"/>
      <c r="F27" s="17"/>
      <c r="G27" s="11">
        <v>-40947.879999999997</v>
      </c>
      <c r="H27" s="62">
        <f t="shared" si="0"/>
        <v>0</v>
      </c>
      <c r="I27" s="3"/>
      <c r="J27" s="1"/>
    </row>
    <row r="28" spans="1:10" s="9" customFormat="1" ht="13.9" customHeight="1" x14ac:dyDescent="0.25">
      <c r="A28" s="27">
        <v>44074</v>
      </c>
      <c r="B28" s="18" t="s">
        <v>13</v>
      </c>
      <c r="C28" s="65" t="s">
        <v>112</v>
      </c>
      <c r="D28" s="17">
        <f>-108715.97+13701.77</f>
        <v>-95014.2</v>
      </c>
      <c r="E28" s="5">
        <f>108715.97-13701.77-95014.2</f>
        <v>0</v>
      </c>
      <c r="F28" s="17"/>
      <c r="G28" s="11">
        <v>-95014.2</v>
      </c>
      <c r="H28" s="62">
        <f t="shared" si="0"/>
        <v>0</v>
      </c>
      <c r="I28" s="3"/>
      <c r="J28" s="1"/>
    </row>
    <row r="29" spans="1:10" s="9" customFormat="1" ht="13.9" customHeight="1" x14ac:dyDescent="0.25">
      <c r="A29" s="27">
        <v>44074</v>
      </c>
      <c r="B29" s="18" t="s">
        <v>13</v>
      </c>
      <c r="C29" s="65" t="s">
        <v>113</v>
      </c>
      <c r="D29" s="17">
        <f>-52697.04+39912.35</f>
        <v>-12784.690000000002</v>
      </c>
      <c r="E29" s="5">
        <f>52697.04-39912.35-12784.69</f>
        <v>0</v>
      </c>
      <c r="F29" s="17"/>
      <c r="G29" s="11">
        <v>-12784.690000000002</v>
      </c>
      <c r="H29" s="62">
        <f t="shared" si="0"/>
        <v>0</v>
      </c>
      <c r="I29" s="3"/>
      <c r="J29" s="1"/>
    </row>
    <row r="30" spans="1:10" s="9" customFormat="1" ht="13.9" customHeight="1" x14ac:dyDescent="0.25">
      <c r="A30" s="27">
        <v>44074</v>
      </c>
      <c r="B30" s="18" t="s">
        <v>13</v>
      </c>
      <c r="C30" s="65" t="s">
        <v>114</v>
      </c>
      <c r="D30" s="17">
        <f>4362.1-1.63</f>
        <v>4360.47</v>
      </c>
      <c r="E30" s="5"/>
      <c r="F30" s="17">
        <f>-4362.1+1.63+4360.47</f>
        <v>0</v>
      </c>
      <c r="G30" s="11">
        <v>4360.47</v>
      </c>
      <c r="H30" s="62">
        <f t="shared" si="0"/>
        <v>0</v>
      </c>
      <c r="I30" s="3"/>
      <c r="J30" s="1"/>
    </row>
    <row r="31" spans="1:10" s="9" customFormat="1" ht="13.9" customHeight="1" x14ac:dyDescent="0.25">
      <c r="A31" s="27">
        <v>44074</v>
      </c>
      <c r="B31" s="18" t="s">
        <v>13</v>
      </c>
      <c r="C31" s="65" t="s">
        <v>37</v>
      </c>
      <c r="D31" s="17">
        <v>0</v>
      </c>
      <c r="E31" s="5"/>
      <c r="F31" s="17"/>
      <c r="G31" s="11">
        <v>0</v>
      </c>
      <c r="H31" s="62">
        <f t="shared" si="0"/>
        <v>0</v>
      </c>
      <c r="I31" s="3"/>
      <c r="J31" s="1"/>
    </row>
    <row r="32" spans="1:10" s="9" customFormat="1" ht="13.9" customHeight="1" x14ac:dyDescent="0.25">
      <c r="A32" s="27">
        <v>44074</v>
      </c>
      <c r="B32" s="18" t="s">
        <v>13</v>
      </c>
      <c r="C32" s="65" t="s">
        <v>115</v>
      </c>
      <c r="D32" s="17">
        <v>40947.879999999997</v>
      </c>
      <c r="E32" s="5"/>
      <c r="F32" s="17"/>
      <c r="G32" s="11">
        <v>40947.879999999997</v>
      </c>
      <c r="H32" s="62">
        <f t="shared" si="0"/>
        <v>0</v>
      </c>
      <c r="I32" s="3"/>
      <c r="J32" s="1"/>
    </row>
    <row r="33" spans="1:10" s="9" customFormat="1" ht="13.9" customHeight="1" x14ac:dyDescent="0.25">
      <c r="A33" s="27">
        <v>44074</v>
      </c>
      <c r="B33" s="18" t="s">
        <v>13</v>
      </c>
      <c r="C33" s="65" t="s">
        <v>127</v>
      </c>
      <c r="D33" s="17">
        <v>-1958.35</v>
      </c>
      <c r="E33" s="5"/>
      <c r="F33" s="17"/>
      <c r="G33" s="11">
        <v>-1958.35</v>
      </c>
      <c r="H33" s="62">
        <f t="shared" si="0"/>
        <v>0</v>
      </c>
      <c r="I33" s="3"/>
      <c r="J33" s="1"/>
    </row>
    <row r="34" spans="1:10" s="9" customFormat="1" ht="13.9" customHeight="1" x14ac:dyDescent="0.25">
      <c r="A34" s="27">
        <v>44074</v>
      </c>
      <c r="B34" s="18" t="s">
        <v>13</v>
      </c>
      <c r="C34" s="65" t="s">
        <v>128</v>
      </c>
      <c r="D34" s="17">
        <f>-14987.39+14229.62</f>
        <v>-757.76999999999862</v>
      </c>
      <c r="E34" s="5"/>
      <c r="F34" s="17"/>
      <c r="G34" s="11">
        <v>-757.76999999999862</v>
      </c>
      <c r="H34" s="62">
        <f t="shared" si="0"/>
        <v>0</v>
      </c>
      <c r="I34" s="3"/>
      <c r="J34" s="1"/>
    </row>
    <row r="35" spans="1:10" s="9" customFormat="1" ht="13.9" customHeight="1" x14ac:dyDescent="0.25">
      <c r="A35" s="27">
        <v>44074</v>
      </c>
      <c r="B35" s="18" t="s">
        <v>13</v>
      </c>
      <c r="C35" s="65" t="s">
        <v>129</v>
      </c>
      <c r="D35" s="17">
        <f>-37867.09</f>
        <v>-37867.089999999997</v>
      </c>
      <c r="E35" s="5"/>
      <c r="F35" s="17"/>
      <c r="G35" s="11">
        <v>-37867.089999999997</v>
      </c>
      <c r="H35" s="62">
        <f t="shared" si="0"/>
        <v>0</v>
      </c>
      <c r="I35" s="3"/>
      <c r="J35" s="1"/>
    </row>
    <row r="36" spans="1:10" s="9" customFormat="1" ht="13.9" customHeight="1" x14ac:dyDescent="0.25">
      <c r="A36" s="27">
        <v>44074</v>
      </c>
      <c r="B36" s="18" t="s">
        <v>13</v>
      </c>
      <c r="C36" s="65" t="s">
        <v>130</v>
      </c>
      <c r="D36" s="17">
        <v>-135.47999999999999</v>
      </c>
      <c r="E36" s="5"/>
      <c r="F36" s="17"/>
      <c r="G36" s="11">
        <v>-135.47999999999999</v>
      </c>
      <c r="H36" s="62">
        <f t="shared" si="0"/>
        <v>0</v>
      </c>
      <c r="I36" s="3"/>
      <c r="J36" s="1"/>
    </row>
    <row r="37" spans="1:10" s="9" customFormat="1" ht="13.9" customHeight="1" x14ac:dyDescent="0.25">
      <c r="A37" s="27">
        <v>44104</v>
      </c>
      <c r="B37" s="18" t="s">
        <v>13</v>
      </c>
      <c r="C37" s="65" t="s">
        <v>117</v>
      </c>
      <c r="D37" s="17">
        <f>-37463.1+1902.1</f>
        <v>-35561</v>
      </c>
      <c r="E37" s="5">
        <f>37463.1-1902.1-35561</f>
        <v>0</v>
      </c>
      <c r="F37" s="17"/>
      <c r="G37" s="11">
        <v>-35561</v>
      </c>
      <c r="H37" s="62">
        <f t="shared" si="0"/>
        <v>0</v>
      </c>
      <c r="I37" s="3"/>
      <c r="J37" s="1"/>
    </row>
    <row r="38" spans="1:10" s="9" customFormat="1" ht="13.9" customHeight="1" x14ac:dyDescent="0.25">
      <c r="A38" s="27">
        <v>44104</v>
      </c>
      <c r="B38" s="18" t="s">
        <v>13</v>
      </c>
      <c r="C38" s="65" t="s">
        <v>118</v>
      </c>
      <c r="D38" s="17">
        <f>-11819.68+600.12</f>
        <v>-11219.56</v>
      </c>
      <c r="E38" s="5">
        <f>11819.68-600.12-11219.56</f>
        <v>0</v>
      </c>
      <c r="F38" s="17"/>
      <c r="G38" s="11">
        <v>-11219.56</v>
      </c>
      <c r="H38" s="62">
        <f t="shared" si="0"/>
        <v>0</v>
      </c>
      <c r="I38" s="3"/>
      <c r="J38" s="1"/>
    </row>
    <row r="39" spans="1:10" s="9" customFormat="1" ht="13.9" customHeight="1" x14ac:dyDescent="0.25">
      <c r="A39" s="27">
        <v>44104</v>
      </c>
      <c r="B39" s="18" t="s">
        <v>13</v>
      </c>
      <c r="C39" s="65" t="s">
        <v>119</v>
      </c>
      <c r="D39" s="17">
        <v>20528.650000000001</v>
      </c>
      <c r="E39" s="5"/>
      <c r="F39" s="17">
        <f>-20528.65+20528.65</f>
        <v>0</v>
      </c>
      <c r="G39" s="11">
        <v>20528.650000000001</v>
      </c>
      <c r="H39" s="62">
        <f t="shared" si="0"/>
        <v>0</v>
      </c>
      <c r="I39" s="3"/>
      <c r="J39" s="1"/>
    </row>
    <row r="40" spans="1:10" s="9" customFormat="1" ht="13.9" customHeight="1" x14ac:dyDescent="0.25">
      <c r="A40" s="27">
        <v>44104</v>
      </c>
      <c r="B40" s="18" t="s">
        <v>13</v>
      </c>
      <c r="C40" s="65" t="s">
        <v>121</v>
      </c>
      <c r="D40" s="17">
        <v>37867.089999999997</v>
      </c>
      <c r="E40" s="5"/>
      <c r="F40" s="17"/>
      <c r="G40" s="11">
        <v>37867.089999999997</v>
      </c>
      <c r="H40" s="62">
        <f t="shared" si="0"/>
        <v>0</v>
      </c>
      <c r="I40" s="3"/>
      <c r="J40" s="1"/>
    </row>
    <row r="41" spans="1:10" s="9" customFormat="1" ht="13.9" customHeight="1" x14ac:dyDescent="0.25">
      <c r="A41" s="27">
        <v>44104</v>
      </c>
      <c r="B41" s="9" t="s">
        <v>13</v>
      </c>
      <c r="C41" s="35" t="s">
        <v>127</v>
      </c>
      <c r="D41" s="17">
        <v>-2000.02</v>
      </c>
      <c r="E41" s="5"/>
      <c r="F41" s="17"/>
      <c r="G41" s="11">
        <v>-2000.02</v>
      </c>
      <c r="H41" s="62">
        <f t="shared" si="0"/>
        <v>0</v>
      </c>
      <c r="I41" s="3"/>
      <c r="J41" s="1"/>
    </row>
    <row r="42" spans="1:10" s="9" customFormat="1" ht="13.9" customHeight="1" x14ac:dyDescent="0.25">
      <c r="A42" s="27">
        <v>44104</v>
      </c>
      <c r="B42" s="9" t="s">
        <v>13</v>
      </c>
      <c r="C42" s="35" t="s">
        <v>128</v>
      </c>
      <c r="D42" s="17">
        <v>-14372.82</v>
      </c>
      <c r="E42" s="5"/>
      <c r="F42" s="17"/>
      <c r="G42" s="11">
        <v>-14372.82</v>
      </c>
      <c r="H42" s="62">
        <f>D42-G42</f>
        <v>0</v>
      </c>
      <c r="I42" s="3"/>
      <c r="J42" s="1"/>
    </row>
    <row r="43" spans="1:10" s="9" customFormat="1" ht="13.9" customHeight="1" x14ac:dyDescent="0.25">
      <c r="A43" s="27">
        <v>44104</v>
      </c>
      <c r="B43" s="9" t="s">
        <v>13</v>
      </c>
      <c r="C43" s="35" t="s">
        <v>129</v>
      </c>
      <c r="D43" s="17">
        <v>-47238.51</v>
      </c>
      <c r="E43" s="5"/>
      <c r="F43" s="17"/>
      <c r="G43" s="11">
        <v>-47238.51</v>
      </c>
      <c r="H43" s="62">
        <f t="shared" si="0"/>
        <v>0</v>
      </c>
      <c r="I43" s="3"/>
      <c r="J43" s="1"/>
    </row>
    <row r="44" spans="1:10" s="9" customFormat="1" ht="13.9" customHeight="1" x14ac:dyDescent="0.25">
      <c r="A44" s="27">
        <v>44135</v>
      </c>
      <c r="B44" s="9" t="s">
        <v>18</v>
      </c>
      <c r="C44" s="35" t="s">
        <v>124</v>
      </c>
      <c r="D44" s="17">
        <f>64170.88+1365.58</f>
        <v>65536.459999999992</v>
      </c>
      <c r="E44" s="5"/>
      <c r="F44" s="17">
        <f>-64170.88-1365.58+65536.46</f>
        <v>0</v>
      </c>
      <c r="G44" s="11">
        <v>65536.459999999992</v>
      </c>
      <c r="H44" s="62">
        <f t="shared" si="0"/>
        <v>0</v>
      </c>
      <c r="I44" s="3"/>
      <c r="J44" s="1"/>
    </row>
    <row r="45" spans="1:10" s="9" customFormat="1" ht="13.9" customHeight="1" x14ac:dyDescent="0.25">
      <c r="A45" s="27">
        <v>44135</v>
      </c>
      <c r="B45" s="9" t="s">
        <v>18</v>
      </c>
      <c r="C45" s="35" t="s">
        <v>125</v>
      </c>
      <c r="D45" s="17">
        <f>-33917.68-1172.07</f>
        <v>-35089.75</v>
      </c>
      <c r="E45" s="5">
        <f>33917.68+1172.07-35089.75</f>
        <v>0</v>
      </c>
      <c r="F45" s="17"/>
      <c r="G45" s="11">
        <v>-33917.68</v>
      </c>
      <c r="H45" s="62">
        <f t="shared" si="0"/>
        <v>-1172.0699999999997</v>
      </c>
      <c r="I45" s="3"/>
      <c r="J45" s="1"/>
    </row>
    <row r="46" spans="1:10" s="9" customFormat="1" ht="13.9" customHeight="1" x14ac:dyDescent="0.25">
      <c r="A46" s="27">
        <v>44135</v>
      </c>
      <c r="B46" s="9" t="s">
        <v>18</v>
      </c>
      <c r="C46" s="35" t="s">
        <v>126</v>
      </c>
      <c r="D46" s="17">
        <f>10587.87+44.55</f>
        <v>10632.42</v>
      </c>
      <c r="E46" s="5"/>
      <c r="F46" s="17">
        <f>-10587.87-44.55+10632.42</f>
        <v>0</v>
      </c>
      <c r="G46" s="11">
        <v>10632.42</v>
      </c>
      <c r="H46" s="62">
        <f t="shared" si="0"/>
        <v>0</v>
      </c>
      <c r="I46" s="3"/>
      <c r="J46" s="1"/>
    </row>
    <row r="47" spans="1:10" s="9" customFormat="1" ht="13.9" customHeight="1" x14ac:dyDescent="0.25">
      <c r="A47" s="27">
        <v>44135</v>
      </c>
      <c r="B47" s="9" t="s">
        <v>18</v>
      </c>
      <c r="C47" s="35" t="s">
        <v>122</v>
      </c>
      <c r="D47" s="17">
        <v>300.42</v>
      </c>
      <c r="E47" s="5"/>
      <c r="F47" s="17"/>
      <c r="G47" s="11">
        <v>300.42</v>
      </c>
      <c r="H47" s="62">
        <f t="shared" si="0"/>
        <v>0</v>
      </c>
      <c r="I47" s="3"/>
      <c r="J47" s="1"/>
    </row>
    <row r="48" spans="1:10" s="9" customFormat="1" ht="13.9" customHeight="1" x14ac:dyDescent="0.25">
      <c r="A48" s="27">
        <v>44135</v>
      </c>
      <c r="B48" s="9" t="s">
        <v>18</v>
      </c>
      <c r="C48" s="35" t="s">
        <v>123</v>
      </c>
      <c r="D48" s="17">
        <v>47238.51</v>
      </c>
      <c r="E48" s="5"/>
      <c r="F48" s="17"/>
      <c r="G48" s="11">
        <v>47238.51</v>
      </c>
      <c r="H48" s="62">
        <f t="shared" si="0"/>
        <v>0</v>
      </c>
      <c r="I48" s="3"/>
      <c r="J48" s="1"/>
    </row>
    <row r="49" spans="1:10" s="9" customFormat="1" ht="13.9" customHeight="1" x14ac:dyDescent="0.25">
      <c r="A49" s="27">
        <v>44135</v>
      </c>
      <c r="B49" s="9" t="s">
        <v>18</v>
      </c>
      <c r="C49" s="35" t="s">
        <v>39</v>
      </c>
      <c r="D49" s="17">
        <v>-2041.72</v>
      </c>
      <c r="E49" s="5"/>
      <c r="F49" s="17"/>
      <c r="G49" s="11">
        <v>-2041.72</v>
      </c>
      <c r="H49" s="62">
        <f t="shared" si="0"/>
        <v>0</v>
      </c>
      <c r="I49" s="3"/>
      <c r="J49" s="1"/>
    </row>
    <row r="50" spans="1:10" s="9" customFormat="1" ht="13.9" customHeight="1" x14ac:dyDescent="0.25">
      <c r="A50" s="27">
        <v>44135</v>
      </c>
      <c r="B50" s="9" t="s">
        <v>18</v>
      </c>
      <c r="C50" s="35" t="s">
        <v>34</v>
      </c>
      <c r="D50" s="17">
        <v>-152373.14000000001</v>
      </c>
      <c r="E50" s="5"/>
      <c r="F50" s="17"/>
      <c r="G50" s="11">
        <v>-152373.14000000001</v>
      </c>
      <c r="H50" s="62">
        <f t="shared" si="0"/>
        <v>0</v>
      </c>
      <c r="I50" s="3"/>
      <c r="J50" s="1"/>
    </row>
    <row r="51" spans="1:10" s="9" customFormat="1" ht="13.9" customHeight="1" x14ac:dyDescent="0.25">
      <c r="A51" s="27">
        <v>44135</v>
      </c>
      <c r="B51" s="9" t="s">
        <v>18</v>
      </c>
      <c r="C51" s="35" t="s">
        <v>35</v>
      </c>
      <c r="D51" s="17">
        <v>-25801.4</v>
      </c>
      <c r="E51" s="5"/>
      <c r="F51" s="17"/>
      <c r="G51" s="11">
        <v>-25801.4</v>
      </c>
      <c r="H51" s="62">
        <f t="shared" si="0"/>
        <v>0</v>
      </c>
      <c r="I51" s="3"/>
      <c r="J51" s="1"/>
    </row>
    <row r="52" spans="1:10" s="9" customFormat="1" ht="13.9" customHeight="1" x14ac:dyDescent="0.25">
      <c r="A52" s="27">
        <v>44165</v>
      </c>
      <c r="B52" s="9" t="s">
        <v>18</v>
      </c>
      <c r="C52" s="35" t="s">
        <v>131</v>
      </c>
      <c r="D52" s="17">
        <f>-79402.45-127.71</f>
        <v>-79530.16</v>
      </c>
      <c r="E52" s="79">
        <f>127.71+79402.45</f>
        <v>79530.16</v>
      </c>
      <c r="F52" s="17"/>
      <c r="G52" s="11">
        <v>-79402.45</v>
      </c>
      <c r="H52" s="62">
        <f t="shared" si="0"/>
        <v>-127.7100000000064</v>
      </c>
      <c r="I52" s="3"/>
      <c r="J52" s="1"/>
    </row>
    <row r="53" spans="1:10" s="9" customFormat="1" ht="13.9" customHeight="1" x14ac:dyDescent="0.25">
      <c r="A53" s="27">
        <v>44165</v>
      </c>
      <c r="B53" s="9" t="s">
        <v>18</v>
      </c>
      <c r="C53" s="35" t="s">
        <v>132</v>
      </c>
      <c r="D53" s="17">
        <f>-80066.48-128.77</f>
        <v>-80195.25</v>
      </c>
      <c r="E53" s="5">
        <f>80066.48+128.77-80195.25</f>
        <v>0</v>
      </c>
      <c r="F53" s="17"/>
      <c r="G53" s="11">
        <v>-80066.48</v>
      </c>
      <c r="H53" s="62">
        <f t="shared" si="0"/>
        <v>-128.77000000000407</v>
      </c>
      <c r="I53" s="3"/>
      <c r="J53" s="1"/>
    </row>
    <row r="54" spans="1:10" s="9" customFormat="1" ht="13.9" customHeight="1" x14ac:dyDescent="0.25">
      <c r="A54" s="27">
        <v>44165</v>
      </c>
      <c r="B54" s="9" t="s">
        <v>18</v>
      </c>
      <c r="C54" s="35" t="s">
        <v>133</v>
      </c>
      <c r="D54" s="17">
        <f>23388.88+0.6</f>
        <v>23389.48</v>
      </c>
      <c r="E54" s="5"/>
      <c r="F54" s="17">
        <f>-23388.88-0.6+23389.48</f>
        <v>0</v>
      </c>
      <c r="G54" s="11">
        <v>23388.880000000001</v>
      </c>
      <c r="H54" s="62">
        <f t="shared" si="0"/>
        <v>0.59999999999854481</v>
      </c>
      <c r="I54" s="3"/>
      <c r="J54" s="1"/>
    </row>
    <row r="55" spans="1:10" s="9" customFormat="1" ht="13.9" customHeight="1" x14ac:dyDescent="0.25">
      <c r="A55" s="27">
        <v>44165</v>
      </c>
      <c r="B55" s="9" t="s">
        <v>18</v>
      </c>
      <c r="C55" s="35" t="s">
        <v>134</v>
      </c>
      <c r="D55" s="17">
        <v>25801.4</v>
      </c>
      <c r="E55" s="5"/>
      <c r="F55" s="17"/>
      <c r="G55" s="11">
        <v>25801.4</v>
      </c>
      <c r="H55" s="62">
        <f t="shared" si="0"/>
        <v>0</v>
      </c>
      <c r="I55" s="3"/>
      <c r="J55" s="1"/>
    </row>
    <row r="56" spans="1:10" s="9" customFormat="1" ht="13.9" customHeight="1" x14ac:dyDescent="0.25">
      <c r="A56" s="27">
        <v>44165</v>
      </c>
      <c r="B56" s="9" t="s">
        <v>18</v>
      </c>
      <c r="C56" s="35" t="s">
        <v>39</v>
      </c>
      <c r="D56" s="17">
        <v>-2166.69</v>
      </c>
      <c r="E56" s="5"/>
      <c r="F56" s="17"/>
      <c r="G56" s="11">
        <v>-2166.69</v>
      </c>
      <c r="H56" s="62">
        <f t="shared" si="0"/>
        <v>0</v>
      </c>
      <c r="I56" s="3"/>
      <c r="J56" s="1"/>
    </row>
    <row r="57" spans="1:10" s="9" customFormat="1" ht="13.9" customHeight="1" x14ac:dyDescent="0.25">
      <c r="A57" s="27">
        <v>44165</v>
      </c>
      <c r="B57" s="9" t="s">
        <v>18</v>
      </c>
      <c r="C57" s="35" t="s">
        <v>34</v>
      </c>
      <c r="D57" s="17">
        <v>73988.95</v>
      </c>
      <c r="E57" s="5"/>
      <c r="F57" s="17"/>
      <c r="G57" s="11">
        <v>73988.95</v>
      </c>
      <c r="H57" s="62">
        <f t="shared" si="0"/>
        <v>0</v>
      </c>
      <c r="I57" s="3"/>
      <c r="J57" s="1"/>
    </row>
    <row r="58" spans="1:10" s="9" customFormat="1" ht="13.9" customHeight="1" x14ac:dyDescent="0.25">
      <c r="A58" s="27">
        <v>44165</v>
      </c>
      <c r="B58" s="9" t="s">
        <v>18</v>
      </c>
      <c r="C58" s="35" t="s">
        <v>35</v>
      </c>
      <c r="D58" s="17">
        <f>-53621.76+300</f>
        <v>-53321.760000000002</v>
      </c>
      <c r="E58" s="5"/>
      <c r="F58" s="17"/>
      <c r="G58" s="11">
        <v>-53621.760000000002</v>
      </c>
      <c r="H58" s="62">
        <f t="shared" si="0"/>
        <v>300</v>
      </c>
      <c r="I58" s="3"/>
      <c r="J58" s="1"/>
    </row>
    <row r="59" spans="1:10" s="9" customFormat="1" ht="13.9" customHeight="1" x14ac:dyDescent="0.25">
      <c r="A59" s="27">
        <v>44165</v>
      </c>
      <c r="B59" s="9" t="s">
        <v>18</v>
      </c>
      <c r="C59" s="35" t="s">
        <v>76</v>
      </c>
      <c r="D59" s="17">
        <v>0</v>
      </c>
      <c r="E59" s="5"/>
      <c r="F59" s="17"/>
      <c r="G59" s="38"/>
      <c r="H59" s="62">
        <f t="shared" si="0"/>
        <v>0</v>
      </c>
      <c r="I59" s="3"/>
      <c r="J59" s="1"/>
    </row>
    <row r="60" spans="1:10" s="9" customFormat="1" ht="13.9" customHeight="1" x14ac:dyDescent="0.25">
      <c r="A60" s="27">
        <v>44196</v>
      </c>
      <c r="B60" s="9" t="s">
        <v>18</v>
      </c>
      <c r="C60" s="35" t="s">
        <v>135</v>
      </c>
      <c r="D60" s="17">
        <f>102485.65+1508.75</f>
        <v>103994.4</v>
      </c>
      <c r="E60" s="5"/>
      <c r="F60" s="81">
        <f>-102485.65-1508.75</f>
        <v>-103994.4</v>
      </c>
      <c r="G60" s="38"/>
      <c r="H60" s="62">
        <f t="shared" si="0"/>
        <v>103994.4</v>
      </c>
      <c r="I60" s="3"/>
      <c r="J60" s="1"/>
    </row>
    <row r="61" spans="1:10" s="9" customFormat="1" ht="13.9" customHeight="1" x14ac:dyDescent="0.25">
      <c r="A61" s="27">
        <v>44196</v>
      </c>
      <c r="B61" s="9" t="s">
        <v>18</v>
      </c>
      <c r="C61" s="35" t="s">
        <v>136</v>
      </c>
      <c r="D61" s="17">
        <f>20128.19+10.1</f>
        <v>20138.289999999997</v>
      </c>
      <c r="E61" s="5"/>
      <c r="F61" s="17">
        <f>-20128.19-10.1+20138.29</f>
        <v>0</v>
      </c>
      <c r="G61" s="38"/>
      <c r="H61" s="62">
        <f t="shared" si="0"/>
        <v>20138.289999999997</v>
      </c>
      <c r="I61" s="3"/>
      <c r="J61" s="1"/>
    </row>
    <row r="62" spans="1:10" s="9" customFormat="1" ht="13.9" customHeight="1" x14ac:dyDescent="0.25">
      <c r="A62" s="27">
        <v>44196</v>
      </c>
      <c r="B62" s="9" t="s">
        <v>18</v>
      </c>
      <c r="C62" s="35" t="s">
        <v>137</v>
      </c>
      <c r="D62" s="17">
        <f>-71825.21-7704.95</f>
        <v>-79530.16</v>
      </c>
      <c r="E62" s="5">
        <f>71825.21+7704.95-79530.16</f>
        <v>0</v>
      </c>
      <c r="F62" s="17"/>
      <c r="G62" s="38"/>
      <c r="H62" s="62">
        <f t="shared" si="0"/>
        <v>-79530.16</v>
      </c>
      <c r="I62" s="3"/>
      <c r="J62" s="1"/>
    </row>
    <row r="63" spans="1:10" s="9" customFormat="1" ht="13.9" customHeight="1" x14ac:dyDescent="0.25">
      <c r="A63" s="27">
        <v>44196</v>
      </c>
      <c r="B63" s="9" t="s">
        <v>18</v>
      </c>
      <c r="C63" s="35" t="s">
        <v>138</v>
      </c>
      <c r="D63" s="17">
        <v>53321.760000000002</v>
      </c>
      <c r="E63" s="5"/>
      <c r="F63" s="17"/>
      <c r="G63" s="38"/>
      <c r="H63" s="62">
        <f t="shared" si="0"/>
        <v>53321.760000000002</v>
      </c>
      <c r="I63" s="3"/>
      <c r="J63" s="1"/>
    </row>
    <row r="64" spans="1:10" s="9" customFormat="1" ht="13.9" customHeight="1" x14ac:dyDescent="0.25">
      <c r="A64" s="27">
        <v>44196</v>
      </c>
      <c r="B64" s="9" t="s">
        <v>18</v>
      </c>
      <c r="C64" s="35" t="s">
        <v>39</v>
      </c>
      <c r="D64" s="17">
        <v>-2791.69</v>
      </c>
      <c r="E64" s="5"/>
      <c r="F64" s="17"/>
      <c r="G64" s="38"/>
      <c r="H64" s="62">
        <f t="shared" si="0"/>
        <v>-2791.69</v>
      </c>
      <c r="I64" s="3"/>
      <c r="J64" s="1"/>
    </row>
    <row r="65" spans="1:10" s="9" customFormat="1" ht="13.9" customHeight="1" x14ac:dyDescent="0.25">
      <c r="A65" s="27">
        <v>44196</v>
      </c>
      <c r="B65" s="9" t="s">
        <v>18</v>
      </c>
      <c r="C65" s="35" t="s">
        <v>34</v>
      </c>
      <c r="D65" s="17">
        <f>-1923.93+7011.57+180</f>
        <v>5267.6399999999994</v>
      </c>
      <c r="E65" s="5"/>
      <c r="F65" s="17"/>
      <c r="G65" s="38"/>
      <c r="H65" s="62">
        <f t="shared" si="0"/>
        <v>5267.6399999999994</v>
      </c>
      <c r="I65" s="3"/>
      <c r="J65" s="1"/>
    </row>
    <row r="66" spans="1:10" s="9" customFormat="1" ht="13.9" customHeight="1" x14ac:dyDescent="0.25">
      <c r="A66" s="27">
        <v>44196</v>
      </c>
      <c r="B66" s="9" t="s">
        <v>18</v>
      </c>
      <c r="C66" s="35" t="s">
        <v>35</v>
      </c>
      <c r="D66" s="17">
        <v>-74388.570000000007</v>
      </c>
      <c r="E66" s="5"/>
      <c r="F66" s="17"/>
      <c r="G66" s="38"/>
      <c r="H66" s="62">
        <f t="shared" si="0"/>
        <v>-74388.570000000007</v>
      </c>
      <c r="I66" s="3"/>
      <c r="J66" s="1"/>
    </row>
    <row r="67" spans="1:10" s="9" customFormat="1" ht="13.9" customHeight="1" x14ac:dyDescent="0.25">
      <c r="A67" s="27">
        <v>44227</v>
      </c>
      <c r="B67" s="9" t="s">
        <v>9</v>
      </c>
      <c r="C67" s="35" t="s">
        <v>144</v>
      </c>
      <c r="D67" s="17">
        <v>1302.08</v>
      </c>
      <c r="E67" s="5"/>
      <c r="F67" s="17"/>
      <c r="G67" s="38"/>
      <c r="H67" s="62">
        <f t="shared" si="0"/>
        <v>1302.08</v>
      </c>
      <c r="I67" s="3"/>
      <c r="J67" s="1"/>
    </row>
    <row r="68" spans="1:10" s="9" customFormat="1" ht="13.9" customHeight="1" x14ac:dyDescent="0.25">
      <c r="A68" s="27">
        <v>44227</v>
      </c>
      <c r="B68" s="9" t="s">
        <v>9</v>
      </c>
      <c r="C68" s="35" t="s">
        <v>140</v>
      </c>
      <c r="D68" s="17">
        <v>361443.6</v>
      </c>
      <c r="E68" s="5"/>
      <c r="F68" s="81">
        <v>-361443.6</v>
      </c>
      <c r="G68" s="38"/>
      <c r="H68" s="62">
        <f t="shared" si="0"/>
        <v>361443.6</v>
      </c>
      <c r="I68" s="3"/>
      <c r="J68" s="1"/>
    </row>
    <row r="69" spans="1:10" s="9" customFormat="1" ht="13.9" customHeight="1" x14ac:dyDescent="0.25">
      <c r="A69" s="27">
        <v>44227</v>
      </c>
      <c r="B69" s="9" t="s">
        <v>9</v>
      </c>
      <c r="C69" s="35" t="s">
        <v>141</v>
      </c>
      <c r="D69" s="17">
        <v>-99869.3</v>
      </c>
      <c r="E69" s="56">
        <v>99869.3</v>
      </c>
      <c r="F69" s="17"/>
      <c r="G69" s="38"/>
      <c r="H69" s="62">
        <f t="shared" si="0"/>
        <v>-99869.3</v>
      </c>
      <c r="I69" s="3"/>
      <c r="J69" s="1"/>
    </row>
    <row r="70" spans="1:10" s="9" customFormat="1" ht="13.9" customHeight="1" x14ac:dyDescent="0.25">
      <c r="A70" s="27">
        <v>44227</v>
      </c>
      <c r="B70" s="9" t="s">
        <v>9</v>
      </c>
      <c r="C70" s="35" t="s">
        <v>142</v>
      </c>
      <c r="D70" s="17">
        <v>-127977.09</v>
      </c>
      <c r="E70" s="54">
        <v>127977.09</v>
      </c>
      <c r="F70" s="17"/>
      <c r="G70" s="38"/>
      <c r="H70" s="62">
        <f t="shared" si="0"/>
        <v>-127977.09</v>
      </c>
      <c r="I70" s="3"/>
      <c r="J70" s="1"/>
    </row>
    <row r="71" spans="1:10" s="9" customFormat="1" ht="13.9" customHeight="1" x14ac:dyDescent="0.25">
      <c r="A71" s="27">
        <v>44227</v>
      </c>
      <c r="B71" s="9" t="s">
        <v>9</v>
      </c>
      <c r="C71" s="35" t="s">
        <v>143</v>
      </c>
      <c r="D71" s="17">
        <v>74388.570000000007</v>
      </c>
      <c r="E71" s="5"/>
      <c r="F71" s="17"/>
      <c r="G71" s="38"/>
      <c r="H71" s="62">
        <f t="shared" si="0"/>
        <v>74388.570000000007</v>
      </c>
      <c r="I71" s="3"/>
      <c r="J71" s="1"/>
    </row>
    <row r="72" spans="1:10" s="9" customFormat="1" ht="13.9" customHeight="1" x14ac:dyDescent="0.25">
      <c r="A72" s="44">
        <v>44227</v>
      </c>
      <c r="B72" s="24" t="s">
        <v>9</v>
      </c>
      <c r="C72" s="26" t="s">
        <v>41</v>
      </c>
      <c r="D72" s="33">
        <v>-3000.02</v>
      </c>
      <c r="E72" s="5"/>
      <c r="F72" s="17"/>
      <c r="G72" s="38"/>
      <c r="H72" s="62">
        <f t="shared" si="0"/>
        <v>-3000.02</v>
      </c>
      <c r="I72" s="3"/>
      <c r="J72" s="1"/>
    </row>
    <row r="73" spans="1:10" s="9" customFormat="1" ht="13.9" customHeight="1" x14ac:dyDescent="0.25">
      <c r="A73" s="44">
        <v>44227</v>
      </c>
      <c r="B73" s="24" t="s">
        <v>9</v>
      </c>
      <c r="C73" s="26" t="s">
        <v>42</v>
      </c>
      <c r="D73" s="33">
        <v>-178477.07</v>
      </c>
      <c r="E73" s="5"/>
      <c r="F73" s="17"/>
      <c r="G73" s="38"/>
      <c r="H73" s="62">
        <f t="shared" si="0"/>
        <v>-178477.07</v>
      </c>
      <c r="I73" s="3"/>
      <c r="J73" s="1"/>
    </row>
    <row r="74" spans="1:10" s="9" customFormat="1" ht="13.9" customHeight="1" x14ac:dyDescent="0.25">
      <c r="A74" s="44">
        <v>44227</v>
      </c>
      <c r="B74" s="24" t="s">
        <v>9</v>
      </c>
      <c r="C74" s="26" t="s">
        <v>43</v>
      </c>
      <c r="D74" s="33">
        <v>-42165.79</v>
      </c>
      <c r="E74" s="5"/>
      <c r="F74" s="17"/>
      <c r="G74" s="38"/>
      <c r="H74" s="62">
        <f t="shared" si="0"/>
        <v>-42165.79</v>
      </c>
      <c r="I74" s="3"/>
      <c r="J74" s="1"/>
    </row>
    <row r="75" spans="1:10" s="9" customFormat="1" x14ac:dyDescent="0.25">
      <c r="A75" s="63"/>
      <c r="B75" s="46"/>
      <c r="C75" s="64"/>
      <c r="D75" s="22"/>
      <c r="E75" s="21"/>
      <c r="F75" s="22"/>
      <c r="G75" s="21"/>
      <c r="H75" s="62">
        <f t="shared" si="0"/>
        <v>0</v>
      </c>
      <c r="J75" s="1"/>
    </row>
    <row r="76" spans="1:10" x14ac:dyDescent="0.25">
      <c r="B76" s="9"/>
      <c r="C76" s="9"/>
      <c r="D76" s="45">
        <f>SUM(D8:D75)</f>
        <v>-610973.75000000012</v>
      </c>
      <c r="E76" s="45">
        <f>SUM(E8:E75)</f>
        <v>307376.55000000005</v>
      </c>
      <c r="F76" s="45">
        <f>SUM(F8:F75)</f>
        <v>-465438</v>
      </c>
      <c r="G76" s="45">
        <f>SUM(G6:G75)</f>
        <v>-503517.5</v>
      </c>
      <c r="H76" s="45">
        <f>SUM(H6:H75)</f>
        <v>28111.659999999953</v>
      </c>
      <c r="J76" s="1"/>
    </row>
    <row r="77" spans="1:10" x14ac:dyDescent="0.25">
      <c r="B77" s="9"/>
      <c r="C77" s="9"/>
      <c r="D77" s="2"/>
      <c r="E77" s="2"/>
      <c r="F77" s="2"/>
      <c r="G77" s="1">
        <f>G76*-1</f>
        <v>503517.5</v>
      </c>
      <c r="H77" s="2"/>
      <c r="J77" s="85" t="s">
        <v>147</v>
      </c>
    </row>
    <row r="78" spans="1:10" x14ac:dyDescent="0.25">
      <c r="B78" s="9"/>
      <c r="C78" s="9" t="s">
        <v>6</v>
      </c>
      <c r="D78" s="11"/>
      <c r="E78" s="68">
        <v>307376.55</v>
      </c>
      <c r="F78" s="8">
        <v>-465438</v>
      </c>
      <c r="G78" s="9"/>
      <c r="H78" s="8">
        <f>32669.73+7011.57-11569.64</f>
        <v>28111.660000000003</v>
      </c>
      <c r="J78" s="1" t="s">
        <v>120</v>
      </c>
    </row>
    <row r="79" spans="1:10" x14ac:dyDescent="0.25">
      <c r="B79" s="9"/>
      <c r="C79" s="9" t="s">
        <v>28</v>
      </c>
      <c r="D79" s="10"/>
      <c r="E79" s="10">
        <f>E76-E78</f>
        <v>0</v>
      </c>
      <c r="F79" s="10">
        <f>F76-F78</f>
        <v>0</v>
      </c>
      <c r="G79" s="10"/>
      <c r="H79" s="10">
        <f>H76-H78</f>
        <v>-5.0931703299283981E-11</v>
      </c>
      <c r="J79" s="1"/>
    </row>
    <row r="80" spans="1:10" x14ac:dyDescent="0.25">
      <c r="B80" s="9"/>
      <c r="C80" s="9"/>
      <c r="D80" s="9"/>
      <c r="E80" s="9"/>
      <c r="F80" s="4"/>
      <c r="G80" s="20"/>
      <c r="H80" s="1"/>
    </row>
    <row r="81" spans="2:10" x14ac:dyDescent="0.25">
      <c r="B81" s="9"/>
      <c r="C81" s="106" t="s">
        <v>30</v>
      </c>
      <c r="D81" s="107"/>
      <c r="E81" s="10"/>
      <c r="F81" s="12"/>
      <c r="G81" s="86"/>
      <c r="H81" s="19"/>
      <c r="J81" s="1"/>
    </row>
    <row r="82" spans="2:10" x14ac:dyDescent="0.25">
      <c r="B82" s="9"/>
      <c r="C82" s="28" t="s">
        <v>26</v>
      </c>
      <c r="D82" s="61">
        <v>0</v>
      </c>
      <c r="E82" s="9"/>
      <c r="F82" s="86"/>
      <c r="G82" s="86"/>
      <c r="H82" s="19"/>
      <c r="J82" s="1"/>
    </row>
    <row r="83" spans="2:10" x14ac:dyDescent="0.25">
      <c r="B83" s="9"/>
      <c r="C83" s="29" t="s">
        <v>27</v>
      </c>
      <c r="D83" s="42">
        <f>E70</f>
        <v>127977.09</v>
      </c>
      <c r="E83" s="9"/>
      <c r="F83" s="86"/>
      <c r="G83" s="86"/>
      <c r="H83" s="19"/>
      <c r="J83" s="1"/>
    </row>
    <row r="84" spans="2:10" x14ac:dyDescent="0.25">
      <c r="B84" s="9"/>
      <c r="C84" s="29" t="s">
        <v>33</v>
      </c>
      <c r="D84" s="55">
        <f>E69</f>
        <v>99869.3</v>
      </c>
      <c r="E84" s="59"/>
      <c r="F84" s="86"/>
      <c r="G84" s="86" t="s">
        <v>25</v>
      </c>
      <c r="H84" s="19"/>
      <c r="J84" s="1"/>
    </row>
    <row r="85" spans="2:10" ht="15.75" thickBot="1" x14ac:dyDescent="0.3">
      <c r="C85" s="30" t="s">
        <v>38</v>
      </c>
      <c r="D85" s="80">
        <f>F68+F60+E52</f>
        <v>-385907.83999999997</v>
      </c>
      <c r="F85" s="86"/>
      <c r="G85" s="86"/>
      <c r="H85" s="43"/>
      <c r="J85" s="1"/>
    </row>
    <row r="86" spans="2:10" x14ac:dyDescent="0.25">
      <c r="C86" s="31"/>
      <c r="D86" s="32">
        <f>SUM(D82:D85)</f>
        <v>-158061.44999999995</v>
      </c>
      <c r="F86" s="12"/>
      <c r="G86" s="86"/>
      <c r="H86" s="43"/>
    </row>
    <row r="87" spans="2:10" x14ac:dyDescent="0.25">
      <c r="C87" s="18"/>
      <c r="D87" s="19"/>
      <c r="F87" s="12"/>
      <c r="G87" s="86"/>
      <c r="H87" s="43"/>
    </row>
    <row r="88" spans="2:10" x14ac:dyDescent="0.25">
      <c r="C88" s="18"/>
      <c r="D88" s="19"/>
      <c r="F88" s="18"/>
      <c r="G88" s="86"/>
      <c r="H88" s="43"/>
    </row>
    <row r="89" spans="2:10" x14ac:dyDescent="0.25">
      <c r="C89" s="18"/>
      <c r="D89" s="19"/>
      <c r="F89" s="18"/>
      <c r="G89" s="86"/>
      <c r="H89" s="43"/>
    </row>
    <row r="90" spans="2:10" x14ac:dyDescent="0.25">
      <c r="F90" s="18"/>
      <c r="G90" s="86"/>
      <c r="H90" s="43"/>
    </row>
    <row r="91" spans="2:10" x14ac:dyDescent="0.25">
      <c r="F91" s="18"/>
      <c r="G91" s="86"/>
      <c r="H91" s="43"/>
    </row>
    <row r="92" spans="2:10" x14ac:dyDescent="0.25">
      <c r="F92" s="18"/>
      <c r="G92" s="86"/>
      <c r="H92" s="43"/>
    </row>
    <row r="93" spans="2:10" x14ac:dyDescent="0.25">
      <c r="F93" s="18"/>
      <c r="G93" s="86"/>
      <c r="H93" s="43"/>
    </row>
    <row r="94" spans="2:10" x14ac:dyDescent="0.25">
      <c r="F94" s="18"/>
      <c r="G94" s="18"/>
      <c r="H94" s="18"/>
    </row>
  </sheetData>
  <autoFilter ref="A5:K86">
    <filterColumn colId="0" showButton="0"/>
  </autoFilter>
  <mergeCells count="4">
    <mergeCell ref="A5:B5"/>
    <mergeCell ref="A7:B7"/>
    <mergeCell ref="C81:D81"/>
    <mergeCell ref="A6:B6"/>
  </mergeCells>
  <pageMargins left="0.7" right="0.7" top="0.5" bottom="0.5" header="0.3" footer="0.3"/>
  <pageSetup scale="54" fitToHeight="0" orientation="portrait" r:id="rId1"/>
  <headerFooter>
    <oddFooter>&amp;L&amp;Z&amp;F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1"/>
  <sheetViews>
    <sheetView zoomScaleNormal="100" workbookViewId="0">
      <pane ySplit="5" topLeftCell="A146" activePane="bottomLeft" state="frozen"/>
      <selection activeCell="C1" sqref="C1"/>
      <selection pane="bottomLeft" activeCell="E156" sqref="E156"/>
    </sheetView>
  </sheetViews>
  <sheetFormatPr defaultColWidth="9.140625" defaultRowHeight="15" x14ac:dyDescent="0.25"/>
  <cols>
    <col min="1" max="1" width="13.85546875" style="7" customWidth="1"/>
    <col min="2" max="2" width="8.7109375" style="7" customWidth="1"/>
    <col min="3" max="3" width="57" style="7" customWidth="1"/>
    <col min="4" max="4" width="16.28515625" style="7" customWidth="1"/>
    <col min="5" max="5" width="17.7109375" style="7" customWidth="1"/>
    <col min="6" max="6" width="17.28515625" style="7" customWidth="1"/>
    <col min="7" max="7" width="21.7109375" style="7" bestFit="1" customWidth="1"/>
    <col min="8" max="8" width="15.7109375" style="7" customWidth="1"/>
    <col min="9" max="9" width="19.5703125" style="7" customWidth="1"/>
    <col min="10" max="10" width="43.140625" style="7" customWidth="1"/>
    <col min="11" max="11" width="26" style="7" customWidth="1"/>
    <col min="12" max="16384" width="9.140625" style="7"/>
  </cols>
  <sheetData>
    <row r="1" spans="1:9" ht="21" x14ac:dyDescent="0.35">
      <c r="A1" s="58" t="s">
        <v>22</v>
      </c>
    </row>
    <row r="2" spans="1:9" ht="21" x14ac:dyDescent="0.35">
      <c r="A2" s="60" t="s">
        <v>20</v>
      </c>
      <c r="E2" s="14"/>
      <c r="F2" s="14"/>
    </row>
    <row r="3" spans="1:9" ht="21" x14ac:dyDescent="0.35">
      <c r="A3" s="58" t="s">
        <v>16</v>
      </c>
      <c r="B3" s="9"/>
      <c r="D3" s="1"/>
      <c r="E3" s="9"/>
      <c r="F3" s="9"/>
      <c r="G3" s="9"/>
      <c r="H3" s="9"/>
    </row>
    <row r="4" spans="1:9" ht="30.6" customHeight="1" x14ac:dyDescent="0.25">
      <c r="A4" s="50"/>
      <c r="B4" s="18"/>
      <c r="C4" s="51"/>
      <c r="D4" s="47" t="s">
        <v>1</v>
      </c>
      <c r="E4" s="57" t="s">
        <v>32</v>
      </c>
      <c r="F4" s="57" t="s">
        <v>31</v>
      </c>
      <c r="G4" s="52" t="s">
        <v>36</v>
      </c>
      <c r="H4" s="47" t="s">
        <v>2</v>
      </c>
    </row>
    <row r="5" spans="1:9" ht="15.75" thickBot="1" x14ac:dyDescent="0.3">
      <c r="A5" s="104" t="s">
        <v>29</v>
      </c>
      <c r="B5" s="104"/>
      <c r="C5" s="49" t="s">
        <v>3</v>
      </c>
      <c r="D5" s="48" t="s">
        <v>4</v>
      </c>
      <c r="E5" s="48" t="s">
        <v>5</v>
      </c>
      <c r="F5" s="48" t="s">
        <v>5</v>
      </c>
      <c r="G5" s="53" t="s">
        <v>116</v>
      </c>
      <c r="H5" s="48" t="s">
        <v>4</v>
      </c>
    </row>
    <row r="6" spans="1:9" hidden="1" x14ac:dyDescent="0.25">
      <c r="A6" s="105" t="s">
        <v>15</v>
      </c>
      <c r="B6" s="105"/>
      <c r="C6" s="23" t="s">
        <v>40</v>
      </c>
      <c r="D6" s="17">
        <f>11199.33+11199.33+33597.99-22398.66+11199.33+22399.11-11199.4-10549.92+11361.64+11361.64+11361.64+11361.64+11361.64+11361.64+11361.64+11361.64-1948.23</f>
        <v>134391.99999999997</v>
      </c>
      <c r="E6" s="47"/>
      <c r="F6" s="15"/>
      <c r="G6" s="74">
        <f>68170.39+34084.92+9737.93+22398.76</f>
        <v>134392</v>
      </c>
      <c r="H6" s="12">
        <f>D6-G6</f>
        <v>0</v>
      </c>
      <c r="I6" s="6"/>
    </row>
    <row r="7" spans="1:9" x14ac:dyDescent="0.25">
      <c r="A7" s="105" t="s">
        <v>15</v>
      </c>
      <c r="B7" s="105"/>
      <c r="C7" s="23" t="s">
        <v>78</v>
      </c>
      <c r="D7" s="17">
        <f>11199.33+11199.33+11199.33+11199.33+11199.33+11199.33+11199.33+11199.33+11199.33+1906.78+6492.72+1141.18+7650.3+1144.64+7646.84</f>
        <v>126776.43</v>
      </c>
      <c r="E7" s="47"/>
      <c r="F7" s="34"/>
      <c r="G7" s="74">
        <v>55996.65</v>
      </c>
      <c r="H7" s="12">
        <f>D7-G7</f>
        <v>70779.78</v>
      </c>
      <c r="I7" s="6"/>
    </row>
    <row r="8" spans="1:9" s="38" customFormat="1" ht="13.9" hidden="1" customHeight="1" x14ac:dyDescent="0.25">
      <c r="A8" s="37">
        <v>43616</v>
      </c>
      <c r="B8" s="38" t="s">
        <v>10</v>
      </c>
      <c r="C8" s="40" t="s">
        <v>49</v>
      </c>
      <c r="D8" s="17">
        <f>-135348.22-131201.64+135348.22</f>
        <v>-131201.63999999998</v>
      </c>
      <c r="E8" s="5">
        <f>135348.22-135348.22</f>
        <v>0</v>
      </c>
      <c r="F8" s="17"/>
      <c r="G8" s="75">
        <f>-135348.22+4146.58</f>
        <v>-131201.64000000001</v>
      </c>
      <c r="H8" s="62">
        <f t="shared" ref="H8:H162" si="0">D8-G8</f>
        <v>0</v>
      </c>
    </row>
    <row r="9" spans="1:9" s="3" customFormat="1" ht="13.9" hidden="1" customHeight="1" x14ac:dyDescent="0.25">
      <c r="A9" s="37">
        <v>43646</v>
      </c>
      <c r="B9" s="38" t="s">
        <v>10</v>
      </c>
      <c r="C9" s="40" t="s">
        <v>47</v>
      </c>
      <c r="D9" s="17">
        <f>-75891.09-40521.22+75891.09</f>
        <v>-40521.22</v>
      </c>
      <c r="E9" s="66">
        <f>75891.09-75891.09</f>
        <v>0</v>
      </c>
      <c r="F9" s="41"/>
      <c r="G9" s="75">
        <f>-75891.09+35369.87</f>
        <v>-40521.219999999994</v>
      </c>
      <c r="H9" s="62">
        <f>D9-G9</f>
        <v>0</v>
      </c>
    </row>
    <row r="10" spans="1:9" s="9" customFormat="1" ht="13.9" hidden="1" customHeight="1" x14ac:dyDescent="0.25">
      <c r="A10" s="37">
        <v>43646</v>
      </c>
      <c r="B10" s="38" t="s">
        <v>10</v>
      </c>
      <c r="C10" s="40" t="s">
        <v>55</v>
      </c>
      <c r="D10" s="69">
        <f>-103276.73-120055.58+103276.73</f>
        <v>-120055.58</v>
      </c>
      <c r="E10" s="5">
        <f>103276.73-103276.73</f>
        <v>0</v>
      </c>
      <c r="F10" s="17"/>
      <c r="G10" s="75">
        <f>-103276.73-16778.85</f>
        <v>-120055.57999999999</v>
      </c>
      <c r="H10" s="62">
        <f t="shared" si="0"/>
        <v>0</v>
      </c>
    </row>
    <row r="11" spans="1:9" s="3" customFormat="1" ht="13.9" hidden="1" customHeight="1" x14ac:dyDescent="0.25">
      <c r="A11" s="37">
        <v>43646</v>
      </c>
      <c r="B11" s="38" t="s">
        <v>10</v>
      </c>
      <c r="C11" s="40" t="s">
        <v>48</v>
      </c>
      <c r="D11" s="17">
        <f>4983.65+11341.95-4983.65</f>
        <v>11341.95</v>
      </c>
      <c r="E11" s="5"/>
      <c r="F11" s="17">
        <f>-4983.65+4983.65</f>
        <v>0</v>
      </c>
      <c r="G11" s="75">
        <f>4983.65+6358.3</f>
        <v>11341.95</v>
      </c>
      <c r="H11" s="62">
        <f t="shared" si="0"/>
        <v>0</v>
      </c>
    </row>
    <row r="12" spans="1:9" s="9" customFormat="1" ht="13.9" hidden="1" customHeight="1" x14ac:dyDescent="0.25">
      <c r="A12" s="37">
        <v>43677</v>
      </c>
      <c r="B12" s="38" t="s">
        <v>13</v>
      </c>
      <c r="C12" s="40" t="s">
        <v>44</v>
      </c>
      <c r="D12" s="17">
        <v>18433.509999999998</v>
      </c>
      <c r="E12" s="5"/>
      <c r="F12" s="17"/>
      <c r="G12" s="75">
        <v>18433.509999999998</v>
      </c>
      <c r="H12" s="62">
        <f t="shared" si="0"/>
        <v>0</v>
      </c>
    </row>
    <row r="13" spans="1:9" s="9" customFormat="1" ht="13.9" hidden="1" customHeight="1" x14ac:dyDescent="0.25">
      <c r="A13" s="37">
        <v>43677</v>
      </c>
      <c r="B13" s="67" t="s">
        <v>10</v>
      </c>
      <c r="C13" s="71" t="s">
        <v>45</v>
      </c>
      <c r="D13" s="17">
        <v>-2875.06</v>
      </c>
      <c r="E13" s="5"/>
      <c r="F13" s="17"/>
      <c r="G13" s="75">
        <f>-2833.39-41.67</f>
        <v>-2875.06</v>
      </c>
      <c r="H13" s="62">
        <f t="shared" si="0"/>
        <v>0</v>
      </c>
    </row>
    <row r="14" spans="1:9" s="9" customFormat="1" ht="13.9" hidden="1" customHeight="1" x14ac:dyDescent="0.25">
      <c r="A14" s="37">
        <v>43677</v>
      </c>
      <c r="B14" s="38" t="s">
        <v>10</v>
      </c>
      <c r="C14" s="40" t="s">
        <v>34</v>
      </c>
      <c r="D14" s="17">
        <v>70453.88</v>
      </c>
      <c r="E14" s="5"/>
      <c r="F14" s="17"/>
      <c r="G14" s="75">
        <f>70412.21+41.67</f>
        <v>70453.88</v>
      </c>
      <c r="H14" s="62">
        <f t="shared" si="0"/>
        <v>0</v>
      </c>
    </row>
    <row r="15" spans="1:9" s="9" customFormat="1" ht="13.9" hidden="1" customHeight="1" x14ac:dyDescent="0.25">
      <c r="A15" s="37">
        <v>43677</v>
      </c>
      <c r="B15" s="38" t="s">
        <v>10</v>
      </c>
      <c r="C15" s="40" t="s">
        <v>54</v>
      </c>
      <c r="D15" s="17">
        <f>-73002.8-50984.93+73002.8</f>
        <v>-50984.930000000008</v>
      </c>
      <c r="E15" s="5">
        <f>73002.8-73002.8</f>
        <v>0</v>
      </c>
      <c r="F15" s="17"/>
      <c r="G15" s="75">
        <v>-50984.93</v>
      </c>
      <c r="H15" s="62">
        <f t="shared" si="0"/>
        <v>0</v>
      </c>
    </row>
    <row r="16" spans="1:9" s="9" customFormat="1" ht="13.9" hidden="1" customHeight="1" x14ac:dyDescent="0.25">
      <c r="A16" s="37">
        <v>43677</v>
      </c>
      <c r="B16" s="38" t="s">
        <v>10</v>
      </c>
      <c r="C16" s="40" t="s">
        <v>62</v>
      </c>
      <c r="D16" s="17">
        <f>-125117.79-72477.6+125117.79</f>
        <v>-72477.60000000002</v>
      </c>
      <c r="E16" s="5">
        <f>125117.79-125117.79</f>
        <v>0</v>
      </c>
      <c r="F16" s="17"/>
      <c r="G16" s="75">
        <v>-72477.600000000006</v>
      </c>
      <c r="H16" s="62">
        <f t="shared" si="0"/>
        <v>0</v>
      </c>
    </row>
    <row r="17" spans="1:9" s="9" customFormat="1" ht="13.9" hidden="1" customHeight="1" x14ac:dyDescent="0.25">
      <c r="A17" s="37">
        <v>43677</v>
      </c>
      <c r="B17" s="38" t="s">
        <v>10</v>
      </c>
      <c r="C17" s="40" t="s">
        <v>63</v>
      </c>
      <c r="D17" s="17">
        <f>-1012.37-1005.34+1012.37</f>
        <v>-1005.34</v>
      </c>
      <c r="E17" s="5">
        <f>1012.37-1012.37</f>
        <v>0</v>
      </c>
      <c r="F17" s="17"/>
      <c r="G17" s="75">
        <v>-1005.34</v>
      </c>
      <c r="H17" s="62">
        <f t="shared" si="0"/>
        <v>0</v>
      </c>
    </row>
    <row r="18" spans="1:9" s="9" customFormat="1" ht="13.9" hidden="1" customHeight="1" x14ac:dyDescent="0.25">
      <c r="A18" s="37">
        <v>43677</v>
      </c>
      <c r="B18" s="38" t="s">
        <v>10</v>
      </c>
      <c r="C18" s="40" t="s">
        <v>68</v>
      </c>
      <c r="D18" s="17">
        <f>-6992.87-6604.22+6992.87</f>
        <v>-6604.22</v>
      </c>
      <c r="E18" s="5">
        <f>6992.87-6992.87</f>
        <v>0</v>
      </c>
      <c r="F18" s="17"/>
      <c r="G18" s="75">
        <f>-6992.87+388.65</f>
        <v>-6604.22</v>
      </c>
      <c r="H18" s="62">
        <f t="shared" si="0"/>
        <v>0</v>
      </c>
    </row>
    <row r="19" spans="1:9" s="9" customFormat="1" ht="13.9" hidden="1" customHeight="1" x14ac:dyDescent="0.25">
      <c r="A19" s="37">
        <v>43708</v>
      </c>
      <c r="B19" s="38" t="s">
        <v>10</v>
      </c>
      <c r="C19" s="40" t="s">
        <v>39</v>
      </c>
      <c r="D19" s="17">
        <v>-2625.03</v>
      </c>
      <c r="E19" s="5"/>
      <c r="F19" s="17"/>
      <c r="G19" s="75">
        <v>-2625.03</v>
      </c>
      <c r="H19" s="62">
        <f t="shared" si="0"/>
        <v>0</v>
      </c>
    </row>
    <row r="20" spans="1:9" s="9" customFormat="1" ht="13.9" hidden="1" customHeight="1" x14ac:dyDescent="0.25">
      <c r="A20" s="37">
        <v>43708</v>
      </c>
      <c r="B20" s="38" t="s">
        <v>10</v>
      </c>
      <c r="C20" s="40" t="s">
        <v>34</v>
      </c>
      <c r="D20" s="17">
        <v>35240.730000000003</v>
      </c>
      <c r="E20" s="5"/>
      <c r="F20" s="17"/>
      <c r="G20" s="75">
        <v>35240.730000000003</v>
      </c>
      <c r="H20" s="62">
        <f t="shared" si="0"/>
        <v>0</v>
      </c>
    </row>
    <row r="21" spans="1:9" s="9" customFormat="1" ht="13.9" hidden="1" customHeight="1" x14ac:dyDescent="0.25">
      <c r="A21" s="37">
        <v>43708</v>
      </c>
      <c r="B21" s="38" t="s">
        <v>10</v>
      </c>
      <c r="C21" s="40" t="s">
        <v>35</v>
      </c>
      <c r="D21" s="17">
        <v>-15223.05</v>
      </c>
      <c r="E21" s="5"/>
      <c r="F21" s="17"/>
      <c r="G21" s="75">
        <v>-15223.05</v>
      </c>
      <c r="H21" s="62">
        <f t="shared" si="0"/>
        <v>0</v>
      </c>
    </row>
    <row r="22" spans="1:9" s="9" customFormat="1" ht="13.9" hidden="1" customHeight="1" x14ac:dyDescent="0.25">
      <c r="A22" s="37">
        <v>43708</v>
      </c>
      <c r="B22" s="38" t="s">
        <v>10</v>
      </c>
      <c r="C22" s="40" t="s">
        <v>50</v>
      </c>
      <c r="D22" s="17">
        <v>15223.05</v>
      </c>
      <c r="E22" s="5"/>
      <c r="F22" s="17"/>
      <c r="G22" s="62">
        <v>15223.05</v>
      </c>
      <c r="H22" s="62">
        <f t="shared" si="0"/>
        <v>0</v>
      </c>
    </row>
    <row r="23" spans="1:9" s="3" customFormat="1" ht="13.9" hidden="1" customHeight="1" x14ac:dyDescent="0.25">
      <c r="A23" s="37">
        <v>43708</v>
      </c>
      <c r="B23" s="38" t="s">
        <v>10</v>
      </c>
      <c r="C23" s="40" t="s">
        <v>51</v>
      </c>
      <c r="D23" s="17">
        <f>-96040.27-96040.27+96040.27</f>
        <v>-96040.27</v>
      </c>
      <c r="E23" s="5">
        <f>96040.27-96040.27</f>
        <v>0</v>
      </c>
      <c r="F23" s="17"/>
      <c r="G23" s="62">
        <v>-96040.27</v>
      </c>
      <c r="H23" s="62">
        <f t="shared" si="0"/>
        <v>0</v>
      </c>
    </row>
    <row r="24" spans="1:9" s="9" customFormat="1" ht="13.9" hidden="1" customHeight="1" x14ac:dyDescent="0.25">
      <c r="A24" s="37">
        <v>43708</v>
      </c>
      <c r="B24" s="38" t="s">
        <v>10</v>
      </c>
      <c r="C24" s="40" t="s">
        <v>52</v>
      </c>
      <c r="D24" s="17">
        <f>-58027.96-58027.96+58027.96</f>
        <v>-58027.96</v>
      </c>
      <c r="E24" s="5">
        <f>58027.96-58027.96</f>
        <v>0</v>
      </c>
      <c r="F24" s="17"/>
      <c r="G24" s="62">
        <v>-58027.96</v>
      </c>
      <c r="H24" s="62">
        <f t="shared" si="0"/>
        <v>0</v>
      </c>
    </row>
    <row r="25" spans="1:9" s="9" customFormat="1" hidden="1" x14ac:dyDescent="0.25">
      <c r="A25" s="37">
        <v>43708</v>
      </c>
      <c r="B25" s="38" t="s">
        <v>10</v>
      </c>
      <c r="C25" s="40" t="s">
        <v>53</v>
      </c>
      <c r="D25" s="17">
        <f>-14574.79-14574.79+14574.79</f>
        <v>-14574.79</v>
      </c>
      <c r="E25" s="5">
        <f>14574.79-14574.79</f>
        <v>0</v>
      </c>
      <c r="F25" s="17"/>
      <c r="G25" s="62">
        <v>-14574.79</v>
      </c>
      <c r="H25" s="62">
        <f t="shared" si="0"/>
        <v>0</v>
      </c>
    </row>
    <row r="26" spans="1:9" s="9" customFormat="1" ht="13.9" hidden="1" customHeight="1" x14ac:dyDescent="0.25">
      <c r="A26" s="37">
        <v>43738</v>
      </c>
      <c r="B26" s="67" t="s">
        <v>10</v>
      </c>
      <c r="C26" s="71" t="s">
        <v>39</v>
      </c>
      <c r="D26" s="17">
        <v>-2833.36</v>
      </c>
      <c r="E26" s="5"/>
      <c r="F26" s="17"/>
      <c r="G26" s="62">
        <v>-2833.36</v>
      </c>
      <c r="H26" s="62">
        <f t="shared" si="0"/>
        <v>0</v>
      </c>
    </row>
    <row r="27" spans="1:9" s="9" customFormat="1" ht="13.9" hidden="1" customHeight="1" x14ac:dyDescent="0.25">
      <c r="A27" s="37">
        <v>43738</v>
      </c>
      <c r="B27" s="38" t="s">
        <v>10</v>
      </c>
      <c r="C27" s="40" t="s">
        <v>34</v>
      </c>
      <c r="D27" s="17">
        <v>2735.43</v>
      </c>
      <c r="E27" s="5"/>
      <c r="F27" s="17"/>
      <c r="G27" s="62">
        <v>2735.43</v>
      </c>
      <c r="H27" s="62">
        <f t="shared" si="0"/>
        <v>0</v>
      </c>
    </row>
    <row r="28" spans="1:9" s="9" customFormat="1" ht="13.9" hidden="1" customHeight="1" x14ac:dyDescent="0.25">
      <c r="A28" s="37">
        <v>43738</v>
      </c>
      <c r="B28" s="38" t="s">
        <v>10</v>
      </c>
      <c r="C28" s="40" t="s">
        <v>35</v>
      </c>
      <c r="D28" s="17">
        <v>-14088.61</v>
      </c>
      <c r="E28" s="5"/>
      <c r="F28" s="17"/>
      <c r="G28" s="62">
        <v>-14088.61</v>
      </c>
      <c r="H28" s="62">
        <f t="shared" si="0"/>
        <v>0</v>
      </c>
    </row>
    <row r="29" spans="1:9" s="9" customFormat="1" ht="13.9" hidden="1" customHeight="1" x14ac:dyDescent="0.25">
      <c r="A29" s="37">
        <v>43738</v>
      </c>
      <c r="B29" s="38" t="s">
        <v>10</v>
      </c>
      <c r="C29" s="40" t="s">
        <v>56</v>
      </c>
      <c r="D29" s="17">
        <v>14088.61</v>
      </c>
      <c r="E29" s="5"/>
      <c r="F29" s="17"/>
      <c r="G29" s="62">
        <v>14088.61</v>
      </c>
      <c r="H29" s="62">
        <f t="shared" si="0"/>
        <v>0</v>
      </c>
    </row>
    <row r="30" spans="1:9" s="9" customFormat="1" ht="13.9" hidden="1" customHeight="1" x14ac:dyDescent="0.25">
      <c r="A30" s="37">
        <v>43738</v>
      </c>
      <c r="B30" s="38" t="s">
        <v>10</v>
      </c>
      <c r="C30" s="40" t="s">
        <v>57</v>
      </c>
      <c r="D30" s="17">
        <v>11615.22</v>
      </c>
      <c r="E30" s="5"/>
      <c r="F30" s="17"/>
      <c r="G30" s="62">
        <v>11615.22</v>
      </c>
      <c r="H30" s="62">
        <f t="shared" si="0"/>
        <v>0</v>
      </c>
    </row>
    <row r="31" spans="1:9" s="9" customFormat="1" ht="13.9" hidden="1" customHeight="1" x14ac:dyDescent="0.25">
      <c r="A31" s="37">
        <v>43738</v>
      </c>
      <c r="B31" s="38" t="s">
        <v>10</v>
      </c>
      <c r="C31" s="40" t="s">
        <v>58</v>
      </c>
      <c r="D31" s="17">
        <v>19160</v>
      </c>
      <c r="E31" s="5"/>
      <c r="F31" s="17"/>
      <c r="G31" s="62">
        <v>19160</v>
      </c>
      <c r="H31" s="62">
        <f t="shared" si="0"/>
        <v>0</v>
      </c>
    </row>
    <row r="32" spans="1:9" s="9" customFormat="1" ht="13.9" hidden="1" customHeight="1" x14ac:dyDescent="0.25">
      <c r="A32" s="37">
        <v>43738</v>
      </c>
      <c r="B32" s="38" t="s">
        <v>10</v>
      </c>
      <c r="C32" s="40" t="s">
        <v>59</v>
      </c>
      <c r="D32" s="17">
        <f>-64084.53-63240.02+64084.53</f>
        <v>-63240.01999999999</v>
      </c>
      <c r="E32" s="5">
        <f>64084.53-64084.53</f>
        <v>0</v>
      </c>
      <c r="F32" s="17"/>
      <c r="G32" s="62">
        <f>-64084.53+844.51</f>
        <v>-63240.02</v>
      </c>
      <c r="H32" s="62">
        <f t="shared" si="0"/>
        <v>0</v>
      </c>
      <c r="I32" s="3"/>
    </row>
    <row r="33" spans="1:10" s="3" customFormat="1" ht="13.9" hidden="1" customHeight="1" x14ac:dyDescent="0.25">
      <c r="A33" s="37">
        <v>43738</v>
      </c>
      <c r="B33" s="38" t="s">
        <v>10</v>
      </c>
      <c r="C33" s="40" t="s">
        <v>60</v>
      </c>
      <c r="D33" s="17">
        <f>-59437.44-58654.08+59437.44</f>
        <v>-58654.080000000002</v>
      </c>
      <c r="E33" s="5">
        <f>59437.44-59437.44</f>
        <v>0</v>
      </c>
      <c r="F33" s="17"/>
      <c r="G33" s="62">
        <f>-59437.44+783.36</f>
        <v>-58654.080000000002</v>
      </c>
      <c r="H33" s="62">
        <f t="shared" si="0"/>
        <v>0</v>
      </c>
    </row>
    <row r="34" spans="1:10" s="3" customFormat="1" ht="13.9" hidden="1" customHeight="1" x14ac:dyDescent="0.25">
      <c r="A34" s="37">
        <v>43738</v>
      </c>
      <c r="B34" s="38" t="s">
        <v>10</v>
      </c>
      <c r="C34" s="40" t="s">
        <v>61</v>
      </c>
      <c r="D34" s="17">
        <f>-64857.17-70274.6+64857.17</f>
        <v>-70274.60000000002</v>
      </c>
      <c r="E34" s="5">
        <f>64857.17-64857.17</f>
        <v>0</v>
      </c>
      <c r="F34" s="17"/>
      <c r="G34" s="62">
        <f>-64857.17-5417.43</f>
        <v>-70274.600000000006</v>
      </c>
      <c r="H34" s="62">
        <f t="shared" si="0"/>
        <v>0</v>
      </c>
    </row>
    <row r="35" spans="1:10" s="9" customFormat="1" ht="13.9" hidden="1" customHeight="1" x14ac:dyDescent="0.25">
      <c r="A35" s="37">
        <v>43769</v>
      </c>
      <c r="B35" s="38" t="s">
        <v>13</v>
      </c>
      <c r="C35" s="40" t="s">
        <v>39</v>
      </c>
      <c r="D35" s="17">
        <v>-2208.36</v>
      </c>
      <c r="E35" s="5"/>
      <c r="F35" s="17"/>
      <c r="G35" s="62">
        <v>-2208.36</v>
      </c>
      <c r="H35" s="62">
        <f t="shared" si="0"/>
        <v>0</v>
      </c>
    </row>
    <row r="36" spans="1:10" s="9" customFormat="1" ht="13.9" hidden="1" customHeight="1" x14ac:dyDescent="0.25">
      <c r="A36" s="37">
        <v>43769</v>
      </c>
      <c r="B36" s="38" t="s">
        <v>13</v>
      </c>
      <c r="C36" s="40" t="s">
        <v>34</v>
      </c>
      <c r="D36" s="17">
        <v>-41565.300000000003</v>
      </c>
      <c r="E36" s="5"/>
      <c r="F36" s="17"/>
      <c r="G36" s="62">
        <v>-41565.300000000003</v>
      </c>
      <c r="H36" s="62">
        <f t="shared" si="0"/>
        <v>0</v>
      </c>
    </row>
    <row r="37" spans="1:10" s="9" customFormat="1" ht="13.9" hidden="1" customHeight="1" x14ac:dyDescent="0.25">
      <c r="A37" s="37">
        <v>43769</v>
      </c>
      <c r="B37" s="38" t="s">
        <v>13</v>
      </c>
      <c r="C37" s="40" t="s">
        <v>35</v>
      </c>
      <c r="D37" s="17">
        <v>-11615.22</v>
      </c>
      <c r="E37" s="5"/>
      <c r="F37" s="17"/>
      <c r="G37" s="62">
        <v>-11615.22</v>
      </c>
      <c r="H37" s="62">
        <f t="shared" si="0"/>
        <v>0</v>
      </c>
    </row>
    <row r="38" spans="1:10" s="9" customFormat="1" ht="13.9" hidden="1" customHeight="1" x14ac:dyDescent="0.25">
      <c r="A38" s="37">
        <v>43769</v>
      </c>
      <c r="B38" s="38" t="s">
        <v>18</v>
      </c>
      <c r="C38" s="71" t="s">
        <v>72</v>
      </c>
      <c r="D38" s="17">
        <v>-2625.03</v>
      </c>
      <c r="E38" s="5"/>
      <c r="F38" s="17"/>
      <c r="G38" s="62">
        <v>-2625.03</v>
      </c>
      <c r="H38" s="62">
        <f t="shared" si="0"/>
        <v>0</v>
      </c>
    </row>
    <row r="39" spans="1:10" s="9" customFormat="1" ht="13.9" hidden="1" customHeight="1" x14ac:dyDescent="0.25">
      <c r="A39" s="37">
        <v>43769</v>
      </c>
      <c r="B39" s="38" t="s">
        <v>18</v>
      </c>
      <c r="C39" s="40" t="s">
        <v>73</v>
      </c>
      <c r="D39" s="17">
        <v>5494.97</v>
      </c>
      <c r="E39" s="5"/>
      <c r="F39" s="17"/>
      <c r="G39" s="62">
        <v>5494.97</v>
      </c>
      <c r="H39" s="62">
        <f t="shared" si="0"/>
        <v>0</v>
      </c>
    </row>
    <row r="40" spans="1:10" s="9" customFormat="1" ht="13.9" hidden="1" customHeight="1" x14ac:dyDescent="0.25">
      <c r="A40" s="37">
        <v>43769</v>
      </c>
      <c r="B40" s="38" t="s">
        <v>18</v>
      </c>
      <c r="C40" s="40" t="s">
        <v>74</v>
      </c>
      <c r="D40" s="17">
        <v>-17367.7</v>
      </c>
      <c r="E40" s="5"/>
      <c r="F40" s="17"/>
      <c r="G40" s="62">
        <v>-17367.7</v>
      </c>
      <c r="H40" s="62">
        <f t="shared" si="0"/>
        <v>0</v>
      </c>
    </row>
    <row r="41" spans="1:10" s="9" customFormat="1" ht="13.9" hidden="1" customHeight="1" x14ac:dyDescent="0.25">
      <c r="A41" s="37">
        <v>43769</v>
      </c>
      <c r="B41" s="38" t="s">
        <v>18</v>
      </c>
      <c r="C41" s="40" t="s">
        <v>64</v>
      </c>
      <c r="D41" s="17">
        <v>19160</v>
      </c>
      <c r="E41" s="5"/>
      <c r="F41" s="17"/>
      <c r="G41" s="62">
        <v>19160</v>
      </c>
      <c r="H41" s="62">
        <f t="shared" si="0"/>
        <v>0</v>
      </c>
    </row>
    <row r="42" spans="1:10" s="3" customFormat="1" ht="13.9" hidden="1" customHeight="1" x14ac:dyDescent="0.25">
      <c r="A42" s="37">
        <v>43769</v>
      </c>
      <c r="B42" s="38" t="s">
        <v>18</v>
      </c>
      <c r="C42" s="40" t="s">
        <v>65</v>
      </c>
      <c r="D42" s="17">
        <f>-96830.54-97445.61+96830.54</f>
        <v>-97445.61</v>
      </c>
      <c r="E42" s="5">
        <f>96830.54-96830.54</f>
        <v>0</v>
      </c>
      <c r="F42" s="17"/>
      <c r="G42" s="62">
        <v>-97445.61</v>
      </c>
      <c r="H42" s="62">
        <f t="shared" si="0"/>
        <v>0</v>
      </c>
    </row>
    <row r="43" spans="1:10" s="38" customFormat="1" ht="13.9" hidden="1" customHeight="1" x14ac:dyDescent="0.25">
      <c r="A43" s="37">
        <v>43769</v>
      </c>
      <c r="B43" s="38" t="s">
        <v>18</v>
      </c>
      <c r="C43" s="40" t="s">
        <v>66</v>
      </c>
      <c r="D43" s="17">
        <f>-45589.74-45879.33+45589.74</f>
        <v>-45879.330000000009</v>
      </c>
      <c r="E43" s="5">
        <f>45589.74-45589.74</f>
        <v>0</v>
      </c>
      <c r="F43" s="17"/>
      <c r="G43" s="62">
        <v>-45879.33</v>
      </c>
      <c r="H43" s="62">
        <f t="shared" si="0"/>
        <v>0</v>
      </c>
      <c r="I43" s="3"/>
    </row>
    <row r="44" spans="1:10" s="38" customFormat="1" ht="13.9" hidden="1" customHeight="1" x14ac:dyDescent="0.25">
      <c r="A44" s="37">
        <v>43769</v>
      </c>
      <c r="B44" s="38" t="s">
        <v>18</v>
      </c>
      <c r="C44" s="40" t="s">
        <v>67</v>
      </c>
      <c r="D44" s="17">
        <f>-4743.51-4743.51+4743.51</f>
        <v>-4743.51</v>
      </c>
      <c r="E44" s="5">
        <f>4743.51-4743.51</f>
        <v>0</v>
      </c>
      <c r="F44" s="17"/>
      <c r="G44" s="62">
        <v>-4743.51</v>
      </c>
      <c r="H44" s="62">
        <f t="shared" si="0"/>
        <v>0</v>
      </c>
      <c r="I44" s="3"/>
    </row>
    <row r="45" spans="1:10" s="9" customFormat="1" ht="13.9" hidden="1" customHeight="1" x14ac:dyDescent="0.25">
      <c r="A45" s="37">
        <v>43799</v>
      </c>
      <c r="B45" s="38" t="s">
        <v>18</v>
      </c>
      <c r="C45" s="40" t="s">
        <v>69</v>
      </c>
      <c r="D45" s="17">
        <v>-19160</v>
      </c>
      <c r="E45" s="5"/>
      <c r="F45" s="17"/>
      <c r="G45" s="62">
        <v>-19160</v>
      </c>
      <c r="H45" s="62">
        <f t="shared" si="0"/>
        <v>0</v>
      </c>
    </row>
    <row r="46" spans="1:10" s="9" customFormat="1" ht="13.9" hidden="1" customHeight="1" x14ac:dyDescent="0.25">
      <c r="A46" s="37">
        <v>43799</v>
      </c>
      <c r="B46" s="38" t="s">
        <v>18</v>
      </c>
      <c r="C46" s="40" t="s">
        <v>70</v>
      </c>
      <c r="D46" s="17">
        <v>17367.7</v>
      </c>
      <c r="E46" s="5"/>
      <c r="F46" s="17"/>
      <c r="G46" s="62">
        <v>17367.7</v>
      </c>
      <c r="H46" s="62">
        <f t="shared" si="0"/>
        <v>0</v>
      </c>
    </row>
    <row r="47" spans="1:10" s="9" customFormat="1" ht="13.9" hidden="1" customHeight="1" x14ac:dyDescent="0.25">
      <c r="A47" s="37">
        <v>43799</v>
      </c>
      <c r="B47" s="38" t="s">
        <v>18</v>
      </c>
      <c r="C47" s="39" t="s">
        <v>71</v>
      </c>
      <c r="D47" s="17">
        <v>19160</v>
      </c>
      <c r="E47" s="5"/>
      <c r="F47" s="17"/>
      <c r="G47" s="62">
        <v>19160</v>
      </c>
      <c r="H47" s="62">
        <f t="shared" si="0"/>
        <v>0</v>
      </c>
    </row>
    <row r="48" spans="1:10" s="9" customFormat="1" ht="13.9" hidden="1" customHeight="1" x14ac:dyDescent="0.25">
      <c r="A48" s="37">
        <v>43799</v>
      </c>
      <c r="B48" s="38" t="s">
        <v>18</v>
      </c>
      <c r="C48" s="40" t="s">
        <v>79</v>
      </c>
      <c r="D48" s="17">
        <f>6247.72-14534.35-6247.72</f>
        <v>-14534.350000000002</v>
      </c>
      <c r="E48" s="5"/>
      <c r="F48" s="17">
        <f>-6247.72+6247.72</f>
        <v>0</v>
      </c>
      <c r="G48" s="11">
        <v>-14534.350000000002</v>
      </c>
      <c r="H48" s="62">
        <f t="shared" si="0"/>
        <v>0</v>
      </c>
      <c r="I48" s="76"/>
      <c r="J48" s="1"/>
    </row>
    <row r="49" spans="1:10" s="9" customFormat="1" ht="13.9" hidden="1" customHeight="1" x14ac:dyDescent="0.25">
      <c r="A49" s="37">
        <v>43799</v>
      </c>
      <c r="B49" s="38" t="s">
        <v>18</v>
      </c>
      <c r="C49" s="40" t="s">
        <v>80</v>
      </c>
      <c r="D49" s="17">
        <f>-30945.36-30620.8+30945.36</f>
        <v>-30620.800000000003</v>
      </c>
      <c r="E49" s="5">
        <f>30945.36-30945.36</f>
        <v>0</v>
      </c>
      <c r="F49" s="17"/>
      <c r="G49" s="11">
        <v>-30620.800000000003</v>
      </c>
      <c r="H49" s="62">
        <f t="shared" si="0"/>
        <v>0</v>
      </c>
      <c r="I49" s="76"/>
      <c r="J49" s="1"/>
    </row>
    <row r="50" spans="1:10" s="9" customFormat="1" ht="13.9" hidden="1" customHeight="1" x14ac:dyDescent="0.25">
      <c r="A50" s="37">
        <v>43799</v>
      </c>
      <c r="B50" s="38" t="s">
        <v>18</v>
      </c>
      <c r="C50" s="40" t="s">
        <v>81</v>
      </c>
      <c r="D50" s="17">
        <f>-500.83-500.83+500.83</f>
        <v>-500.83</v>
      </c>
      <c r="E50" s="5">
        <f>500.83-500.83</f>
        <v>0</v>
      </c>
      <c r="F50" s="17"/>
      <c r="G50" s="11">
        <v>-500.83</v>
      </c>
      <c r="H50" s="62">
        <f t="shared" si="0"/>
        <v>0</v>
      </c>
      <c r="I50" s="76"/>
      <c r="J50" s="1"/>
    </row>
    <row r="51" spans="1:10" s="9" customFormat="1" ht="13.9" hidden="1" customHeight="1" x14ac:dyDescent="0.25">
      <c r="A51" s="27">
        <v>43830</v>
      </c>
      <c r="B51" s="9" t="s">
        <v>18</v>
      </c>
      <c r="C51" s="13" t="s">
        <v>75</v>
      </c>
      <c r="D51" s="17">
        <v>13292.31</v>
      </c>
      <c r="E51" s="5"/>
      <c r="F51" s="17"/>
      <c r="G51" s="11">
        <v>13292.31</v>
      </c>
      <c r="H51" s="62">
        <f t="shared" si="0"/>
        <v>0</v>
      </c>
      <c r="I51" s="76"/>
      <c r="J51" s="1"/>
    </row>
    <row r="52" spans="1:10" s="9" customFormat="1" ht="13.9" hidden="1" customHeight="1" x14ac:dyDescent="0.25">
      <c r="A52" s="27">
        <v>43830</v>
      </c>
      <c r="B52" s="9" t="s">
        <v>18</v>
      </c>
      <c r="C52" s="35" t="s">
        <v>39</v>
      </c>
      <c r="D52" s="17">
        <v>-2166.6799999999998</v>
      </c>
      <c r="E52" s="5"/>
      <c r="F52" s="17"/>
      <c r="G52" s="11">
        <v>-2166.6799999999998</v>
      </c>
      <c r="H52" s="62">
        <f t="shared" si="0"/>
        <v>0</v>
      </c>
      <c r="I52" s="76"/>
      <c r="J52" s="1"/>
    </row>
    <row r="53" spans="1:10" s="9" customFormat="1" ht="13.9" hidden="1" customHeight="1" x14ac:dyDescent="0.25">
      <c r="A53" s="27">
        <v>43830</v>
      </c>
      <c r="B53" s="9" t="s">
        <v>18</v>
      </c>
      <c r="C53" s="35" t="s">
        <v>34</v>
      </c>
      <c r="D53" s="17">
        <v>-69291.62</v>
      </c>
      <c r="E53" s="5"/>
      <c r="F53" s="17"/>
      <c r="G53" s="11">
        <v>-69291.62</v>
      </c>
      <c r="H53" s="62">
        <f t="shared" si="0"/>
        <v>0</v>
      </c>
      <c r="I53" s="76"/>
      <c r="J53" s="1"/>
    </row>
    <row r="54" spans="1:10" s="9" customFormat="1" ht="13.9" hidden="1" customHeight="1" x14ac:dyDescent="0.25">
      <c r="A54" s="27">
        <v>43830</v>
      </c>
      <c r="B54" s="9" t="s">
        <v>18</v>
      </c>
      <c r="C54" s="35" t="s">
        <v>35</v>
      </c>
      <c r="D54" s="17">
        <v>-13292.31</v>
      </c>
      <c r="E54" s="5"/>
      <c r="F54" s="17"/>
      <c r="G54" s="11">
        <v>-13292.31</v>
      </c>
      <c r="H54" s="62">
        <f t="shared" si="0"/>
        <v>0</v>
      </c>
      <c r="I54" s="76"/>
      <c r="J54" s="1"/>
    </row>
    <row r="55" spans="1:10" s="9" customFormat="1" ht="13.9" hidden="1" customHeight="1" x14ac:dyDescent="0.25">
      <c r="A55" s="27">
        <v>43830</v>
      </c>
      <c r="B55" s="9" t="s">
        <v>18</v>
      </c>
      <c r="C55" s="40" t="s">
        <v>77</v>
      </c>
      <c r="D55" s="17">
        <f>-39853.64+653.9-39199.74+39199.74</f>
        <v>-39199.74</v>
      </c>
      <c r="E55" s="5">
        <f>39853.64-653.9-39199.74</f>
        <v>0</v>
      </c>
      <c r="F55" s="17"/>
      <c r="G55" s="11">
        <v>-39199.74</v>
      </c>
      <c r="H55" s="62">
        <f t="shared" si="0"/>
        <v>0</v>
      </c>
      <c r="I55" s="76"/>
      <c r="J55" s="1"/>
    </row>
    <row r="56" spans="1:10" s="9" customFormat="1" ht="13.9" hidden="1" customHeight="1" x14ac:dyDescent="0.25">
      <c r="A56" s="27">
        <v>43830</v>
      </c>
      <c r="B56" s="9" t="s">
        <v>18</v>
      </c>
      <c r="C56" s="35" t="s">
        <v>82</v>
      </c>
      <c r="D56" s="17">
        <f>-9035.88-8940.4+9035.88</f>
        <v>-8940.4</v>
      </c>
      <c r="E56" s="5">
        <f>9035.88-9035.88</f>
        <v>0</v>
      </c>
      <c r="F56" s="17"/>
      <c r="G56" s="11">
        <v>-8940.4</v>
      </c>
      <c r="H56" s="62">
        <f t="shared" si="0"/>
        <v>0</v>
      </c>
      <c r="I56" s="76"/>
      <c r="J56" s="1"/>
    </row>
    <row r="57" spans="1:10" s="9" customFormat="1" ht="13.9" hidden="1" customHeight="1" x14ac:dyDescent="0.25">
      <c r="A57" s="27">
        <v>43830</v>
      </c>
      <c r="B57" s="9" t="s">
        <v>18</v>
      </c>
      <c r="C57" s="35" t="s">
        <v>83</v>
      </c>
      <c r="D57" s="17">
        <f>-14287.07-14286.59+14287.07</f>
        <v>-14286.59</v>
      </c>
      <c r="E57" s="5">
        <f>14287.07-14287.07</f>
        <v>0</v>
      </c>
      <c r="F57" s="17"/>
      <c r="G57" s="11">
        <v>-14286.59</v>
      </c>
      <c r="H57" s="62">
        <f t="shared" si="0"/>
        <v>0</v>
      </c>
      <c r="I57" s="76"/>
      <c r="J57" s="1"/>
    </row>
    <row r="58" spans="1:10" s="9" customFormat="1" ht="13.9" hidden="1" customHeight="1" x14ac:dyDescent="0.25">
      <c r="A58" s="27">
        <v>43861</v>
      </c>
      <c r="B58" s="9" t="s">
        <v>9</v>
      </c>
      <c r="C58" s="35" t="s">
        <v>39</v>
      </c>
      <c r="D58" s="17">
        <v>-2166.6799999999998</v>
      </c>
      <c r="E58" s="5"/>
      <c r="F58" s="17"/>
      <c r="G58" s="11">
        <v>-2166.6799999999998</v>
      </c>
      <c r="H58" s="62">
        <f t="shared" si="0"/>
        <v>0</v>
      </c>
      <c r="I58" s="76"/>
      <c r="J58" s="1"/>
    </row>
    <row r="59" spans="1:10" s="9" customFormat="1" ht="13.9" hidden="1" customHeight="1" x14ac:dyDescent="0.25">
      <c r="A59" s="27">
        <v>43861</v>
      </c>
      <c r="B59" s="9" t="s">
        <v>9</v>
      </c>
      <c r="C59" s="35" t="s">
        <v>34</v>
      </c>
      <c r="D59" s="17">
        <v>72427.83</v>
      </c>
      <c r="E59" s="5"/>
      <c r="F59" s="17"/>
      <c r="G59" s="11">
        <v>72427.83</v>
      </c>
      <c r="H59" s="62">
        <f t="shared" si="0"/>
        <v>0</v>
      </c>
      <c r="I59" s="76"/>
      <c r="J59" s="1"/>
    </row>
    <row r="60" spans="1:10" s="9" customFormat="1" ht="13.9" hidden="1" customHeight="1" x14ac:dyDescent="0.25">
      <c r="A60" s="27">
        <v>43861</v>
      </c>
      <c r="B60" s="9" t="s">
        <v>9</v>
      </c>
      <c r="C60" s="35" t="s">
        <v>35</v>
      </c>
      <c r="D60" s="17">
        <v>-23969.55</v>
      </c>
      <c r="E60" s="5"/>
      <c r="F60" s="17"/>
      <c r="G60" s="11">
        <v>-23969.55</v>
      </c>
      <c r="H60" s="62">
        <f t="shared" si="0"/>
        <v>0</v>
      </c>
      <c r="I60" s="76"/>
      <c r="J60" s="1"/>
    </row>
    <row r="61" spans="1:10" s="9" customFormat="1" ht="13.9" hidden="1" customHeight="1" x14ac:dyDescent="0.25">
      <c r="A61" s="27">
        <v>43861</v>
      </c>
      <c r="B61" s="9" t="s">
        <v>9</v>
      </c>
      <c r="C61" s="35" t="s">
        <v>70</v>
      </c>
      <c r="D61" s="17">
        <v>13042.69</v>
      </c>
      <c r="E61" s="5"/>
      <c r="F61" s="17"/>
      <c r="G61" s="11">
        <v>13042.69</v>
      </c>
      <c r="H61" s="62">
        <f t="shared" si="0"/>
        <v>0</v>
      </c>
      <c r="I61" s="76"/>
      <c r="J61" s="1"/>
    </row>
    <row r="62" spans="1:10" s="9" customFormat="1" ht="13.9" hidden="1" customHeight="1" x14ac:dyDescent="0.25">
      <c r="A62" s="27">
        <v>43861</v>
      </c>
      <c r="B62" s="9" t="s">
        <v>9</v>
      </c>
      <c r="C62" s="40" t="s">
        <v>87</v>
      </c>
      <c r="D62" s="17">
        <f>43063.14+41651.45-43063.14</f>
        <v>41651.449999999997</v>
      </c>
      <c r="E62" s="5"/>
      <c r="F62" s="17">
        <f>-43063.14+1411.69+41651.45</f>
        <v>0</v>
      </c>
      <c r="G62" s="11">
        <v>41651.449999999997</v>
      </c>
      <c r="H62" s="62">
        <f t="shared" si="0"/>
        <v>0</v>
      </c>
      <c r="I62" s="76"/>
      <c r="J62" s="1"/>
    </row>
    <row r="63" spans="1:10" s="9" customFormat="1" ht="13.9" hidden="1" customHeight="1" x14ac:dyDescent="0.25">
      <c r="A63" s="27">
        <v>43861</v>
      </c>
      <c r="B63" s="9" t="s">
        <v>9</v>
      </c>
      <c r="C63" s="35" t="s">
        <v>86</v>
      </c>
      <c r="D63" s="17">
        <f>-17538.68-17492.69+17538.68</f>
        <v>-17492.689999999995</v>
      </c>
      <c r="E63" s="43">
        <f>17538.68-17538.68</f>
        <v>0</v>
      </c>
      <c r="F63" s="17"/>
      <c r="G63" s="11">
        <v>-17492.689999999995</v>
      </c>
      <c r="H63" s="62">
        <f t="shared" si="0"/>
        <v>0</v>
      </c>
      <c r="I63" s="76"/>
      <c r="J63" s="1"/>
    </row>
    <row r="64" spans="1:10" s="9" customFormat="1" ht="13.9" hidden="1" customHeight="1" x14ac:dyDescent="0.25">
      <c r="A64" s="27">
        <v>43861</v>
      </c>
      <c r="B64" s="9" t="s">
        <v>9</v>
      </c>
      <c r="C64" s="35" t="s">
        <v>88</v>
      </c>
      <c r="D64" s="17">
        <f>1265.53+1265.22-1265.53</f>
        <v>1265.22</v>
      </c>
      <c r="E64" s="5"/>
      <c r="F64" s="73">
        <f>-1265.53+1265.53</f>
        <v>0</v>
      </c>
      <c r="G64" s="11">
        <v>1265.22</v>
      </c>
      <c r="H64" s="62">
        <f t="shared" si="0"/>
        <v>0</v>
      </c>
      <c r="I64" s="76"/>
      <c r="J64" s="1"/>
    </row>
    <row r="65" spans="1:10" s="9" customFormat="1" ht="13.9" hidden="1" customHeight="1" x14ac:dyDescent="0.25">
      <c r="A65" s="27">
        <v>43861</v>
      </c>
      <c r="B65" s="9" t="s">
        <v>9</v>
      </c>
      <c r="C65" s="35" t="s">
        <v>84</v>
      </c>
      <c r="D65" s="17">
        <v>55656.31</v>
      </c>
      <c r="E65" s="5"/>
      <c r="F65" s="17"/>
      <c r="G65" s="11">
        <v>55656.31</v>
      </c>
      <c r="H65" s="62">
        <f t="shared" si="0"/>
        <v>0</v>
      </c>
      <c r="I65" s="76"/>
      <c r="J65" s="1"/>
    </row>
    <row r="66" spans="1:10" s="9" customFormat="1" ht="13.9" hidden="1" customHeight="1" x14ac:dyDescent="0.25">
      <c r="A66" s="27">
        <v>43890</v>
      </c>
      <c r="B66" s="9" t="s">
        <v>9</v>
      </c>
      <c r="C66" s="35" t="s">
        <v>39</v>
      </c>
      <c r="D66" s="17">
        <v>-2166.6799999999998</v>
      </c>
      <c r="E66" s="5"/>
      <c r="F66" s="17"/>
      <c r="G66" s="11">
        <v>-2166.6799999999998</v>
      </c>
      <c r="H66" s="62">
        <f t="shared" si="0"/>
        <v>0</v>
      </c>
      <c r="I66" s="25"/>
      <c r="J66" s="1"/>
    </row>
    <row r="67" spans="1:10" s="9" customFormat="1" ht="13.9" hidden="1" customHeight="1" x14ac:dyDescent="0.25">
      <c r="A67" s="27">
        <v>43890</v>
      </c>
      <c r="B67" s="9" t="s">
        <v>9</v>
      </c>
      <c r="C67" s="35" t="s">
        <v>34</v>
      </c>
      <c r="D67" s="17">
        <v>-10909.99</v>
      </c>
      <c r="E67" s="5"/>
      <c r="F67" s="17"/>
      <c r="G67" s="11">
        <v>-10909.99</v>
      </c>
      <c r="H67" s="62">
        <f t="shared" si="0"/>
        <v>0</v>
      </c>
      <c r="I67" s="25"/>
      <c r="J67" s="1"/>
    </row>
    <row r="68" spans="1:10" s="9" customFormat="1" ht="13.9" hidden="1" customHeight="1" x14ac:dyDescent="0.25">
      <c r="A68" s="27">
        <v>43890</v>
      </c>
      <c r="B68" s="9" t="s">
        <v>9</v>
      </c>
      <c r="C68" s="35" t="s">
        <v>35</v>
      </c>
      <c r="D68" s="17">
        <v>-82132.45</v>
      </c>
      <c r="E68" s="5"/>
      <c r="F68" s="17"/>
      <c r="G68" s="11">
        <v>-82132.45</v>
      </c>
      <c r="H68" s="62">
        <f t="shared" si="0"/>
        <v>0</v>
      </c>
      <c r="I68" s="25"/>
      <c r="J68" s="1"/>
    </row>
    <row r="69" spans="1:10" s="9" customFormat="1" ht="13.9" hidden="1" customHeight="1" x14ac:dyDescent="0.25">
      <c r="A69" s="27">
        <v>43890</v>
      </c>
      <c r="B69" s="9" t="s">
        <v>9</v>
      </c>
      <c r="C69" s="35" t="s">
        <v>37</v>
      </c>
      <c r="D69" s="17">
        <v>0</v>
      </c>
      <c r="E69" s="5"/>
      <c r="F69" s="17"/>
      <c r="G69" s="11">
        <v>0</v>
      </c>
      <c r="H69" s="62">
        <f t="shared" si="0"/>
        <v>0</v>
      </c>
      <c r="I69" s="76"/>
      <c r="J69" s="1"/>
    </row>
    <row r="70" spans="1:10" s="9" customFormat="1" ht="13.9" hidden="1" customHeight="1" x14ac:dyDescent="0.25">
      <c r="A70" s="27">
        <v>43890</v>
      </c>
      <c r="B70" s="9" t="s">
        <v>9</v>
      </c>
      <c r="C70" s="35" t="s">
        <v>85</v>
      </c>
      <c r="D70" s="17">
        <v>93059.31</v>
      </c>
      <c r="E70" s="5"/>
      <c r="F70" s="17"/>
      <c r="G70" s="11">
        <v>93059.31</v>
      </c>
      <c r="H70" s="62">
        <f t="shared" si="0"/>
        <v>0</v>
      </c>
      <c r="I70" s="76"/>
      <c r="J70" s="1"/>
    </row>
    <row r="71" spans="1:10" s="9" customFormat="1" ht="13.9" hidden="1" customHeight="1" x14ac:dyDescent="0.25">
      <c r="A71" s="27">
        <v>43890</v>
      </c>
      <c r="B71" s="9" t="s">
        <v>9</v>
      </c>
      <c r="C71" s="35" t="s">
        <v>89</v>
      </c>
      <c r="D71" s="17">
        <f>-35338.44+35338.44-35143.2</f>
        <v>-35143.199999999997</v>
      </c>
      <c r="E71" s="77">
        <f>35338.44-35338.44</f>
        <v>0</v>
      </c>
      <c r="F71" s="72"/>
      <c r="G71" s="11">
        <v>-35143.199999999997</v>
      </c>
      <c r="H71" s="62">
        <f t="shared" si="0"/>
        <v>0</v>
      </c>
      <c r="I71" s="76"/>
      <c r="J71" s="1"/>
    </row>
    <row r="72" spans="1:10" s="9" customFormat="1" ht="13.9" hidden="1" customHeight="1" x14ac:dyDescent="0.25">
      <c r="A72" s="27">
        <v>43890</v>
      </c>
      <c r="B72" s="9" t="s">
        <v>9</v>
      </c>
      <c r="C72" s="35" t="s">
        <v>90</v>
      </c>
      <c r="D72" s="17">
        <f>-27197.06-27046.8+27197.06</f>
        <v>-27046.799999999999</v>
      </c>
      <c r="E72" s="43">
        <f>27197.06-27197.06</f>
        <v>0</v>
      </c>
      <c r="F72" s="17"/>
      <c r="G72" s="11">
        <v>-27046.799999999999</v>
      </c>
      <c r="H72" s="62">
        <f t="shared" si="0"/>
        <v>0</v>
      </c>
      <c r="I72" s="76"/>
      <c r="J72" s="1"/>
    </row>
    <row r="73" spans="1:10" s="9" customFormat="1" ht="13.9" hidden="1" customHeight="1" x14ac:dyDescent="0.25">
      <c r="A73" s="27">
        <v>43890</v>
      </c>
      <c r="B73" s="9" t="s">
        <v>9</v>
      </c>
      <c r="C73" s="35" t="s">
        <v>91</v>
      </c>
      <c r="D73" s="17">
        <f>2749.49-2749.49-3178.64</f>
        <v>-3178.64</v>
      </c>
      <c r="E73" s="5"/>
      <c r="F73" s="73">
        <f>-2749.49+2749.49</f>
        <v>0</v>
      </c>
      <c r="G73" s="11">
        <v>-3178.64</v>
      </c>
      <c r="H73" s="62">
        <f t="shared" si="0"/>
        <v>0</v>
      </c>
      <c r="I73" s="76"/>
      <c r="J73" s="1"/>
    </row>
    <row r="74" spans="1:10" s="9" customFormat="1" ht="13.9" hidden="1" customHeight="1" x14ac:dyDescent="0.25">
      <c r="A74" s="27">
        <v>43890</v>
      </c>
      <c r="B74" s="9" t="s">
        <v>9</v>
      </c>
      <c r="C74" s="35" t="s">
        <v>84</v>
      </c>
      <c r="D74" s="17">
        <v>-55656.31</v>
      </c>
      <c r="E74" s="5"/>
      <c r="F74" s="73"/>
      <c r="G74" s="11">
        <v>-55656.31</v>
      </c>
      <c r="H74" s="62">
        <f t="shared" si="0"/>
        <v>0</v>
      </c>
      <c r="I74" s="76"/>
      <c r="J74" s="1"/>
    </row>
    <row r="75" spans="1:10" s="9" customFormat="1" ht="13.9" hidden="1" customHeight="1" x14ac:dyDescent="0.25">
      <c r="A75" s="27">
        <v>43921</v>
      </c>
      <c r="B75" s="9" t="s">
        <v>9</v>
      </c>
      <c r="C75" s="35" t="s">
        <v>39</v>
      </c>
      <c r="D75" s="17">
        <v>-5875.06</v>
      </c>
      <c r="E75" s="5"/>
      <c r="F75" s="17"/>
      <c r="G75" s="11">
        <v>-5875.06</v>
      </c>
      <c r="H75" s="62">
        <f t="shared" si="0"/>
        <v>0</v>
      </c>
      <c r="I75" s="76"/>
      <c r="J75" s="1"/>
    </row>
    <row r="76" spans="1:10" s="9" customFormat="1" ht="13.9" hidden="1" customHeight="1" x14ac:dyDescent="0.25">
      <c r="A76" s="27">
        <v>43921</v>
      </c>
      <c r="B76" s="9" t="s">
        <v>9</v>
      </c>
      <c r="C76" s="35" t="s">
        <v>34</v>
      </c>
      <c r="D76" s="17">
        <v>24426.42</v>
      </c>
      <c r="E76" s="5"/>
      <c r="F76" s="17"/>
      <c r="G76" s="11">
        <v>24426.42</v>
      </c>
      <c r="H76" s="62">
        <f t="shared" si="0"/>
        <v>0</v>
      </c>
      <c r="I76" s="76"/>
      <c r="J76" s="1"/>
    </row>
    <row r="77" spans="1:10" s="9" customFormat="1" ht="13.9" hidden="1" customHeight="1" x14ac:dyDescent="0.25">
      <c r="A77" s="27">
        <v>43921</v>
      </c>
      <c r="B77" s="9" t="s">
        <v>9</v>
      </c>
      <c r="C77" s="35" t="s">
        <v>35</v>
      </c>
      <c r="D77" s="17">
        <v>-34324.230000000003</v>
      </c>
      <c r="E77" s="5"/>
      <c r="F77" s="17"/>
      <c r="G77" s="11">
        <v>-34324.230000000003</v>
      </c>
      <c r="H77" s="62">
        <f t="shared" si="0"/>
        <v>0</v>
      </c>
      <c r="I77" s="76"/>
      <c r="J77" s="1"/>
    </row>
    <row r="78" spans="1:10" s="9" customFormat="1" ht="13.9" hidden="1" customHeight="1" x14ac:dyDescent="0.25">
      <c r="A78" s="27">
        <v>43921</v>
      </c>
      <c r="B78" s="9" t="s">
        <v>9</v>
      </c>
      <c r="C78" s="35" t="s">
        <v>37</v>
      </c>
      <c r="D78" s="17">
        <v>0</v>
      </c>
      <c r="E78" s="5"/>
      <c r="F78" s="17"/>
      <c r="G78" s="11">
        <v>0</v>
      </c>
      <c r="H78" s="62">
        <f t="shared" si="0"/>
        <v>0</v>
      </c>
      <c r="I78" s="76"/>
      <c r="J78" s="1"/>
    </row>
    <row r="79" spans="1:10" s="9" customFormat="1" ht="13.9" hidden="1" customHeight="1" x14ac:dyDescent="0.25">
      <c r="A79" s="27">
        <v>43921</v>
      </c>
      <c r="B79" s="9" t="s">
        <v>9</v>
      </c>
      <c r="C79" s="35" t="s">
        <v>92</v>
      </c>
      <c r="D79" s="17">
        <v>34324.230000000003</v>
      </c>
      <c r="E79" s="5"/>
      <c r="F79" s="17"/>
      <c r="G79" s="11">
        <v>34324.230000000003</v>
      </c>
      <c r="H79" s="62">
        <f t="shared" si="0"/>
        <v>0</v>
      </c>
      <c r="I79" s="3"/>
      <c r="J79" s="1"/>
    </row>
    <row r="80" spans="1:10" s="9" customFormat="1" ht="13.9" hidden="1" customHeight="1" x14ac:dyDescent="0.25">
      <c r="A80" s="27">
        <v>43921</v>
      </c>
      <c r="B80" s="9" t="s">
        <v>9</v>
      </c>
      <c r="C80" s="35" t="s">
        <v>96</v>
      </c>
      <c r="D80" s="17">
        <f>-19547.19+489.85+19057.34-19057.34</f>
        <v>-19057.34</v>
      </c>
      <c r="E80" s="16">
        <f>19547.19-489.85-19057.34</f>
        <v>0</v>
      </c>
      <c r="F80" s="17"/>
      <c r="G80" s="11">
        <v>-19057.34</v>
      </c>
      <c r="H80" s="62">
        <f t="shared" si="0"/>
        <v>0</v>
      </c>
      <c r="I80" s="3"/>
      <c r="J80" s="1"/>
    </row>
    <row r="81" spans="1:10" s="9" customFormat="1" ht="13.9" hidden="1" customHeight="1" x14ac:dyDescent="0.25">
      <c r="A81" s="27">
        <v>43921</v>
      </c>
      <c r="B81" s="9" t="s">
        <v>9</v>
      </c>
      <c r="C81" s="35" t="s">
        <v>97</v>
      </c>
      <c r="D81" s="17">
        <f>-71970.79+71970.79-30284.56</f>
        <v>-30284.560000000001</v>
      </c>
      <c r="E81" s="78">
        <f>71970.79-71970.79</f>
        <v>0</v>
      </c>
      <c r="F81" s="17"/>
      <c r="G81" s="11">
        <v>-30284.560000000001</v>
      </c>
      <c r="H81" s="62">
        <f t="shared" si="0"/>
        <v>0</v>
      </c>
      <c r="I81" s="3"/>
      <c r="J81" s="1"/>
    </row>
    <row r="82" spans="1:10" s="9" customFormat="1" ht="13.9" hidden="1" customHeight="1" x14ac:dyDescent="0.25">
      <c r="A82" s="27">
        <v>43921</v>
      </c>
      <c r="B82" s="9" t="s">
        <v>9</v>
      </c>
      <c r="C82" s="35" t="s">
        <v>98</v>
      </c>
      <c r="D82" s="17">
        <f>-4069.68+4069.68-4069.99</f>
        <v>-4069.99</v>
      </c>
      <c r="E82" s="78">
        <f>54069.68-50000-4069.68</f>
        <v>0</v>
      </c>
      <c r="F82" s="17"/>
      <c r="G82" s="11">
        <v>-4069.99</v>
      </c>
      <c r="H82" s="62">
        <f t="shared" si="0"/>
        <v>0</v>
      </c>
      <c r="I82" s="3"/>
      <c r="J82" s="1"/>
    </row>
    <row r="83" spans="1:10" s="9" customFormat="1" ht="13.9" hidden="1" customHeight="1" x14ac:dyDescent="0.25">
      <c r="A83" s="27">
        <v>43921</v>
      </c>
      <c r="B83" s="9" t="s">
        <v>9</v>
      </c>
      <c r="C83" s="35" t="s">
        <v>39</v>
      </c>
      <c r="D83" s="17">
        <v>-6708.4</v>
      </c>
      <c r="E83" s="77"/>
      <c r="F83" s="17"/>
      <c r="G83" s="11">
        <v>-6708.4</v>
      </c>
      <c r="H83" s="62">
        <f t="shared" si="0"/>
        <v>0</v>
      </c>
      <c r="I83" s="3"/>
      <c r="J83" s="1"/>
    </row>
    <row r="84" spans="1:10" s="9" customFormat="1" ht="13.9" hidden="1" customHeight="1" x14ac:dyDescent="0.25">
      <c r="A84" s="27">
        <v>43921</v>
      </c>
      <c r="B84" s="9" t="s">
        <v>9</v>
      </c>
      <c r="C84" s="35" t="s">
        <v>34</v>
      </c>
      <c r="D84" s="17">
        <v>8933.5499999999993</v>
      </c>
      <c r="E84" s="5"/>
      <c r="F84" s="73"/>
      <c r="G84" s="11">
        <v>8933.5499999999993</v>
      </c>
      <c r="H84" s="62">
        <f t="shared" si="0"/>
        <v>0</v>
      </c>
      <c r="I84" s="3"/>
      <c r="J84" s="1"/>
    </row>
    <row r="85" spans="1:10" s="9" customFormat="1" ht="13.9" hidden="1" customHeight="1" x14ac:dyDescent="0.25">
      <c r="A85" s="27">
        <v>43921</v>
      </c>
      <c r="B85" s="9" t="s">
        <v>9</v>
      </c>
      <c r="C85" s="35" t="s">
        <v>35</v>
      </c>
      <c r="D85" s="17">
        <v>-99317.34</v>
      </c>
      <c r="E85" s="78"/>
      <c r="F85" s="17"/>
      <c r="G85" s="11">
        <v>-99317.34</v>
      </c>
      <c r="H85" s="62">
        <f t="shared" si="0"/>
        <v>0</v>
      </c>
      <c r="I85" s="3"/>
      <c r="J85" s="1"/>
    </row>
    <row r="86" spans="1:10" s="9" customFormat="1" ht="13.9" hidden="1" customHeight="1" x14ac:dyDescent="0.25">
      <c r="A86" s="27">
        <v>43921</v>
      </c>
      <c r="B86" s="9" t="s">
        <v>9</v>
      </c>
      <c r="C86" s="35" t="s">
        <v>37</v>
      </c>
      <c r="D86" s="17">
        <v>0</v>
      </c>
      <c r="E86" s="5"/>
      <c r="F86" s="17"/>
      <c r="G86" s="11">
        <v>0</v>
      </c>
      <c r="H86" s="62">
        <f t="shared" si="0"/>
        <v>0</v>
      </c>
      <c r="I86" s="3"/>
      <c r="J86" s="1"/>
    </row>
    <row r="87" spans="1:10" s="9" customFormat="1" ht="13.9" hidden="1" customHeight="1" x14ac:dyDescent="0.25">
      <c r="A87" s="27">
        <v>43951</v>
      </c>
      <c r="B87" s="9" t="s">
        <v>10</v>
      </c>
      <c r="C87" s="35" t="s">
        <v>93</v>
      </c>
      <c r="D87" s="17">
        <f>-20784.69+25.07</f>
        <v>-20759.62</v>
      </c>
      <c r="E87" s="16">
        <f>20784.69-25.07-20759.62</f>
        <v>0</v>
      </c>
      <c r="F87" s="17"/>
      <c r="G87" s="11">
        <v>-20759.62</v>
      </c>
      <c r="H87" s="62">
        <f>D87-G87</f>
        <v>0</v>
      </c>
      <c r="I87" s="3"/>
      <c r="J87" s="1"/>
    </row>
    <row r="88" spans="1:10" s="9" customFormat="1" ht="13.9" hidden="1" customHeight="1" x14ac:dyDescent="0.25">
      <c r="A88" s="27">
        <v>43951</v>
      </c>
      <c r="B88" s="9" t="s">
        <v>10</v>
      </c>
      <c r="C88" s="35" t="s">
        <v>94</v>
      </c>
      <c r="D88" s="17">
        <f>-35139.65+42.39</f>
        <v>-35097.26</v>
      </c>
      <c r="E88" s="16">
        <f>35139.65-42.39-35097.26</f>
        <v>0</v>
      </c>
      <c r="F88" s="17"/>
      <c r="G88" s="11">
        <v>-35097.26</v>
      </c>
      <c r="H88" s="62">
        <f t="shared" si="0"/>
        <v>0</v>
      </c>
      <c r="I88" s="3"/>
      <c r="J88" s="1"/>
    </row>
    <row r="89" spans="1:10" s="9" customFormat="1" ht="13.9" hidden="1" customHeight="1" x14ac:dyDescent="0.25">
      <c r="A89" s="27">
        <v>43951</v>
      </c>
      <c r="B89" s="9" t="s">
        <v>10</v>
      </c>
      <c r="C89" s="35" t="s">
        <v>95</v>
      </c>
      <c r="D89" s="17">
        <f>18285.63-18285.63+18285.63</f>
        <v>18285.63</v>
      </c>
      <c r="E89" s="5"/>
      <c r="F89" s="73">
        <f>-18285.63+18285.63</f>
        <v>0</v>
      </c>
      <c r="G89" s="11">
        <v>18285.63</v>
      </c>
      <c r="H89" s="62">
        <f t="shared" si="0"/>
        <v>0</v>
      </c>
      <c r="I89" s="3"/>
      <c r="J89" s="1"/>
    </row>
    <row r="90" spans="1:10" s="9" customFormat="1" ht="13.9" hidden="1" customHeight="1" x14ac:dyDescent="0.25">
      <c r="A90" s="27">
        <v>43951</v>
      </c>
      <c r="B90" s="9" t="s">
        <v>10</v>
      </c>
      <c r="C90" s="35" t="s">
        <v>37</v>
      </c>
      <c r="D90" s="17">
        <v>0</v>
      </c>
      <c r="E90" s="5"/>
      <c r="F90" s="17"/>
      <c r="G90" s="11">
        <v>0</v>
      </c>
      <c r="H90" s="62">
        <f t="shared" si="0"/>
        <v>0</v>
      </c>
      <c r="I90" s="3"/>
      <c r="J90" s="1"/>
    </row>
    <row r="91" spans="1:10" s="9" customFormat="1" ht="13.9" hidden="1" customHeight="1" x14ac:dyDescent="0.25">
      <c r="A91" s="27">
        <v>43951</v>
      </c>
      <c r="B91" s="9" t="s">
        <v>10</v>
      </c>
      <c r="C91" s="35" t="s">
        <v>99</v>
      </c>
      <c r="D91" s="17">
        <v>99317.34</v>
      </c>
      <c r="E91" s="5"/>
      <c r="F91" s="17"/>
      <c r="G91" s="11">
        <v>99317.34</v>
      </c>
      <c r="H91" s="62">
        <f t="shared" si="0"/>
        <v>0</v>
      </c>
      <c r="I91" s="3"/>
      <c r="J91" s="1"/>
    </row>
    <row r="92" spans="1:10" s="9" customFormat="1" ht="13.9" hidden="1" customHeight="1" x14ac:dyDescent="0.25">
      <c r="A92" s="27">
        <v>43951</v>
      </c>
      <c r="B92" s="9" t="s">
        <v>10</v>
      </c>
      <c r="C92" s="35" t="s">
        <v>39</v>
      </c>
      <c r="D92" s="17">
        <v>-63600.27</v>
      </c>
      <c r="E92" s="5"/>
      <c r="F92" s="17"/>
      <c r="G92" s="11">
        <v>-63600.27</v>
      </c>
      <c r="H92" s="62">
        <f t="shared" si="0"/>
        <v>0</v>
      </c>
      <c r="I92" s="3"/>
      <c r="J92" s="1"/>
    </row>
    <row r="93" spans="1:10" s="9" customFormat="1" ht="13.9" hidden="1" customHeight="1" x14ac:dyDescent="0.25">
      <c r="A93" s="27">
        <v>43951</v>
      </c>
      <c r="B93" s="9" t="s">
        <v>10</v>
      </c>
      <c r="C93" s="35" t="s">
        <v>34</v>
      </c>
      <c r="D93" s="17">
        <v>-3416.69</v>
      </c>
      <c r="E93" s="5"/>
      <c r="F93" s="17"/>
      <c r="G93" s="11">
        <v>-3416.69</v>
      </c>
      <c r="H93" s="62">
        <f t="shared" si="0"/>
        <v>0</v>
      </c>
      <c r="I93" s="3"/>
      <c r="J93" s="1"/>
    </row>
    <row r="94" spans="1:10" s="9" customFormat="1" ht="13.9" hidden="1" customHeight="1" x14ac:dyDescent="0.25">
      <c r="A94" s="27">
        <v>43951</v>
      </c>
      <c r="B94" s="9" t="s">
        <v>10</v>
      </c>
      <c r="C94" s="35" t="s">
        <v>35</v>
      </c>
      <c r="D94" s="17">
        <v>-55825.72</v>
      </c>
      <c r="E94" s="5"/>
      <c r="F94" s="17"/>
      <c r="G94" s="11">
        <v>-55825.72</v>
      </c>
      <c r="H94" s="62">
        <f t="shared" si="0"/>
        <v>0</v>
      </c>
      <c r="I94" s="3"/>
      <c r="J94" s="1"/>
    </row>
    <row r="95" spans="1:10" s="9" customFormat="1" ht="13.9" hidden="1" customHeight="1" x14ac:dyDescent="0.25">
      <c r="A95" s="27">
        <v>43951</v>
      </c>
      <c r="B95" s="9" t="s">
        <v>10</v>
      </c>
      <c r="C95" s="35" t="s">
        <v>37</v>
      </c>
      <c r="D95" s="17">
        <v>0</v>
      </c>
      <c r="E95" s="5"/>
      <c r="F95" s="17"/>
      <c r="G95" s="11">
        <v>0</v>
      </c>
      <c r="H95" s="62">
        <f t="shared" si="0"/>
        <v>0</v>
      </c>
      <c r="I95" s="3"/>
      <c r="J95" s="1"/>
    </row>
    <row r="96" spans="1:10" s="9" customFormat="1" ht="13.9" customHeight="1" x14ac:dyDescent="0.25">
      <c r="A96" s="27">
        <v>43982</v>
      </c>
      <c r="B96" s="9" t="s">
        <v>10</v>
      </c>
      <c r="C96" s="35" t="s">
        <v>101</v>
      </c>
      <c r="D96" s="17">
        <f>6657.07-246.45</f>
        <v>6410.62</v>
      </c>
      <c r="E96" s="5"/>
      <c r="F96" s="17">
        <f>-6657.07+246.45+6410.62</f>
        <v>0</v>
      </c>
      <c r="G96" s="11">
        <v>6657.07</v>
      </c>
      <c r="H96" s="62">
        <f t="shared" si="0"/>
        <v>-246.44999999999982</v>
      </c>
      <c r="I96" s="3"/>
      <c r="J96" s="1"/>
    </row>
    <row r="97" spans="1:10" s="9" customFormat="1" ht="13.9" customHeight="1" x14ac:dyDescent="0.25">
      <c r="A97" s="27">
        <v>43982</v>
      </c>
      <c r="B97" s="9" t="s">
        <v>10</v>
      </c>
      <c r="C97" s="35" t="s">
        <v>102</v>
      </c>
      <c r="D97" s="17">
        <f>-39806.95+23.74</f>
        <v>-39783.21</v>
      </c>
      <c r="E97" s="5">
        <f>39806.95-23.74-39783.21</f>
        <v>0</v>
      </c>
      <c r="F97" s="17"/>
      <c r="G97" s="11">
        <v>-39806.949999999997</v>
      </c>
      <c r="H97" s="62">
        <f t="shared" si="0"/>
        <v>23.739999999997963</v>
      </c>
      <c r="I97" s="3"/>
      <c r="J97" s="1"/>
    </row>
    <row r="98" spans="1:10" s="9" customFormat="1" ht="13.9" customHeight="1" x14ac:dyDescent="0.25">
      <c r="A98" s="27">
        <v>43982</v>
      </c>
      <c r="B98" s="9" t="s">
        <v>10</v>
      </c>
      <c r="C98" s="35" t="s">
        <v>103</v>
      </c>
      <c r="D98" s="17">
        <f>-27747.51-275.24</f>
        <v>-28022.75</v>
      </c>
      <c r="E98" s="5">
        <f>27747.51+275.24-28022.75</f>
        <v>0</v>
      </c>
      <c r="F98" s="17"/>
      <c r="G98" s="11">
        <v>-27747.51</v>
      </c>
      <c r="H98" s="62">
        <f t="shared" si="0"/>
        <v>-275.2400000000016</v>
      </c>
      <c r="I98" s="3"/>
      <c r="J98" s="1"/>
    </row>
    <row r="99" spans="1:10" s="9" customFormat="1" ht="13.9" hidden="1" customHeight="1" x14ac:dyDescent="0.25">
      <c r="A99" s="27">
        <v>43982</v>
      </c>
      <c r="B99" s="9" t="s">
        <v>10</v>
      </c>
      <c r="C99" s="35" t="s">
        <v>37</v>
      </c>
      <c r="D99" s="17">
        <v>0</v>
      </c>
      <c r="E99" s="5"/>
      <c r="F99" s="17"/>
      <c r="G99" s="11">
        <v>0</v>
      </c>
      <c r="H99" s="62">
        <f t="shared" si="0"/>
        <v>0</v>
      </c>
      <c r="I99" s="3"/>
      <c r="J99" s="1"/>
    </row>
    <row r="100" spans="1:10" s="9" customFormat="1" ht="13.9" hidden="1" customHeight="1" x14ac:dyDescent="0.25">
      <c r="A100" s="27">
        <v>43982</v>
      </c>
      <c r="B100" s="9" t="s">
        <v>10</v>
      </c>
      <c r="C100" s="35" t="s">
        <v>100</v>
      </c>
      <c r="D100" s="17">
        <v>55825.72</v>
      </c>
      <c r="E100" s="5"/>
      <c r="F100" s="17"/>
      <c r="G100" s="11">
        <v>55825.72</v>
      </c>
      <c r="H100" s="62">
        <f t="shared" si="0"/>
        <v>0</v>
      </c>
      <c r="I100" s="3"/>
      <c r="J100" s="1"/>
    </row>
    <row r="101" spans="1:10" s="9" customFormat="1" ht="13.9" hidden="1" customHeight="1" x14ac:dyDescent="0.25">
      <c r="A101" s="27">
        <v>43982</v>
      </c>
      <c r="B101" s="9" t="s">
        <v>10</v>
      </c>
      <c r="C101" s="35" t="s">
        <v>39</v>
      </c>
      <c r="D101" s="17">
        <v>-3458.36</v>
      </c>
      <c r="E101" s="5"/>
      <c r="F101" s="17"/>
      <c r="G101" s="11">
        <v>-3458.36</v>
      </c>
      <c r="H101" s="62">
        <f t="shared" si="0"/>
        <v>0</v>
      </c>
      <c r="I101" s="3"/>
      <c r="J101" s="1"/>
    </row>
    <row r="102" spans="1:10" s="9" customFormat="1" ht="13.9" customHeight="1" x14ac:dyDescent="0.25">
      <c r="A102" s="27">
        <v>43982</v>
      </c>
      <c r="B102" s="9" t="s">
        <v>10</v>
      </c>
      <c r="C102" s="35" t="s">
        <v>34</v>
      </c>
      <c r="D102" s="17">
        <f>-25900.51-29.59</f>
        <v>-25930.1</v>
      </c>
      <c r="E102" s="5"/>
      <c r="F102" s="17"/>
      <c r="G102" s="11">
        <v>-25900.51</v>
      </c>
      <c r="H102" s="62">
        <f t="shared" si="0"/>
        <v>-29.590000000000146</v>
      </c>
      <c r="I102" s="3"/>
      <c r="J102" s="1"/>
    </row>
    <row r="103" spans="1:10" s="9" customFormat="1" ht="13.9" customHeight="1" x14ac:dyDescent="0.25">
      <c r="A103" s="27">
        <v>43982</v>
      </c>
      <c r="B103" s="9" t="s">
        <v>10</v>
      </c>
      <c r="C103" s="35" t="s">
        <v>35</v>
      </c>
      <c r="D103" s="17">
        <f>-33642.7+9266.09</f>
        <v>-24376.609999999997</v>
      </c>
      <c r="E103" s="5"/>
      <c r="F103" s="17"/>
      <c r="G103" s="11">
        <v>-33642.699999999997</v>
      </c>
      <c r="H103" s="62">
        <f t="shared" si="0"/>
        <v>9266.09</v>
      </c>
      <c r="I103" s="3"/>
      <c r="J103" s="1"/>
    </row>
    <row r="104" spans="1:10" s="9" customFormat="1" ht="13.9" hidden="1" customHeight="1" x14ac:dyDescent="0.25">
      <c r="A104" s="27">
        <v>43982</v>
      </c>
      <c r="B104" s="9" t="s">
        <v>10</v>
      </c>
      <c r="C104" s="35" t="s">
        <v>37</v>
      </c>
      <c r="D104" s="17">
        <v>0</v>
      </c>
      <c r="E104" s="5"/>
      <c r="F104" s="17"/>
      <c r="G104" s="11">
        <v>0</v>
      </c>
      <c r="H104" s="62">
        <f t="shared" si="0"/>
        <v>0</v>
      </c>
      <c r="I104" s="3"/>
      <c r="J104" s="1"/>
    </row>
    <row r="105" spans="1:10" s="9" customFormat="1" ht="13.9" customHeight="1" x14ac:dyDescent="0.25">
      <c r="A105" s="27">
        <v>44012</v>
      </c>
      <c r="B105" s="9" t="s">
        <v>10</v>
      </c>
      <c r="C105" s="35" t="s">
        <v>105</v>
      </c>
      <c r="D105" s="17">
        <f>-6884.15+353.43</f>
        <v>-6530.7199999999993</v>
      </c>
      <c r="E105" s="5">
        <f>6884.15-353.43-6530.72</f>
        <v>0</v>
      </c>
      <c r="F105" s="17"/>
      <c r="G105" s="38"/>
      <c r="H105" s="62">
        <f t="shared" si="0"/>
        <v>-6530.7199999999993</v>
      </c>
      <c r="I105" s="3"/>
      <c r="J105" s="1"/>
    </row>
    <row r="106" spans="1:10" s="9" customFormat="1" ht="13.9" customHeight="1" x14ac:dyDescent="0.25">
      <c r="A106" s="27">
        <v>44012</v>
      </c>
      <c r="B106" s="9" t="s">
        <v>10</v>
      </c>
      <c r="C106" s="35" t="s">
        <v>106</v>
      </c>
      <c r="D106" s="17">
        <f>-30007.16+38.79</f>
        <v>-29968.37</v>
      </c>
      <c r="E106" s="5">
        <f>30007.16-38.79-29968.37</f>
        <v>0</v>
      </c>
      <c r="F106" s="17"/>
      <c r="G106" s="38"/>
      <c r="H106" s="62">
        <f t="shared" si="0"/>
        <v>-29968.37</v>
      </c>
      <c r="I106" s="3"/>
      <c r="J106" s="1"/>
    </row>
    <row r="107" spans="1:10" s="9" customFormat="1" ht="13.9" customHeight="1" x14ac:dyDescent="0.25">
      <c r="A107" s="27">
        <v>44012</v>
      </c>
      <c r="B107" s="9" t="s">
        <v>10</v>
      </c>
      <c r="C107" s="35" t="s">
        <v>107</v>
      </c>
      <c r="D107" s="17">
        <f>-45333.66-2312.7</f>
        <v>-47646.36</v>
      </c>
      <c r="E107" s="5">
        <f>45333.66+2312.7-47646.36</f>
        <v>0</v>
      </c>
      <c r="F107" s="17"/>
      <c r="G107" s="38"/>
      <c r="H107" s="62">
        <f t="shared" si="0"/>
        <v>-47646.36</v>
      </c>
      <c r="I107" s="3"/>
      <c r="J107" s="1"/>
    </row>
    <row r="108" spans="1:10" s="9" customFormat="1" ht="13.9" hidden="1" customHeight="1" x14ac:dyDescent="0.25">
      <c r="A108" s="27">
        <v>44012</v>
      </c>
      <c r="B108" s="9" t="s">
        <v>10</v>
      </c>
      <c r="C108" s="35" t="s">
        <v>37</v>
      </c>
      <c r="D108" s="17">
        <v>0</v>
      </c>
      <c r="E108" s="5"/>
      <c r="F108" s="17"/>
      <c r="G108" s="38"/>
      <c r="H108" s="62">
        <f t="shared" si="0"/>
        <v>0</v>
      </c>
      <c r="I108" s="3"/>
      <c r="J108" s="1"/>
    </row>
    <row r="109" spans="1:10" s="9" customFormat="1" ht="13.9" customHeight="1" x14ac:dyDescent="0.25">
      <c r="A109" s="27">
        <v>44012</v>
      </c>
      <c r="B109" s="9" t="s">
        <v>10</v>
      </c>
      <c r="C109" s="35" t="s">
        <v>104</v>
      </c>
      <c r="D109" s="17">
        <v>24376.61</v>
      </c>
      <c r="E109" s="5"/>
      <c r="F109" s="17"/>
      <c r="G109" s="38"/>
      <c r="H109" s="62">
        <f t="shared" si="0"/>
        <v>24376.61</v>
      </c>
      <c r="I109" s="3"/>
      <c r="J109" s="1"/>
    </row>
    <row r="110" spans="1:10" s="9" customFormat="1" ht="13.9" customHeight="1" x14ac:dyDescent="0.25">
      <c r="A110" s="27">
        <v>44012</v>
      </c>
      <c r="B110" s="9" t="s">
        <v>10</v>
      </c>
      <c r="C110" s="35" t="s">
        <v>39</v>
      </c>
      <c r="D110" s="17">
        <v>-2833.36</v>
      </c>
      <c r="E110" s="5"/>
      <c r="F110" s="17"/>
      <c r="G110" s="38"/>
      <c r="H110" s="62">
        <f t="shared" si="0"/>
        <v>-2833.36</v>
      </c>
      <c r="I110" s="3"/>
      <c r="J110" s="1"/>
    </row>
    <row r="111" spans="1:10" s="9" customFormat="1" ht="13.9" customHeight="1" x14ac:dyDescent="0.25">
      <c r="A111" s="27">
        <v>44012</v>
      </c>
      <c r="B111" s="9" t="s">
        <v>10</v>
      </c>
      <c r="C111" s="35" t="s">
        <v>34</v>
      </c>
      <c r="D111" s="17">
        <f>382.03-0.01</f>
        <v>382.02</v>
      </c>
      <c r="E111" s="5"/>
      <c r="F111" s="17"/>
      <c r="G111" s="38"/>
      <c r="H111" s="62">
        <f t="shared" si="0"/>
        <v>382.02</v>
      </c>
      <c r="I111" s="3"/>
      <c r="J111" s="1"/>
    </row>
    <row r="112" spans="1:10" s="9" customFormat="1" ht="13.9" customHeight="1" x14ac:dyDescent="0.25">
      <c r="A112" s="27">
        <v>44012</v>
      </c>
      <c r="B112" s="9" t="s">
        <v>10</v>
      </c>
      <c r="C112" s="35" t="s">
        <v>35</v>
      </c>
      <c r="D112" s="17">
        <v>-33642.699999999997</v>
      </c>
      <c r="E112" s="5"/>
      <c r="F112" s="17"/>
      <c r="G112" s="38"/>
      <c r="H112" s="62">
        <f t="shared" si="0"/>
        <v>-33642.699999999997</v>
      </c>
      <c r="I112" s="3"/>
      <c r="J112" s="1"/>
    </row>
    <row r="113" spans="1:10" s="9" customFormat="1" ht="13.9" hidden="1" customHeight="1" x14ac:dyDescent="0.25">
      <c r="A113" s="27">
        <v>44012</v>
      </c>
      <c r="B113" s="9" t="s">
        <v>10</v>
      </c>
      <c r="C113" s="35" t="s">
        <v>37</v>
      </c>
      <c r="D113" s="17">
        <v>0</v>
      </c>
      <c r="E113" s="5"/>
      <c r="F113" s="17"/>
      <c r="G113" s="38"/>
      <c r="H113" s="62">
        <f t="shared" si="0"/>
        <v>0</v>
      </c>
      <c r="I113" s="3"/>
      <c r="J113" s="1"/>
    </row>
    <row r="114" spans="1:10" s="9" customFormat="1" ht="13.9" customHeight="1" x14ac:dyDescent="0.25">
      <c r="A114" s="27">
        <v>44043</v>
      </c>
      <c r="B114" s="9" t="s">
        <v>13</v>
      </c>
      <c r="C114" s="35" t="s">
        <v>108</v>
      </c>
      <c r="D114" s="17">
        <f>-83244.29-875.23</f>
        <v>-84119.51999999999</v>
      </c>
      <c r="E114" s="5">
        <f>83244.29+875.23-84119.52</f>
        <v>0</v>
      </c>
      <c r="F114" s="17"/>
      <c r="G114" s="38"/>
      <c r="H114" s="62">
        <f t="shared" si="0"/>
        <v>-84119.51999999999</v>
      </c>
      <c r="I114" s="3"/>
      <c r="J114" s="1"/>
    </row>
    <row r="115" spans="1:10" s="9" customFormat="1" ht="13.9" customHeight="1" x14ac:dyDescent="0.25">
      <c r="A115" s="27">
        <v>44043</v>
      </c>
      <c r="B115" s="9" t="s">
        <v>13</v>
      </c>
      <c r="C115" s="35" t="s">
        <v>109</v>
      </c>
      <c r="D115" s="17">
        <f>-25846.06-271.75</f>
        <v>-26117.81</v>
      </c>
      <c r="E115" s="5">
        <f>25846.06+271.75-26117.81</f>
        <v>0</v>
      </c>
      <c r="F115" s="17"/>
      <c r="G115" s="38"/>
      <c r="H115" s="62">
        <f t="shared" si="0"/>
        <v>-26117.81</v>
      </c>
      <c r="I115" s="3"/>
      <c r="J115" s="1"/>
    </row>
    <row r="116" spans="1:10" s="9" customFormat="1" ht="13.9" customHeight="1" x14ac:dyDescent="0.25">
      <c r="A116" s="27">
        <v>44043</v>
      </c>
      <c r="B116" s="9" t="s">
        <v>13</v>
      </c>
      <c r="C116" s="35" t="s">
        <v>110</v>
      </c>
      <c r="D116" s="17">
        <f>4826.49+671.36</f>
        <v>5497.8499999999995</v>
      </c>
      <c r="E116" s="5"/>
      <c r="F116" s="17">
        <f>-4826.49-671.36+5497.85</f>
        <v>0</v>
      </c>
      <c r="G116" s="38"/>
      <c r="H116" s="62">
        <f t="shared" si="0"/>
        <v>5497.8499999999995</v>
      </c>
      <c r="I116" s="3"/>
      <c r="J116" s="1"/>
    </row>
    <row r="117" spans="1:10" s="9" customFormat="1" ht="13.9" hidden="1" customHeight="1" x14ac:dyDescent="0.25">
      <c r="A117" s="27">
        <v>44043</v>
      </c>
      <c r="B117" s="9" t="s">
        <v>13</v>
      </c>
      <c r="C117" s="35" t="s">
        <v>37</v>
      </c>
      <c r="D117" s="17">
        <v>0</v>
      </c>
      <c r="E117" s="5"/>
      <c r="F117" s="17"/>
      <c r="G117" s="38"/>
      <c r="H117" s="62">
        <f t="shared" si="0"/>
        <v>0</v>
      </c>
      <c r="I117" s="3"/>
      <c r="J117" s="1"/>
    </row>
    <row r="118" spans="1:10" s="9" customFormat="1" ht="13.9" customHeight="1" x14ac:dyDescent="0.25">
      <c r="A118" s="27">
        <v>44043</v>
      </c>
      <c r="B118" s="9" t="s">
        <v>13</v>
      </c>
      <c r="C118" s="35" t="s">
        <v>111</v>
      </c>
      <c r="D118" s="17">
        <v>33642.699999999997</v>
      </c>
      <c r="E118" s="5"/>
      <c r="F118" s="17"/>
      <c r="G118" s="38"/>
      <c r="H118" s="62">
        <f t="shared" si="0"/>
        <v>33642.699999999997</v>
      </c>
      <c r="I118" s="3"/>
      <c r="J118" s="1"/>
    </row>
    <row r="119" spans="1:10" s="9" customFormat="1" ht="13.9" customHeight="1" x14ac:dyDescent="0.25">
      <c r="A119" s="27">
        <v>44043</v>
      </c>
      <c r="B119" s="9" t="s">
        <v>13</v>
      </c>
      <c r="C119" s="35" t="s">
        <v>39</v>
      </c>
      <c r="D119" s="17">
        <f>-2041.69+3208.37</f>
        <v>1166.6799999999998</v>
      </c>
      <c r="E119" s="5"/>
      <c r="F119" s="17"/>
      <c r="G119" s="38"/>
      <c r="H119" s="62">
        <f t="shared" si="0"/>
        <v>1166.6799999999998</v>
      </c>
      <c r="I119" s="3"/>
      <c r="J119" s="1"/>
    </row>
    <row r="120" spans="1:10" s="9" customFormat="1" ht="13.9" customHeight="1" x14ac:dyDescent="0.25">
      <c r="A120" s="27">
        <v>44043</v>
      </c>
      <c r="B120" s="9" t="s">
        <v>13</v>
      </c>
      <c r="C120" s="35" t="s">
        <v>34</v>
      </c>
      <c r="D120" s="17">
        <f>33893.09+757.05</f>
        <v>34650.14</v>
      </c>
      <c r="E120" s="5"/>
      <c r="F120" s="17"/>
      <c r="G120" s="38"/>
      <c r="H120" s="62">
        <f t="shared" si="0"/>
        <v>34650.14</v>
      </c>
      <c r="I120" s="3"/>
      <c r="J120" s="1"/>
    </row>
    <row r="121" spans="1:10" s="9" customFormat="1" ht="13.9" customHeight="1" x14ac:dyDescent="0.25">
      <c r="A121" s="27">
        <v>44043</v>
      </c>
      <c r="B121" s="9" t="s">
        <v>13</v>
      </c>
      <c r="C121" s="35" t="s">
        <v>35</v>
      </c>
      <c r="D121" s="17">
        <v>-40947.879999999997</v>
      </c>
      <c r="E121" s="5"/>
      <c r="F121" s="17"/>
      <c r="G121" s="38"/>
      <c r="H121" s="62">
        <f t="shared" si="0"/>
        <v>-40947.879999999997</v>
      </c>
      <c r="I121" s="3"/>
      <c r="J121" s="1"/>
    </row>
    <row r="122" spans="1:10" s="9" customFormat="1" ht="13.9" customHeight="1" x14ac:dyDescent="0.25">
      <c r="A122" s="27">
        <v>44074</v>
      </c>
      <c r="B122" s="18" t="s">
        <v>13</v>
      </c>
      <c r="C122" s="65" t="s">
        <v>112</v>
      </c>
      <c r="D122" s="17">
        <f>-108715.97+13701.77</f>
        <v>-95014.2</v>
      </c>
      <c r="E122" s="5">
        <f>108715.97-13701.77-95014.2</f>
        <v>0</v>
      </c>
      <c r="F122" s="17"/>
      <c r="G122" s="38"/>
      <c r="H122" s="62">
        <f t="shared" si="0"/>
        <v>-95014.2</v>
      </c>
      <c r="I122" s="3"/>
      <c r="J122" s="1"/>
    </row>
    <row r="123" spans="1:10" s="9" customFormat="1" ht="13.9" customHeight="1" x14ac:dyDescent="0.25">
      <c r="A123" s="27">
        <v>44074</v>
      </c>
      <c r="B123" s="18" t="s">
        <v>13</v>
      </c>
      <c r="C123" s="65" t="s">
        <v>113</v>
      </c>
      <c r="D123" s="17">
        <f>-52697.04+39912.35</f>
        <v>-12784.690000000002</v>
      </c>
      <c r="E123" s="5">
        <f>52697.04-39912.35-12784.69</f>
        <v>0</v>
      </c>
      <c r="F123" s="17"/>
      <c r="G123" s="38"/>
      <c r="H123" s="62">
        <f t="shared" si="0"/>
        <v>-12784.690000000002</v>
      </c>
      <c r="I123" s="3"/>
      <c r="J123" s="1"/>
    </row>
    <row r="124" spans="1:10" s="9" customFormat="1" ht="13.9" customHeight="1" x14ac:dyDescent="0.25">
      <c r="A124" s="27">
        <v>44074</v>
      </c>
      <c r="B124" s="18" t="s">
        <v>13</v>
      </c>
      <c r="C124" s="65" t="s">
        <v>114</v>
      </c>
      <c r="D124" s="17">
        <f>4362.1-1.63</f>
        <v>4360.47</v>
      </c>
      <c r="E124" s="5"/>
      <c r="F124" s="17">
        <f>-4362.1+1.63+4360.47</f>
        <v>0</v>
      </c>
      <c r="G124" s="38"/>
      <c r="H124" s="62">
        <f t="shared" si="0"/>
        <v>4360.47</v>
      </c>
      <c r="I124" s="3"/>
      <c r="J124" s="1"/>
    </row>
    <row r="125" spans="1:10" s="9" customFormat="1" ht="13.9" hidden="1" customHeight="1" x14ac:dyDescent="0.25">
      <c r="A125" s="27">
        <v>44074</v>
      </c>
      <c r="B125" s="18" t="s">
        <v>13</v>
      </c>
      <c r="C125" s="65" t="s">
        <v>37</v>
      </c>
      <c r="D125" s="17">
        <v>0</v>
      </c>
      <c r="E125" s="5"/>
      <c r="F125" s="17"/>
      <c r="G125" s="38"/>
      <c r="H125" s="62">
        <f t="shared" si="0"/>
        <v>0</v>
      </c>
      <c r="I125" s="3"/>
      <c r="J125" s="1"/>
    </row>
    <row r="126" spans="1:10" s="9" customFormat="1" ht="13.9" customHeight="1" x14ac:dyDescent="0.25">
      <c r="A126" s="27">
        <v>44074</v>
      </c>
      <c r="B126" s="18" t="s">
        <v>13</v>
      </c>
      <c r="C126" s="65" t="s">
        <v>115</v>
      </c>
      <c r="D126" s="17">
        <v>40947.879999999997</v>
      </c>
      <c r="E126" s="5"/>
      <c r="F126" s="17"/>
      <c r="G126" s="38"/>
      <c r="H126" s="62">
        <f t="shared" si="0"/>
        <v>40947.879999999997</v>
      </c>
      <c r="I126" s="3"/>
      <c r="J126" s="1"/>
    </row>
    <row r="127" spans="1:10" s="9" customFormat="1" ht="13.9" customHeight="1" x14ac:dyDescent="0.25">
      <c r="A127" s="27">
        <v>44074</v>
      </c>
      <c r="B127" s="18" t="s">
        <v>13</v>
      </c>
      <c r="C127" s="65" t="s">
        <v>127</v>
      </c>
      <c r="D127" s="17">
        <v>-1958.35</v>
      </c>
      <c r="E127" s="5"/>
      <c r="F127" s="17"/>
      <c r="G127" s="38"/>
      <c r="H127" s="62">
        <f t="shared" si="0"/>
        <v>-1958.35</v>
      </c>
      <c r="I127" s="3"/>
      <c r="J127" s="1"/>
    </row>
    <row r="128" spans="1:10" s="9" customFormat="1" ht="13.9" customHeight="1" x14ac:dyDescent="0.25">
      <c r="A128" s="27">
        <v>44074</v>
      </c>
      <c r="B128" s="18" t="s">
        <v>13</v>
      </c>
      <c r="C128" s="65" t="s">
        <v>128</v>
      </c>
      <c r="D128" s="17">
        <f>-14987.39+14229.62</f>
        <v>-757.76999999999862</v>
      </c>
      <c r="E128" s="5"/>
      <c r="F128" s="17"/>
      <c r="G128" s="38"/>
      <c r="H128" s="62">
        <f t="shared" si="0"/>
        <v>-757.76999999999862</v>
      </c>
      <c r="I128" s="3"/>
      <c r="J128" s="1"/>
    </row>
    <row r="129" spans="1:10" s="9" customFormat="1" ht="13.9" customHeight="1" x14ac:dyDescent="0.25">
      <c r="A129" s="27">
        <v>44074</v>
      </c>
      <c r="B129" s="18" t="s">
        <v>13</v>
      </c>
      <c r="C129" s="65" t="s">
        <v>129</v>
      </c>
      <c r="D129" s="17">
        <f>-37867.09</f>
        <v>-37867.089999999997</v>
      </c>
      <c r="E129" s="5"/>
      <c r="F129" s="17"/>
      <c r="G129" s="38"/>
      <c r="H129" s="62">
        <f t="shared" si="0"/>
        <v>-37867.089999999997</v>
      </c>
      <c r="I129" s="3"/>
      <c r="J129" s="1"/>
    </row>
    <row r="130" spans="1:10" s="9" customFormat="1" ht="13.9" customHeight="1" x14ac:dyDescent="0.25">
      <c r="A130" s="27">
        <v>44074</v>
      </c>
      <c r="B130" s="18" t="s">
        <v>13</v>
      </c>
      <c r="C130" s="65" t="s">
        <v>130</v>
      </c>
      <c r="D130" s="17">
        <v>-135.47999999999999</v>
      </c>
      <c r="E130" s="5"/>
      <c r="F130" s="17"/>
      <c r="G130" s="38"/>
      <c r="H130" s="62">
        <f t="shared" si="0"/>
        <v>-135.47999999999999</v>
      </c>
      <c r="I130" s="3"/>
      <c r="J130" s="1"/>
    </row>
    <row r="131" spans="1:10" s="9" customFormat="1" ht="13.9" customHeight="1" x14ac:dyDescent="0.25">
      <c r="A131" s="27">
        <v>44104</v>
      </c>
      <c r="B131" s="18" t="s">
        <v>13</v>
      </c>
      <c r="C131" s="65" t="s">
        <v>117</v>
      </c>
      <c r="D131" s="17">
        <f>-37463.1+1902.1</f>
        <v>-35561</v>
      </c>
      <c r="E131" s="5">
        <f>37463.1-1902.1-35561</f>
        <v>0</v>
      </c>
      <c r="F131" s="17"/>
      <c r="G131" s="38"/>
      <c r="H131" s="62">
        <f t="shared" si="0"/>
        <v>-35561</v>
      </c>
      <c r="I131" s="3"/>
      <c r="J131" s="1"/>
    </row>
    <row r="132" spans="1:10" s="9" customFormat="1" ht="13.9" customHeight="1" x14ac:dyDescent="0.25">
      <c r="A132" s="27">
        <v>44104</v>
      </c>
      <c r="B132" s="18" t="s">
        <v>13</v>
      </c>
      <c r="C132" s="65" t="s">
        <v>118</v>
      </c>
      <c r="D132" s="17">
        <f>-11819.68+600.12</f>
        <v>-11219.56</v>
      </c>
      <c r="E132" s="5">
        <f>11819.68-600.12-11219.56</f>
        <v>0</v>
      </c>
      <c r="F132" s="17"/>
      <c r="G132" s="38"/>
      <c r="H132" s="62">
        <f t="shared" si="0"/>
        <v>-11219.56</v>
      </c>
      <c r="I132" s="3"/>
      <c r="J132" s="1"/>
    </row>
    <row r="133" spans="1:10" s="9" customFormat="1" ht="13.9" customHeight="1" x14ac:dyDescent="0.25">
      <c r="A133" s="27">
        <v>44104</v>
      </c>
      <c r="B133" s="18" t="s">
        <v>13</v>
      </c>
      <c r="C133" s="65" t="s">
        <v>119</v>
      </c>
      <c r="D133" s="17">
        <v>20528.650000000001</v>
      </c>
      <c r="E133" s="5"/>
      <c r="F133" s="17">
        <f>-20528.65+20528.65</f>
        <v>0</v>
      </c>
      <c r="G133" s="38"/>
      <c r="H133" s="62">
        <f t="shared" si="0"/>
        <v>20528.650000000001</v>
      </c>
      <c r="I133" s="3"/>
      <c r="J133" s="1"/>
    </row>
    <row r="134" spans="1:10" s="9" customFormat="1" ht="13.9" customHeight="1" x14ac:dyDescent="0.25">
      <c r="A134" s="27">
        <v>44104</v>
      </c>
      <c r="B134" s="18" t="s">
        <v>13</v>
      </c>
      <c r="C134" s="65" t="s">
        <v>121</v>
      </c>
      <c r="D134" s="17">
        <v>37867.089999999997</v>
      </c>
      <c r="E134" s="5"/>
      <c r="F134" s="17"/>
      <c r="G134" s="38"/>
      <c r="H134" s="62">
        <f t="shared" si="0"/>
        <v>37867.089999999997</v>
      </c>
      <c r="I134" s="3"/>
      <c r="J134" s="1"/>
    </row>
    <row r="135" spans="1:10" s="9" customFormat="1" ht="13.9" customHeight="1" x14ac:dyDescent="0.25">
      <c r="A135" s="27">
        <v>44104</v>
      </c>
      <c r="B135" s="9" t="s">
        <v>13</v>
      </c>
      <c r="C135" s="35" t="s">
        <v>127</v>
      </c>
      <c r="D135" s="17">
        <v>-2000.02</v>
      </c>
      <c r="E135" s="5"/>
      <c r="F135" s="17"/>
      <c r="G135" s="38"/>
      <c r="H135" s="62">
        <f t="shared" si="0"/>
        <v>-2000.02</v>
      </c>
      <c r="I135" s="3"/>
      <c r="J135" s="1"/>
    </row>
    <row r="136" spans="1:10" s="9" customFormat="1" ht="13.9" customHeight="1" x14ac:dyDescent="0.25">
      <c r="A136" s="27">
        <v>44104</v>
      </c>
      <c r="B136" s="9" t="s">
        <v>13</v>
      </c>
      <c r="C136" s="35" t="s">
        <v>128</v>
      </c>
      <c r="D136" s="17">
        <v>-14372.82</v>
      </c>
      <c r="E136" s="5"/>
      <c r="F136" s="17"/>
      <c r="G136" s="38"/>
      <c r="H136" s="62">
        <f>D136-G136</f>
        <v>-14372.82</v>
      </c>
      <c r="I136" s="3"/>
      <c r="J136" s="1"/>
    </row>
    <row r="137" spans="1:10" s="9" customFormat="1" ht="13.9" customHeight="1" x14ac:dyDescent="0.25">
      <c r="A137" s="27">
        <v>44104</v>
      </c>
      <c r="B137" s="9" t="s">
        <v>13</v>
      </c>
      <c r="C137" s="35" t="s">
        <v>129</v>
      </c>
      <c r="D137" s="17">
        <v>-47238.51</v>
      </c>
      <c r="E137" s="5"/>
      <c r="F137" s="17"/>
      <c r="G137" s="38"/>
      <c r="H137" s="62">
        <f t="shared" si="0"/>
        <v>-47238.51</v>
      </c>
      <c r="I137" s="3"/>
      <c r="J137" s="1"/>
    </row>
    <row r="138" spans="1:10" s="9" customFormat="1" ht="13.9" customHeight="1" x14ac:dyDescent="0.25">
      <c r="A138" s="27">
        <v>44135</v>
      </c>
      <c r="B138" s="9" t="s">
        <v>18</v>
      </c>
      <c r="C138" s="35" t="s">
        <v>124</v>
      </c>
      <c r="D138" s="17">
        <f>64170.88+1365.58</f>
        <v>65536.459999999992</v>
      </c>
      <c r="E138" s="5"/>
      <c r="F138" s="17">
        <f>-64170.88-1365.58+65536.46</f>
        <v>0</v>
      </c>
      <c r="G138" s="38"/>
      <c r="H138" s="62">
        <f t="shared" si="0"/>
        <v>65536.459999999992</v>
      </c>
      <c r="I138" s="3"/>
      <c r="J138" s="1"/>
    </row>
    <row r="139" spans="1:10" s="9" customFormat="1" ht="13.9" customHeight="1" x14ac:dyDescent="0.25">
      <c r="A139" s="27">
        <v>44135</v>
      </c>
      <c r="B139" s="9" t="s">
        <v>18</v>
      </c>
      <c r="C139" s="35" t="s">
        <v>125</v>
      </c>
      <c r="D139" s="17">
        <f>-33917.68-1172.07</f>
        <v>-35089.75</v>
      </c>
      <c r="E139" s="5">
        <f>33917.68+1172.07-35089.75</f>
        <v>0</v>
      </c>
      <c r="F139" s="17"/>
      <c r="G139" s="38"/>
      <c r="H139" s="62">
        <f t="shared" si="0"/>
        <v>-35089.75</v>
      </c>
      <c r="I139" s="3"/>
      <c r="J139" s="1"/>
    </row>
    <row r="140" spans="1:10" s="9" customFormat="1" ht="13.9" customHeight="1" x14ac:dyDescent="0.25">
      <c r="A140" s="27">
        <v>44135</v>
      </c>
      <c r="B140" s="9" t="s">
        <v>18</v>
      </c>
      <c r="C140" s="35" t="s">
        <v>126</v>
      </c>
      <c r="D140" s="17">
        <f>10587.87+44.55</f>
        <v>10632.42</v>
      </c>
      <c r="E140" s="5"/>
      <c r="F140" s="17">
        <f>-10587.87-44.55+10632.42</f>
        <v>0</v>
      </c>
      <c r="G140" s="38"/>
      <c r="H140" s="62">
        <f t="shared" si="0"/>
        <v>10632.42</v>
      </c>
      <c r="I140" s="3"/>
      <c r="J140" s="1"/>
    </row>
    <row r="141" spans="1:10" s="9" customFormat="1" ht="13.9" customHeight="1" x14ac:dyDescent="0.25">
      <c r="A141" s="27">
        <v>44135</v>
      </c>
      <c r="B141" s="9" t="s">
        <v>18</v>
      </c>
      <c r="C141" s="35" t="s">
        <v>122</v>
      </c>
      <c r="D141" s="17">
        <v>300.42</v>
      </c>
      <c r="E141" s="5"/>
      <c r="F141" s="17"/>
      <c r="G141" s="38"/>
      <c r="H141" s="62">
        <f t="shared" si="0"/>
        <v>300.42</v>
      </c>
      <c r="I141" s="3"/>
      <c r="J141" s="1"/>
    </row>
    <row r="142" spans="1:10" s="9" customFormat="1" ht="13.9" customHeight="1" x14ac:dyDescent="0.25">
      <c r="A142" s="27">
        <v>44135</v>
      </c>
      <c r="B142" s="9" t="s">
        <v>18</v>
      </c>
      <c r="C142" s="35" t="s">
        <v>123</v>
      </c>
      <c r="D142" s="17">
        <v>47238.51</v>
      </c>
      <c r="E142" s="5"/>
      <c r="F142" s="17"/>
      <c r="G142" s="38"/>
      <c r="H142" s="62">
        <f t="shared" si="0"/>
        <v>47238.51</v>
      </c>
      <c r="I142" s="3"/>
      <c r="J142" s="1"/>
    </row>
    <row r="143" spans="1:10" s="9" customFormat="1" ht="13.9" customHeight="1" x14ac:dyDescent="0.25">
      <c r="A143" s="27">
        <v>44135</v>
      </c>
      <c r="B143" s="9" t="s">
        <v>18</v>
      </c>
      <c r="C143" s="35" t="s">
        <v>39</v>
      </c>
      <c r="D143" s="17">
        <v>-2041.72</v>
      </c>
      <c r="E143" s="5"/>
      <c r="F143" s="17"/>
      <c r="G143" s="38"/>
      <c r="H143" s="62">
        <f t="shared" si="0"/>
        <v>-2041.72</v>
      </c>
      <c r="I143" s="3"/>
      <c r="J143" s="1"/>
    </row>
    <row r="144" spans="1:10" s="9" customFormat="1" ht="13.9" customHeight="1" x14ac:dyDescent="0.25">
      <c r="A144" s="27">
        <v>44135</v>
      </c>
      <c r="B144" s="9" t="s">
        <v>18</v>
      </c>
      <c r="C144" s="35" t="s">
        <v>34</v>
      </c>
      <c r="D144" s="17">
        <v>-152373.14000000001</v>
      </c>
      <c r="E144" s="5"/>
      <c r="F144" s="17"/>
      <c r="G144" s="38"/>
      <c r="H144" s="62">
        <f t="shared" si="0"/>
        <v>-152373.14000000001</v>
      </c>
      <c r="I144" s="3"/>
      <c r="J144" s="1"/>
    </row>
    <row r="145" spans="1:10" s="9" customFormat="1" ht="13.9" customHeight="1" x14ac:dyDescent="0.25">
      <c r="A145" s="27">
        <v>44135</v>
      </c>
      <c r="B145" s="9" t="s">
        <v>18</v>
      </c>
      <c r="C145" s="35" t="s">
        <v>35</v>
      </c>
      <c r="D145" s="17">
        <v>-25801.4</v>
      </c>
      <c r="E145" s="5"/>
      <c r="F145" s="17"/>
      <c r="G145" s="38"/>
      <c r="H145" s="62">
        <f t="shared" si="0"/>
        <v>-25801.4</v>
      </c>
      <c r="I145" s="3"/>
      <c r="J145" s="1"/>
    </row>
    <row r="146" spans="1:10" s="9" customFormat="1" ht="13.9" customHeight="1" x14ac:dyDescent="0.25">
      <c r="A146" s="27">
        <v>44165</v>
      </c>
      <c r="B146" s="9" t="s">
        <v>18</v>
      </c>
      <c r="C146" s="35" t="s">
        <v>131</v>
      </c>
      <c r="D146" s="17">
        <f>-79402.45-127.71</f>
        <v>-79530.16</v>
      </c>
      <c r="E146" s="82">
        <f>127.71+79402.45</f>
        <v>79530.16</v>
      </c>
      <c r="F146" s="17"/>
      <c r="G146" s="38"/>
      <c r="H146" s="62">
        <f t="shared" si="0"/>
        <v>-79530.16</v>
      </c>
      <c r="I146" s="3"/>
      <c r="J146" s="1"/>
    </row>
    <row r="147" spans="1:10" s="9" customFormat="1" ht="13.9" customHeight="1" x14ac:dyDescent="0.25">
      <c r="A147" s="27">
        <v>44165</v>
      </c>
      <c r="B147" s="9" t="s">
        <v>18</v>
      </c>
      <c r="C147" s="35" t="s">
        <v>132</v>
      </c>
      <c r="D147" s="17">
        <f>-80066.48-128.77</f>
        <v>-80195.25</v>
      </c>
      <c r="E147" s="5">
        <f>80066.48+128.77-80195.25</f>
        <v>0</v>
      </c>
      <c r="F147" s="17"/>
      <c r="G147" s="38"/>
      <c r="H147" s="62">
        <f t="shared" si="0"/>
        <v>-80195.25</v>
      </c>
      <c r="I147" s="3"/>
      <c r="J147" s="1"/>
    </row>
    <row r="148" spans="1:10" s="9" customFormat="1" ht="13.9" customHeight="1" x14ac:dyDescent="0.25">
      <c r="A148" s="27">
        <v>44165</v>
      </c>
      <c r="B148" s="9" t="s">
        <v>18</v>
      </c>
      <c r="C148" s="35" t="s">
        <v>133</v>
      </c>
      <c r="D148" s="17">
        <f>23388.88+0.6</f>
        <v>23389.48</v>
      </c>
      <c r="E148" s="5"/>
      <c r="F148" s="17">
        <f>-23388.88-0.6+23389.48</f>
        <v>0</v>
      </c>
      <c r="G148" s="38"/>
      <c r="H148" s="62">
        <f t="shared" si="0"/>
        <v>23389.48</v>
      </c>
      <c r="I148" s="3"/>
      <c r="J148" s="1"/>
    </row>
    <row r="149" spans="1:10" s="9" customFormat="1" ht="13.9" customHeight="1" x14ac:dyDescent="0.25">
      <c r="A149" s="27">
        <v>44165</v>
      </c>
      <c r="B149" s="9" t="s">
        <v>18</v>
      </c>
      <c r="C149" s="35" t="s">
        <v>134</v>
      </c>
      <c r="D149" s="17">
        <v>25801.4</v>
      </c>
      <c r="E149" s="5"/>
      <c r="F149" s="17"/>
      <c r="G149" s="38"/>
      <c r="H149" s="62">
        <f t="shared" si="0"/>
        <v>25801.4</v>
      </c>
      <c r="I149" s="3"/>
      <c r="J149" s="1"/>
    </row>
    <row r="150" spans="1:10" s="9" customFormat="1" ht="13.9" customHeight="1" x14ac:dyDescent="0.25">
      <c r="A150" s="27">
        <v>44165</v>
      </c>
      <c r="B150" s="9" t="s">
        <v>18</v>
      </c>
      <c r="C150" s="35" t="s">
        <v>39</v>
      </c>
      <c r="D150" s="17">
        <v>-2166.69</v>
      </c>
      <c r="E150" s="5"/>
      <c r="F150" s="17"/>
      <c r="G150" s="38"/>
      <c r="H150" s="62">
        <f t="shared" si="0"/>
        <v>-2166.69</v>
      </c>
      <c r="I150" s="3"/>
      <c r="J150" s="1"/>
    </row>
    <row r="151" spans="1:10" s="9" customFormat="1" ht="13.9" customHeight="1" x14ac:dyDescent="0.25">
      <c r="A151" s="27">
        <v>44165</v>
      </c>
      <c r="B151" s="9" t="s">
        <v>18</v>
      </c>
      <c r="C151" s="35" t="s">
        <v>34</v>
      </c>
      <c r="D151" s="17">
        <v>73988.95</v>
      </c>
      <c r="E151" s="5"/>
      <c r="F151" s="17"/>
      <c r="G151" s="38"/>
      <c r="H151" s="62">
        <f t="shared" si="0"/>
        <v>73988.95</v>
      </c>
      <c r="I151" s="3"/>
      <c r="J151" s="1"/>
    </row>
    <row r="152" spans="1:10" s="9" customFormat="1" ht="13.9" customHeight="1" x14ac:dyDescent="0.25">
      <c r="A152" s="27">
        <v>44165</v>
      </c>
      <c r="B152" s="9" t="s">
        <v>18</v>
      </c>
      <c r="C152" s="35" t="s">
        <v>35</v>
      </c>
      <c r="D152" s="17">
        <f>-53621.76+300</f>
        <v>-53321.760000000002</v>
      </c>
      <c r="E152" s="5"/>
      <c r="F152" s="17"/>
      <c r="G152" s="38"/>
      <c r="H152" s="62">
        <f t="shared" si="0"/>
        <v>-53321.760000000002</v>
      </c>
      <c r="I152" s="3"/>
      <c r="J152" s="1"/>
    </row>
    <row r="153" spans="1:10" s="9" customFormat="1" ht="13.9" customHeight="1" x14ac:dyDescent="0.25">
      <c r="A153" s="27">
        <v>44165</v>
      </c>
      <c r="B153" s="9" t="s">
        <v>18</v>
      </c>
      <c r="C153" s="35" t="s">
        <v>76</v>
      </c>
      <c r="D153" s="17">
        <v>0</v>
      </c>
      <c r="E153" s="5"/>
      <c r="F153" s="17"/>
      <c r="G153" s="38"/>
      <c r="H153" s="62">
        <f t="shared" si="0"/>
        <v>0</v>
      </c>
      <c r="I153" s="3"/>
      <c r="J153" s="1"/>
    </row>
    <row r="154" spans="1:10" s="9" customFormat="1" ht="13.9" customHeight="1" x14ac:dyDescent="0.25">
      <c r="A154" s="27">
        <v>44196</v>
      </c>
      <c r="B154" s="9" t="s">
        <v>18</v>
      </c>
      <c r="C154" s="35" t="s">
        <v>135</v>
      </c>
      <c r="D154" s="17">
        <v>102485.65</v>
      </c>
      <c r="E154" s="5"/>
      <c r="F154" s="81">
        <v>-102485.65</v>
      </c>
      <c r="G154" s="38"/>
      <c r="H154" s="62">
        <f t="shared" si="0"/>
        <v>102485.65</v>
      </c>
      <c r="I154" s="3"/>
      <c r="J154" s="1"/>
    </row>
    <row r="155" spans="1:10" s="9" customFormat="1" ht="13.9" customHeight="1" x14ac:dyDescent="0.25">
      <c r="A155" s="27">
        <v>44196</v>
      </c>
      <c r="B155" s="9" t="s">
        <v>18</v>
      </c>
      <c r="C155" s="35" t="s">
        <v>136</v>
      </c>
      <c r="D155" s="17">
        <v>20128.189999999999</v>
      </c>
      <c r="E155" s="5"/>
      <c r="F155" s="84">
        <v>-20128.189999999999</v>
      </c>
      <c r="G155" s="38"/>
      <c r="H155" s="62">
        <f t="shared" si="0"/>
        <v>20128.189999999999</v>
      </c>
      <c r="I155" s="3"/>
      <c r="J155" s="1"/>
    </row>
    <row r="156" spans="1:10" s="9" customFormat="1" ht="13.9" customHeight="1" x14ac:dyDescent="0.25">
      <c r="A156" s="27">
        <v>44196</v>
      </c>
      <c r="B156" s="9" t="s">
        <v>18</v>
      </c>
      <c r="C156" s="35" t="s">
        <v>137</v>
      </c>
      <c r="D156" s="17">
        <v>-71825.210000000006</v>
      </c>
      <c r="E156" s="54">
        <v>71825.210000000006</v>
      </c>
      <c r="F156" s="17"/>
      <c r="G156" s="38"/>
      <c r="H156" s="62">
        <f t="shared" si="0"/>
        <v>-71825.210000000006</v>
      </c>
      <c r="I156" s="3"/>
      <c r="J156" s="1"/>
    </row>
    <row r="157" spans="1:10" s="9" customFormat="1" ht="13.9" customHeight="1" x14ac:dyDescent="0.25">
      <c r="A157" s="27">
        <v>44196</v>
      </c>
      <c r="B157" s="9" t="s">
        <v>18</v>
      </c>
      <c r="C157" s="35" t="s">
        <v>138</v>
      </c>
      <c r="D157" s="17">
        <v>53321.760000000002</v>
      </c>
      <c r="E157" s="5"/>
      <c r="F157" s="17"/>
      <c r="G157" s="38"/>
      <c r="H157" s="62">
        <f t="shared" si="0"/>
        <v>53321.760000000002</v>
      </c>
      <c r="I157" s="3"/>
      <c r="J157" s="1"/>
    </row>
    <row r="158" spans="1:10" s="9" customFormat="1" ht="13.9" customHeight="1" x14ac:dyDescent="0.25">
      <c r="A158" s="44">
        <v>44196</v>
      </c>
      <c r="B158" s="24" t="s">
        <v>18</v>
      </c>
      <c r="C158" s="26" t="s">
        <v>41</v>
      </c>
      <c r="D158" s="33">
        <v>-2791.69</v>
      </c>
      <c r="E158" s="5"/>
      <c r="F158" s="17"/>
      <c r="G158" s="38"/>
      <c r="H158" s="62">
        <f t="shared" si="0"/>
        <v>-2791.69</v>
      </c>
      <c r="I158" s="3"/>
      <c r="J158" s="1"/>
    </row>
    <row r="159" spans="1:10" s="9" customFormat="1" ht="13.9" customHeight="1" x14ac:dyDescent="0.25">
      <c r="A159" s="44">
        <v>44196</v>
      </c>
      <c r="B159" s="24" t="s">
        <v>18</v>
      </c>
      <c r="C159" s="26" t="s">
        <v>42</v>
      </c>
      <c r="D159" s="33">
        <f>-1923.93+7011.57</f>
        <v>5087.6399999999994</v>
      </c>
      <c r="E159" s="5"/>
      <c r="F159" s="17"/>
      <c r="G159" s="38"/>
      <c r="H159" s="62">
        <f t="shared" si="0"/>
        <v>5087.6399999999994</v>
      </c>
      <c r="I159" s="3"/>
      <c r="J159" s="1"/>
    </row>
    <row r="160" spans="1:10" s="9" customFormat="1" ht="13.9" customHeight="1" x14ac:dyDescent="0.25">
      <c r="A160" s="44">
        <v>44196</v>
      </c>
      <c r="B160" s="24" t="s">
        <v>18</v>
      </c>
      <c r="C160" s="26" t="s">
        <v>43</v>
      </c>
      <c r="D160" s="33">
        <v>-74388.570000000007</v>
      </c>
      <c r="E160" s="5"/>
      <c r="F160" s="17"/>
      <c r="G160" s="38"/>
      <c r="H160" s="62">
        <f t="shared" si="0"/>
        <v>-74388.570000000007</v>
      </c>
      <c r="I160" s="3"/>
      <c r="J160" s="1"/>
    </row>
    <row r="161" spans="1:10" s="9" customFormat="1" ht="13.9" customHeight="1" x14ac:dyDescent="0.25">
      <c r="A161" s="44">
        <v>44196</v>
      </c>
      <c r="B161" s="24" t="s">
        <v>18</v>
      </c>
      <c r="C161" s="26" t="s">
        <v>76</v>
      </c>
      <c r="D161" s="33">
        <v>439073.55</v>
      </c>
      <c r="E161" s="5"/>
      <c r="F161" s="17"/>
      <c r="G161" s="38"/>
      <c r="H161" s="62">
        <f t="shared" si="0"/>
        <v>439073.55</v>
      </c>
      <c r="I161" s="3"/>
      <c r="J161" s="1"/>
    </row>
    <row r="162" spans="1:10" s="9" customFormat="1" x14ac:dyDescent="0.25">
      <c r="A162" s="63"/>
      <c r="B162" s="46"/>
      <c r="C162" s="64"/>
      <c r="D162" s="22"/>
      <c r="E162" s="21"/>
      <c r="F162" s="22"/>
      <c r="G162" s="21"/>
      <c r="H162" s="62">
        <f t="shared" si="0"/>
        <v>0</v>
      </c>
      <c r="J162" s="1"/>
    </row>
    <row r="163" spans="1:10" x14ac:dyDescent="0.25">
      <c r="B163" s="9"/>
      <c r="C163" s="9"/>
      <c r="D163" s="45">
        <f>SUM(D8:D162)</f>
        <v>-1258964.5900000015</v>
      </c>
      <c r="E163" s="45">
        <f>SUM(E8:E162)</f>
        <v>151355.37</v>
      </c>
      <c r="F163" s="45">
        <f>SUM(F8:F162)</f>
        <v>-122613.84</v>
      </c>
      <c r="G163" s="45">
        <f>SUM(G6:G162)</f>
        <v>-1037477.4600000001</v>
      </c>
      <c r="H163" s="45">
        <f>SUM(H6:H162)</f>
        <v>39681.299999999988</v>
      </c>
      <c r="J163" s="1"/>
    </row>
    <row r="164" spans="1:10" x14ac:dyDescent="0.25">
      <c r="B164" s="9"/>
      <c r="C164" s="9"/>
      <c r="D164" s="2"/>
      <c r="E164" s="2"/>
      <c r="F164" s="2"/>
      <c r="G164" s="1">
        <f>G163*-1</f>
        <v>1037477.4600000001</v>
      </c>
      <c r="H164" s="2"/>
      <c r="J164" s="1"/>
    </row>
    <row r="165" spans="1:10" ht="30" x14ac:dyDescent="0.25">
      <c r="B165" s="9"/>
      <c r="C165" s="9" t="s">
        <v>6</v>
      </c>
      <c r="D165" s="11"/>
      <c r="E165" s="68">
        <v>151355.37</v>
      </c>
      <c r="F165" s="8">
        <v>-122613.84</v>
      </c>
      <c r="G165" s="9"/>
      <c r="H165" s="8">
        <f>32669.73+7011.57</f>
        <v>39681.300000000003</v>
      </c>
      <c r="I165" s="85" t="s">
        <v>139</v>
      </c>
      <c r="J165" s="1" t="s">
        <v>120</v>
      </c>
    </row>
    <row r="166" spans="1:10" x14ac:dyDescent="0.25">
      <c r="B166" s="9"/>
      <c r="C166" s="9" t="s">
        <v>28</v>
      </c>
      <c r="D166" s="10"/>
      <c r="E166" s="10">
        <f>E163-E165</f>
        <v>0</v>
      </c>
      <c r="F166" s="10">
        <f>F163-F165</f>
        <v>0</v>
      </c>
      <c r="G166" s="10"/>
      <c r="H166" s="10">
        <f>H163-H165</f>
        <v>0</v>
      </c>
      <c r="J166" s="1"/>
    </row>
    <row r="167" spans="1:10" x14ac:dyDescent="0.25">
      <c r="B167" s="9"/>
      <c r="C167" s="9"/>
      <c r="D167" s="9"/>
      <c r="E167" s="9"/>
      <c r="F167" s="4"/>
      <c r="G167" s="20"/>
      <c r="H167" s="1"/>
    </row>
    <row r="168" spans="1:10" x14ac:dyDescent="0.25">
      <c r="B168" s="9"/>
      <c r="C168" s="106" t="s">
        <v>30</v>
      </c>
      <c r="D168" s="107"/>
      <c r="E168" s="10"/>
      <c r="F168" s="12"/>
      <c r="G168" s="83"/>
      <c r="H168" s="19"/>
      <c r="J168" s="1"/>
    </row>
    <row r="169" spans="1:10" x14ac:dyDescent="0.25">
      <c r="B169" s="9"/>
      <c r="C169" s="28" t="s">
        <v>26</v>
      </c>
      <c r="D169" s="61">
        <f>E18</f>
        <v>0</v>
      </c>
      <c r="E169" s="9"/>
      <c r="F169" s="83"/>
      <c r="G169" s="83"/>
      <c r="H169" s="19"/>
      <c r="J169" s="1"/>
    </row>
    <row r="170" spans="1:10" x14ac:dyDescent="0.25">
      <c r="B170" s="9"/>
      <c r="C170" s="29" t="s">
        <v>27</v>
      </c>
      <c r="D170" s="42">
        <f>E156</f>
        <v>71825.210000000006</v>
      </c>
      <c r="E170" s="9"/>
      <c r="F170" s="83"/>
      <c r="G170" s="83"/>
      <c r="H170" s="19"/>
      <c r="J170" s="1"/>
    </row>
    <row r="171" spans="1:10" x14ac:dyDescent="0.25">
      <c r="B171" s="9"/>
      <c r="C171" s="29" t="s">
        <v>33</v>
      </c>
      <c r="D171" s="55">
        <f>F155</f>
        <v>-20128.189999999999</v>
      </c>
      <c r="E171" s="59"/>
      <c r="F171" s="17"/>
      <c r="G171" s="83" t="s">
        <v>25</v>
      </c>
      <c r="H171" s="19"/>
      <c r="J171" s="1"/>
    </row>
    <row r="172" spans="1:10" ht="15.75" thickBot="1" x14ac:dyDescent="0.3">
      <c r="C172" s="30" t="s">
        <v>38</v>
      </c>
      <c r="D172" s="80">
        <f>F154+E146</f>
        <v>-22955.489999999991</v>
      </c>
      <c r="F172" s="83"/>
      <c r="G172" s="83"/>
      <c r="H172" s="43"/>
      <c r="J172" s="1"/>
    </row>
    <row r="173" spans="1:10" x14ac:dyDescent="0.25">
      <c r="C173" s="31"/>
      <c r="D173" s="32">
        <f>SUM(D169:D172)</f>
        <v>28741.530000000013</v>
      </c>
      <c r="F173" s="12"/>
      <c r="G173" s="83"/>
      <c r="H173" s="43"/>
    </row>
    <row r="174" spans="1:10" x14ac:dyDescent="0.25">
      <c r="C174" s="18"/>
      <c r="D174" s="19"/>
      <c r="F174" s="12"/>
      <c r="G174" s="83"/>
      <c r="H174" s="43"/>
    </row>
    <row r="175" spans="1:10" x14ac:dyDescent="0.25">
      <c r="C175" s="18"/>
      <c r="D175" s="19"/>
      <c r="F175" s="18"/>
      <c r="G175" s="83"/>
      <c r="H175" s="43"/>
    </row>
    <row r="176" spans="1:10" x14ac:dyDescent="0.25">
      <c r="C176" s="18"/>
      <c r="D176" s="19"/>
      <c r="F176" s="18"/>
      <c r="G176" s="83"/>
      <c r="H176" s="43"/>
    </row>
    <row r="177" spans="6:8" x14ac:dyDescent="0.25">
      <c r="F177" s="18"/>
      <c r="G177" s="83"/>
      <c r="H177" s="43"/>
    </row>
    <row r="178" spans="6:8" x14ac:dyDescent="0.25">
      <c r="F178" s="18"/>
      <c r="G178" s="83"/>
      <c r="H178" s="43"/>
    </row>
    <row r="179" spans="6:8" x14ac:dyDescent="0.25">
      <c r="F179" s="18"/>
      <c r="G179" s="83"/>
      <c r="H179" s="43"/>
    </row>
    <row r="180" spans="6:8" x14ac:dyDescent="0.25">
      <c r="F180" s="18"/>
      <c r="G180" s="83"/>
      <c r="H180" s="43"/>
    </row>
    <row r="181" spans="6:8" x14ac:dyDescent="0.25">
      <c r="F181" s="18"/>
      <c r="G181" s="18"/>
      <c r="H181" s="18"/>
    </row>
  </sheetData>
  <autoFilter ref="A5:K173">
    <filterColumn colId="0" showButton="0"/>
  </autoFilter>
  <mergeCells count="4">
    <mergeCell ref="A5:B5"/>
    <mergeCell ref="A6:B6"/>
    <mergeCell ref="A7:B7"/>
    <mergeCell ref="C168:D168"/>
  </mergeCells>
  <pageMargins left="0.7" right="0.7" top="0.5" bottom="0.5" header="0.3" footer="0.3"/>
  <pageSetup scale="48" fitToHeight="0"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opLeftCell="D1" zoomScale="90" zoomScaleNormal="90" workbookViewId="0">
      <pane ySplit="5" topLeftCell="A61" activePane="bottomLeft" state="frozen"/>
      <selection activeCell="C1" sqref="C1"/>
      <selection pane="bottomLeft" activeCell="J81" sqref="J81"/>
    </sheetView>
  </sheetViews>
  <sheetFormatPr defaultColWidth="9.140625" defaultRowHeight="15" x14ac:dyDescent="0.25"/>
  <cols>
    <col min="1" max="1" width="13.85546875" style="7" customWidth="1"/>
    <col min="2" max="2" width="8.7109375" style="7" customWidth="1"/>
    <col min="3" max="3" width="64.5703125" style="7" bestFit="1" customWidth="1"/>
    <col min="4" max="4" width="16" style="7" bestFit="1" customWidth="1"/>
    <col min="5" max="5" width="26.42578125" style="7" bestFit="1" customWidth="1"/>
    <col min="6" max="6" width="22.7109375" style="7" bestFit="1" customWidth="1"/>
    <col min="7" max="7" width="36.28515625" style="7" customWidth="1"/>
    <col min="8" max="8" width="21.42578125" style="7" bestFit="1" customWidth="1"/>
    <col min="9" max="9" width="16.42578125" style="7" customWidth="1"/>
    <col min="10" max="10" width="43.140625" style="7" customWidth="1"/>
    <col min="11" max="11" width="26" style="7" customWidth="1"/>
    <col min="12" max="16384" width="9.140625" style="7"/>
  </cols>
  <sheetData>
    <row r="1" spans="1:10" ht="21" x14ac:dyDescent="0.35">
      <c r="A1" s="58" t="s">
        <v>22</v>
      </c>
    </row>
    <row r="2" spans="1:10" ht="21" x14ac:dyDescent="0.35">
      <c r="A2" s="60" t="s">
        <v>19</v>
      </c>
      <c r="E2" s="14"/>
      <c r="F2" s="14"/>
    </row>
    <row r="3" spans="1:10" ht="21" x14ac:dyDescent="0.35">
      <c r="A3" s="58" t="s">
        <v>16</v>
      </c>
      <c r="B3" s="9"/>
      <c r="D3" s="1"/>
      <c r="E3" s="9"/>
      <c r="F3" s="9"/>
      <c r="G3" s="9"/>
      <c r="H3" s="9"/>
    </row>
    <row r="4" spans="1:10" ht="30.6" customHeight="1" x14ac:dyDescent="0.25">
      <c r="A4" s="50"/>
      <c r="B4" s="18"/>
      <c r="C4" s="51"/>
      <c r="D4" s="47" t="s">
        <v>1</v>
      </c>
      <c r="E4" s="57" t="s">
        <v>32</v>
      </c>
      <c r="F4" s="57" t="s">
        <v>31</v>
      </c>
      <c r="G4" s="52" t="s">
        <v>36</v>
      </c>
      <c r="H4" s="47" t="s">
        <v>2</v>
      </c>
    </row>
    <row r="5" spans="1:10" ht="15.75" thickBot="1" x14ac:dyDescent="0.3">
      <c r="A5" s="104" t="s">
        <v>29</v>
      </c>
      <c r="B5" s="104"/>
      <c r="C5" s="49" t="s">
        <v>3</v>
      </c>
      <c r="D5" s="48" t="s">
        <v>4</v>
      </c>
      <c r="E5" s="48" t="s">
        <v>5</v>
      </c>
      <c r="F5" s="48" t="s">
        <v>5</v>
      </c>
      <c r="G5" s="53" t="s">
        <v>197</v>
      </c>
      <c r="H5" s="48" t="s">
        <v>4</v>
      </c>
    </row>
    <row r="6" spans="1:10" x14ac:dyDescent="0.25">
      <c r="A6" s="105" t="s">
        <v>15</v>
      </c>
      <c r="B6" s="105"/>
      <c r="C6" s="23" t="s">
        <v>145</v>
      </c>
      <c r="D6" s="17">
        <f>1148.11+7643.37+1151.59+7639.89+1155.09+7636.39+1158.59+7632.89+1162.1+7629.38+1165.63+7625.85+1169.16+7622.32+1172.71+7618.77+1176.26+7615.22+772.18+8019.3+774.52+8016.96</f>
        <v>96706.28</v>
      </c>
      <c r="E6" s="47"/>
      <c r="F6" s="34"/>
      <c r="G6" s="74">
        <f>26374.44+52748.88</f>
        <v>79123.319999999992</v>
      </c>
      <c r="H6" s="12">
        <f>D6-G6</f>
        <v>17582.960000000006</v>
      </c>
      <c r="I6" s="6"/>
    </row>
    <row r="7" spans="1:10" s="9" customFormat="1" ht="13.9" customHeight="1" x14ac:dyDescent="0.25">
      <c r="A7" s="27">
        <v>44255</v>
      </c>
      <c r="B7" s="9" t="s">
        <v>9</v>
      </c>
      <c r="C7" s="35" t="s">
        <v>152</v>
      </c>
      <c r="D7" s="17">
        <f>-14380.2+856.44</f>
        <v>-13523.76</v>
      </c>
      <c r="E7" s="5">
        <f>14380.2-856.44-13523.76</f>
        <v>0</v>
      </c>
      <c r="F7" s="17"/>
      <c r="G7" s="25">
        <f>-14380.2+856.44</f>
        <v>-13523.76</v>
      </c>
      <c r="H7" s="62">
        <f t="shared" ref="H7:H44" si="0">D7-G7</f>
        <v>0</v>
      </c>
      <c r="I7" s="3"/>
      <c r="J7" s="1"/>
    </row>
    <row r="8" spans="1:10" s="9" customFormat="1" ht="13.9" customHeight="1" x14ac:dyDescent="0.25">
      <c r="A8" s="27">
        <v>44255</v>
      </c>
      <c r="B8" s="9" t="s">
        <v>9</v>
      </c>
      <c r="C8" s="35" t="s">
        <v>153</v>
      </c>
      <c r="D8" s="17">
        <f>-33060.54-1224.49</f>
        <v>-34285.03</v>
      </c>
      <c r="E8" s="5">
        <f>33060.54+1224.49-34285.03</f>
        <v>0</v>
      </c>
      <c r="F8" s="17"/>
      <c r="G8" s="25">
        <f>-33060.54-1224.49</f>
        <v>-34285.03</v>
      </c>
      <c r="H8" s="62">
        <f t="shared" si="0"/>
        <v>0</v>
      </c>
      <c r="I8" s="3"/>
      <c r="J8" s="1"/>
    </row>
    <row r="9" spans="1:10" s="9" customFormat="1" ht="13.9" customHeight="1" x14ac:dyDescent="0.25">
      <c r="A9" s="27">
        <v>44286</v>
      </c>
      <c r="B9" s="9" t="s">
        <v>9</v>
      </c>
      <c r="C9" s="35" t="s">
        <v>156</v>
      </c>
      <c r="D9" s="17">
        <f>-347595.01+220070.8</f>
        <v>-127524.21000000002</v>
      </c>
      <c r="E9" s="5">
        <f>347595.01-220070.8-127524.21</f>
        <v>0</v>
      </c>
      <c r="F9" s="17"/>
      <c r="G9" s="25">
        <f>-347595.01+220070.8</f>
        <v>-127524.21000000002</v>
      </c>
      <c r="H9" s="62">
        <f t="shared" si="0"/>
        <v>0</v>
      </c>
      <c r="I9" s="3"/>
      <c r="J9" s="1"/>
    </row>
    <row r="10" spans="1:10" s="9" customFormat="1" ht="13.9" customHeight="1" x14ac:dyDescent="0.25">
      <c r="A10" s="27">
        <v>44286</v>
      </c>
      <c r="B10" s="9" t="s">
        <v>9</v>
      </c>
      <c r="C10" s="35" t="s">
        <v>158</v>
      </c>
      <c r="D10" s="17">
        <f>7729.12+0.31</f>
        <v>7729.43</v>
      </c>
      <c r="E10" s="5"/>
      <c r="F10" s="17">
        <f>-7729.12-0.31+7729.43</f>
        <v>0</v>
      </c>
      <c r="G10" s="25">
        <f>7729.12+0.31</f>
        <v>7729.43</v>
      </c>
      <c r="H10" s="62">
        <f t="shared" si="0"/>
        <v>0</v>
      </c>
      <c r="I10" s="3"/>
      <c r="J10" s="1"/>
    </row>
    <row r="11" spans="1:10" s="9" customFormat="1" ht="13.9" customHeight="1" x14ac:dyDescent="0.25">
      <c r="A11" s="27">
        <v>44286</v>
      </c>
      <c r="B11" s="9" t="s">
        <v>9</v>
      </c>
      <c r="C11" s="35" t="s">
        <v>34</v>
      </c>
      <c r="D11" s="17">
        <f>136248.52-16861.37</f>
        <v>119387.15</v>
      </c>
      <c r="E11" s="5"/>
      <c r="F11" s="17"/>
      <c r="G11" s="25">
        <f>136248.52-16861.37</f>
        <v>119387.15</v>
      </c>
      <c r="H11" s="62">
        <f t="shared" si="0"/>
        <v>0</v>
      </c>
      <c r="I11" s="3"/>
      <c r="J11" s="1"/>
    </row>
    <row r="12" spans="1:10" s="9" customFormat="1" ht="13.9" customHeight="1" x14ac:dyDescent="0.25">
      <c r="A12" s="27">
        <v>44316</v>
      </c>
      <c r="B12" s="9" t="s">
        <v>10</v>
      </c>
      <c r="C12" s="35" t="s">
        <v>163</v>
      </c>
      <c r="D12" s="17">
        <v>14663.53</v>
      </c>
      <c r="E12" s="5"/>
      <c r="F12" s="17"/>
      <c r="G12" s="25">
        <v>14663.53</v>
      </c>
      <c r="H12" s="62">
        <f t="shared" si="0"/>
        <v>0</v>
      </c>
      <c r="I12" s="3"/>
      <c r="J12" s="1"/>
    </row>
    <row r="13" spans="1:10" s="9" customFormat="1" ht="13.9" customHeight="1" x14ac:dyDescent="0.25">
      <c r="A13" s="27">
        <v>44316</v>
      </c>
      <c r="B13" s="9" t="s">
        <v>10</v>
      </c>
      <c r="C13" s="35" t="s">
        <v>144</v>
      </c>
      <c r="D13" s="17">
        <v>1302.08</v>
      </c>
      <c r="E13" s="5"/>
      <c r="F13" s="17"/>
      <c r="G13" s="25">
        <v>1302.08</v>
      </c>
      <c r="H13" s="62">
        <f t="shared" si="0"/>
        <v>0</v>
      </c>
      <c r="I13" s="3"/>
      <c r="J13" s="1"/>
    </row>
    <row r="14" spans="1:10" s="9" customFormat="1" ht="13.9" customHeight="1" x14ac:dyDescent="0.25">
      <c r="A14" s="27">
        <v>44316</v>
      </c>
      <c r="B14" s="9" t="s">
        <v>10</v>
      </c>
      <c r="C14" s="35" t="s">
        <v>160</v>
      </c>
      <c r="D14" s="17">
        <f>51294.87-546.91</f>
        <v>50747.96</v>
      </c>
      <c r="E14" s="5"/>
      <c r="F14" s="17">
        <f>-51294.87+546.91+50747.96</f>
        <v>0</v>
      </c>
      <c r="G14" s="25">
        <v>50747.96</v>
      </c>
      <c r="H14" s="62">
        <f t="shared" si="0"/>
        <v>0</v>
      </c>
      <c r="I14" s="3"/>
      <c r="J14" s="1"/>
    </row>
    <row r="15" spans="1:10" s="9" customFormat="1" ht="13.9" customHeight="1" x14ac:dyDescent="0.25">
      <c r="A15" s="27">
        <v>44316</v>
      </c>
      <c r="B15" s="9" t="s">
        <v>10</v>
      </c>
      <c r="C15" s="35" t="s">
        <v>161</v>
      </c>
      <c r="D15" s="17">
        <f>-116256.56-802.69</f>
        <v>-117059.25</v>
      </c>
      <c r="E15" s="5">
        <f>116256.56+802.69-117059.25</f>
        <v>0</v>
      </c>
      <c r="F15" s="17"/>
      <c r="G15" s="25">
        <v>-117059.25</v>
      </c>
      <c r="H15" s="62">
        <f t="shared" si="0"/>
        <v>0</v>
      </c>
      <c r="I15" s="3"/>
      <c r="J15" s="1"/>
    </row>
    <row r="16" spans="1:10" s="9" customFormat="1" ht="13.9" customHeight="1" x14ac:dyDescent="0.25">
      <c r="A16" s="27">
        <v>44316</v>
      </c>
      <c r="B16" s="9" t="s">
        <v>10</v>
      </c>
      <c r="C16" s="35" t="s">
        <v>162</v>
      </c>
      <c r="D16" s="17">
        <f>-112001.41-27926.96</f>
        <v>-139928.37</v>
      </c>
      <c r="E16" s="5">
        <f>112001.41+27926.96-139928.37</f>
        <v>0</v>
      </c>
      <c r="F16" s="17"/>
      <c r="G16" s="25">
        <v>-139928.37</v>
      </c>
      <c r="H16" s="62">
        <f t="shared" si="0"/>
        <v>0</v>
      </c>
      <c r="I16" s="3"/>
      <c r="J16" s="1"/>
    </row>
    <row r="17" spans="1:10" s="9" customFormat="1" ht="13.9" customHeight="1" x14ac:dyDescent="0.25">
      <c r="A17" s="27">
        <v>44316</v>
      </c>
      <c r="B17" s="9" t="s">
        <v>10</v>
      </c>
      <c r="C17" s="35" t="s">
        <v>39</v>
      </c>
      <c r="D17" s="17">
        <v>-2750.02</v>
      </c>
      <c r="E17" s="5"/>
      <c r="F17" s="17"/>
      <c r="G17" s="25">
        <v>-2750.02</v>
      </c>
      <c r="H17" s="62">
        <f t="shared" si="0"/>
        <v>0</v>
      </c>
      <c r="I17" s="3"/>
      <c r="J17" s="1"/>
    </row>
    <row r="18" spans="1:10" s="9" customFormat="1" ht="13.9" customHeight="1" x14ac:dyDescent="0.25">
      <c r="A18" s="27">
        <v>44316</v>
      </c>
      <c r="B18" s="9" t="s">
        <v>10</v>
      </c>
      <c r="C18" s="35" t="s">
        <v>34</v>
      </c>
      <c r="D18" s="17">
        <v>119838.63</v>
      </c>
      <c r="E18" s="5"/>
      <c r="F18" s="17"/>
      <c r="G18" s="25">
        <v>119838.63</v>
      </c>
      <c r="H18" s="62">
        <f t="shared" si="0"/>
        <v>0</v>
      </c>
      <c r="I18" s="3"/>
      <c r="J18" s="1"/>
    </row>
    <row r="19" spans="1:10" s="9" customFormat="1" ht="13.9" customHeight="1" x14ac:dyDescent="0.25">
      <c r="A19" s="27">
        <v>44316</v>
      </c>
      <c r="B19" s="9" t="s">
        <v>10</v>
      </c>
      <c r="C19" s="35" t="s">
        <v>35</v>
      </c>
      <c r="D19" s="17">
        <v>-27582.58</v>
      </c>
      <c r="E19" s="5"/>
      <c r="F19" s="17"/>
      <c r="G19" s="25">
        <v>-27582.58</v>
      </c>
      <c r="H19" s="62">
        <f t="shared" si="0"/>
        <v>0</v>
      </c>
      <c r="I19" s="3"/>
      <c r="J19" s="1"/>
    </row>
    <row r="20" spans="1:10" s="9" customFormat="1" ht="13.9" customHeight="1" x14ac:dyDescent="0.25">
      <c r="A20" s="27">
        <v>44347</v>
      </c>
      <c r="B20" s="9" t="s">
        <v>10</v>
      </c>
      <c r="C20" s="35" t="s">
        <v>173</v>
      </c>
      <c r="D20" s="17">
        <v>27582.58</v>
      </c>
      <c r="E20" s="5"/>
      <c r="F20" s="17"/>
      <c r="G20" s="25">
        <v>27582.58</v>
      </c>
      <c r="H20" s="62">
        <f t="shared" si="0"/>
        <v>0</v>
      </c>
      <c r="I20" s="3"/>
      <c r="J20" s="1"/>
    </row>
    <row r="21" spans="1:10" s="9" customFormat="1" ht="13.9" customHeight="1" x14ac:dyDescent="0.25">
      <c r="A21" s="27">
        <v>44347</v>
      </c>
      <c r="B21" s="9" t="s">
        <v>10</v>
      </c>
      <c r="C21" s="35" t="s">
        <v>144</v>
      </c>
      <c r="D21" s="17">
        <v>1302.08</v>
      </c>
      <c r="E21" s="5"/>
      <c r="F21" s="17"/>
      <c r="G21" s="25">
        <v>1302.08</v>
      </c>
      <c r="H21" s="62">
        <f t="shared" si="0"/>
        <v>0</v>
      </c>
      <c r="I21" s="3"/>
      <c r="J21" s="1"/>
    </row>
    <row r="22" spans="1:10" s="9" customFormat="1" ht="13.9" customHeight="1" x14ac:dyDescent="0.25">
      <c r="A22" s="27">
        <v>44347</v>
      </c>
      <c r="B22" s="9" t="s">
        <v>10</v>
      </c>
      <c r="C22" s="35" t="s">
        <v>169</v>
      </c>
      <c r="D22" s="17">
        <f>32913.07+2479.65</f>
        <v>35392.720000000001</v>
      </c>
      <c r="E22" s="5"/>
      <c r="F22" s="17">
        <f>-32913.07-2479.65+35392.72</f>
        <v>0</v>
      </c>
      <c r="G22" s="25">
        <v>35392.720000000001</v>
      </c>
      <c r="H22" s="62">
        <f t="shared" si="0"/>
        <v>0</v>
      </c>
      <c r="I22" s="3"/>
      <c r="J22" s="1"/>
    </row>
    <row r="23" spans="1:10" s="9" customFormat="1" ht="13.9" customHeight="1" x14ac:dyDescent="0.25">
      <c r="A23" s="27">
        <v>44347</v>
      </c>
      <c r="B23" s="9" t="s">
        <v>10</v>
      </c>
      <c r="C23" s="35" t="s">
        <v>170</v>
      </c>
      <c r="D23" s="17">
        <f>-51385.5-272.94</f>
        <v>-51658.44</v>
      </c>
      <c r="E23" s="5">
        <f>51385.5+272.94-51658.44</f>
        <v>0</v>
      </c>
      <c r="F23" s="17"/>
      <c r="G23" s="25">
        <v>-51658.44</v>
      </c>
      <c r="H23" s="62">
        <f t="shared" si="0"/>
        <v>0</v>
      </c>
      <c r="I23" s="3"/>
      <c r="J23" s="1"/>
    </row>
    <row r="24" spans="1:10" s="9" customFormat="1" ht="13.9" customHeight="1" x14ac:dyDescent="0.25">
      <c r="A24" s="27">
        <v>44347</v>
      </c>
      <c r="B24" s="9" t="s">
        <v>10</v>
      </c>
      <c r="C24" s="35" t="s">
        <v>171</v>
      </c>
      <c r="D24" s="17">
        <f>-102615.53-14035.31</f>
        <v>-116650.84</v>
      </c>
      <c r="E24" s="5">
        <f>102615.53+14035.31-116650.84</f>
        <v>0</v>
      </c>
      <c r="F24" s="17"/>
      <c r="G24" s="25">
        <v>-116650.84</v>
      </c>
      <c r="H24" s="62">
        <f t="shared" si="0"/>
        <v>0</v>
      </c>
      <c r="I24" s="3"/>
      <c r="J24" s="1"/>
    </row>
    <row r="25" spans="1:10" s="9" customFormat="1" ht="13.9" customHeight="1" x14ac:dyDescent="0.25">
      <c r="A25" s="27">
        <v>44347</v>
      </c>
      <c r="B25" s="9" t="s">
        <v>10</v>
      </c>
      <c r="C25" s="35" t="s">
        <v>39</v>
      </c>
      <c r="D25" s="17">
        <v>-2333.35</v>
      </c>
      <c r="E25" s="5"/>
      <c r="F25" s="17"/>
      <c r="G25" s="25">
        <v>-2333.35</v>
      </c>
      <c r="H25" s="62">
        <f t="shared" si="0"/>
        <v>0</v>
      </c>
      <c r="I25" s="3"/>
      <c r="J25" s="1"/>
    </row>
    <row r="26" spans="1:10" s="9" customFormat="1" ht="13.9" customHeight="1" x14ac:dyDescent="0.25">
      <c r="A26" s="27">
        <v>44347</v>
      </c>
      <c r="B26" s="9" t="s">
        <v>10</v>
      </c>
      <c r="C26" s="35" t="s">
        <v>34</v>
      </c>
      <c r="D26" s="17">
        <v>111752.93</v>
      </c>
      <c r="E26" s="5"/>
      <c r="F26" s="17"/>
      <c r="G26" s="25">
        <v>111752.93</v>
      </c>
      <c r="H26" s="62">
        <f t="shared" si="0"/>
        <v>0</v>
      </c>
      <c r="I26" s="3"/>
      <c r="J26" s="1"/>
    </row>
    <row r="27" spans="1:10" s="9" customFormat="1" ht="13.9" customHeight="1" x14ac:dyDescent="0.25">
      <c r="A27" s="27">
        <v>44347</v>
      </c>
      <c r="B27" s="9" t="s">
        <v>10</v>
      </c>
      <c r="C27" s="35" t="s">
        <v>35</v>
      </c>
      <c r="D27" s="17">
        <v>-13309.03</v>
      </c>
      <c r="E27" s="5"/>
      <c r="F27" s="17"/>
      <c r="G27" s="25">
        <v>-13309.03</v>
      </c>
      <c r="H27" s="62">
        <f t="shared" si="0"/>
        <v>0</v>
      </c>
      <c r="I27" s="3"/>
      <c r="J27" s="1"/>
    </row>
    <row r="28" spans="1:10" s="9" customFormat="1" ht="13.9" customHeight="1" x14ac:dyDescent="0.25">
      <c r="A28" s="27">
        <v>44377</v>
      </c>
      <c r="B28" s="9" t="s">
        <v>10</v>
      </c>
      <c r="C28" s="35" t="s">
        <v>177</v>
      </c>
      <c r="D28" s="17">
        <v>13309.03</v>
      </c>
      <c r="E28" s="5"/>
      <c r="F28" s="17"/>
      <c r="G28" s="25">
        <v>13309.03</v>
      </c>
      <c r="H28" s="62">
        <f t="shared" si="0"/>
        <v>0</v>
      </c>
      <c r="I28" s="3"/>
      <c r="J28" s="1"/>
    </row>
    <row r="29" spans="1:10" s="9" customFormat="1" ht="13.9" customHeight="1" x14ac:dyDescent="0.25">
      <c r="A29" s="27">
        <v>44377</v>
      </c>
      <c r="B29" s="9" t="s">
        <v>10</v>
      </c>
      <c r="C29" s="35" t="s">
        <v>144</v>
      </c>
      <c r="D29" s="17">
        <v>1302.08</v>
      </c>
      <c r="E29" s="5"/>
      <c r="F29" s="17"/>
      <c r="G29" s="25">
        <v>1302.08</v>
      </c>
      <c r="H29" s="62">
        <f t="shared" si="0"/>
        <v>0</v>
      </c>
      <c r="I29" s="3"/>
      <c r="J29" s="1"/>
    </row>
    <row r="30" spans="1:10" s="9" customFormat="1" ht="13.9" customHeight="1" x14ac:dyDescent="0.25">
      <c r="A30" s="27">
        <v>44377</v>
      </c>
      <c r="B30" s="9" t="s">
        <v>10</v>
      </c>
      <c r="C30" s="35" t="s">
        <v>178</v>
      </c>
      <c r="D30" s="17">
        <f>-63449.2+392.75</f>
        <v>-63056.45</v>
      </c>
      <c r="E30" s="5">
        <f>63449.2-392.75-63056.45</f>
        <v>0</v>
      </c>
      <c r="F30" s="17"/>
      <c r="G30" s="25">
        <v>-63056.45</v>
      </c>
      <c r="H30" s="62">
        <f t="shared" si="0"/>
        <v>0</v>
      </c>
      <c r="I30" s="3"/>
      <c r="J30" s="1"/>
    </row>
    <row r="31" spans="1:10" s="9" customFormat="1" ht="13.9" customHeight="1" x14ac:dyDescent="0.25">
      <c r="A31" s="27">
        <v>44377</v>
      </c>
      <c r="B31" s="9" t="s">
        <v>10</v>
      </c>
      <c r="C31" s="35" t="s">
        <v>179</v>
      </c>
      <c r="D31" s="17">
        <f>-50517.43-1607.01</f>
        <v>-52124.44</v>
      </c>
      <c r="E31" s="5">
        <f>50517.43+1607.01-52124.44</f>
        <v>0</v>
      </c>
      <c r="F31" s="17"/>
      <c r="G31" s="25">
        <v>-52124.44</v>
      </c>
      <c r="H31" s="62">
        <f t="shared" si="0"/>
        <v>0</v>
      </c>
      <c r="I31" s="3"/>
      <c r="J31" s="1"/>
    </row>
    <row r="32" spans="1:10" s="9" customFormat="1" ht="13.9" customHeight="1" x14ac:dyDescent="0.25">
      <c r="A32" s="27">
        <v>44377</v>
      </c>
      <c r="B32" s="9" t="s">
        <v>10</v>
      </c>
      <c r="C32" s="35" t="s">
        <v>180</v>
      </c>
      <c r="D32" s="17">
        <f>29857.96+2466.7</f>
        <v>32324.66</v>
      </c>
      <c r="E32" s="5"/>
      <c r="F32" s="17">
        <f>-29857.96-2466.7+32324.66</f>
        <v>0</v>
      </c>
      <c r="G32" s="25">
        <v>32324.66</v>
      </c>
      <c r="H32" s="62">
        <f t="shared" si="0"/>
        <v>0</v>
      </c>
      <c r="I32" s="3"/>
      <c r="J32" s="1"/>
    </row>
    <row r="33" spans="1:10" s="9" customFormat="1" ht="13.9" customHeight="1" x14ac:dyDescent="0.25">
      <c r="A33" s="27">
        <v>44377</v>
      </c>
      <c r="B33" s="9" t="s">
        <v>10</v>
      </c>
      <c r="C33" s="35" t="s">
        <v>39</v>
      </c>
      <c r="D33" s="17">
        <v>-2750.02</v>
      </c>
      <c r="E33" s="5"/>
      <c r="F33" s="17"/>
      <c r="G33" s="25">
        <v>-2750.02</v>
      </c>
      <c r="H33" s="62">
        <f t="shared" si="0"/>
        <v>0</v>
      </c>
      <c r="I33" s="3"/>
      <c r="J33" s="1"/>
    </row>
    <row r="34" spans="1:10" s="9" customFormat="1" ht="13.9" customHeight="1" x14ac:dyDescent="0.25">
      <c r="A34" s="27">
        <v>44377</v>
      </c>
      <c r="B34" s="9" t="s">
        <v>10</v>
      </c>
      <c r="C34" s="35" t="s">
        <v>34</v>
      </c>
      <c r="D34" s="17">
        <f>-20712.66</f>
        <v>-20712.66</v>
      </c>
      <c r="E34" s="5"/>
      <c r="F34" s="17"/>
      <c r="G34" s="25">
        <v>-20712.66</v>
      </c>
      <c r="H34" s="62">
        <f t="shared" si="0"/>
        <v>0</v>
      </c>
      <c r="I34" s="3"/>
      <c r="J34" s="1"/>
    </row>
    <row r="35" spans="1:10" s="9" customFormat="1" ht="13.9" customHeight="1" x14ac:dyDescent="0.25">
      <c r="A35" s="27">
        <v>44377</v>
      </c>
      <c r="B35" s="9" t="s">
        <v>10</v>
      </c>
      <c r="C35" s="35" t="s">
        <v>35</v>
      </c>
      <c r="D35" s="17">
        <f>-37149.39</f>
        <v>-37149.39</v>
      </c>
      <c r="E35" s="5"/>
      <c r="F35" s="17"/>
      <c r="G35" s="25">
        <v>-37149.39</v>
      </c>
      <c r="H35" s="62">
        <f t="shared" si="0"/>
        <v>0</v>
      </c>
      <c r="I35" s="3"/>
      <c r="J35" s="1"/>
    </row>
    <row r="36" spans="1:10" s="9" customFormat="1" ht="13.9" customHeight="1" x14ac:dyDescent="0.25">
      <c r="A36" s="27">
        <v>44408</v>
      </c>
      <c r="B36" s="9" t="s">
        <v>13</v>
      </c>
      <c r="C36" s="35" t="s">
        <v>181</v>
      </c>
      <c r="D36" s="17">
        <v>37149.39</v>
      </c>
      <c r="E36" s="5"/>
      <c r="F36" s="17"/>
      <c r="G36" s="25">
        <v>37149.39</v>
      </c>
      <c r="H36" s="62">
        <f t="shared" si="0"/>
        <v>0</v>
      </c>
      <c r="I36" s="3"/>
      <c r="J36" s="1"/>
    </row>
    <row r="37" spans="1:10" s="9" customFormat="1" ht="13.9" customHeight="1" x14ac:dyDescent="0.25">
      <c r="A37" s="27">
        <v>44408</v>
      </c>
      <c r="B37" s="9" t="s">
        <v>13</v>
      </c>
      <c r="C37" s="35" t="s">
        <v>144</v>
      </c>
      <c r="D37" s="17">
        <v>1302.08</v>
      </c>
      <c r="E37" s="5"/>
      <c r="F37" s="17"/>
      <c r="G37" s="25">
        <v>1302.08</v>
      </c>
      <c r="H37" s="62">
        <f t="shared" si="0"/>
        <v>0</v>
      </c>
      <c r="I37" s="3"/>
      <c r="J37" s="1"/>
    </row>
    <row r="38" spans="1:10" s="9" customFormat="1" ht="13.9" customHeight="1" x14ac:dyDescent="0.25">
      <c r="A38" s="27">
        <v>44408</v>
      </c>
      <c r="B38" s="9" t="s">
        <v>13</v>
      </c>
      <c r="C38" s="35" t="s">
        <v>182</v>
      </c>
      <c r="D38" s="17">
        <f>-227777.44+52161.97</f>
        <v>-175615.47</v>
      </c>
      <c r="E38" s="5">
        <f>227777.44-52161.97-175615.47</f>
        <v>0</v>
      </c>
      <c r="F38" s="17"/>
      <c r="G38" s="25">
        <v>-175615.47</v>
      </c>
      <c r="H38" s="62">
        <f t="shared" si="0"/>
        <v>0</v>
      </c>
      <c r="I38" s="3"/>
      <c r="J38" s="1"/>
    </row>
    <row r="39" spans="1:10" s="9" customFormat="1" ht="13.9" customHeight="1" x14ac:dyDescent="0.25">
      <c r="A39" s="27">
        <v>44408</v>
      </c>
      <c r="B39" s="9" t="s">
        <v>13</v>
      </c>
      <c r="C39" s="35" t="s">
        <v>183</v>
      </c>
      <c r="D39" s="17">
        <f>-76777.05+9343.07</f>
        <v>-67433.98000000001</v>
      </c>
      <c r="E39" s="5">
        <f>76777.05-9343.07-67433.98</f>
        <v>0</v>
      </c>
      <c r="F39" s="17"/>
      <c r="G39" s="25">
        <v>-67433.98000000001</v>
      </c>
      <c r="H39" s="62">
        <f t="shared" si="0"/>
        <v>0</v>
      </c>
      <c r="I39" s="3"/>
      <c r="J39" s="1"/>
    </row>
    <row r="40" spans="1:10" s="9" customFormat="1" ht="13.9" customHeight="1" x14ac:dyDescent="0.25">
      <c r="A40" s="27">
        <v>44408</v>
      </c>
      <c r="B40" s="9" t="s">
        <v>13</v>
      </c>
      <c r="C40" s="35" t="s">
        <v>184</v>
      </c>
      <c r="D40" s="17">
        <f>15161.23+6.09</f>
        <v>15167.32</v>
      </c>
      <c r="E40" s="5"/>
      <c r="F40" s="17">
        <f>-6.09-15161.23+15167.32</f>
        <v>0</v>
      </c>
      <c r="G40" s="25">
        <v>15167.32</v>
      </c>
      <c r="H40" s="62">
        <f t="shared" si="0"/>
        <v>0</v>
      </c>
      <c r="I40" s="3"/>
      <c r="J40" s="1"/>
    </row>
    <row r="41" spans="1:10" s="9" customFormat="1" ht="13.9" customHeight="1" x14ac:dyDescent="0.25">
      <c r="A41" s="27">
        <v>44408</v>
      </c>
      <c r="B41" s="9" t="s">
        <v>13</v>
      </c>
      <c r="C41" s="35" t="s">
        <v>39</v>
      </c>
      <c r="D41" s="17">
        <v>-2750.02</v>
      </c>
      <c r="E41" s="5"/>
      <c r="F41" s="17"/>
      <c r="G41" s="25">
        <v>-2750.02</v>
      </c>
      <c r="H41" s="62">
        <f t="shared" si="0"/>
        <v>0</v>
      </c>
      <c r="I41" s="3"/>
      <c r="J41" s="1"/>
    </row>
    <row r="42" spans="1:10" s="9" customFormat="1" ht="13.9" customHeight="1" x14ac:dyDescent="0.25">
      <c r="A42" s="27">
        <v>44408</v>
      </c>
      <c r="B42" s="9" t="s">
        <v>13</v>
      </c>
      <c r="C42" s="35" t="s">
        <v>34</v>
      </c>
      <c r="D42" s="17">
        <v>104368.19</v>
      </c>
      <c r="E42" s="5"/>
      <c r="F42" s="17"/>
      <c r="G42" s="25">
        <v>104368.19</v>
      </c>
      <c r="H42" s="62">
        <f t="shared" si="0"/>
        <v>0</v>
      </c>
      <c r="I42" s="3"/>
      <c r="J42" s="1"/>
    </row>
    <row r="43" spans="1:10" s="9" customFormat="1" ht="13.9" customHeight="1" x14ac:dyDescent="0.25">
      <c r="A43" s="27">
        <v>44408</v>
      </c>
      <c r="B43" s="9" t="s">
        <v>13</v>
      </c>
      <c r="C43" s="35" t="s">
        <v>35</v>
      </c>
      <c r="D43" s="17">
        <v>-27290.78</v>
      </c>
      <c r="E43" s="5"/>
      <c r="F43" s="17"/>
      <c r="G43" s="25">
        <v>-27290.78</v>
      </c>
      <c r="H43" s="62">
        <f t="shared" si="0"/>
        <v>0</v>
      </c>
      <c r="I43" s="3"/>
      <c r="J43" s="1"/>
    </row>
    <row r="44" spans="1:10" s="9" customFormat="1" ht="13.9" customHeight="1" x14ac:dyDescent="0.25">
      <c r="A44" s="27">
        <v>44439</v>
      </c>
      <c r="B44" s="9" t="s">
        <v>13</v>
      </c>
      <c r="C44" s="35" t="s">
        <v>188</v>
      </c>
      <c r="D44" s="17">
        <v>27290.78</v>
      </c>
      <c r="E44" s="5"/>
      <c r="F44" s="17"/>
      <c r="G44" s="25">
        <v>27290.78</v>
      </c>
      <c r="H44" s="62">
        <f t="shared" si="0"/>
        <v>0</v>
      </c>
      <c r="I44" s="3"/>
      <c r="J44" s="1"/>
    </row>
    <row r="45" spans="1:10" s="9" customFormat="1" ht="13.9" customHeight="1" x14ac:dyDescent="0.25">
      <c r="A45" s="27">
        <v>44439</v>
      </c>
      <c r="B45" s="9" t="s">
        <v>13</v>
      </c>
      <c r="C45" s="35" t="s">
        <v>144</v>
      </c>
      <c r="D45" s="17">
        <v>1302.08</v>
      </c>
      <c r="E45" s="5"/>
      <c r="F45" s="17"/>
      <c r="G45" s="25">
        <v>1302.08</v>
      </c>
      <c r="H45" s="62">
        <f t="shared" ref="H45:H76" si="1">D45-G45</f>
        <v>0</v>
      </c>
      <c r="I45" s="3"/>
      <c r="J45" s="1"/>
    </row>
    <row r="46" spans="1:10" s="9" customFormat="1" ht="13.9" customHeight="1" x14ac:dyDescent="0.25">
      <c r="A46" s="27">
        <v>44439</v>
      </c>
      <c r="B46" s="9" t="s">
        <v>13</v>
      </c>
      <c r="C46" s="35" t="s">
        <v>185</v>
      </c>
      <c r="D46" s="17">
        <f>27902.34+531.5</f>
        <v>28433.84</v>
      </c>
      <c r="E46" s="5"/>
      <c r="F46" s="17">
        <f>-27902.34-531.5+28433.84</f>
        <v>0</v>
      </c>
      <c r="G46" s="25">
        <v>28433.84</v>
      </c>
      <c r="H46" s="62">
        <f t="shared" si="1"/>
        <v>0</v>
      </c>
      <c r="I46" s="3"/>
      <c r="J46" s="1"/>
    </row>
    <row r="47" spans="1:10" s="9" customFormat="1" ht="13.9" customHeight="1" x14ac:dyDescent="0.25">
      <c r="A47" s="27">
        <v>44439</v>
      </c>
      <c r="B47" s="9" t="s">
        <v>13</v>
      </c>
      <c r="C47" s="35" t="s">
        <v>186</v>
      </c>
      <c r="D47" s="17">
        <f>-149539.76-3479.41</f>
        <v>-153019.17000000001</v>
      </c>
      <c r="E47" s="5">
        <f>149539.76+3479.41-153019.17</f>
        <v>0</v>
      </c>
      <c r="F47" s="17"/>
      <c r="G47" s="25">
        <v>-153019.17000000001</v>
      </c>
      <c r="H47" s="62">
        <f t="shared" si="1"/>
        <v>0</v>
      </c>
      <c r="I47" s="3"/>
      <c r="J47" s="1"/>
    </row>
    <row r="48" spans="1:10" s="9" customFormat="1" ht="13.9" customHeight="1" x14ac:dyDescent="0.25">
      <c r="A48" s="27">
        <v>44439</v>
      </c>
      <c r="B48" s="9" t="s">
        <v>13</v>
      </c>
      <c r="C48" s="35" t="s">
        <v>187</v>
      </c>
      <c r="D48" s="17">
        <v>33821.83</v>
      </c>
      <c r="E48" s="5"/>
      <c r="F48" s="17">
        <f>-33821.83+33821.83</f>
        <v>0</v>
      </c>
      <c r="G48" s="25">
        <v>33821.83</v>
      </c>
      <c r="H48" s="62">
        <f t="shared" si="1"/>
        <v>0</v>
      </c>
      <c r="I48" s="3"/>
      <c r="J48" s="1"/>
    </row>
    <row r="49" spans="1:10" s="9" customFormat="1" ht="13.9" customHeight="1" x14ac:dyDescent="0.25">
      <c r="A49" s="27">
        <v>44439</v>
      </c>
      <c r="B49" s="9" t="s">
        <v>13</v>
      </c>
      <c r="C49" s="35" t="s">
        <v>39</v>
      </c>
      <c r="D49" s="17">
        <v>-2750.02</v>
      </c>
      <c r="E49" s="5"/>
      <c r="F49" s="17"/>
      <c r="G49" s="25">
        <v>-2750.02</v>
      </c>
      <c r="H49" s="62">
        <f t="shared" si="1"/>
        <v>0</v>
      </c>
      <c r="I49" s="3"/>
      <c r="J49" s="1"/>
    </row>
    <row r="50" spans="1:10" s="9" customFormat="1" ht="13.9" customHeight="1" x14ac:dyDescent="0.25">
      <c r="A50" s="27">
        <v>44439</v>
      </c>
      <c r="B50" s="9" t="s">
        <v>13</v>
      </c>
      <c r="C50" s="35" t="s">
        <v>34</v>
      </c>
      <c r="D50" s="17">
        <f>-174012.31+24159.79</f>
        <v>-149852.51999999999</v>
      </c>
      <c r="E50" s="5"/>
      <c r="F50" s="17"/>
      <c r="G50" s="25">
        <v>-149852.51999999999</v>
      </c>
      <c r="H50" s="62">
        <f t="shared" si="1"/>
        <v>0</v>
      </c>
      <c r="I50" s="3"/>
      <c r="J50" s="1"/>
    </row>
    <row r="51" spans="1:10" s="9" customFormat="1" ht="13.9" customHeight="1" x14ac:dyDescent="0.25">
      <c r="A51" s="27">
        <v>44439</v>
      </c>
      <c r="B51" s="9" t="s">
        <v>13</v>
      </c>
      <c r="C51" s="35" t="s">
        <v>35</v>
      </c>
      <c r="D51" s="17">
        <v>-46615.29</v>
      </c>
      <c r="E51" s="5"/>
      <c r="F51" s="17"/>
      <c r="G51" s="25">
        <v>-46615.29</v>
      </c>
      <c r="H51" s="62">
        <f t="shared" si="1"/>
        <v>0</v>
      </c>
      <c r="I51" s="3"/>
      <c r="J51" s="1"/>
    </row>
    <row r="52" spans="1:10" s="9" customFormat="1" ht="13.9" customHeight="1" x14ac:dyDescent="0.25">
      <c r="A52" s="27">
        <v>44469</v>
      </c>
      <c r="B52" s="9" t="s">
        <v>13</v>
      </c>
      <c r="C52" s="35" t="s">
        <v>192</v>
      </c>
      <c r="D52" s="17">
        <v>46615.29</v>
      </c>
      <c r="E52" s="5"/>
      <c r="F52" s="17"/>
      <c r="G52" s="25">
        <v>46615.29</v>
      </c>
      <c r="H52" s="62">
        <f t="shared" si="1"/>
        <v>0</v>
      </c>
      <c r="I52" s="3"/>
      <c r="J52" s="1"/>
    </row>
    <row r="53" spans="1:10" s="9" customFormat="1" ht="13.9" customHeight="1" x14ac:dyDescent="0.25">
      <c r="A53" s="27">
        <v>44469</v>
      </c>
      <c r="B53" s="9" t="s">
        <v>13</v>
      </c>
      <c r="C53" s="35" t="s">
        <v>144</v>
      </c>
      <c r="D53" s="17">
        <v>1302.08</v>
      </c>
      <c r="E53" s="5"/>
      <c r="F53" s="17"/>
      <c r="G53" s="25">
        <v>1302.08</v>
      </c>
      <c r="H53" s="62">
        <f t="shared" si="1"/>
        <v>0</v>
      </c>
      <c r="I53" s="3"/>
      <c r="J53" s="1"/>
    </row>
    <row r="54" spans="1:10" s="9" customFormat="1" ht="13.9" customHeight="1" x14ac:dyDescent="0.25">
      <c r="A54" s="27">
        <v>44469</v>
      </c>
      <c r="B54" s="9" t="s">
        <v>13</v>
      </c>
      <c r="C54" s="35" t="s">
        <v>189</v>
      </c>
      <c r="D54" s="17">
        <f>-13384.83+4474.73</f>
        <v>-8910.1</v>
      </c>
      <c r="E54" s="5">
        <f>13384.83-4474.73-8910.1</f>
        <v>0</v>
      </c>
      <c r="F54" s="17"/>
      <c r="G54" s="25">
        <v>-13384.83</v>
      </c>
      <c r="H54" s="62">
        <f t="shared" si="1"/>
        <v>4474.7299999999996</v>
      </c>
      <c r="I54" s="3"/>
      <c r="J54" s="1"/>
    </row>
    <row r="55" spans="1:10" s="9" customFormat="1" ht="13.9" customHeight="1" x14ac:dyDescent="0.25">
      <c r="A55" s="27">
        <v>44469</v>
      </c>
      <c r="B55" s="9" t="s">
        <v>13</v>
      </c>
      <c r="C55" s="35" t="s">
        <v>190</v>
      </c>
      <c r="D55" s="17">
        <f>-67613.26-1061.92</f>
        <v>-68675.179999999993</v>
      </c>
      <c r="E55" s="5">
        <f>67613.26+1061.92-68675.18</f>
        <v>0</v>
      </c>
      <c r="F55" s="17"/>
      <c r="G55" s="25">
        <v>-67613.259999999995</v>
      </c>
      <c r="H55" s="62">
        <f t="shared" si="1"/>
        <v>-1061.9199999999983</v>
      </c>
      <c r="I55" s="3"/>
      <c r="J55" s="1"/>
    </row>
    <row r="56" spans="1:10" s="9" customFormat="1" ht="13.9" customHeight="1" x14ac:dyDescent="0.25">
      <c r="A56" s="27">
        <v>44469</v>
      </c>
      <c r="B56" s="9" t="s">
        <v>13</v>
      </c>
      <c r="C56" s="35" t="s">
        <v>191</v>
      </c>
      <c r="D56" s="17">
        <f>-148366.03-19367.43</f>
        <v>-167733.46</v>
      </c>
      <c r="E56" s="5">
        <f>148366.03+19367.43-167733.46</f>
        <v>0</v>
      </c>
      <c r="F56" s="17"/>
      <c r="G56" s="25">
        <v>-148366.03</v>
      </c>
      <c r="H56" s="62">
        <f t="shared" si="1"/>
        <v>-19367.429999999993</v>
      </c>
      <c r="I56" s="3"/>
      <c r="J56" s="1"/>
    </row>
    <row r="57" spans="1:10" s="9" customFormat="1" ht="13.9" customHeight="1" x14ac:dyDescent="0.25">
      <c r="A57" s="27">
        <v>44469</v>
      </c>
      <c r="B57" s="9" t="s">
        <v>13</v>
      </c>
      <c r="C57" s="35" t="s">
        <v>39</v>
      </c>
      <c r="D57" s="17">
        <v>-2750.02</v>
      </c>
      <c r="E57" s="5"/>
      <c r="F57" s="17"/>
      <c r="G57" s="25">
        <v>-2750.02</v>
      </c>
      <c r="H57" s="62">
        <f t="shared" si="1"/>
        <v>0</v>
      </c>
      <c r="I57" s="3"/>
      <c r="J57" s="1"/>
    </row>
    <row r="58" spans="1:10" s="9" customFormat="1" ht="13.9" customHeight="1" x14ac:dyDescent="0.25">
      <c r="A58" s="27">
        <v>44469</v>
      </c>
      <c r="B58" s="9" t="s">
        <v>13</v>
      </c>
      <c r="C58" s="35" t="s">
        <v>34</v>
      </c>
      <c r="D58" s="17">
        <f>108395.7-49411.97</f>
        <v>58983.729999999996</v>
      </c>
      <c r="E58" s="5"/>
      <c r="F58" s="17"/>
      <c r="G58" s="25">
        <v>108395.7</v>
      </c>
      <c r="H58" s="62">
        <f t="shared" si="1"/>
        <v>-49411.97</v>
      </c>
      <c r="I58" s="3"/>
      <c r="J58" s="1"/>
    </row>
    <row r="59" spans="1:10" s="9" customFormat="1" ht="13.9" customHeight="1" x14ac:dyDescent="0.25">
      <c r="A59" s="27">
        <v>44469</v>
      </c>
      <c r="B59" s="9" t="s">
        <v>13</v>
      </c>
      <c r="C59" s="35" t="s">
        <v>35</v>
      </c>
      <c r="D59" s="17">
        <v>-63680.79</v>
      </c>
      <c r="E59" s="5"/>
      <c r="F59" s="17"/>
      <c r="G59" s="25">
        <v>-63680.79</v>
      </c>
      <c r="H59" s="62">
        <f t="shared" si="1"/>
        <v>0</v>
      </c>
      <c r="I59" s="3"/>
      <c r="J59" s="1"/>
    </row>
    <row r="60" spans="1:10" s="9" customFormat="1" ht="13.9" customHeight="1" x14ac:dyDescent="0.25">
      <c r="A60" s="27">
        <v>44500</v>
      </c>
      <c r="B60" s="9" t="s">
        <v>18</v>
      </c>
      <c r="C60" s="35" t="s">
        <v>196</v>
      </c>
      <c r="D60" s="17">
        <v>63680.78</v>
      </c>
      <c r="E60" s="5"/>
      <c r="F60" s="17"/>
      <c r="G60" s="38"/>
      <c r="H60" s="62">
        <f t="shared" si="1"/>
        <v>63680.78</v>
      </c>
      <c r="I60" s="3"/>
      <c r="J60" s="1"/>
    </row>
    <row r="61" spans="1:10" s="9" customFormat="1" ht="13.9" customHeight="1" x14ac:dyDescent="0.25">
      <c r="A61" s="27">
        <v>44500</v>
      </c>
      <c r="B61" s="9" t="s">
        <v>18</v>
      </c>
      <c r="C61" s="35" t="s">
        <v>144</v>
      </c>
      <c r="D61" s="17">
        <v>1302.08</v>
      </c>
      <c r="E61" s="5"/>
      <c r="F61" s="17"/>
      <c r="G61" s="38"/>
      <c r="H61" s="62">
        <f t="shared" si="1"/>
        <v>1302.08</v>
      </c>
      <c r="I61" s="3"/>
      <c r="J61" s="1"/>
    </row>
    <row r="62" spans="1:10" s="9" customFormat="1" ht="13.9" customHeight="1" x14ac:dyDescent="0.25">
      <c r="A62" s="27">
        <v>44500</v>
      </c>
      <c r="B62" s="9" t="s">
        <v>18</v>
      </c>
      <c r="C62" s="35" t="s">
        <v>193</v>
      </c>
      <c r="D62" s="17">
        <f>-20970.68+1269.76</f>
        <v>-19700.920000000002</v>
      </c>
      <c r="E62" s="79">
        <f>20970.68-1269.76</f>
        <v>19700.920000000002</v>
      </c>
      <c r="F62" s="17"/>
      <c r="G62" s="38"/>
      <c r="H62" s="62">
        <f t="shared" si="1"/>
        <v>-19700.920000000002</v>
      </c>
      <c r="I62" s="3"/>
      <c r="J62" s="1"/>
    </row>
    <row r="63" spans="1:10" s="9" customFormat="1" ht="13.9" customHeight="1" x14ac:dyDescent="0.25">
      <c r="A63" s="27">
        <v>44500</v>
      </c>
      <c r="B63" s="9" t="s">
        <v>18</v>
      </c>
      <c r="C63" s="35" t="s">
        <v>194</v>
      </c>
      <c r="D63" s="17">
        <v>-132112.59</v>
      </c>
      <c r="E63" s="56">
        <v>132112.59</v>
      </c>
      <c r="F63" s="17"/>
      <c r="G63" s="38"/>
      <c r="H63" s="62">
        <f t="shared" si="1"/>
        <v>-132112.59</v>
      </c>
      <c r="I63" s="3"/>
      <c r="J63" s="1"/>
    </row>
    <row r="64" spans="1:10" s="9" customFormat="1" ht="13.9" customHeight="1" x14ac:dyDescent="0.25">
      <c r="A64" s="27">
        <v>44500</v>
      </c>
      <c r="B64" s="9" t="s">
        <v>18</v>
      </c>
      <c r="C64" s="35" t="s">
        <v>195</v>
      </c>
      <c r="D64" s="17">
        <v>-35621.22</v>
      </c>
      <c r="E64" s="54">
        <v>35621.22</v>
      </c>
      <c r="F64" s="17"/>
      <c r="G64" s="38"/>
      <c r="H64" s="62">
        <f t="shared" si="1"/>
        <v>-35621.22</v>
      </c>
      <c r="I64" s="3"/>
      <c r="J64" s="1"/>
    </row>
    <row r="65" spans="1:10" s="9" customFormat="1" ht="13.9" customHeight="1" x14ac:dyDescent="0.25">
      <c r="A65" s="27">
        <v>44500</v>
      </c>
      <c r="B65" s="9" t="s">
        <v>18</v>
      </c>
      <c r="C65" s="35" t="s">
        <v>39</v>
      </c>
      <c r="D65" s="17">
        <v>-2750.02</v>
      </c>
      <c r="E65" s="5"/>
      <c r="F65" s="17"/>
      <c r="G65" s="38"/>
      <c r="H65" s="62">
        <f t="shared" si="1"/>
        <v>-2750.02</v>
      </c>
      <c r="I65" s="3"/>
      <c r="J65" s="1"/>
    </row>
    <row r="66" spans="1:10" s="9" customFormat="1" ht="13.9" customHeight="1" x14ac:dyDescent="0.25">
      <c r="A66" s="27">
        <v>44500</v>
      </c>
      <c r="B66" s="9" t="s">
        <v>18</v>
      </c>
      <c r="C66" s="35" t="s">
        <v>34</v>
      </c>
      <c r="D66" s="17">
        <f>12117.93+24000</f>
        <v>36117.93</v>
      </c>
      <c r="E66" s="5"/>
      <c r="F66" s="17"/>
      <c r="G66" s="38"/>
      <c r="H66" s="62">
        <f t="shared" si="1"/>
        <v>36117.93</v>
      </c>
      <c r="I66" s="3"/>
      <c r="J66" s="1"/>
    </row>
    <row r="67" spans="1:10" s="9" customFormat="1" ht="13.9" customHeight="1" x14ac:dyDescent="0.25">
      <c r="A67" s="27">
        <v>44500</v>
      </c>
      <c r="B67" s="9" t="s">
        <v>18</v>
      </c>
      <c r="C67" s="35" t="s">
        <v>35</v>
      </c>
      <c r="D67" s="17">
        <v>-4476.42</v>
      </c>
      <c r="E67" s="5"/>
      <c r="F67" s="17"/>
      <c r="G67" s="38"/>
      <c r="H67" s="62">
        <f t="shared" si="1"/>
        <v>-4476.42</v>
      </c>
      <c r="I67" s="3"/>
      <c r="J67" s="1"/>
    </row>
    <row r="68" spans="1:10" s="9" customFormat="1" ht="13.9" customHeight="1" x14ac:dyDescent="0.25">
      <c r="A68" s="27">
        <v>44530</v>
      </c>
      <c r="B68" s="9" t="s">
        <v>18</v>
      </c>
      <c r="C68" s="35" t="s">
        <v>200</v>
      </c>
      <c r="D68" s="17">
        <v>4476.42</v>
      </c>
      <c r="E68" s="5"/>
      <c r="F68" s="17"/>
      <c r="G68" s="38"/>
      <c r="H68" s="62">
        <f t="shared" si="1"/>
        <v>4476.42</v>
      </c>
      <c r="I68" s="3"/>
      <c r="J68" s="1"/>
    </row>
    <row r="69" spans="1:10" s="9" customFormat="1" ht="13.9" customHeight="1" x14ac:dyDescent="0.25">
      <c r="A69" s="27">
        <v>44530</v>
      </c>
      <c r="B69" s="9" t="s">
        <v>18</v>
      </c>
      <c r="C69" s="35" t="s">
        <v>144</v>
      </c>
      <c r="D69" s="17">
        <v>1302.08</v>
      </c>
      <c r="E69" s="5"/>
      <c r="F69" s="17"/>
      <c r="G69" s="38"/>
      <c r="H69" s="62">
        <f t="shared" si="1"/>
        <v>1302.08</v>
      </c>
      <c r="I69" s="3"/>
      <c r="J69" s="1"/>
    </row>
    <row r="70" spans="1:10" s="9" customFormat="1" ht="13.9" customHeight="1" x14ac:dyDescent="0.25">
      <c r="A70" s="27">
        <v>44530</v>
      </c>
      <c r="B70" s="9" t="s">
        <v>18</v>
      </c>
      <c r="C70" s="35" t="s">
        <v>201</v>
      </c>
      <c r="D70" s="17">
        <v>309699.09000000003</v>
      </c>
      <c r="E70" s="5"/>
      <c r="F70" s="81">
        <v>-309699.09000000003</v>
      </c>
      <c r="G70" s="38"/>
      <c r="H70" s="62">
        <f t="shared" si="1"/>
        <v>309699.09000000003</v>
      </c>
      <c r="I70" s="3"/>
      <c r="J70" s="1"/>
    </row>
    <row r="71" spans="1:10" s="9" customFormat="1" ht="13.9" customHeight="1" x14ac:dyDescent="0.25">
      <c r="A71" s="27">
        <v>44530</v>
      </c>
      <c r="B71" s="9" t="s">
        <v>18</v>
      </c>
      <c r="C71" s="35" t="s">
        <v>202</v>
      </c>
      <c r="D71" s="17">
        <v>-332840.28000000003</v>
      </c>
      <c r="E71" s="56">
        <v>332840.28000000003</v>
      </c>
      <c r="F71" s="17"/>
      <c r="G71" s="38"/>
      <c r="H71" s="62">
        <f t="shared" si="1"/>
        <v>-332840.28000000003</v>
      </c>
      <c r="I71" s="3"/>
      <c r="J71" s="1"/>
    </row>
    <row r="72" spans="1:10" s="9" customFormat="1" ht="13.9" customHeight="1" x14ac:dyDescent="0.25">
      <c r="A72" s="27">
        <v>44530</v>
      </c>
      <c r="B72" s="9" t="s">
        <v>18</v>
      </c>
      <c r="C72" s="35" t="s">
        <v>203</v>
      </c>
      <c r="D72" s="17">
        <v>-84316.47</v>
      </c>
      <c r="E72" s="54">
        <v>84316.47</v>
      </c>
      <c r="F72" s="17"/>
      <c r="G72" s="38"/>
      <c r="H72" s="62">
        <f t="shared" si="1"/>
        <v>-84316.47</v>
      </c>
      <c r="I72" s="3"/>
      <c r="J72" s="1"/>
    </row>
    <row r="73" spans="1:10" s="9" customFormat="1" ht="13.9" customHeight="1" x14ac:dyDescent="0.25">
      <c r="A73" s="44">
        <v>44530</v>
      </c>
      <c r="B73" s="24" t="s">
        <v>18</v>
      </c>
      <c r="C73" s="26" t="s">
        <v>41</v>
      </c>
      <c r="D73" s="33">
        <v>166.64</v>
      </c>
      <c r="E73" s="5"/>
      <c r="F73" s="17"/>
      <c r="G73" s="38"/>
      <c r="H73" s="62">
        <f t="shared" si="1"/>
        <v>166.64</v>
      </c>
      <c r="I73" s="3"/>
      <c r="J73" s="1"/>
    </row>
    <row r="74" spans="1:10" s="9" customFormat="1" ht="13.9" customHeight="1" x14ac:dyDescent="0.25">
      <c r="A74" s="44">
        <v>44530</v>
      </c>
      <c r="B74" s="24" t="s">
        <v>18</v>
      </c>
      <c r="C74" s="26" t="s">
        <v>42</v>
      </c>
      <c r="D74" s="33">
        <v>125611.93</v>
      </c>
      <c r="E74" s="5"/>
      <c r="F74" s="17"/>
      <c r="G74" s="38"/>
      <c r="H74" s="62">
        <f t="shared" si="1"/>
        <v>125611.93</v>
      </c>
      <c r="I74" s="3"/>
      <c r="J74" s="1"/>
    </row>
    <row r="75" spans="1:10" s="9" customFormat="1" ht="13.9" customHeight="1" x14ac:dyDescent="0.25">
      <c r="A75" s="44">
        <v>44530</v>
      </c>
      <c r="B75" s="24" t="s">
        <v>18</v>
      </c>
      <c r="C75" s="26" t="s">
        <v>43</v>
      </c>
      <c r="D75" s="33">
        <v>-53584.14</v>
      </c>
      <c r="E75" s="5"/>
      <c r="F75" s="17"/>
      <c r="G75" s="38"/>
      <c r="H75" s="62">
        <f t="shared" si="1"/>
        <v>-53584.14</v>
      </c>
      <c r="I75" s="3"/>
      <c r="J75" s="1"/>
    </row>
    <row r="76" spans="1:10" s="9" customFormat="1" x14ac:dyDescent="0.25">
      <c r="A76" s="63"/>
      <c r="B76" s="46"/>
      <c r="C76" s="64"/>
      <c r="D76" s="22"/>
      <c r="E76" s="21"/>
      <c r="F76" s="22"/>
      <c r="G76" s="21"/>
      <c r="H76" s="62">
        <f t="shared" si="1"/>
        <v>0</v>
      </c>
      <c r="J76" s="1"/>
    </row>
    <row r="77" spans="1:10" x14ac:dyDescent="0.25">
      <c r="B77" s="9"/>
      <c r="C77" s="9"/>
      <c r="D77" s="45">
        <f>SUM(D7:D76)</f>
        <v>-990148.28000000014</v>
      </c>
      <c r="E77" s="45">
        <f>SUM(E7:E76)</f>
        <v>604591.48</v>
      </c>
      <c r="F77" s="45">
        <f>SUM(F7:F76)</f>
        <v>-309699.09000000003</v>
      </c>
      <c r="G77" s="45">
        <f>SUM(G6:G76)</f>
        <v>-722613.26000000013</v>
      </c>
      <c r="H77" s="45">
        <f>SUM(H6:H76)</f>
        <v>-170828.74</v>
      </c>
      <c r="J77" s="1"/>
    </row>
    <row r="78" spans="1:10" x14ac:dyDescent="0.25">
      <c r="B78" s="9"/>
      <c r="C78" s="9"/>
      <c r="D78" s="2"/>
      <c r="E78" s="2"/>
      <c r="F78" s="2"/>
      <c r="G78" s="1">
        <f>G77*-1</f>
        <v>722613.26000000013</v>
      </c>
      <c r="H78" s="2"/>
    </row>
    <row r="79" spans="1:10" ht="45" x14ac:dyDescent="0.25">
      <c r="B79" s="9"/>
      <c r="C79" s="9" t="s">
        <v>6</v>
      </c>
      <c r="D79" s="11"/>
      <c r="E79" s="68">
        <v>604591.48</v>
      </c>
      <c r="F79" s="8">
        <v>-309699.09000000003</v>
      </c>
      <c r="G79" s="9"/>
      <c r="H79" s="8">
        <v>-170828.74</v>
      </c>
      <c r="I79" s="85" t="s">
        <v>174</v>
      </c>
      <c r="J79" s="1" t="s">
        <v>120</v>
      </c>
    </row>
    <row r="80" spans="1:10" x14ac:dyDescent="0.25">
      <c r="B80" s="9"/>
      <c r="C80" s="9" t="s">
        <v>28</v>
      </c>
      <c r="D80" s="10"/>
      <c r="E80" s="10">
        <f>E77-E79</f>
        <v>0</v>
      </c>
      <c r="F80" s="10">
        <f>F77-F79</f>
        <v>0</v>
      </c>
      <c r="G80" s="10"/>
      <c r="H80" s="10">
        <f>H77-H79</f>
        <v>0</v>
      </c>
      <c r="J80" s="1"/>
    </row>
    <row r="81" spans="2:10" x14ac:dyDescent="0.25">
      <c r="B81" s="9"/>
      <c r="C81" s="9"/>
      <c r="D81" s="9"/>
      <c r="E81" s="9"/>
      <c r="F81" s="4"/>
      <c r="G81" s="20"/>
      <c r="H81" s="1"/>
    </row>
    <row r="82" spans="2:10" x14ac:dyDescent="0.25">
      <c r="B82" s="9"/>
      <c r="C82" s="106" t="s">
        <v>30</v>
      </c>
      <c r="D82" s="107"/>
      <c r="E82" s="10"/>
      <c r="F82" s="12"/>
      <c r="G82" s="102"/>
      <c r="H82" s="19"/>
      <c r="J82" s="1"/>
    </row>
    <row r="83" spans="2:10" x14ac:dyDescent="0.25">
      <c r="B83" s="9"/>
      <c r="C83" s="28" t="s">
        <v>150</v>
      </c>
      <c r="D83" s="61">
        <v>0</v>
      </c>
      <c r="E83" s="9"/>
      <c r="F83" s="102"/>
      <c r="G83" s="102"/>
      <c r="H83" s="19"/>
      <c r="J83" s="1"/>
    </row>
    <row r="84" spans="2:10" x14ac:dyDescent="0.25">
      <c r="B84" s="9"/>
      <c r="C84" s="29" t="s">
        <v>27</v>
      </c>
      <c r="D84" s="42">
        <f>+E64+E56+E72</f>
        <v>119937.69</v>
      </c>
      <c r="E84" s="9"/>
      <c r="F84" s="102"/>
      <c r="G84" s="102"/>
      <c r="H84" s="19"/>
      <c r="J84" s="1"/>
    </row>
    <row r="85" spans="2:10" x14ac:dyDescent="0.25">
      <c r="B85" s="9"/>
      <c r="C85" s="29" t="s">
        <v>33</v>
      </c>
      <c r="D85" s="55">
        <f>+E63+E55+E71</f>
        <v>464952.87</v>
      </c>
      <c r="E85" s="59"/>
      <c r="F85" s="102"/>
      <c r="G85" s="102" t="s">
        <v>25</v>
      </c>
      <c r="H85" s="19"/>
      <c r="J85" s="1"/>
    </row>
    <row r="86" spans="2:10" ht="15.75" thickBot="1" x14ac:dyDescent="0.3">
      <c r="C86" s="30" t="s">
        <v>38</v>
      </c>
      <c r="D86" s="80">
        <f>+E54+E62+F70</f>
        <v>-289998.17000000004</v>
      </c>
      <c r="F86" s="102"/>
      <c r="G86" s="102"/>
      <c r="H86" s="43"/>
      <c r="J86" s="1"/>
    </row>
    <row r="87" spans="2:10" x14ac:dyDescent="0.25">
      <c r="C87" s="31"/>
      <c r="D87" s="32">
        <f>SUM(D83:D86)</f>
        <v>294892.39</v>
      </c>
      <c r="F87" s="12"/>
      <c r="G87" s="102"/>
      <c r="H87" s="43"/>
    </row>
    <row r="88" spans="2:10" x14ac:dyDescent="0.25">
      <c r="C88" s="18"/>
      <c r="D88" s="19"/>
      <c r="F88" s="12"/>
      <c r="G88" s="102"/>
      <c r="H88" s="43"/>
    </row>
    <row r="89" spans="2:10" x14ac:dyDescent="0.25">
      <c r="C89" s="92" t="s">
        <v>165</v>
      </c>
      <c r="D89" s="19">
        <f>(E79+F79)-D87</f>
        <v>0</v>
      </c>
      <c r="F89" s="18"/>
      <c r="G89" s="102"/>
      <c r="H89" s="43"/>
    </row>
    <row r="90" spans="2:10" x14ac:dyDescent="0.25">
      <c r="C90" s="18"/>
      <c r="D90" s="19"/>
      <c r="F90" s="18"/>
      <c r="G90" s="102"/>
      <c r="H90" s="43"/>
    </row>
    <row r="91" spans="2:10" x14ac:dyDescent="0.25">
      <c r="F91" s="18"/>
      <c r="G91" s="102"/>
      <c r="H91" s="43"/>
    </row>
    <row r="92" spans="2:10" x14ac:dyDescent="0.25">
      <c r="F92" s="18"/>
      <c r="G92" s="102"/>
      <c r="H92" s="43"/>
    </row>
    <row r="93" spans="2:10" x14ac:dyDescent="0.25">
      <c r="F93" s="18"/>
      <c r="G93" s="102"/>
      <c r="H93" s="43"/>
    </row>
    <row r="94" spans="2:10" x14ac:dyDescent="0.25">
      <c r="F94" s="18"/>
      <c r="G94" s="102"/>
      <c r="H94" s="43"/>
    </row>
    <row r="95" spans="2:10" x14ac:dyDescent="0.25">
      <c r="F95" s="18"/>
      <c r="G95" s="18"/>
      <c r="H95" s="18"/>
    </row>
  </sheetData>
  <autoFilter ref="A5:K87">
    <filterColumn colId="0" showButton="0"/>
  </autoFilter>
  <mergeCells count="3">
    <mergeCell ref="A5:B5"/>
    <mergeCell ref="A6:B6"/>
    <mergeCell ref="C82:D82"/>
  </mergeCells>
  <pageMargins left="0.7" right="0.7" top="0.5" bottom="0.5" header="0.3" footer="0.3"/>
  <pageSetup scale="43" orientation="portrait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9"/>
  <sheetViews>
    <sheetView topLeftCell="E1" zoomScale="90" zoomScaleNormal="90" workbookViewId="0">
      <pane ySplit="5" topLeftCell="A137" activePane="bottomLeft" state="frozen"/>
      <selection activeCell="C1" sqref="C1"/>
      <selection pane="bottomLeft" activeCell="D136" sqref="D136"/>
    </sheetView>
  </sheetViews>
  <sheetFormatPr defaultColWidth="9.140625" defaultRowHeight="15" x14ac:dyDescent="0.25"/>
  <cols>
    <col min="1" max="1" width="13.85546875" style="7" customWidth="1"/>
    <col min="2" max="2" width="8.7109375" style="7" customWidth="1"/>
    <col min="3" max="3" width="64.5703125" style="7" bestFit="1" customWidth="1"/>
    <col min="4" max="4" width="16" style="7" bestFit="1" customWidth="1"/>
    <col min="5" max="5" width="26.42578125" style="7" bestFit="1" customWidth="1"/>
    <col min="6" max="6" width="22.7109375" style="7" bestFit="1" customWidth="1"/>
    <col min="7" max="7" width="36.28515625" style="7" customWidth="1"/>
    <col min="8" max="8" width="21.42578125" style="7" bestFit="1" customWidth="1"/>
    <col min="9" max="9" width="16.42578125" style="7" customWidth="1"/>
    <col min="10" max="10" width="43.140625" style="7" customWidth="1"/>
    <col min="11" max="11" width="26" style="7" customWidth="1"/>
    <col min="12" max="16384" width="9.140625" style="7"/>
  </cols>
  <sheetData>
    <row r="1" spans="1:10" ht="21" x14ac:dyDescent="0.35">
      <c r="A1" s="58" t="s">
        <v>22</v>
      </c>
    </row>
    <row r="2" spans="1:10" ht="21" x14ac:dyDescent="0.35">
      <c r="A2" s="60" t="s">
        <v>17</v>
      </c>
      <c r="E2" s="14"/>
      <c r="F2" s="14"/>
    </row>
    <row r="3" spans="1:10" ht="21" x14ac:dyDescent="0.35">
      <c r="A3" s="58" t="s">
        <v>16</v>
      </c>
      <c r="B3" s="9"/>
      <c r="D3" s="1"/>
      <c r="E3" s="9"/>
      <c r="F3" s="9"/>
      <c r="G3" s="9"/>
      <c r="H3" s="9"/>
    </row>
    <row r="4" spans="1:10" ht="30.6" customHeight="1" x14ac:dyDescent="0.25">
      <c r="A4" s="50"/>
      <c r="B4" s="18"/>
      <c r="C4" s="51"/>
      <c r="D4" s="47" t="s">
        <v>1</v>
      </c>
      <c r="E4" s="57" t="s">
        <v>32</v>
      </c>
      <c r="F4" s="57" t="s">
        <v>31</v>
      </c>
      <c r="G4" s="52" t="s">
        <v>36</v>
      </c>
      <c r="H4" s="47" t="s">
        <v>2</v>
      </c>
    </row>
    <row r="5" spans="1:10" ht="15.75" thickBot="1" x14ac:dyDescent="0.3">
      <c r="A5" s="104" t="s">
        <v>29</v>
      </c>
      <c r="B5" s="104"/>
      <c r="C5" s="49" t="s">
        <v>3</v>
      </c>
      <c r="D5" s="48" t="s">
        <v>4</v>
      </c>
      <c r="E5" s="48" t="s">
        <v>5</v>
      </c>
      <c r="F5" s="48" t="s">
        <v>5</v>
      </c>
      <c r="G5" s="53" t="s">
        <v>197</v>
      </c>
      <c r="H5" s="48" t="s">
        <v>4</v>
      </c>
    </row>
    <row r="6" spans="1:10" x14ac:dyDescent="0.25">
      <c r="A6" s="105" t="s">
        <v>15</v>
      </c>
      <c r="B6" s="105"/>
      <c r="C6" s="23" t="s">
        <v>145</v>
      </c>
      <c r="D6" s="17">
        <f>1148.11+7643.37+1151.59+7639.89+1155.09+7636.39+1158.59+7632.89+1162.1+7629.38+1165.63+7625.85+1169.16+7622.32+1172.71+7618.77+1176.26+7615.22+772.18+8019.3</f>
        <v>87914.799999999988</v>
      </c>
      <c r="E6" s="47"/>
      <c r="F6" s="34"/>
      <c r="G6" s="74">
        <f>26374.44+52748.88</f>
        <v>79123.319999999992</v>
      </c>
      <c r="H6" s="12">
        <f>D6-G6</f>
        <v>8791.4799999999959</v>
      </c>
      <c r="I6" s="6"/>
    </row>
    <row r="7" spans="1:10" hidden="1" x14ac:dyDescent="0.25">
      <c r="A7" s="105" t="s">
        <v>15</v>
      </c>
      <c r="B7" s="105"/>
      <c r="C7" s="23" t="s">
        <v>78</v>
      </c>
      <c r="D7" s="17">
        <f>11199.33+11199.33+11199.33+11199.33+11199.33+11199.33+11199.33+11199.33+11199.33+1906.78+6492.72+1141.18+7650.3+1144.64+7646.84</f>
        <v>126776.43</v>
      </c>
      <c r="E7" s="47"/>
      <c r="F7" s="34"/>
      <c r="G7" s="74">
        <f>55996.65+61988.3+8791.48</f>
        <v>126776.43000000001</v>
      </c>
      <c r="H7" s="12">
        <f>D7-G7</f>
        <v>0</v>
      </c>
      <c r="I7" s="6"/>
    </row>
    <row r="8" spans="1:10" s="9" customFormat="1" ht="13.9" hidden="1" customHeight="1" x14ac:dyDescent="0.25">
      <c r="A8" s="27">
        <v>43982</v>
      </c>
      <c r="B8" s="9" t="s">
        <v>10</v>
      </c>
      <c r="C8" s="35" t="s">
        <v>101</v>
      </c>
      <c r="D8" s="17">
        <f>6657.07-246.45</f>
        <v>6410.62</v>
      </c>
      <c r="E8" s="5"/>
      <c r="F8" s="17">
        <f>-6657.07+246.45+6410.62</f>
        <v>0</v>
      </c>
      <c r="G8" s="11">
        <f>6657.07-246.45</f>
        <v>6410.62</v>
      </c>
      <c r="H8" s="62">
        <f t="shared" ref="H8:H126" si="0">D8-G8</f>
        <v>0</v>
      </c>
      <c r="I8" s="3"/>
      <c r="J8" s="1"/>
    </row>
    <row r="9" spans="1:10" s="9" customFormat="1" ht="13.9" hidden="1" customHeight="1" x14ac:dyDescent="0.25">
      <c r="A9" s="27">
        <v>43982</v>
      </c>
      <c r="B9" s="9" t="s">
        <v>10</v>
      </c>
      <c r="C9" s="35" t="s">
        <v>102</v>
      </c>
      <c r="D9" s="17">
        <f>-39806.95+23.74</f>
        <v>-39783.21</v>
      </c>
      <c r="E9" s="5">
        <f>39806.95-23.74-39783.21</f>
        <v>0</v>
      </c>
      <c r="F9" s="17"/>
      <c r="G9" s="11">
        <f>-39806.95+23.74</f>
        <v>-39783.21</v>
      </c>
      <c r="H9" s="62">
        <f t="shared" si="0"/>
        <v>0</v>
      </c>
      <c r="I9" s="3"/>
      <c r="J9" s="1"/>
    </row>
    <row r="10" spans="1:10" s="9" customFormat="1" ht="13.9" hidden="1" customHeight="1" x14ac:dyDescent="0.25">
      <c r="A10" s="27">
        <v>43982</v>
      </c>
      <c r="B10" s="9" t="s">
        <v>10</v>
      </c>
      <c r="C10" s="35" t="s">
        <v>103</v>
      </c>
      <c r="D10" s="17">
        <f>-27747.51-275.24</f>
        <v>-28022.75</v>
      </c>
      <c r="E10" s="5">
        <f>27747.51+275.24-28022.75</f>
        <v>0</v>
      </c>
      <c r="F10" s="17"/>
      <c r="G10" s="11">
        <f>-27747.51-275.24</f>
        <v>-28022.75</v>
      </c>
      <c r="H10" s="62">
        <f t="shared" si="0"/>
        <v>0</v>
      </c>
      <c r="I10" s="3"/>
      <c r="J10" s="1"/>
    </row>
    <row r="11" spans="1:10" s="9" customFormat="1" ht="13.9" hidden="1" customHeight="1" x14ac:dyDescent="0.25">
      <c r="A11" s="27">
        <v>43982</v>
      </c>
      <c r="B11" s="9" t="s">
        <v>10</v>
      </c>
      <c r="C11" s="35" t="s">
        <v>34</v>
      </c>
      <c r="D11" s="17">
        <f>-25900.51-29.59</f>
        <v>-25930.1</v>
      </c>
      <c r="E11" s="5"/>
      <c r="F11" s="17"/>
      <c r="G11" s="11">
        <f>-25900.51-29.59</f>
        <v>-25930.1</v>
      </c>
      <c r="H11" s="62">
        <f t="shared" si="0"/>
        <v>0</v>
      </c>
      <c r="I11" s="3"/>
      <c r="J11" s="1"/>
    </row>
    <row r="12" spans="1:10" s="9" customFormat="1" ht="13.9" hidden="1" customHeight="1" x14ac:dyDescent="0.25">
      <c r="A12" s="27">
        <v>43982</v>
      </c>
      <c r="B12" s="9" t="s">
        <v>10</v>
      </c>
      <c r="C12" s="35" t="s">
        <v>35</v>
      </c>
      <c r="D12" s="17">
        <f>-33642.7+9266.09</f>
        <v>-24376.609999999997</v>
      </c>
      <c r="E12" s="5"/>
      <c r="F12" s="17"/>
      <c r="G12" s="11">
        <f>-33642.7+9266.09</f>
        <v>-24376.609999999997</v>
      </c>
      <c r="H12" s="62">
        <f t="shared" si="0"/>
        <v>0</v>
      </c>
      <c r="I12" s="3"/>
      <c r="J12" s="1"/>
    </row>
    <row r="13" spans="1:10" s="9" customFormat="1" ht="13.9" hidden="1" customHeight="1" x14ac:dyDescent="0.25">
      <c r="A13" s="27">
        <v>44012</v>
      </c>
      <c r="B13" s="9" t="s">
        <v>10</v>
      </c>
      <c r="C13" s="35" t="s">
        <v>105</v>
      </c>
      <c r="D13" s="17">
        <f>-6884.15+353.43</f>
        <v>-6530.7199999999993</v>
      </c>
      <c r="E13" s="5">
        <f>6884.15-353.43-6530.72</f>
        <v>0</v>
      </c>
      <c r="F13" s="17"/>
      <c r="G13" s="11">
        <v>-6530.7199999999993</v>
      </c>
      <c r="H13" s="62">
        <f t="shared" si="0"/>
        <v>0</v>
      </c>
      <c r="I13" s="3"/>
      <c r="J13" s="1"/>
    </row>
    <row r="14" spans="1:10" s="9" customFormat="1" ht="13.9" hidden="1" customHeight="1" x14ac:dyDescent="0.25">
      <c r="A14" s="27">
        <v>44012</v>
      </c>
      <c r="B14" s="9" t="s">
        <v>10</v>
      </c>
      <c r="C14" s="35" t="s">
        <v>106</v>
      </c>
      <c r="D14" s="17">
        <f>-30007.16+38.79</f>
        <v>-29968.37</v>
      </c>
      <c r="E14" s="5">
        <f>30007.16-38.79-29968.37</f>
        <v>0</v>
      </c>
      <c r="F14" s="17"/>
      <c r="G14" s="11">
        <v>-29968.37</v>
      </c>
      <c r="H14" s="62">
        <f t="shared" si="0"/>
        <v>0</v>
      </c>
      <c r="I14" s="3"/>
      <c r="J14" s="1"/>
    </row>
    <row r="15" spans="1:10" s="9" customFormat="1" ht="13.9" hidden="1" customHeight="1" x14ac:dyDescent="0.25">
      <c r="A15" s="27">
        <v>44012</v>
      </c>
      <c r="B15" s="9" t="s">
        <v>10</v>
      </c>
      <c r="C15" s="35" t="s">
        <v>107</v>
      </c>
      <c r="D15" s="17">
        <f>-45333.66-2312.7</f>
        <v>-47646.36</v>
      </c>
      <c r="E15" s="5">
        <f>45333.66+2312.7-47646.36</f>
        <v>0</v>
      </c>
      <c r="F15" s="17"/>
      <c r="G15" s="11">
        <v>-47646.36</v>
      </c>
      <c r="H15" s="62">
        <f t="shared" si="0"/>
        <v>0</v>
      </c>
      <c r="I15" s="3"/>
      <c r="J15" s="1"/>
    </row>
    <row r="16" spans="1:10" s="9" customFormat="1" ht="13.9" hidden="1" customHeight="1" x14ac:dyDescent="0.25">
      <c r="A16" s="27">
        <v>44012</v>
      </c>
      <c r="B16" s="9" t="s">
        <v>10</v>
      </c>
      <c r="C16" s="35" t="s">
        <v>104</v>
      </c>
      <c r="D16" s="17">
        <v>24376.61</v>
      </c>
      <c r="E16" s="5"/>
      <c r="F16" s="17"/>
      <c r="G16" s="11">
        <v>24376.61</v>
      </c>
      <c r="H16" s="62">
        <f t="shared" si="0"/>
        <v>0</v>
      </c>
      <c r="I16" s="3"/>
      <c r="J16" s="1"/>
    </row>
    <row r="17" spans="1:10" s="9" customFormat="1" ht="13.9" hidden="1" customHeight="1" x14ac:dyDescent="0.25">
      <c r="A17" s="27">
        <v>44012</v>
      </c>
      <c r="B17" s="9" t="s">
        <v>10</v>
      </c>
      <c r="C17" s="35" t="s">
        <v>39</v>
      </c>
      <c r="D17" s="17">
        <v>-2833.36</v>
      </c>
      <c r="E17" s="5"/>
      <c r="F17" s="17"/>
      <c r="G17" s="11">
        <v>-2833.36</v>
      </c>
      <c r="H17" s="62">
        <f t="shared" si="0"/>
        <v>0</v>
      </c>
      <c r="I17" s="3"/>
      <c r="J17" s="1"/>
    </row>
    <row r="18" spans="1:10" s="9" customFormat="1" ht="13.9" hidden="1" customHeight="1" x14ac:dyDescent="0.25">
      <c r="A18" s="27">
        <v>44012</v>
      </c>
      <c r="B18" s="9" t="s">
        <v>10</v>
      </c>
      <c r="C18" s="35" t="s">
        <v>34</v>
      </c>
      <c r="D18" s="17">
        <f>382.03-0.01</f>
        <v>382.02</v>
      </c>
      <c r="E18" s="5"/>
      <c r="F18" s="17"/>
      <c r="G18" s="11">
        <v>382.02</v>
      </c>
      <c r="H18" s="62">
        <f t="shared" si="0"/>
        <v>0</v>
      </c>
      <c r="I18" s="3"/>
      <c r="J18" s="1"/>
    </row>
    <row r="19" spans="1:10" s="9" customFormat="1" ht="13.9" hidden="1" customHeight="1" x14ac:dyDescent="0.25">
      <c r="A19" s="27">
        <v>44012</v>
      </c>
      <c r="B19" s="9" t="s">
        <v>10</v>
      </c>
      <c r="C19" s="35" t="s">
        <v>35</v>
      </c>
      <c r="D19" s="17">
        <v>-33642.699999999997</v>
      </c>
      <c r="E19" s="5"/>
      <c r="F19" s="17"/>
      <c r="G19" s="11">
        <v>-33642.699999999997</v>
      </c>
      <c r="H19" s="62">
        <f t="shared" si="0"/>
        <v>0</v>
      </c>
      <c r="I19" s="3"/>
      <c r="J19" s="1"/>
    </row>
    <row r="20" spans="1:10" s="9" customFormat="1" ht="13.9" hidden="1" customHeight="1" x14ac:dyDescent="0.25">
      <c r="A20" s="27">
        <v>44043</v>
      </c>
      <c r="B20" s="9" t="s">
        <v>13</v>
      </c>
      <c r="C20" s="35" t="s">
        <v>108</v>
      </c>
      <c r="D20" s="17">
        <f>-83244.29-875.23</f>
        <v>-84119.51999999999</v>
      </c>
      <c r="E20" s="5">
        <f>83244.29+875.23-84119.52</f>
        <v>0</v>
      </c>
      <c r="F20" s="17"/>
      <c r="G20" s="11">
        <v>-84119.51999999999</v>
      </c>
      <c r="H20" s="62">
        <f t="shared" si="0"/>
        <v>0</v>
      </c>
      <c r="I20" s="3"/>
      <c r="J20" s="1"/>
    </row>
    <row r="21" spans="1:10" s="9" customFormat="1" ht="13.9" hidden="1" customHeight="1" x14ac:dyDescent="0.25">
      <c r="A21" s="27">
        <v>44043</v>
      </c>
      <c r="B21" s="9" t="s">
        <v>13</v>
      </c>
      <c r="C21" s="35" t="s">
        <v>109</v>
      </c>
      <c r="D21" s="17">
        <f>-25846.06-271.75</f>
        <v>-26117.81</v>
      </c>
      <c r="E21" s="5">
        <f>25846.06+271.75-26117.81</f>
        <v>0</v>
      </c>
      <c r="F21" s="17"/>
      <c r="G21" s="11">
        <v>-26117.81</v>
      </c>
      <c r="H21" s="62">
        <f t="shared" si="0"/>
        <v>0</v>
      </c>
      <c r="I21" s="3"/>
      <c r="J21" s="1"/>
    </row>
    <row r="22" spans="1:10" s="9" customFormat="1" ht="13.9" hidden="1" customHeight="1" x14ac:dyDescent="0.25">
      <c r="A22" s="27">
        <v>44043</v>
      </c>
      <c r="B22" s="9" t="s">
        <v>13</v>
      </c>
      <c r="C22" s="35" t="s">
        <v>110</v>
      </c>
      <c r="D22" s="17">
        <f>4826.49+671.36</f>
        <v>5497.8499999999995</v>
      </c>
      <c r="E22" s="5"/>
      <c r="F22" s="17">
        <f>-4826.49-671.36+5497.85</f>
        <v>0</v>
      </c>
      <c r="G22" s="11">
        <v>5497.8499999999995</v>
      </c>
      <c r="H22" s="62">
        <f t="shared" si="0"/>
        <v>0</v>
      </c>
      <c r="I22" s="3"/>
      <c r="J22" s="1"/>
    </row>
    <row r="23" spans="1:10" s="9" customFormat="1" ht="13.9" hidden="1" customHeight="1" x14ac:dyDescent="0.25">
      <c r="A23" s="27">
        <v>44043</v>
      </c>
      <c r="B23" s="9" t="s">
        <v>13</v>
      </c>
      <c r="C23" s="35" t="s">
        <v>37</v>
      </c>
      <c r="D23" s="17">
        <v>0</v>
      </c>
      <c r="E23" s="5"/>
      <c r="F23" s="17"/>
      <c r="G23" s="11">
        <v>0</v>
      </c>
      <c r="H23" s="62">
        <f t="shared" si="0"/>
        <v>0</v>
      </c>
      <c r="I23" s="3"/>
      <c r="J23" s="1"/>
    </row>
    <row r="24" spans="1:10" s="9" customFormat="1" ht="13.9" hidden="1" customHeight="1" x14ac:dyDescent="0.25">
      <c r="A24" s="27">
        <v>44043</v>
      </c>
      <c r="B24" s="9" t="s">
        <v>13</v>
      </c>
      <c r="C24" s="35" t="s">
        <v>111</v>
      </c>
      <c r="D24" s="17">
        <v>33642.699999999997</v>
      </c>
      <c r="E24" s="5"/>
      <c r="F24" s="17"/>
      <c r="G24" s="11">
        <v>33642.699999999997</v>
      </c>
      <c r="H24" s="62">
        <f t="shared" si="0"/>
        <v>0</v>
      </c>
      <c r="I24" s="3"/>
      <c r="J24" s="1"/>
    </row>
    <row r="25" spans="1:10" s="9" customFormat="1" ht="13.9" hidden="1" customHeight="1" x14ac:dyDescent="0.25">
      <c r="A25" s="27">
        <v>44043</v>
      </c>
      <c r="B25" s="9" t="s">
        <v>13</v>
      </c>
      <c r="C25" s="35" t="s">
        <v>39</v>
      </c>
      <c r="D25" s="17">
        <f>-2041.69+3208.37</f>
        <v>1166.6799999999998</v>
      </c>
      <c r="E25" s="5"/>
      <c r="F25" s="17"/>
      <c r="G25" s="11">
        <v>1166.6799999999998</v>
      </c>
      <c r="H25" s="62">
        <f t="shared" si="0"/>
        <v>0</v>
      </c>
      <c r="I25" s="3"/>
      <c r="J25" s="1"/>
    </row>
    <row r="26" spans="1:10" s="9" customFormat="1" ht="13.9" hidden="1" customHeight="1" x14ac:dyDescent="0.25">
      <c r="A26" s="27">
        <v>44043</v>
      </c>
      <c r="B26" s="9" t="s">
        <v>13</v>
      </c>
      <c r="C26" s="35" t="s">
        <v>34</v>
      </c>
      <c r="D26" s="17">
        <f>33893.09+757.05</f>
        <v>34650.14</v>
      </c>
      <c r="E26" s="5"/>
      <c r="F26" s="17"/>
      <c r="G26" s="11">
        <v>34650.14</v>
      </c>
      <c r="H26" s="62">
        <f t="shared" si="0"/>
        <v>0</v>
      </c>
      <c r="I26" s="3"/>
      <c r="J26" s="1"/>
    </row>
    <row r="27" spans="1:10" s="9" customFormat="1" ht="13.9" hidden="1" customHeight="1" x14ac:dyDescent="0.25">
      <c r="A27" s="27">
        <v>44043</v>
      </c>
      <c r="B27" s="9" t="s">
        <v>13</v>
      </c>
      <c r="C27" s="35" t="s">
        <v>35</v>
      </c>
      <c r="D27" s="17">
        <v>-40947.879999999997</v>
      </c>
      <c r="E27" s="5"/>
      <c r="F27" s="17"/>
      <c r="G27" s="11">
        <v>-40947.879999999997</v>
      </c>
      <c r="H27" s="62">
        <f t="shared" si="0"/>
        <v>0</v>
      </c>
      <c r="I27" s="3"/>
      <c r="J27" s="1"/>
    </row>
    <row r="28" spans="1:10" s="9" customFormat="1" ht="13.9" hidden="1" customHeight="1" x14ac:dyDescent="0.25">
      <c r="A28" s="27">
        <v>44074</v>
      </c>
      <c r="B28" s="18" t="s">
        <v>13</v>
      </c>
      <c r="C28" s="65" t="s">
        <v>112</v>
      </c>
      <c r="D28" s="17">
        <f>-108715.97+13701.77</f>
        <v>-95014.2</v>
      </c>
      <c r="E28" s="5">
        <f>108715.97-13701.77-95014.2</f>
        <v>0</v>
      </c>
      <c r="F28" s="17"/>
      <c r="G28" s="11">
        <v>-95014.2</v>
      </c>
      <c r="H28" s="62">
        <f t="shared" si="0"/>
        <v>0</v>
      </c>
      <c r="I28" s="3"/>
      <c r="J28" s="1"/>
    </row>
    <row r="29" spans="1:10" s="9" customFormat="1" ht="13.9" hidden="1" customHeight="1" x14ac:dyDescent="0.25">
      <c r="A29" s="27">
        <v>44074</v>
      </c>
      <c r="B29" s="18" t="s">
        <v>13</v>
      </c>
      <c r="C29" s="65" t="s">
        <v>113</v>
      </c>
      <c r="D29" s="17">
        <f>-52697.04+39912.35</f>
        <v>-12784.690000000002</v>
      </c>
      <c r="E29" s="5">
        <f>52697.04-39912.35-12784.69</f>
        <v>0</v>
      </c>
      <c r="F29" s="17"/>
      <c r="G29" s="11">
        <v>-12784.690000000002</v>
      </c>
      <c r="H29" s="62">
        <f t="shared" si="0"/>
        <v>0</v>
      </c>
      <c r="I29" s="3"/>
      <c r="J29" s="1"/>
    </row>
    <row r="30" spans="1:10" s="9" customFormat="1" ht="13.9" hidden="1" customHeight="1" x14ac:dyDescent="0.25">
      <c r="A30" s="27">
        <v>44074</v>
      </c>
      <c r="B30" s="18" t="s">
        <v>13</v>
      </c>
      <c r="C30" s="65" t="s">
        <v>114</v>
      </c>
      <c r="D30" s="17">
        <f>4362.1-1.63</f>
        <v>4360.47</v>
      </c>
      <c r="E30" s="5"/>
      <c r="F30" s="17">
        <f>-4362.1+1.63+4360.47</f>
        <v>0</v>
      </c>
      <c r="G30" s="11">
        <v>4360.47</v>
      </c>
      <c r="H30" s="62">
        <f t="shared" si="0"/>
        <v>0</v>
      </c>
      <c r="I30" s="3"/>
      <c r="J30" s="1"/>
    </row>
    <row r="31" spans="1:10" s="9" customFormat="1" ht="13.9" hidden="1" customHeight="1" x14ac:dyDescent="0.25">
      <c r="A31" s="27">
        <v>44074</v>
      </c>
      <c r="B31" s="18" t="s">
        <v>13</v>
      </c>
      <c r="C31" s="65" t="s">
        <v>37</v>
      </c>
      <c r="D31" s="17">
        <v>0</v>
      </c>
      <c r="E31" s="5"/>
      <c r="F31" s="17"/>
      <c r="G31" s="11">
        <v>0</v>
      </c>
      <c r="H31" s="62">
        <f t="shared" si="0"/>
        <v>0</v>
      </c>
      <c r="I31" s="3"/>
      <c r="J31" s="1"/>
    </row>
    <row r="32" spans="1:10" s="9" customFormat="1" ht="13.9" hidden="1" customHeight="1" x14ac:dyDescent="0.25">
      <c r="A32" s="27">
        <v>44074</v>
      </c>
      <c r="B32" s="18" t="s">
        <v>13</v>
      </c>
      <c r="C32" s="65" t="s">
        <v>115</v>
      </c>
      <c r="D32" s="17">
        <v>40947.879999999997</v>
      </c>
      <c r="E32" s="5"/>
      <c r="F32" s="17"/>
      <c r="G32" s="11">
        <v>40947.879999999997</v>
      </c>
      <c r="H32" s="62">
        <f t="shared" si="0"/>
        <v>0</v>
      </c>
      <c r="I32" s="3"/>
      <c r="J32" s="1"/>
    </row>
    <row r="33" spans="1:10" s="9" customFormat="1" ht="13.9" hidden="1" customHeight="1" x14ac:dyDescent="0.25">
      <c r="A33" s="27">
        <v>44074</v>
      </c>
      <c r="B33" s="18" t="s">
        <v>13</v>
      </c>
      <c r="C33" s="65" t="s">
        <v>127</v>
      </c>
      <c r="D33" s="17">
        <v>-1958.35</v>
      </c>
      <c r="E33" s="5"/>
      <c r="F33" s="17"/>
      <c r="G33" s="11">
        <v>-1958.35</v>
      </c>
      <c r="H33" s="62">
        <f t="shared" si="0"/>
        <v>0</v>
      </c>
      <c r="I33" s="3"/>
      <c r="J33" s="1"/>
    </row>
    <row r="34" spans="1:10" s="9" customFormat="1" ht="13.9" hidden="1" customHeight="1" x14ac:dyDescent="0.25">
      <c r="A34" s="27">
        <v>44074</v>
      </c>
      <c r="B34" s="18" t="s">
        <v>13</v>
      </c>
      <c r="C34" s="65" t="s">
        <v>128</v>
      </c>
      <c r="D34" s="17">
        <f>-14987.39+14229.62</f>
        <v>-757.76999999999862</v>
      </c>
      <c r="E34" s="5"/>
      <c r="F34" s="17"/>
      <c r="G34" s="11">
        <v>-757.76999999999862</v>
      </c>
      <c r="H34" s="62">
        <f t="shared" si="0"/>
        <v>0</v>
      </c>
      <c r="I34" s="3"/>
      <c r="J34" s="1"/>
    </row>
    <row r="35" spans="1:10" s="9" customFormat="1" ht="13.9" hidden="1" customHeight="1" x14ac:dyDescent="0.25">
      <c r="A35" s="27">
        <v>44074</v>
      </c>
      <c r="B35" s="18" t="s">
        <v>13</v>
      </c>
      <c r="C35" s="65" t="s">
        <v>129</v>
      </c>
      <c r="D35" s="17">
        <f>-37867.09</f>
        <v>-37867.089999999997</v>
      </c>
      <c r="E35" s="5"/>
      <c r="F35" s="17"/>
      <c r="G35" s="11">
        <v>-37867.089999999997</v>
      </c>
      <c r="H35" s="62">
        <f t="shared" si="0"/>
        <v>0</v>
      </c>
      <c r="I35" s="3"/>
      <c r="J35" s="1"/>
    </row>
    <row r="36" spans="1:10" s="9" customFormat="1" ht="13.9" hidden="1" customHeight="1" x14ac:dyDescent="0.25">
      <c r="A36" s="27">
        <v>44074</v>
      </c>
      <c r="B36" s="18" t="s">
        <v>13</v>
      </c>
      <c r="C36" s="65" t="s">
        <v>130</v>
      </c>
      <c r="D36" s="17">
        <v>-135.47999999999999</v>
      </c>
      <c r="E36" s="5"/>
      <c r="F36" s="17"/>
      <c r="G36" s="11">
        <v>-135.47999999999999</v>
      </c>
      <c r="H36" s="62">
        <f t="shared" si="0"/>
        <v>0</v>
      </c>
      <c r="I36" s="3"/>
      <c r="J36" s="1"/>
    </row>
    <row r="37" spans="1:10" s="9" customFormat="1" ht="13.9" hidden="1" customHeight="1" x14ac:dyDescent="0.25">
      <c r="A37" s="27">
        <v>44104</v>
      </c>
      <c r="B37" s="18" t="s">
        <v>13</v>
      </c>
      <c r="C37" s="65" t="s">
        <v>117</v>
      </c>
      <c r="D37" s="17">
        <f>-37463.1+1902.1</f>
        <v>-35561</v>
      </c>
      <c r="E37" s="5">
        <f>37463.1-1902.1-35561</f>
        <v>0</v>
      </c>
      <c r="F37" s="17"/>
      <c r="G37" s="11">
        <v>-35561</v>
      </c>
      <c r="H37" s="62">
        <f t="shared" si="0"/>
        <v>0</v>
      </c>
      <c r="I37" s="3"/>
      <c r="J37" s="1"/>
    </row>
    <row r="38" spans="1:10" s="9" customFormat="1" ht="13.9" hidden="1" customHeight="1" x14ac:dyDescent="0.25">
      <c r="A38" s="27">
        <v>44104</v>
      </c>
      <c r="B38" s="18" t="s">
        <v>13</v>
      </c>
      <c r="C38" s="65" t="s">
        <v>118</v>
      </c>
      <c r="D38" s="17">
        <f>-11819.68+600.12</f>
        <v>-11219.56</v>
      </c>
      <c r="E38" s="5">
        <f>11819.68-600.12-11219.56</f>
        <v>0</v>
      </c>
      <c r="F38" s="17"/>
      <c r="G38" s="11">
        <v>-11219.56</v>
      </c>
      <c r="H38" s="62">
        <f t="shared" si="0"/>
        <v>0</v>
      </c>
      <c r="I38" s="3"/>
      <c r="J38" s="1"/>
    </row>
    <row r="39" spans="1:10" s="9" customFormat="1" ht="13.9" hidden="1" customHeight="1" x14ac:dyDescent="0.25">
      <c r="A39" s="27">
        <v>44104</v>
      </c>
      <c r="B39" s="18" t="s">
        <v>13</v>
      </c>
      <c r="C39" s="65" t="s">
        <v>119</v>
      </c>
      <c r="D39" s="17">
        <v>20528.650000000001</v>
      </c>
      <c r="E39" s="5"/>
      <c r="F39" s="17">
        <f>-20528.65+20528.65</f>
        <v>0</v>
      </c>
      <c r="G39" s="11">
        <v>20528.650000000001</v>
      </c>
      <c r="H39" s="62">
        <f t="shared" si="0"/>
        <v>0</v>
      </c>
      <c r="I39" s="3"/>
      <c r="J39" s="1"/>
    </row>
    <row r="40" spans="1:10" s="9" customFormat="1" ht="13.9" hidden="1" customHeight="1" x14ac:dyDescent="0.25">
      <c r="A40" s="27">
        <v>44104</v>
      </c>
      <c r="B40" s="18" t="s">
        <v>13</v>
      </c>
      <c r="C40" s="65" t="s">
        <v>121</v>
      </c>
      <c r="D40" s="17">
        <v>37867.089999999997</v>
      </c>
      <c r="E40" s="5"/>
      <c r="F40" s="17"/>
      <c r="G40" s="11">
        <v>37867.089999999997</v>
      </c>
      <c r="H40" s="62">
        <f t="shared" si="0"/>
        <v>0</v>
      </c>
      <c r="I40" s="3"/>
      <c r="J40" s="1"/>
    </row>
    <row r="41" spans="1:10" s="9" customFormat="1" ht="13.9" hidden="1" customHeight="1" x14ac:dyDescent="0.25">
      <c r="A41" s="27">
        <v>44104</v>
      </c>
      <c r="B41" s="9" t="s">
        <v>13</v>
      </c>
      <c r="C41" s="35" t="s">
        <v>127</v>
      </c>
      <c r="D41" s="17">
        <v>-2000.02</v>
      </c>
      <c r="E41" s="5"/>
      <c r="F41" s="17"/>
      <c r="G41" s="11">
        <v>-2000.02</v>
      </c>
      <c r="H41" s="62">
        <f t="shared" si="0"/>
        <v>0</v>
      </c>
      <c r="I41" s="3"/>
      <c r="J41" s="1"/>
    </row>
    <row r="42" spans="1:10" s="9" customFormat="1" ht="13.9" hidden="1" customHeight="1" x14ac:dyDescent="0.25">
      <c r="A42" s="27">
        <v>44104</v>
      </c>
      <c r="B42" s="9" t="s">
        <v>13</v>
      </c>
      <c r="C42" s="35" t="s">
        <v>128</v>
      </c>
      <c r="D42" s="17">
        <v>-14372.82</v>
      </c>
      <c r="E42" s="5"/>
      <c r="F42" s="17"/>
      <c r="G42" s="11">
        <v>-14372.82</v>
      </c>
      <c r="H42" s="62">
        <f>D42-G42</f>
        <v>0</v>
      </c>
      <c r="I42" s="3"/>
      <c r="J42" s="1"/>
    </row>
    <row r="43" spans="1:10" s="9" customFormat="1" ht="13.9" hidden="1" customHeight="1" x14ac:dyDescent="0.25">
      <c r="A43" s="27">
        <v>44104</v>
      </c>
      <c r="B43" s="9" t="s">
        <v>13</v>
      </c>
      <c r="C43" s="35" t="s">
        <v>129</v>
      </c>
      <c r="D43" s="17">
        <v>-47238.51</v>
      </c>
      <c r="E43" s="5"/>
      <c r="F43" s="17"/>
      <c r="G43" s="11">
        <v>-47238.51</v>
      </c>
      <c r="H43" s="62">
        <f t="shared" si="0"/>
        <v>0</v>
      </c>
      <c r="I43" s="3"/>
      <c r="J43" s="1"/>
    </row>
    <row r="44" spans="1:10" s="9" customFormat="1" ht="13.9" hidden="1" customHeight="1" x14ac:dyDescent="0.25">
      <c r="A44" s="27">
        <v>44135</v>
      </c>
      <c r="B44" s="9" t="s">
        <v>18</v>
      </c>
      <c r="C44" s="35" t="s">
        <v>124</v>
      </c>
      <c r="D44" s="17">
        <f>64170.88+1365.58</f>
        <v>65536.459999999992</v>
      </c>
      <c r="E44" s="5"/>
      <c r="F44" s="17">
        <f>-64170.88-1365.58+65536.46</f>
        <v>0</v>
      </c>
      <c r="G44" s="11">
        <v>65536.459999999992</v>
      </c>
      <c r="H44" s="62">
        <f t="shared" si="0"/>
        <v>0</v>
      </c>
      <c r="I44" s="3"/>
      <c r="J44" s="1"/>
    </row>
    <row r="45" spans="1:10" s="9" customFormat="1" ht="13.9" hidden="1" customHeight="1" x14ac:dyDescent="0.25">
      <c r="A45" s="27">
        <v>44135</v>
      </c>
      <c r="B45" s="9" t="s">
        <v>18</v>
      </c>
      <c r="C45" s="35" t="s">
        <v>125</v>
      </c>
      <c r="D45" s="17">
        <f>-33917.68-1172.07</f>
        <v>-35089.75</v>
      </c>
      <c r="E45" s="5">
        <f>33917.68+1172.07-35089.75</f>
        <v>0</v>
      </c>
      <c r="F45" s="17"/>
      <c r="G45" s="11">
        <f>-33917.68-1172.07</f>
        <v>-35089.75</v>
      </c>
      <c r="H45" s="62">
        <f t="shared" si="0"/>
        <v>0</v>
      </c>
      <c r="I45" s="3"/>
      <c r="J45" s="1"/>
    </row>
    <row r="46" spans="1:10" s="9" customFormat="1" ht="13.9" hidden="1" customHeight="1" x14ac:dyDescent="0.25">
      <c r="A46" s="27">
        <v>44135</v>
      </c>
      <c r="B46" s="9" t="s">
        <v>18</v>
      </c>
      <c r="C46" s="35" t="s">
        <v>126</v>
      </c>
      <c r="D46" s="17">
        <f>10587.87+44.55</f>
        <v>10632.42</v>
      </c>
      <c r="E46" s="5"/>
      <c r="F46" s="17">
        <f>-10587.87-44.55+10632.42</f>
        <v>0</v>
      </c>
      <c r="G46" s="11">
        <v>10632.42</v>
      </c>
      <c r="H46" s="62">
        <f t="shared" si="0"/>
        <v>0</v>
      </c>
      <c r="I46" s="3"/>
      <c r="J46" s="1"/>
    </row>
    <row r="47" spans="1:10" s="9" customFormat="1" ht="13.9" hidden="1" customHeight="1" x14ac:dyDescent="0.25">
      <c r="A47" s="27">
        <v>44135</v>
      </c>
      <c r="B47" s="9" t="s">
        <v>18</v>
      </c>
      <c r="C47" s="35" t="s">
        <v>122</v>
      </c>
      <c r="D47" s="17">
        <v>300.42</v>
      </c>
      <c r="E47" s="5"/>
      <c r="F47" s="17"/>
      <c r="G47" s="11">
        <v>300.42</v>
      </c>
      <c r="H47" s="62">
        <f t="shared" si="0"/>
        <v>0</v>
      </c>
      <c r="I47" s="3"/>
      <c r="J47" s="1"/>
    </row>
    <row r="48" spans="1:10" s="9" customFormat="1" ht="13.9" hidden="1" customHeight="1" x14ac:dyDescent="0.25">
      <c r="A48" s="27">
        <v>44135</v>
      </c>
      <c r="B48" s="9" t="s">
        <v>18</v>
      </c>
      <c r="C48" s="35" t="s">
        <v>123</v>
      </c>
      <c r="D48" s="17">
        <v>47238.51</v>
      </c>
      <c r="E48" s="5"/>
      <c r="F48" s="17"/>
      <c r="G48" s="11">
        <v>47238.51</v>
      </c>
      <c r="H48" s="62">
        <f t="shared" si="0"/>
        <v>0</v>
      </c>
      <c r="I48" s="3"/>
      <c r="J48" s="1"/>
    </row>
    <row r="49" spans="1:10" s="9" customFormat="1" ht="13.9" hidden="1" customHeight="1" x14ac:dyDescent="0.25">
      <c r="A49" s="27">
        <v>44135</v>
      </c>
      <c r="B49" s="9" t="s">
        <v>18</v>
      </c>
      <c r="C49" s="35" t="s">
        <v>39</v>
      </c>
      <c r="D49" s="17">
        <v>-2041.72</v>
      </c>
      <c r="E49" s="5"/>
      <c r="F49" s="17"/>
      <c r="G49" s="11">
        <v>-2041.72</v>
      </c>
      <c r="H49" s="62">
        <f t="shared" si="0"/>
        <v>0</v>
      </c>
      <c r="I49" s="3"/>
      <c r="J49" s="1"/>
    </row>
    <row r="50" spans="1:10" s="9" customFormat="1" ht="13.9" hidden="1" customHeight="1" x14ac:dyDescent="0.25">
      <c r="A50" s="27">
        <v>44135</v>
      </c>
      <c r="B50" s="9" t="s">
        <v>18</v>
      </c>
      <c r="C50" s="35" t="s">
        <v>34</v>
      </c>
      <c r="D50" s="17">
        <v>-152373.14000000001</v>
      </c>
      <c r="E50" s="5"/>
      <c r="F50" s="17"/>
      <c r="G50" s="11">
        <v>-152373.14000000001</v>
      </c>
      <c r="H50" s="62">
        <f t="shared" si="0"/>
        <v>0</v>
      </c>
      <c r="I50" s="3"/>
      <c r="J50" s="1"/>
    </row>
    <row r="51" spans="1:10" s="9" customFormat="1" ht="13.9" hidden="1" customHeight="1" x14ac:dyDescent="0.25">
      <c r="A51" s="27">
        <v>44135</v>
      </c>
      <c r="B51" s="9" t="s">
        <v>18</v>
      </c>
      <c r="C51" s="35" t="s">
        <v>35</v>
      </c>
      <c r="D51" s="17">
        <v>-25801.4</v>
      </c>
      <c r="E51" s="5"/>
      <c r="F51" s="17"/>
      <c r="G51" s="11">
        <v>-25801.4</v>
      </c>
      <c r="H51" s="62">
        <f t="shared" si="0"/>
        <v>0</v>
      </c>
      <c r="I51" s="3"/>
      <c r="J51" s="1"/>
    </row>
    <row r="52" spans="1:10" s="9" customFormat="1" ht="13.9" hidden="1" customHeight="1" x14ac:dyDescent="0.25">
      <c r="A52" s="27">
        <v>44165</v>
      </c>
      <c r="B52" s="9" t="s">
        <v>18</v>
      </c>
      <c r="C52" s="35" t="s">
        <v>131</v>
      </c>
      <c r="D52" s="17">
        <f>-79402.45-127.71</f>
        <v>-79530.16</v>
      </c>
      <c r="E52" s="5">
        <f>127.71+79402.45-79530.16</f>
        <v>0</v>
      </c>
      <c r="F52" s="17"/>
      <c r="G52" s="11">
        <f>-79402.45-127.71</f>
        <v>-79530.16</v>
      </c>
      <c r="H52" s="62">
        <f t="shared" si="0"/>
        <v>0</v>
      </c>
      <c r="I52" s="3"/>
      <c r="J52" s="1"/>
    </row>
    <row r="53" spans="1:10" s="9" customFormat="1" ht="13.9" hidden="1" customHeight="1" x14ac:dyDescent="0.25">
      <c r="A53" s="27">
        <v>44165</v>
      </c>
      <c r="B53" s="9" t="s">
        <v>18</v>
      </c>
      <c r="C53" s="35" t="s">
        <v>132</v>
      </c>
      <c r="D53" s="17">
        <f>-80066.48-128.77</f>
        <v>-80195.25</v>
      </c>
      <c r="E53" s="5">
        <f>80066.48+128.77-80195.25</f>
        <v>0</v>
      </c>
      <c r="F53" s="17"/>
      <c r="G53" s="11">
        <f>-80066.48-128.77</f>
        <v>-80195.25</v>
      </c>
      <c r="H53" s="62">
        <f t="shared" si="0"/>
        <v>0</v>
      </c>
      <c r="I53" s="3"/>
      <c r="J53" s="1"/>
    </row>
    <row r="54" spans="1:10" s="9" customFormat="1" ht="13.9" hidden="1" customHeight="1" x14ac:dyDescent="0.25">
      <c r="A54" s="27">
        <v>44165</v>
      </c>
      <c r="B54" s="9" t="s">
        <v>18</v>
      </c>
      <c r="C54" s="35" t="s">
        <v>133</v>
      </c>
      <c r="D54" s="17">
        <f>23388.88+0.6</f>
        <v>23389.48</v>
      </c>
      <c r="E54" s="5"/>
      <c r="F54" s="17">
        <f>-23388.88-0.6+23389.48</f>
        <v>0</v>
      </c>
      <c r="G54" s="11">
        <f>23388.88+0.6</f>
        <v>23389.48</v>
      </c>
      <c r="H54" s="62">
        <f t="shared" si="0"/>
        <v>0</v>
      </c>
      <c r="I54" s="3"/>
      <c r="J54" s="1"/>
    </row>
    <row r="55" spans="1:10" s="9" customFormat="1" ht="13.9" hidden="1" customHeight="1" x14ac:dyDescent="0.25">
      <c r="A55" s="27">
        <v>44165</v>
      </c>
      <c r="B55" s="9" t="s">
        <v>18</v>
      </c>
      <c r="C55" s="35" t="s">
        <v>134</v>
      </c>
      <c r="D55" s="17">
        <v>25801.4</v>
      </c>
      <c r="E55" s="5"/>
      <c r="F55" s="17"/>
      <c r="G55" s="11">
        <v>25801.4</v>
      </c>
      <c r="H55" s="62">
        <f t="shared" si="0"/>
        <v>0</v>
      </c>
      <c r="I55" s="3"/>
      <c r="J55" s="1"/>
    </row>
    <row r="56" spans="1:10" s="9" customFormat="1" ht="13.9" hidden="1" customHeight="1" x14ac:dyDescent="0.25">
      <c r="A56" s="27">
        <v>44165</v>
      </c>
      <c r="B56" s="9" t="s">
        <v>18</v>
      </c>
      <c r="C56" s="35" t="s">
        <v>39</v>
      </c>
      <c r="D56" s="17">
        <v>-2166.69</v>
      </c>
      <c r="E56" s="5"/>
      <c r="F56" s="17"/>
      <c r="G56" s="11">
        <v>-2166.69</v>
      </c>
      <c r="H56" s="62">
        <f t="shared" si="0"/>
        <v>0</v>
      </c>
      <c r="I56" s="3"/>
      <c r="J56" s="1"/>
    </row>
    <row r="57" spans="1:10" s="9" customFormat="1" ht="13.9" hidden="1" customHeight="1" x14ac:dyDescent="0.25">
      <c r="A57" s="27">
        <v>44165</v>
      </c>
      <c r="B57" s="9" t="s">
        <v>18</v>
      </c>
      <c r="C57" s="35" t="s">
        <v>34</v>
      </c>
      <c r="D57" s="17">
        <v>73988.95</v>
      </c>
      <c r="E57" s="5"/>
      <c r="F57" s="17"/>
      <c r="G57" s="11">
        <v>73988.95</v>
      </c>
      <c r="H57" s="62">
        <f t="shared" si="0"/>
        <v>0</v>
      </c>
      <c r="I57" s="3"/>
      <c r="J57" s="1"/>
    </row>
    <row r="58" spans="1:10" s="9" customFormat="1" ht="13.9" hidden="1" customHeight="1" x14ac:dyDescent="0.25">
      <c r="A58" s="27">
        <v>44165</v>
      </c>
      <c r="B58" s="9" t="s">
        <v>18</v>
      </c>
      <c r="C58" s="35" t="s">
        <v>35</v>
      </c>
      <c r="D58" s="17">
        <f>-53621.76+300</f>
        <v>-53321.760000000002</v>
      </c>
      <c r="E58" s="5"/>
      <c r="F58" s="17"/>
      <c r="G58" s="11">
        <f>-53621.76+300</f>
        <v>-53321.760000000002</v>
      </c>
      <c r="H58" s="62">
        <f t="shared" si="0"/>
        <v>0</v>
      </c>
      <c r="I58" s="3"/>
      <c r="J58" s="1"/>
    </row>
    <row r="59" spans="1:10" s="9" customFormat="1" ht="13.9" hidden="1" customHeight="1" x14ac:dyDescent="0.25">
      <c r="A59" s="27">
        <v>44165</v>
      </c>
      <c r="B59" s="9" t="s">
        <v>18</v>
      </c>
      <c r="C59" s="35" t="s">
        <v>76</v>
      </c>
      <c r="D59" s="17">
        <v>0</v>
      </c>
      <c r="E59" s="5"/>
      <c r="F59" s="17"/>
      <c r="G59" s="38"/>
      <c r="H59" s="62">
        <f t="shared" si="0"/>
        <v>0</v>
      </c>
      <c r="I59" s="3"/>
      <c r="J59" s="1"/>
    </row>
    <row r="60" spans="1:10" s="9" customFormat="1" ht="13.9" hidden="1" customHeight="1" x14ac:dyDescent="0.25">
      <c r="A60" s="27">
        <v>44196</v>
      </c>
      <c r="B60" s="9" t="s">
        <v>18</v>
      </c>
      <c r="C60" s="35" t="s">
        <v>135</v>
      </c>
      <c r="D60" s="17">
        <f>102485.65+1508.75</f>
        <v>103994.4</v>
      </c>
      <c r="E60" s="5"/>
      <c r="F60" s="17">
        <f>-102485.65-1508.75+103994.4</f>
        <v>0</v>
      </c>
      <c r="G60" s="25">
        <v>103994.4</v>
      </c>
      <c r="H60" s="62">
        <f t="shared" si="0"/>
        <v>0</v>
      </c>
      <c r="I60" s="3"/>
      <c r="J60" s="1"/>
    </row>
    <row r="61" spans="1:10" s="9" customFormat="1" ht="13.9" hidden="1" customHeight="1" x14ac:dyDescent="0.25">
      <c r="A61" s="27">
        <v>44196</v>
      </c>
      <c r="B61" s="9" t="s">
        <v>18</v>
      </c>
      <c r="C61" s="35" t="s">
        <v>136</v>
      </c>
      <c r="D61" s="17">
        <f>20128.19+10.1</f>
        <v>20138.289999999997</v>
      </c>
      <c r="E61" s="5"/>
      <c r="F61" s="17">
        <f>-20128.19-10.1+20138.29</f>
        <v>0</v>
      </c>
      <c r="G61" s="25">
        <v>20138.289999999997</v>
      </c>
      <c r="H61" s="62">
        <f t="shared" si="0"/>
        <v>0</v>
      </c>
      <c r="I61" s="3"/>
      <c r="J61" s="1"/>
    </row>
    <row r="62" spans="1:10" s="9" customFormat="1" ht="13.9" hidden="1" customHeight="1" x14ac:dyDescent="0.25">
      <c r="A62" s="27">
        <v>44196</v>
      </c>
      <c r="B62" s="9" t="s">
        <v>18</v>
      </c>
      <c r="C62" s="35" t="s">
        <v>137</v>
      </c>
      <c r="D62" s="17">
        <f>-71825.21-8153.61</f>
        <v>-79978.820000000007</v>
      </c>
      <c r="E62" s="5">
        <f>71825.21+8153.61-79978.82</f>
        <v>0</v>
      </c>
      <c r="F62" s="17"/>
      <c r="G62" s="25">
        <v>-79978.820000000007</v>
      </c>
      <c r="H62" s="62">
        <f t="shared" si="0"/>
        <v>0</v>
      </c>
      <c r="I62" s="3"/>
      <c r="J62" s="1"/>
    </row>
    <row r="63" spans="1:10" s="9" customFormat="1" ht="13.9" hidden="1" customHeight="1" x14ac:dyDescent="0.25">
      <c r="A63" s="27">
        <v>44196</v>
      </c>
      <c r="B63" s="9" t="s">
        <v>18</v>
      </c>
      <c r="C63" s="35" t="s">
        <v>138</v>
      </c>
      <c r="D63" s="17">
        <v>53321.760000000002</v>
      </c>
      <c r="E63" s="5"/>
      <c r="F63" s="17"/>
      <c r="G63" s="25">
        <v>53321.760000000002</v>
      </c>
      <c r="H63" s="62">
        <f t="shared" si="0"/>
        <v>0</v>
      </c>
      <c r="I63" s="3"/>
      <c r="J63" s="1"/>
    </row>
    <row r="64" spans="1:10" s="9" customFormat="1" ht="13.9" hidden="1" customHeight="1" x14ac:dyDescent="0.25">
      <c r="A64" s="27">
        <v>44196</v>
      </c>
      <c r="B64" s="9" t="s">
        <v>18</v>
      </c>
      <c r="C64" s="35" t="s">
        <v>39</v>
      </c>
      <c r="D64" s="17">
        <v>-2791.69</v>
      </c>
      <c r="E64" s="5"/>
      <c r="F64" s="17"/>
      <c r="G64" s="25">
        <v>-2791.69</v>
      </c>
      <c r="H64" s="62">
        <f t="shared" si="0"/>
        <v>0</v>
      </c>
      <c r="I64" s="3"/>
      <c r="J64" s="1"/>
    </row>
    <row r="65" spans="1:10" s="9" customFormat="1" ht="13.9" hidden="1" customHeight="1" x14ac:dyDescent="0.25">
      <c r="A65" s="27">
        <v>44196</v>
      </c>
      <c r="B65" s="9" t="s">
        <v>18</v>
      </c>
      <c r="C65" s="35" t="s">
        <v>34</v>
      </c>
      <c r="D65" s="17">
        <f>-1923.93+7011.57+180</f>
        <v>5267.6399999999994</v>
      </c>
      <c r="E65" s="5"/>
      <c r="F65" s="17"/>
      <c r="G65" s="25">
        <v>5267.6399999999994</v>
      </c>
      <c r="H65" s="62">
        <f t="shared" si="0"/>
        <v>0</v>
      </c>
      <c r="I65" s="3"/>
      <c r="J65" s="1"/>
    </row>
    <row r="66" spans="1:10" s="9" customFormat="1" ht="13.9" hidden="1" customHeight="1" x14ac:dyDescent="0.25">
      <c r="A66" s="27">
        <v>44196</v>
      </c>
      <c r="B66" s="9" t="s">
        <v>18</v>
      </c>
      <c r="C66" s="35" t="s">
        <v>35</v>
      </c>
      <c r="D66" s="17">
        <v>-74388.570000000007</v>
      </c>
      <c r="E66" s="5"/>
      <c r="F66" s="17"/>
      <c r="G66" s="25">
        <v>-74388.570000000007</v>
      </c>
      <c r="H66" s="62">
        <f t="shared" si="0"/>
        <v>0</v>
      </c>
      <c r="I66" s="3"/>
      <c r="J66" s="1"/>
    </row>
    <row r="67" spans="1:10" s="9" customFormat="1" ht="13.9" hidden="1" customHeight="1" x14ac:dyDescent="0.25">
      <c r="A67" s="27">
        <v>44227</v>
      </c>
      <c r="B67" s="9" t="s">
        <v>9</v>
      </c>
      <c r="C67" s="35" t="s">
        <v>144</v>
      </c>
      <c r="D67" s="17">
        <v>1302.08</v>
      </c>
      <c r="E67" s="5"/>
      <c r="F67" s="17"/>
      <c r="G67" s="25">
        <v>1302.08</v>
      </c>
      <c r="H67" s="62">
        <f t="shared" si="0"/>
        <v>0</v>
      </c>
      <c r="I67" s="3"/>
      <c r="J67" s="1"/>
    </row>
    <row r="68" spans="1:10" s="9" customFormat="1" ht="13.9" hidden="1" customHeight="1" x14ac:dyDescent="0.25">
      <c r="A68" s="27">
        <v>44227</v>
      </c>
      <c r="B68" s="9" t="s">
        <v>9</v>
      </c>
      <c r="C68" s="35" t="s">
        <v>140</v>
      </c>
      <c r="D68" s="17">
        <f>361443.6+53107.39</f>
        <v>414550.99</v>
      </c>
      <c r="E68" s="5"/>
      <c r="F68" s="17">
        <f>-361443.6-53107.39+414550.99</f>
        <v>0</v>
      </c>
      <c r="G68" s="25">
        <v>414550.99</v>
      </c>
      <c r="H68" s="62">
        <f t="shared" si="0"/>
        <v>0</v>
      </c>
      <c r="I68" s="3"/>
      <c r="J68" s="1"/>
    </row>
    <row r="69" spans="1:10" s="9" customFormat="1" ht="13.9" hidden="1" customHeight="1" x14ac:dyDescent="0.25">
      <c r="A69" s="27">
        <v>44227</v>
      </c>
      <c r="B69" s="9" t="s">
        <v>9</v>
      </c>
      <c r="C69" s="35" t="s">
        <v>141</v>
      </c>
      <c r="D69" s="17">
        <f>-99869.3+66423.59</f>
        <v>-33445.710000000006</v>
      </c>
      <c r="E69" s="5">
        <f>99869.3-66423.59-33445.71</f>
        <v>0</v>
      </c>
      <c r="F69" s="17"/>
      <c r="G69" s="25">
        <v>-33445.710000000006</v>
      </c>
      <c r="H69" s="62">
        <f t="shared" si="0"/>
        <v>0</v>
      </c>
      <c r="I69" s="3"/>
      <c r="J69" s="1"/>
    </row>
    <row r="70" spans="1:10" s="9" customFormat="1" ht="13.9" hidden="1" customHeight="1" x14ac:dyDescent="0.25">
      <c r="A70" s="27">
        <v>44227</v>
      </c>
      <c r="B70" s="9" t="s">
        <v>9</v>
      </c>
      <c r="C70" s="35" t="s">
        <v>142</v>
      </c>
      <c r="D70" s="17">
        <f>-127977.09-22406.86</f>
        <v>-150383.95000000001</v>
      </c>
      <c r="E70" s="5">
        <f>127977.09+22406.86-150383.95</f>
        <v>0</v>
      </c>
      <c r="F70" s="17"/>
      <c r="G70" s="25">
        <v>-150383.95000000001</v>
      </c>
      <c r="H70" s="62">
        <f t="shared" si="0"/>
        <v>0</v>
      </c>
      <c r="I70" s="3"/>
      <c r="J70" s="1"/>
    </row>
    <row r="71" spans="1:10" s="9" customFormat="1" ht="13.9" hidden="1" customHeight="1" x14ac:dyDescent="0.25">
      <c r="A71" s="27">
        <v>44227</v>
      </c>
      <c r="B71" s="9" t="s">
        <v>9</v>
      </c>
      <c r="C71" s="35" t="s">
        <v>143</v>
      </c>
      <c r="D71" s="17">
        <v>74388.570000000007</v>
      </c>
      <c r="E71" s="5"/>
      <c r="F71" s="17"/>
      <c r="G71" s="25">
        <v>74388.570000000007</v>
      </c>
      <c r="H71" s="62">
        <f t="shared" si="0"/>
        <v>0</v>
      </c>
      <c r="I71" s="3"/>
      <c r="J71" s="1"/>
    </row>
    <row r="72" spans="1:10" s="9" customFormat="1" ht="13.9" hidden="1" customHeight="1" x14ac:dyDescent="0.25">
      <c r="A72" s="27">
        <v>44227</v>
      </c>
      <c r="B72" s="9" t="s">
        <v>9</v>
      </c>
      <c r="C72" s="35" t="s">
        <v>127</v>
      </c>
      <c r="D72" s="17">
        <v>-3000.02</v>
      </c>
      <c r="E72" s="5"/>
      <c r="F72" s="17"/>
      <c r="G72" s="25">
        <v>-3000.02</v>
      </c>
      <c r="H72" s="62">
        <f t="shared" si="0"/>
        <v>0</v>
      </c>
      <c r="I72" s="3"/>
      <c r="J72" s="1"/>
    </row>
    <row r="73" spans="1:10" s="9" customFormat="1" ht="13.9" hidden="1" customHeight="1" x14ac:dyDescent="0.25">
      <c r="A73" s="27">
        <v>44227</v>
      </c>
      <c r="B73" s="9" t="s">
        <v>9</v>
      </c>
      <c r="C73" s="35" t="s">
        <v>128</v>
      </c>
      <c r="D73" s="17">
        <f>-178477.07+23944.61</f>
        <v>-154532.46000000002</v>
      </c>
      <c r="E73" s="5"/>
      <c r="F73" s="17"/>
      <c r="G73" s="25">
        <v>-154532.46000000002</v>
      </c>
      <c r="H73" s="62">
        <f t="shared" si="0"/>
        <v>0</v>
      </c>
      <c r="I73" s="3"/>
      <c r="J73" s="1"/>
    </row>
    <row r="74" spans="1:10" s="9" customFormat="1" ht="13.9" hidden="1" customHeight="1" x14ac:dyDescent="0.25">
      <c r="A74" s="27">
        <v>44227</v>
      </c>
      <c r="B74" s="9" t="s">
        <v>9</v>
      </c>
      <c r="C74" s="35" t="s">
        <v>129</v>
      </c>
      <c r="D74" s="17">
        <v>-42165.79</v>
      </c>
      <c r="E74" s="5"/>
      <c r="F74" s="17"/>
      <c r="G74" s="25">
        <v>-42165.79</v>
      </c>
      <c r="H74" s="62">
        <f t="shared" si="0"/>
        <v>0</v>
      </c>
      <c r="I74" s="3"/>
      <c r="J74" s="1"/>
    </row>
    <row r="75" spans="1:10" s="9" customFormat="1" ht="13.9" hidden="1" customHeight="1" x14ac:dyDescent="0.25">
      <c r="A75" s="27">
        <v>44255</v>
      </c>
      <c r="B75" s="9" t="s">
        <v>9</v>
      </c>
      <c r="C75" s="35" t="s">
        <v>144</v>
      </c>
      <c r="D75" s="17">
        <v>1302.08</v>
      </c>
      <c r="E75" s="5"/>
      <c r="F75" s="17"/>
      <c r="G75" s="25">
        <v>1302.08</v>
      </c>
      <c r="H75" s="62">
        <f t="shared" si="0"/>
        <v>0</v>
      </c>
      <c r="I75" s="3"/>
      <c r="J75" s="1"/>
    </row>
    <row r="76" spans="1:10" s="9" customFormat="1" ht="13.9" hidden="1" customHeight="1" x14ac:dyDescent="0.25">
      <c r="A76" s="27">
        <v>44255</v>
      </c>
      <c r="B76" s="9" t="s">
        <v>9</v>
      </c>
      <c r="C76" s="35" t="s">
        <v>148</v>
      </c>
      <c r="D76" s="17">
        <v>42165.79</v>
      </c>
      <c r="E76" s="5"/>
      <c r="F76" s="17"/>
      <c r="G76" s="25">
        <v>42165.79</v>
      </c>
      <c r="H76" s="62">
        <f t="shared" si="0"/>
        <v>0</v>
      </c>
      <c r="I76" s="3"/>
      <c r="J76" s="1"/>
    </row>
    <row r="77" spans="1:10" s="9" customFormat="1" ht="13.9" hidden="1" customHeight="1" x14ac:dyDescent="0.25">
      <c r="A77" s="27">
        <v>44255</v>
      </c>
      <c r="B77" s="9" t="s">
        <v>9</v>
      </c>
      <c r="C77" s="35" t="s">
        <v>151</v>
      </c>
      <c r="D77" s="17">
        <f>-411154.26+24063.88</f>
        <v>-387090.38</v>
      </c>
      <c r="E77" s="5">
        <f>411154.26-24063.88-387090.38</f>
        <v>0</v>
      </c>
      <c r="F77" s="17"/>
      <c r="G77" s="25">
        <v>-387090.38</v>
      </c>
      <c r="H77" s="62">
        <f t="shared" si="0"/>
        <v>0</v>
      </c>
      <c r="I77" s="3"/>
      <c r="J77" s="1"/>
    </row>
    <row r="78" spans="1:10" s="9" customFormat="1" ht="13.9" hidden="1" customHeight="1" x14ac:dyDescent="0.25">
      <c r="A78" s="27">
        <v>44255</v>
      </c>
      <c r="B78" s="9" t="s">
        <v>9</v>
      </c>
      <c r="C78" s="35" t="s">
        <v>154</v>
      </c>
      <c r="D78" s="17">
        <f>83000+18631.04</f>
        <v>101631.04000000001</v>
      </c>
      <c r="E78" s="5"/>
      <c r="F78" s="17">
        <f>-83000-18631.04+101631.04</f>
        <v>0</v>
      </c>
      <c r="G78" s="25">
        <v>101631.04000000001</v>
      </c>
      <c r="H78" s="62">
        <f t="shared" si="0"/>
        <v>0</v>
      </c>
      <c r="I78" s="3"/>
      <c r="J78" s="1"/>
    </row>
    <row r="79" spans="1:10" s="9" customFormat="1" ht="13.9" customHeight="1" x14ac:dyDescent="0.25">
      <c r="A79" s="27">
        <v>44255</v>
      </c>
      <c r="B79" s="9" t="s">
        <v>9</v>
      </c>
      <c r="C79" s="35" t="s">
        <v>152</v>
      </c>
      <c r="D79" s="17">
        <f>-14380.2+856.44</f>
        <v>-13523.76</v>
      </c>
      <c r="E79" s="5">
        <f>14380.2-856.44-13523.76</f>
        <v>0</v>
      </c>
      <c r="F79" s="17"/>
      <c r="G79" s="25">
        <f>-14380.2+856.44</f>
        <v>-13523.76</v>
      </c>
      <c r="H79" s="62">
        <f t="shared" si="0"/>
        <v>0</v>
      </c>
      <c r="I79" s="3"/>
      <c r="J79" s="1"/>
    </row>
    <row r="80" spans="1:10" s="9" customFormat="1" ht="13.9" customHeight="1" x14ac:dyDescent="0.25">
      <c r="A80" s="27">
        <v>44255</v>
      </c>
      <c r="B80" s="9" t="s">
        <v>9</v>
      </c>
      <c r="C80" s="35" t="s">
        <v>153</v>
      </c>
      <c r="D80" s="17">
        <f>-33060.54-1224.49</f>
        <v>-34285.03</v>
      </c>
      <c r="E80" s="5">
        <f>33060.54+1224.49-34285.03</f>
        <v>0</v>
      </c>
      <c r="F80" s="17"/>
      <c r="G80" s="25">
        <f>-33060.54-1224.49</f>
        <v>-34285.03</v>
      </c>
      <c r="H80" s="62">
        <f t="shared" si="0"/>
        <v>0</v>
      </c>
      <c r="I80" s="3"/>
      <c r="J80" s="1"/>
    </row>
    <row r="81" spans="1:10" s="9" customFormat="1" ht="13.9" hidden="1" customHeight="1" x14ac:dyDescent="0.25">
      <c r="A81" s="27">
        <v>44255</v>
      </c>
      <c r="B81" s="9" t="s">
        <v>9</v>
      </c>
      <c r="C81" s="35" t="s">
        <v>159</v>
      </c>
      <c r="D81" s="17">
        <v>-101864.83</v>
      </c>
      <c r="E81" s="5"/>
      <c r="F81" s="17"/>
      <c r="G81" s="25">
        <v>-101864.83</v>
      </c>
      <c r="H81" s="62">
        <f t="shared" si="0"/>
        <v>0</v>
      </c>
      <c r="I81" s="3"/>
      <c r="J81" s="1"/>
    </row>
    <row r="82" spans="1:10" s="9" customFormat="1" ht="13.9" hidden="1" customHeight="1" x14ac:dyDescent="0.25">
      <c r="A82" s="27">
        <v>44255</v>
      </c>
      <c r="B82" s="9" t="s">
        <v>9</v>
      </c>
      <c r="C82" s="35" t="s">
        <v>39</v>
      </c>
      <c r="D82" s="17">
        <v>-2166.69</v>
      </c>
      <c r="E82" s="5"/>
      <c r="F82" s="17"/>
      <c r="G82" s="25">
        <v>-2166.69</v>
      </c>
      <c r="H82" s="62">
        <f t="shared" si="0"/>
        <v>0</v>
      </c>
      <c r="I82" s="3"/>
      <c r="J82" s="1"/>
    </row>
    <row r="83" spans="1:10" s="9" customFormat="1" ht="13.9" hidden="1" customHeight="1" x14ac:dyDescent="0.25">
      <c r="A83" s="27">
        <v>44255</v>
      </c>
      <c r="B83" s="9" t="s">
        <v>9</v>
      </c>
      <c r="C83" s="35" t="s">
        <v>34</v>
      </c>
      <c r="D83" s="17">
        <v>273826.5</v>
      </c>
      <c r="E83" s="5"/>
      <c r="F83" s="17"/>
      <c r="G83" s="25">
        <v>273826.5</v>
      </c>
      <c r="H83" s="62">
        <f t="shared" si="0"/>
        <v>0</v>
      </c>
      <c r="I83" s="3"/>
      <c r="J83" s="1"/>
    </row>
    <row r="84" spans="1:10" s="9" customFormat="1" ht="13.9" hidden="1" customHeight="1" x14ac:dyDescent="0.25">
      <c r="A84" s="27">
        <v>44255</v>
      </c>
      <c r="B84" s="9" t="s">
        <v>9</v>
      </c>
      <c r="C84" s="35" t="s">
        <v>35</v>
      </c>
      <c r="D84" s="17">
        <v>-44307.71</v>
      </c>
      <c r="E84" s="5"/>
      <c r="F84" s="17"/>
      <c r="G84" s="25">
        <v>-44307.71</v>
      </c>
      <c r="H84" s="62">
        <f t="shared" si="0"/>
        <v>0</v>
      </c>
      <c r="I84" s="3"/>
      <c r="J84" s="1"/>
    </row>
    <row r="85" spans="1:10" s="9" customFormat="1" ht="13.9" hidden="1" customHeight="1" x14ac:dyDescent="0.25">
      <c r="A85" s="27">
        <v>44286</v>
      </c>
      <c r="B85" s="9" t="s">
        <v>9</v>
      </c>
      <c r="C85" s="35" t="s">
        <v>155</v>
      </c>
      <c r="D85" s="17">
        <v>44307.71</v>
      </c>
      <c r="E85" s="5"/>
      <c r="F85" s="17"/>
      <c r="G85" s="25">
        <v>44307.71</v>
      </c>
      <c r="H85" s="62">
        <f t="shared" si="0"/>
        <v>0</v>
      </c>
      <c r="I85" s="3"/>
      <c r="J85" s="1"/>
    </row>
    <row r="86" spans="1:10" s="9" customFormat="1" ht="13.9" hidden="1" customHeight="1" x14ac:dyDescent="0.25">
      <c r="A86" s="27">
        <v>44286</v>
      </c>
      <c r="B86" s="9" t="s">
        <v>9</v>
      </c>
      <c r="C86" s="35" t="s">
        <v>144</v>
      </c>
      <c r="D86" s="17">
        <v>1302.08</v>
      </c>
      <c r="E86" s="5"/>
      <c r="F86" s="17"/>
      <c r="G86" s="25">
        <v>1302.08</v>
      </c>
      <c r="H86" s="62">
        <f t="shared" si="0"/>
        <v>0</v>
      </c>
      <c r="I86" s="3"/>
      <c r="J86" s="1"/>
    </row>
    <row r="87" spans="1:10" s="9" customFormat="1" ht="13.9" customHeight="1" x14ac:dyDescent="0.25">
      <c r="A87" s="27">
        <v>44286</v>
      </c>
      <c r="B87" s="9" t="s">
        <v>9</v>
      </c>
      <c r="C87" s="35" t="s">
        <v>156</v>
      </c>
      <c r="D87" s="17">
        <f>-347595.01+220070.8</f>
        <v>-127524.21000000002</v>
      </c>
      <c r="E87" s="5">
        <f>347595.01-220070.8-127524.21</f>
        <v>0</v>
      </c>
      <c r="F87" s="17"/>
      <c r="G87" s="25">
        <f>-347595.01+220070.8</f>
        <v>-127524.21000000002</v>
      </c>
      <c r="H87" s="62">
        <f t="shared" si="0"/>
        <v>0</v>
      </c>
      <c r="I87" s="3"/>
      <c r="J87" s="1"/>
    </row>
    <row r="88" spans="1:10" s="9" customFormat="1" ht="13.9" hidden="1" customHeight="1" x14ac:dyDescent="0.25">
      <c r="A88" s="27">
        <v>44286</v>
      </c>
      <c r="B88" s="9" t="s">
        <v>9</v>
      </c>
      <c r="C88" s="35" t="s">
        <v>157</v>
      </c>
      <c r="D88" s="17">
        <v>-58083.5</v>
      </c>
      <c r="E88" s="5">
        <f>58083.5-58083.5</f>
        <v>0</v>
      </c>
      <c r="F88" s="17"/>
      <c r="G88" s="25">
        <v>-58083.5</v>
      </c>
      <c r="H88" s="62">
        <f t="shared" si="0"/>
        <v>0</v>
      </c>
      <c r="I88" s="3"/>
      <c r="J88" s="1"/>
    </row>
    <row r="89" spans="1:10" s="9" customFormat="1" ht="13.9" customHeight="1" x14ac:dyDescent="0.25">
      <c r="A89" s="27">
        <v>44286</v>
      </c>
      <c r="B89" s="9" t="s">
        <v>9</v>
      </c>
      <c r="C89" s="35" t="s">
        <v>158</v>
      </c>
      <c r="D89" s="17">
        <f>7729.12+0.31</f>
        <v>7729.43</v>
      </c>
      <c r="E89" s="5"/>
      <c r="F89" s="17">
        <f>-7729.12-0.31+7729.43</f>
        <v>0</v>
      </c>
      <c r="G89" s="25">
        <f>7729.12+0.31</f>
        <v>7729.43</v>
      </c>
      <c r="H89" s="62">
        <f t="shared" si="0"/>
        <v>0</v>
      </c>
      <c r="I89" s="3"/>
      <c r="J89" s="1"/>
    </row>
    <row r="90" spans="1:10" s="9" customFormat="1" ht="13.9" hidden="1" customHeight="1" x14ac:dyDescent="0.25">
      <c r="A90" s="27">
        <v>44286</v>
      </c>
      <c r="B90" s="9" t="s">
        <v>9</v>
      </c>
      <c r="C90" s="35" t="s">
        <v>159</v>
      </c>
      <c r="D90" s="17">
        <v>2821.97</v>
      </c>
      <c r="E90" s="5"/>
      <c r="F90" s="17"/>
      <c r="G90" s="25">
        <v>2821.97</v>
      </c>
      <c r="H90" s="62">
        <f t="shared" si="0"/>
        <v>0</v>
      </c>
      <c r="I90" s="3"/>
      <c r="J90" s="1"/>
    </row>
    <row r="91" spans="1:10" s="9" customFormat="1" ht="13.9" hidden="1" customHeight="1" x14ac:dyDescent="0.25">
      <c r="A91" s="27">
        <v>44286</v>
      </c>
      <c r="B91" s="9" t="s">
        <v>9</v>
      </c>
      <c r="C91" s="35" t="s">
        <v>39</v>
      </c>
      <c r="D91" s="17">
        <v>-2750.0200000000004</v>
      </c>
      <c r="E91" s="5"/>
      <c r="F91" s="17"/>
      <c r="G91" s="25">
        <v>-2750.0200000000004</v>
      </c>
      <c r="H91" s="62">
        <f t="shared" si="0"/>
        <v>0</v>
      </c>
      <c r="I91" s="3"/>
      <c r="J91" s="1"/>
    </row>
    <row r="92" spans="1:10" s="9" customFormat="1" ht="13.9" customHeight="1" x14ac:dyDescent="0.25">
      <c r="A92" s="27">
        <v>44286</v>
      </c>
      <c r="B92" s="9" t="s">
        <v>9</v>
      </c>
      <c r="C92" s="35" t="s">
        <v>34</v>
      </c>
      <c r="D92" s="17">
        <f>136248.52-16861.37</f>
        <v>119387.15</v>
      </c>
      <c r="E92" s="5"/>
      <c r="F92" s="17"/>
      <c r="G92" s="25">
        <f>136248.52-16861.37</f>
        <v>119387.15</v>
      </c>
      <c r="H92" s="62">
        <f t="shared" si="0"/>
        <v>0</v>
      </c>
      <c r="I92" s="3"/>
      <c r="J92" s="1"/>
    </row>
    <row r="93" spans="1:10" s="9" customFormat="1" ht="13.9" hidden="1" customHeight="1" x14ac:dyDescent="0.25">
      <c r="A93" s="27">
        <v>44286</v>
      </c>
      <c r="B93" s="9" t="s">
        <v>9</v>
      </c>
      <c r="C93" s="35" t="s">
        <v>35</v>
      </c>
      <c r="D93" s="17">
        <v>-14663.53</v>
      </c>
      <c r="E93" s="5"/>
      <c r="F93" s="17"/>
      <c r="G93" s="25">
        <v>-14663.53</v>
      </c>
      <c r="H93" s="62">
        <f t="shared" si="0"/>
        <v>0</v>
      </c>
      <c r="I93" s="3"/>
      <c r="J93" s="1"/>
    </row>
    <row r="94" spans="1:10" s="9" customFormat="1" ht="13.9" customHeight="1" x14ac:dyDescent="0.25">
      <c r="A94" s="27">
        <v>44316</v>
      </c>
      <c r="B94" s="9" t="s">
        <v>10</v>
      </c>
      <c r="C94" s="35" t="s">
        <v>163</v>
      </c>
      <c r="D94" s="17">
        <v>14663.53</v>
      </c>
      <c r="E94" s="5"/>
      <c r="F94" s="17"/>
      <c r="G94" s="25">
        <v>14663.53</v>
      </c>
      <c r="H94" s="62">
        <f t="shared" si="0"/>
        <v>0</v>
      </c>
      <c r="I94" s="3"/>
      <c r="J94" s="1"/>
    </row>
    <row r="95" spans="1:10" s="9" customFormat="1" ht="13.9" customHeight="1" x14ac:dyDescent="0.25">
      <c r="A95" s="27">
        <v>44316</v>
      </c>
      <c r="B95" s="9" t="s">
        <v>10</v>
      </c>
      <c r="C95" s="35" t="s">
        <v>144</v>
      </c>
      <c r="D95" s="17">
        <v>1302.08</v>
      </c>
      <c r="E95" s="5"/>
      <c r="F95" s="17"/>
      <c r="G95" s="25">
        <v>1302.08</v>
      </c>
      <c r="H95" s="62">
        <f t="shared" si="0"/>
        <v>0</v>
      </c>
      <c r="I95" s="3"/>
      <c r="J95" s="1"/>
    </row>
    <row r="96" spans="1:10" s="9" customFormat="1" ht="13.9" customHeight="1" x14ac:dyDescent="0.25">
      <c r="A96" s="27">
        <v>44316</v>
      </c>
      <c r="B96" s="9" t="s">
        <v>10</v>
      </c>
      <c r="C96" s="35" t="s">
        <v>160</v>
      </c>
      <c r="D96" s="17">
        <f>51294.87-546.91</f>
        <v>50747.96</v>
      </c>
      <c r="E96" s="5"/>
      <c r="F96" s="17">
        <f>-51294.87+546.91+50747.96</f>
        <v>0</v>
      </c>
      <c r="G96" s="25">
        <v>50747.96</v>
      </c>
      <c r="H96" s="62">
        <f t="shared" si="0"/>
        <v>0</v>
      </c>
      <c r="I96" s="3"/>
      <c r="J96" s="1"/>
    </row>
    <row r="97" spans="1:10" s="9" customFormat="1" ht="13.9" customHeight="1" x14ac:dyDescent="0.25">
      <c r="A97" s="27">
        <v>44316</v>
      </c>
      <c r="B97" s="9" t="s">
        <v>10</v>
      </c>
      <c r="C97" s="35" t="s">
        <v>161</v>
      </c>
      <c r="D97" s="17">
        <f>-116256.56-802.69</f>
        <v>-117059.25</v>
      </c>
      <c r="E97" s="5">
        <f>116256.56+802.69-117059.25</f>
        <v>0</v>
      </c>
      <c r="F97" s="17"/>
      <c r="G97" s="25">
        <v>-117059.25</v>
      </c>
      <c r="H97" s="62">
        <f t="shared" si="0"/>
        <v>0</v>
      </c>
      <c r="I97" s="3"/>
      <c r="J97" s="1"/>
    </row>
    <row r="98" spans="1:10" s="9" customFormat="1" ht="13.9" customHeight="1" x14ac:dyDescent="0.25">
      <c r="A98" s="27">
        <v>44316</v>
      </c>
      <c r="B98" s="9" t="s">
        <v>10</v>
      </c>
      <c r="C98" s="35" t="s">
        <v>162</v>
      </c>
      <c r="D98" s="17">
        <f>-112001.41-27926.96</f>
        <v>-139928.37</v>
      </c>
      <c r="E98" s="5">
        <f>112001.41+27926.96-139928.37</f>
        <v>0</v>
      </c>
      <c r="F98" s="17"/>
      <c r="G98" s="25">
        <v>-139928.37</v>
      </c>
      <c r="H98" s="62">
        <f t="shared" si="0"/>
        <v>0</v>
      </c>
      <c r="I98" s="3"/>
      <c r="J98" s="1"/>
    </row>
    <row r="99" spans="1:10" s="9" customFormat="1" ht="13.9" customHeight="1" x14ac:dyDescent="0.25">
      <c r="A99" s="27">
        <v>44316</v>
      </c>
      <c r="B99" s="9" t="s">
        <v>10</v>
      </c>
      <c r="C99" s="35" t="s">
        <v>39</v>
      </c>
      <c r="D99" s="17">
        <v>-2750.02</v>
      </c>
      <c r="E99" s="5"/>
      <c r="F99" s="17"/>
      <c r="G99" s="25">
        <v>-2750.02</v>
      </c>
      <c r="H99" s="62">
        <f t="shared" si="0"/>
        <v>0</v>
      </c>
      <c r="I99" s="3"/>
      <c r="J99" s="1"/>
    </row>
    <row r="100" spans="1:10" s="9" customFormat="1" ht="13.9" customHeight="1" x14ac:dyDescent="0.25">
      <c r="A100" s="27">
        <v>44316</v>
      </c>
      <c r="B100" s="9" t="s">
        <v>10</v>
      </c>
      <c r="C100" s="35" t="s">
        <v>34</v>
      </c>
      <c r="D100" s="17">
        <v>119838.63</v>
      </c>
      <c r="E100" s="5"/>
      <c r="F100" s="17"/>
      <c r="G100" s="25">
        <v>119838.63</v>
      </c>
      <c r="H100" s="62">
        <f t="shared" si="0"/>
        <v>0</v>
      </c>
      <c r="I100" s="3"/>
      <c r="J100" s="1"/>
    </row>
    <row r="101" spans="1:10" s="9" customFormat="1" ht="13.9" customHeight="1" x14ac:dyDescent="0.25">
      <c r="A101" s="27">
        <v>44316</v>
      </c>
      <c r="B101" s="9" t="s">
        <v>10</v>
      </c>
      <c r="C101" s="35" t="s">
        <v>35</v>
      </c>
      <c r="D101" s="17">
        <v>-27582.58</v>
      </c>
      <c r="E101" s="5"/>
      <c r="F101" s="17"/>
      <c r="G101" s="25">
        <v>-27582.58</v>
      </c>
      <c r="H101" s="62">
        <f t="shared" si="0"/>
        <v>0</v>
      </c>
      <c r="I101" s="3"/>
      <c r="J101" s="1"/>
    </row>
    <row r="102" spans="1:10" s="9" customFormat="1" ht="13.9" customHeight="1" x14ac:dyDescent="0.25">
      <c r="A102" s="27">
        <v>44347</v>
      </c>
      <c r="B102" s="9" t="s">
        <v>10</v>
      </c>
      <c r="C102" s="35" t="s">
        <v>173</v>
      </c>
      <c r="D102" s="17">
        <v>27582.58</v>
      </c>
      <c r="E102" s="5"/>
      <c r="F102" s="17"/>
      <c r="G102" s="25">
        <v>27582.58</v>
      </c>
      <c r="H102" s="62">
        <f t="shared" si="0"/>
        <v>0</v>
      </c>
      <c r="I102" s="3"/>
      <c r="J102" s="1"/>
    </row>
    <row r="103" spans="1:10" s="9" customFormat="1" ht="13.9" customHeight="1" x14ac:dyDescent="0.25">
      <c r="A103" s="27">
        <v>44347</v>
      </c>
      <c r="B103" s="9" t="s">
        <v>10</v>
      </c>
      <c r="C103" s="35" t="s">
        <v>144</v>
      </c>
      <c r="D103" s="17">
        <v>1302.08</v>
      </c>
      <c r="E103" s="5"/>
      <c r="F103" s="17"/>
      <c r="G103" s="25">
        <v>1302.08</v>
      </c>
      <c r="H103" s="62">
        <f t="shared" si="0"/>
        <v>0</v>
      </c>
      <c r="I103" s="3"/>
      <c r="J103" s="1"/>
    </row>
    <row r="104" spans="1:10" s="9" customFormat="1" ht="13.9" customHeight="1" x14ac:dyDescent="0.25">
      <c r="A104" s="27">
        <v>44347</v>
      </c>
      <c r="B104" s="9" t="s">
        <v>10</v>
      </c>
      <c r="C104" s="35" t="s">
        <v>169</v>
      </c>
      <c r="D104" s="17">
        <f>32913.07+2479.65</f>
        <v>35392.720000000001</v>
      </c>
      <c r="E104" s="5"/>
      <c r="F104" s="17">
        <f>-32913.07-2479.65+35392.72</f>
        <v>0</v>
      </c>
      <c r="G104" s="25">
        <v>35392.720000000001</v>
      </c>
      <c r="H104" s="62">
        <f t="shared" si="0"/>
        <v>0</v>
      </c>
      <c r="I104" s="3"/>
      <c r="J104" s="1"/>
    </row>
    <row r="105" spans="1:10" s="9" customFormat="1" ht="13.9" customHeight="1" x14ac:dyDescent="0.25">
      <c r="A105" s="27">
        <v>44347</v>
      </c>
      <c r="B105" s="9" t="s">
        <v>10</v>
      </c>
      <c r="C105" s="35" t="s">
        <v>170</v>
      </c>
      <c r="D105" s="17">
        <f>-51385.5-272.94</f>
        <v>-51658.44</v>
      </c>
      <c r="E105" s="5">
        <f>51385.5+272.94-51658.44</f>
        <v>0</v>
      </c>
      <c r="F105" s="17"/>
      <c r="G105" s="25">
        <v>-51658.44</v>
      </c>
      <c r="H105" s="62">
        <f t="shared" si="0"/>
        <v>0</v>
      </c>
      <c r="I105" s="3"/>
      <c r="J105" s="1"/>
    </row>
    <row r="106" spans="1:10" s="9" customFormat="1" ht="13.9" customHeight="1" x14ac:dyDescent="0.25">
      <c r="A106" s="27">
        <v>44347</v>
      </c>
      <c r="B106" s="9" t="s">
        <v>10</v>
      </c>
      <c r="C106" s="35" t="s">
        <v>171</v>
      </c>
      <c r="D106" s="17">
        <f>-102615.53-14035.31</f>
        <v>-116650.84</v>
      </c>
      <c r="E106" s="5">
        <f>102615.53+14035.31-116650.84</f>
        <v>0</v>
      </c>
      <c r="F106" s="17"/>
      <c r="G106" s="25">
        <v>-116650.84</v>
      </c>
      <c r="H106" s="62">
        <f t="shared" si="0"/>
        <v>0</v>
      </c>
      <c r="I106" s="3"/>
      <c r="J106" s="1"/>
    </row>
    <row r="107" spans="1:10" s="9" customFormat="1" ht="13.9" customHeight="1" x14ac:dyDescent="0.25">
      <c r="A107" s="27">
        <v>44347</v>
      </c>
      <c r="B107" s="9" t="s">
        <v>10</v>
      </c>
      <c r="C107" s="35" t="s">
        <v>39</v>
      </c>
      <c r="D107" s="17">
        <v>-2333.35</v>
      </c>
      <c r="E107" s="5"/>
      <c r="F107" s="17"/>
      <c r="G107" s="25">
        <v>-2333.35</v>
      </c>
      <c r="H107" s="62">
        <f t="shared" si="0"/>
        <v>0</v>
      </c>
      <c r="I107" s="3"/>
      <c r="J107" s="1"/>
    </row>
    <row r="108" spans="1:10" s="9" customFormat="1" ht="13.9" customHeight="1" x14ac:dyDescent="0.25">
      <c r="A108" s="27">
        <v>44347</v>
      </c>
      <c r="B108" s="9" t="s">
        <v>10</v>
      </c>
      <c r="C108" s="35" t="s">
        <v>34</v>
      </c>
      <c r="D108" s="17">
        <v>111752.93</v>
      </c>
      <c r="E108" s="5"/>
      <c r="F108" s="17"/>
      <c r="G108" s="25">
        <v>111752.93</v>
      </c>
      <c r="H108" s="62">
        <f t="shared" si="0"/>
        <v>0</v>
      </c>
      <c r="I108" s="3"/>
      <c r="J108" s="1"/>
    </row>
    <row r="109" spans="1:10" s="9" customFormat="1" ht="13.9" customHeight="1" x14ac:dyDescent="0.25">
      <c r="A109" s="27">
        <v>44347</v>
      </c>
      <c r="B109" s="9" t="s">
        <v>10</v>
      </c>
      <c r="C109" s="35" t="s">
        <v>35</v>
      </c>
      <c r="D109" s="17">
        <v>-13309.03</v>
      </c>
      <c r="E109" s="5"/>
      <c r="F109" s="17"/>
      <c r="G109" s="25">
        <v>-13309.03</v>
      </c>
      <c r="H109" s="62">
        <f t="shared" si="0"/>
        <v>0</v>
      </c>
      <c r="I109" s="3"/>
      <c r="J109" s="1"/>
    </row>
    <row r="110" spans="1:10" s="9" customFormat="1" ht="13.9" customHeight="1" x14ac:dyDescent="0.25">
      <c r="A110" s="27">
        <v>44377</v>
      </c>
      <c r="B110" s="9" t="s">
        <v>10</v>
      </c>
      <c r="C110" s="35" t="s">
        <v>177</v>
      </c>
      <c r="D110" s="17">
        <v>13309.03</v>
      </c>
      <c r="E110" s="5"/>
      <c r="F110" s="17"/>
      <c r="G110" s="25">
        <v>13309.03</v>
      </c>
      <c r="H110" s="62">
        <f t="shared" si="0"/>
        <v>0</v>
      </c>
      <c r="I110" s="3"/>
      <c r="J110" s="1"/>
    </row>
    <row r="111" spans="1:10" s="9" customFormat="1" ht="13.9" customHeight="1" x14ac:dyDescent="0.25">
      <c r="A111" s="27">
        <v>44377</v>
      </c>
      <c r="B111" s="9" t="s">
        <v>10</v>
      </c>
      <c r="C111" s="35" t="s">
        <v>144</v>
      </c>
      <c r="D111" s="17">
        <v>1302.08</v>
      </c>
      <c r="E111" s="5"/>
      <c r="F111" s="17"/>
      <c r="G111" s="25">
        <v>1302.08</v>
      </c>
      <c r="H111" s="62">
        <f t="shared" si="0"/>
        <v>0</v>
      </c>
      <c r="I111" s="3"/>
      <c r="J111" s="1"/>
    </row>
    <row r="112" spans="1:10" s="9" customFormat="1" ht="13.9" customHeight="1" x14ac:dyDescent="0.25">
      <c r="A112" s="27">
        <v>44377</v>
      </c>
      <c r="B112" s="9" t="s">
        <v>10</v>
      </c>
      <c r="C112" s="35" t="s">
        <v>178</v>
      </c>
      <c r="D112" s="17">
        <f>-63449.2+392.75</f>
        <v>-63056.45</v>
      </c>
      <c r="E112" s="5">
        <f>63449.2-392.75-63056.45</f>
        <v>0</v>
      </c>
      <c r="F112" s="17"/>
      <c r="G112" s="25">
        <v>-63056.45</v>
      </c>
      <c r="H112" s="62">
        <f t="shared" si="0"/>
        <v>0</v>
      </c>
      <c r="I112" s="3"/>
      <c r="J112" s="1"/>
    </row>
    <row r="113" spans="1:10" s="9" customFormat="1" ht="13.9" customHeight="1" x14ac:dyDescent="0.25">
      <c r="A113" s="27">
        <v>44377</v>
      </c>
      <c r="B113" s="9" t="s">
        <v>10</v>
      </c>
      <c r="C113" s="35" t="s">
        <v>179</v>
      </c>
      <c r="D113" s="17">
        <f>-50517.43-1607.01</f>
        <v>-52124.44</v>
      </c>
      <c r="E113" s="5">
        <f>50517.43+1607.01-52124.44</f>
        <v>0</v>
      </c>
      <c r="F113" s="17"/>
      <c r="G113" s="25">
        <v>-52124.44</v>
      </c>
      <c r="H113" s="62">
        <f t="shared" si="0"/>
        <v>0</v>
      </c>
      <c r="I113" s="3"/>
      <c r="J113" s="1"/>
    </row>
    <row r="114" spans="1:10" s="9" customFormat="1" ht="13.9" customHeight="1" x14ac:dyDescent="0.25">
      <c r="A114" s="27">
        <v>44377</v>
      </c>
      <c r="B114" s="9" t="s">
        <v>10</v>
      </c>
      <c r="C114" s="35" t="s">
        <v>180</v>
      </c>
      <c r="D114" s="17">
        <f>29857.96+2466.7</f>
        <v>32324.66</v>
      </c>
      <c r="E114" s="5"/>
      <c r="F114" s="17">
        <f>-29857.96-2466.7+32324.66</f>
        <v>0</v>
      </c>
      <c r="G114" s="25">
        <v>32324.66</v>
      </c>
      <c r="H114" s="62">
        <f t="shared" si="0"/>
        <v>0</v>
      </c>
      <c r="I114" s="3"/>
      <c r="J114" s="1"/>
    </row>
    <row r="115" spans="1:10" s="9" customFormat="1" ht="13.9" customHeight="1" x14ac:dyDescent="0.25">
      <c r="A115" s="27">
        <v>44377</v>
      </c>
      <c r="B115" s="9" t="s">
        <v>10</v>
      </c>
      <c r="C115" s="35" t="s">
        <v>39</v>
      </c>
      <c r="D115" s="17">
        <v>-2750.02</v>
      </c>
      <c r="E115" s="5"/>
      <c r="F115" s="17"/>
      <c r="G115" s="25">
        <v>-2750.02</v>
      </c>
      <c r="H115" s="62">
        <f t="shared" si="0"/>
        <v>0</v>
      </c>
      <c r="I115" s="3"/>
      <c r="J115" s="1"/>
    </row>
    <row r="116" spans="1:10" s="9" customFormat="1" ht="13.9" customHeight="1" x14ac:dyDescent="0.25">
      <c r="A116" s="27">
        <v>44377</v>
      </c>
      <c r="B116" s="9" t="s">
        <v>10</v>
      </c>
      <c r="C116" s="35" t="s">
        <v>34</v>
      </c>
      <c r="D116" s="17">
        <f>-20712.66</f>
        <v>-20712.66</v>
      </c>
      <c r="E116" s="5"/>
      <c r="F116" s="17"/>
      <c r="G116" s="25">
        <v>-20712.66</v>
      </c>
      <c r="H116" s="62">
        <f t="shared" si="0"/>
        <v>0</v>
      </c>
      <c r="I116" s="3"/>
      <c r="J116" s="1"/>
    </row>
    <row r="117" spans="1:10" s="9" customFormat="1" ht="13.9" customHeight="1" x14ac:dyDescent="0.25">
      <c r="A117" s="27">
        <v>44377</v>
      </c>
      <c r="B117" s="9" t="s">
        <v>10</v>
      </c>
      <c r="C117" s="35" t="s">
        <v>35</v>
      </c>
      <c r="D117" s="17">
        <f>-37149.39</f>
        <v>-37149.39</v>
      </c>
      <c r="E117" s="5"/>
      <c r="F117" s="17"/>
      <c r="G117" s="25">
        <v>-37149.39</v>
      </c>
      <c r="H117" s="62">
        <f t="shared" si="0"/>
        <v>0</v>
      </c>
      <c r="I117" s="3"/>
      <c r="J117" s="1"/>
    </row>
    <row r="118" spans="1:10" s="9" customFormat="1" ht="13.9" customHeight="1" x14ac:dyDescent="0.25">
      <c r="A118" s="27">
        <v>44408</v>
      </c>
      <c r="B118" s="9" t="s">
        <v>13</v>
      </c>
      <c r="C118" s="35" t="s">
        <v>181</v>
      </c>
      <c r="D118" s="17">
        <v>37149.39</v>
      </c>
      <c r="E118" s="5"/>
      <c r="F118" s="17"/>
      <c r="G118" s="25">
        <v>37149.39</v>
      </c>
      <c r="H118" s="62">
        <f t="shared" si="0"/>
        <v>0</v>
      </c>
      <c r="I118" s="3"/>
      <c r="J118" s="1"/>
    </row>
    <row r="119" spans="1:10" s="9" customFormat="1" ht="13.9" customHeight="1" x14ac:dyDescent="0.25">
      <c r="A119" s="27">
        <v>44408</v>
      </c>
      <c r="B119" s="9" t="s">
        <v>13</v>
      </c>
      <c r="C119" s="35" t="s">
        <v>144</v>
      </c>
      <c r="D119" s="17">
        <v>1302.08</v>
      </c>
      <c r="E119" s="5"/>
      <c r="F119" s="17"/>
      <c r="G119" s="25">
        <v>1302.08</v>
      </c>
      <c r="H119" s="62">
        <f t="shared" si="0"/>
        <v>0</v>
      </c>
      <c r="I119" s="3"/>
      <c r="J119" s="1"/>
    </row>
    <row r="120" spans="1:10" s="9" customFormat="1" ht="13.9" customHeight="1" x14ac:dyDescent="0.25">
      <c r="A120" s="27">
        <v>44408</v>
      </c>
      <c r="B120" s="9" t="s">
        <v>13</v>
      </c>
      <c r="C120" s="35" t="s">
        <v>182</v>
      </c>
      <c r="D120" s="17">
        <f>-227777.44+52161.97</f>
        <v>-175615.47</v>
      </c>
      <c r="E120" s="5">
        <f>227777.44-52161.97-175615.47</f>
        <v>0</v>
      </c>
      <c r="F120" s="17"/>
      <c r="G120" s="25">
        <v>-175615.47</v>
      </c>
      <c r="H120" s="62">
        <f t="shared" si="0"/>
        <v>0</v>
      </c>
      <c r="I120" s="3"/>
      <c r="J120" s="1"/>
    </row>
    <row r="121" spans="1:10" s="9" customFormat="1" ht="13.9" customHeight="1" x14ac:dyDescent="0.25">
      <c r="A121" s="27">
        <v>44408</v>
      </c>
      <c r="B121" s="9" t="s">
        <v>13</v>
      </c>
      <c r="C121" s="35" t="s">
        <v>183</v>
      </c>
      <c r="D121" s="17">
        <f>-76777.05+9343.07</f>
        <v>-67433.98000000001</v>
      </c>
      <c r="E121" s="5">
        <f>76777.05-9343.07-67433.98</f>
        <v>0</v>
      </c>
      <c r="F121" s="17"/>
      <c r="G121" s="25">
        <v>-67433.98000000001</v>
      </c>
      <c r="H121" s="62">
        <f t="shared" si="0"/>
        <v>0</v>
      </c>
      <c r="I121" s="3"/>
      <c r="J121" s="1"/>
    </row>
    <row r="122" spans="1:10" s="9" customFormat="1" ht="13.9" customHeight="1" x14ac:dyDescent="0.25">
      <c r="A122" s="27">
        <v>44408</v>
      </c>
      <c r="B122" s="9" t="s">
        <v>13</v>
      </c>
      <c r="C122" s="35" t="s">
        <v>184</v>
      </c>
      <c r="D122" s="17">
        <f>15161.23+6.09</f>
        <v>15167.32</v>
      </c>
      <c r="E122" s="5"/>
      <c r="F122" s="17">
        <f>-6.09-15161.23+15167.32</f>
        <v>0</v>
      </c>
      <c r="G122" s="25">
        <v>15167.32</v>
      </c>
      <c r="H122" s="62">
        <f t="shared" si="0"/>
        <v>0</v>
      </c>
      <c r="I122" s="3"/>
      <c r="J122" s="1"/>
    </row>
    <row r="123" spans="1:10" s="9" customFormat="1" ht="13.9" customHeight="1" x14ac:dyDescent="0.25">
      <c r="A123" s="27">
        <v>44408</v>
      </c>
      <c r="B123" s="9" t="s">
        <v>13</v>
      </c>
      <c r="C123" s="35" t="s">
        <v>39</v>
      </c>
      <c r="D123" s="17">
        <v>-2750.02</v>
      </c>
      <c r="E123" s="5"/>
      <c r="F123" s="17"/>
      <c r="G123" s="25">
        <v>-2750.02</v>
      </c>
      <c r="H123" s="62">
        <f t="shared" si="0"/>
        <v>0</v>
      </c>
      <c r="I123" s="3"/>
      <c r="J123" s="1"/>
    </row>
    <row r="124" spans="1:10" s="9" customFormat="1" ht="13.9" customHeight="1" x14ac:dyDescent="0.25">
      <c r="A124" s="27">
        <v>44408</v>
      </c>
      <c r="B124" s="9" t="s">
        <v>13</v>
      </c>
      <c r="C124" s="35" t="s">
        <v>34</v>
      </c>
      <c r="D124" s="17">
        <v>104368.19</v>
      </c>
      <c r="E124" s="5"/>
      <c r="F124" s="17"/>
      <c r="G124" s="25">
        <v>104368.19</v>
      </c>
      <c r="H124" s="62">
        <f t="shared" si="0"/>
        <v>0</v>
      </c>
      <c r="I124" s="3"/>
      <c r="J124" s="1"/>
    </row>
    <row r="125" spans="1:10" s="9" customFormat="1" ht="13.9" customHeight="1" x14ac:dyDescent="0.25">
      <c r="A125" s="27">
        <v>44408</v>
      </c>
      <c r="B125" s="9" t="s">
        <v>13</v>
      </c>
      <c r="C125" s="35" t="s">
        <v>35</v>
      </c>
      <c r="D125" s="17">
        <v>-27290.78</v>
      </c>
      <c r="E125" s="5"/>
      <c r="F125" s="17"/>
      <c r="G125" s="25">
        <v>-27290.78</v>
      </c>
      <c r="H125" s="62">
        <f t="shared" si="0"/>
        <v>0</v>
      </c>
      <c r="I125" s="3"/>
      <c r="J125" s="1"/>
    </row>
    <row r="126" spans="1:10" s="9" customFormat="1" ht="13.9" customHeight="1" x14ac:dyDescent="0.25">
      <c r="A126" s="27">
        <v>44439</v>
      </c>
      <c r="B126" s="9" t="s">
        <v>13</v>
      </c>
      <c r="C126" s="35" t="s">
        <v>188</v>
      </c>
      <c r="D126" s="17">
        <v>27290.78</v>
      </c>
      <c r="E126" s="5"/>
      <c r="F126" s="17"/>
      <c r="G126" s="25">
        <v>27290.78</v>
      </c>
      <c r="H126" s="62">
        <f t="shared" si="0"/>
        <v>0</v>
      </c>
      <c r="I126" s="3"/>
      <c r="J126" s="1"/>
    </row>
    <row r="127" spans="1:10" s="9" customFormat="1" ht="13.9" customHeight="1" x14ac:dyDescent="0.25">
      <c r="A127" s="27">
        <v>44439</v>
      </c>
      <c r="B127" s="9" t="s">
        <v>13</v>
      </c>
      <c r="C127" s="35" t="s">
        <v>144</v>
      </c>
      <c r="D127" s="17">
        <v>1302.08</v>
      </c>
      <c r="E127" s="5"/>
      <c r="F127" s="17"/>
      <c r="G127" s="25">
        <v>1302.08</v>
      </c>
      <c r="H127" s="62">
        <f t="shared" ref="H127:H150" si="1">D127-G127</f>
        <v>0</v>
      </c>
      <c r="I127" s="3"/>
      <c r="J127" s="1"/>
    </row>
    <row r="128" spans="1:10" s="9" customFormat="1" ht="13.9" customHeight="1" x14ac:dyDescent="0.25">
      <c r="A128" s="27">
        <v>44439</v>
      </c>
      <c r="B128" s="9" t="s">
        <v>13</v>
      </c>
      <c r="C128" s="35" t="s">
        <v>185</v>
      </c>
      <c r="D128" s="17">
        <f>27902.34+531.5</f>
        <v>28433.84</v>
      </c>
      <c r="E128" s="5"/>
      <c r="F128" s="17">
        <f>-27902.34-531.5+28433.84</f>
        <v>0</v>
      </c>
      <c r="G128" s="25">
        <v>28433.84</v>
      </c>
      <c r="H128" s="62">
        <f t="shared" si="1"/>
        <v>0</v>
      </c>
      <c r="I128" s="3"/>
      <c r="J128" s="1"/>
    </row>
    <row r="129" spans="1:10" s="9" customFormat="1" ht="13.9" customHeight="1" x14ac:dyDescent="0.25">
      <c r="A129" s="27">
        <v>44439</v>
      </c>
      <c r="B129" s="9" t="s">
        <v>13</v>
      </c>
      <c r="C129" s="35" t="s">
        <v>186</v>
      </c>
      <c r="D129" s="17">
        <f>-149539.76-3479.41</f>
        <v>-153019.17000000001</v>
      </c>
      <c r="E129" s="5">
        <f>149539.76+3479.41-153019.17</f>
        <v>0</v>
      </c>
      <c r="F129" s="17"/>
      <c r="G129" s="25">
        <v>-153019.17000000001</v>
      </c>
      <c r="H129" s="62">
        <f t="shared" si="1"/>
        <v>0</v>
      </c>
      <c r="I129" s="3"/>
      <c r="J129" s="1"/>
    </row>
    <row r="130" spans="1:10" s="9" customFormat="1" ht="13.9" customHeight="1" x14ac:dyDescent="0.25">
      <c r="A130" s="27">
        <v>44439</v>
      </c>
      <c r="B130" s="9" t="s">
        <v>13</v>
      </c>
      <c r="C130" s="35" t="s">
        <v>187</v>
      </c>
      <c r="D130" s="17">
        <v>33821.83</v>
      </c>
      <c r="E130" s="5"/>
      <c r="F130" s="17">
        <f>-33821.83+33821.83</f>
        <v>0</v>
      </c>
      <c r="G130" s="25">
        <v>33821.83</v>
      </c>
      <c r="H130" s="62">
        <f t="shared" si="1"/>
        <v>0</v>
      </c>
      <c r="I130" s="3"/>
      <c r="J130" s="1"/>
    </row>
    <row r="131" spans="1:10" s="9" customFormat="1" ht="13.9" customHeight="1" x14ac:dyDescent="0.25">
      <c r="A131" s="27">
        <v>44439</v>
      </c>
      <c r="B131" s="9" t="s">
        <v>13</v>
      </c>
      <c r="C131" s="35" t="s">
        <v>39</v>
      </c>
      <c r="D131" s="17">
        <v>-2750.02</v>
      </c>
      <c r="E131" s="5"/>
      <c r="F131" s="17"/>
      <c r="G131" s="25">
        <v>-2750.02</v>
      </c>
      <c r="H131" s="62">
        <f t="shared" si="1"/>
        <v>0</v>
      </c>
      <c r="I131" s="3"/>
      <c r="J131" s="1"/>
    </row>
    <row r="132" spans="1:10" s="9" customFormat="1" ht="13.9" customHeight="1" x14ac:dyDescent="0.25">
      <c r="A132" s="27">
        <v>44439</v>
      </c>
      <c r="B132" s="9" t="s">
        <v>13</v>
      </c>
      <c r="C132" s="35" t="s">
        <v>34</v>
      </c>
      <c r="D132" s="17">
        <f>-174012.31+24159.79</f>
        <v>-149852.51999999999</v>
      </c>
      <c r="E132" s="5"/>
      <c r="F132" s="17"/>
      <c r="G132" s="25">
        <v>-149852.51999999999</v>
      </c>
      <c r="H132" s="62">
        <f t="shared" si="1"/>
        <v>0</v>
      </c>
      <c r="I132" s="3"/>
      <c r="J132" s="1"/>
    </row>
    <row r="133" spans="1:10" s="9" customFormat="1" ht="13.9" customHeight="1" x14ac:dyDescent="0.25">
      <c r="A133" s="27">
        <v>44439</v>
      </c>
      <c r="B133" s="9" t="s">
        <v>13</v>
      </c>
      <c r="C133" s="35" t="s">
        <v>35</v>
      </c>
      <c r="D133" s="17">
        <v>-46615.29</v>
      </c>
      <c r="E133" s="5"/>
      <c r="F133" s="17"/>
      <c r="G133" s="25">
        <v>-46615.29</v>
      </c>
      <c r="H133" s="62">
        <f t="shared" si="1"/>
        <v>0</v>
      </c>
      <c r="I133" s="3"/>
      <c r="J133" s="1"/>
    </row>
    <row r="134" spans="1:10" s="9" customFormat="1" ht="13.9" customHeight="1" x14ac:dyDescent="0.25">
      <c r="A134" s="27">
        <v>44469</v>
      </c>
      <c r="B134" s="9" t="s">
        <v>13</v>
      </c>
      <c r="C134" s="35" t="s">
        <v>192</v>
      </c>
      <c r="D134" s="17">
        <v>46615.29</v>
      </c>
      <c r="E134" s="5"/>
      <c r="F134" s="17"/>
      <c r="G134" s="25">
        <v>46615.29</v>
      </c>
      <c r="H134" s="62">
        <f t="shared" si="1"/>
        <v>0</v>
      </c>
      <c r="I134" s="3"/>
      <c r="J134" s="1"/>
    </row>
    <row r="135" spans="1:10" s="9" customFormat="1" ht="13.9" customHeight="1" x14ac:dyDescent="0.25">
      <c r="A135" s="27">
        <v>44469</v>
      </c>
      <c r="B135" s="9" t="s">
        <v>13</v>
      </c>
      <c r="C135" s="35" t="s">
        <v>144</v>
      </c>
      <c r="D135" s="17">
        <v>1302.08</v>
      </c>
      <c r="E135" s="5"/>
      <c r="F135" s="17"/>
      <c r="G135" s="25">
        <v>1302.08</v>
      </c>
      <c r="H135" s="62">
        <f t="shared" si="1"/>
        <v>0</v>
      </c>
      <c r="I135" s="3"/>
      <c r="J135" s="1"/>
    </row>
    <row r="136" spans="1:10" s="9" customFormat="1" ht="13.9" customHeight="1" x14ac:dyDescent="0.25">
      <c r="A136" s="27">
        <v>44469</v>
      </c>
      <c r="B136" s="9" t="s">
        <v>13</v>
      </c>
      <c r="C136" s="35" t="s">
        <v>189</v>
      </c>
      <c r="D136" s="17">
        <f>-13384.83+4474.73</f>
        <v>-8910.1</v>
      </c>
      <c r="E136" s="79">
        <f>13384.83-4474.73</f>
        <v>8910.1</v>
      </c>
      <c r="F136" s="17"/>
      <c r="G136" s="25">
        <v>-13384.83</v>
      </c>
      <c r="H136" s="62">
        <f t="shared" si="1"/>
        <v>4474.7299999999996</v>
      </c>
      <c r="I136" s="3"/>
      <c r="J136" s="1"/>
    </row>
    <row r="137" spans="1:10" s="9" customFormat="1" ht="13.9" customHeight="1" x14ac:dyDescent="0.25">
      <c r="A137" s="27">
        <v>44469</v>
      </c>
      <c r="B137" s="9" t="s">
        <v>13</v>
      </c>
      <c r="C137" s="35" t="s">
        <v>190</v>
      </c>
      <c r="D137" s="17">
        <f>-67613.26-1061.92</f>
        <v>-68675.179999999993</v>
      </c>
      <c r="E137" s="5">
        <f>67613.26+1061.92-68675.18</f>
        <v>0</v>
      </c>
      <c r="F137" s="17"/>
      <c r="G137" s="25">
        <v>-67613.259999999995</v>
      </c>
      <c r="H137" s="62">
        <f t="shared" si="1"/>
        <v>-1061.9199999999983</v>
      </c>
      <c r="I137" s="3"/>
      <c r="J137" s="1"/>
    </row>
    <row r="138" spans="1:10" s="9" customFormat="1" ht="13.9" customHeight="1" x14ac:dyDescent="0.25">
      <c r="A138" s="27">
        <v>44469</v>
      </c>
      <c r="B138" s="9" t="s">
        <v>13</v>
      </c>
      <c r="C138" s="35" t="s">
        <v>191</v>
      </c>
      <c r="D138" s="17">
        <f>-148366.03-19367.43</f>
        <v>-167733.46</v>
      </c>
      <c r="E138" s="5">
        <f>148366.03+19367.43-167733.46</f>
        <v>0</v>
      </c>
      <c r="F138" s="17"/>
      <c r="G138" s="25">
        <v>-148366.03</v>
      </c>
      <c r="H138" s="62">
        <f t="shared" si="1"/>
        <v>-19367.429999999993</v>
      </c>
      <c r="I138" s="3"/>
      <c r="J138" s="1"/>
    </row>
    <row r="139" spans="1:10" s="9" customFormat="1" ht="13.9" customHeight="1" x14ac:dyDescent="0.25">
      <c r="A139" s="27">
        <v>44469</v>
      </c>
      <c r="B139" s="9" t="s">
        <v>13</v>
      </c>
      <c r="C139" s="35" t="s">
        <v>41</v>
      </c>
      <c r="D139" s="17">
        <v>-2750.02</v>
      </c>
      <c r="E139" s="5"/>
      <c r="F139" s="17"/>
      <c r="G139" s="25">
        <v>-2750.02</v>
      </c>
      <c r="H139" s="62">
        <f t="shared" si="1"/>
        <v>0</v>
      </c>
      <c r="I139" s="3"/>
      <c r="J139" s="1"/>
    </row>
    <row r="140" spans="1:10" s="9" customFormat="1" ht="13.9" customHeight="1" x14ac:dyDescent="0.25">
      <c r="A140" s="27">
        <v>44469</v>
      </c>
      <c r="B140" s="9" t="s">
        <v>13</v>
      </c>
      <c r="C140" s="35" t="s">
        <v>42</v>
      </c>
      <c r="D140" s="17">
        <f>108395.7-49411.97</f>
        <v>58983.729999999996</v>
      </c>
      <c r="E140" s="5"/>
      <c r="F140" s="17"/>
      <c r="G140" s="25">
        <v>108395.7</v>
      </c>
      <c r="H140" s="62">
        <f t="shared" si="1"/>
        <v>-49411.97</v>
      </c>
      <c r="I140" s="3"/>
      <c r="J140" s="1"/>
    </row>
    <row r="141" spans="1:10" s="9" customFormat="1" ht="13.9" customHeight="1" x14ac:dyDescent="0.25">
      <c r="A141" s="27">
        <v>44469</v>
      </c>
      <c r="B141" s="9" t="s">
        <v>13</v>
      </c>
      <c r="C141" s="35" t="s">
        <v>43</v>
      </c>
      <c r="D141" s="17">
        <v>-63680.79</v>
      </c>
      <c r="E141" s="5"/>
      <c r="F141" s="17"/>
      <c r="G141" s="25">
        <v>-63680.79</v>
      </c>
      <c r="H141" s="62">
        <f t="shared" si="1"/>
        <v>0</v>
      </c>
      <c r="I141" s="3"/>
      <c r="J141" s="1"/>
    </row>
    <row r="142" spans="1:10" s="9" customFormat="1" ht="13.9" customHeight="1" x14ac:dyDescent="0.25">
      <c r="A142" s="27">
        <v>44500</v>
      </c>
      <c r="B142" s="9" t="s">
        <v>18</v>
      </c>
      <c r="C142" s="35" t="s">
        <v>196</v>
      </c>
      <c r="D142" s="17">
        <v>63680.78</v>
      </c>
      <c r="E142" s="5"/>
      <c r="F142" s="17"/>
      <c r="G142" s="38"/>
      <c r="H142" s="62">
        <f t="shared" si="1"/>
        <v>63680.78</v>
      </c>
      <c r="I142" s="3"/>
      <c r="J142" s="1"/>
    </row>
    <row r="143" spans="1:10" s="9" customFormat="1" ht="13.9" customHeight="1" x14ac:dyDescent="0.25">
      <c r="A143" s="27">
        <v>44500</v>
      </c>
      <c r="B143" s="9" t="s">
        <v>18</v>
      </c>
      <c r="C143" s="35" t="s">
        <v>144</v>
      </c>
      <c r="D143" s="17">
        <v>1302.08</v>
      </c>
      <c r="E143" s="5"/>
      <c r="F143" s="17"/>
      <c r="G143" s="38"/>
      <c r="H143" s="62">
        <f t="shared" si="1"/>
        <v>1302.08</v>
      </c>
      <c r="I143" s="3"/>
      <c r="J143" s="1"/>
    </row>
    <row r="144" spans="1:10" s="9" customFormat="1" ht="13.9" customHeight="1" x14ac:dyDescent="0.25">
      <c r="A144" s="27">
        <v>44500</v>
      </c>
      <c r="B144" s="9" t="s">
        <v>18</v>
      </c>
      <c r="C144" s="35" t="s">
        <v>193</v>
      </c>
      <c r="D144" s="17">
        <v>-20970.68</v>
      </c>
      <c r="E144" s="79">
        <v>20970.68</v>
      </c>
      <c r="F144" s="17"/>
      <c r="G144" s="38"/>
      <c r="H144" s="62">
        <f t="shared" si="1"/>
        <v>-20970.68</v>
      </c>
      <c r="I144" s="3"/>
      <c r="J144" s="1"/>
    </row>
    <row r="145" spans="1:10" s="9" customFormat="1" ht="13.9" customHeight="1" x14ac:dyDescent="0.25">
      <c r="A145" s="27">
        <v>44500</v>
      </c>
      <c r="B145" s="9" t="s">
        <v>18</v>
      </c>
      <c r="C145" s="35" t="s">
        <v>194</v>
      </c>
      <c r="D145" s="17">
        <v>-132112.59</v>
      </c>
      <c r="E145" s="56">
        <v>132112.59</v>
      </c>
      <c r="F145" s="17"/>
      <c r="G145" s="38"/>
      <c r="H145" s="62">
        <f t="shared" si="1"/>
        <v>-132112.59</v>
      </c>
      <c r="I145" s="3"/>
      <c r="J145" s="1"/>
    </row>
    <row r="146" spans="1:10" s="9" customFormat="1" ht="13.9" customHeight="1" x14ac:dyDescent="0.25">
      <c r="A146" s="27">
        <v>44500</v>
      </c>
      <c r="B146" s="9" t="s">
        <v>18</v>
      </c>
      <c r="C146" s="35" t="s">
        <v>195</v>
      </c>
      <c r="D146" s="17">
        <v>-35621.22</v>
      </c>
      <c r="E146" s="54">
        <v>35621.22</v>
      </c>
      <c r="F146" s="17"/>
      <c r="G146" s="38"/>
      <c r="H146" s="62">
        <f t="shared" si="1"/>
        <v>-35621.22</v>
      </c>
      <c r="I146" s="3"/>
      <c r="J146" s="1"/>
    </row>
    <row r="147" spans="1:10" s="9" customFormat="1" ht="13.9" customHeight="1" x14ac:dyDescent="0.25">
      <c r="A147" s="44">
        <v>44500</v>
      </c>
      <c r="B147" s="24" t="s">
        <v>18</v>
      </c>
      <c r="C147" s="26" t="s">
        <v>41</v>
      </c>
      <c r="D147" s="33">
        <v>-2750.02</v>
      </c>
      <c r="E147" s="5"/>
      <c r="F147" s="17"/>
      <c r="G147" s="38"/>
      <c r="H147" s="62">
        <f t="shared" si="1"/>
        <v>-2750.02</v>
      </c>
      <c r="I147" s="3"/>
      <c r="J147" s="1"/>
    </row>
    <row r="148" spans="1:10" s="9" customFormat="1" ht="13.9" customHeight="1" x14ac:dyDescent="0.25">
      <c r="A148" s="44">
        <v>44500</v>
      </c>
      <c r="B148" s="24" t="s">
        <v>18</v>
      </c>
      <c r="C148" s="26" t="s">
        <v>42</v>
      </c>
      <c r="D148" s="33">
        <v>24000</v>
      </c>
      <c r="E148" s="5"/>
      <c r="F148" s="17"/>
      <c r="G148" s="38"/>
      <c r="H148" s="62">
        <f t="shared" si="1"/>
        <v>24000</v>
      </c>
      <c r="I148" s="3"/>
      <c r="J148" s="1"/>
    </row>
    <row r="149" spans="1:10" s="9" customFormat="1" ht="13.9" customHeight="1" x14ac:dyDescent="0.25">
      <c r="A149" s="44">
        <v>44500</v>
      </c>
      <c r="B149" s="24" t="s">
        <v>18</v>
      </c>
      <c r="C149" s="26" t="s">
        <v>43</v>
      </c>
      <c r="D149" s="33">
        <v>-4476.42</v>
      </c>
      <c r="E149" s="5"/>
      <c r="F149" s="17"/>
      <c r="G149" s="38"/>
      <c r="H149" s="62">
        <f t="shared" si="1"/>
        <v>-4476.42</v>
      </c>
      <c r="I149" s="3"/>
      <c r="J149" s="1"/>
    </row>
    <row r="150" spans="1:10" s="9" customFormat="1" x14ac:dyDescent="0.25">
      <c r="A150" s="63"/>
      <c r="B150" s="46"/>
      <c r="C150" s="64"/>
      <c r="D150" s="22"/>
      <c r="E150" s="21"/>
      <c r="F150" s="22"/>
      <c r="G150" s="21"/>
      <c r="H150" s="62">
        <f t="shared" si="1"/>
        <v>0</v>
      </c>
      <c r="J150" s="1"/>
    </row>
    <row r="151" spans="1:10" x14ac:dyDescent="0.25">
      <c r="B151" s="9"/>
      <c r="C151" s="9"/>
      <c r="D151" s="45">
        <f>SUM(D8:D150)</f>
        <v>-1607974.41</v>
      </c>
      <c r="E151" s="45">
        <f>SUM(E8:E150)</f>
        <v>197614.59</v>
      </c>
      <c r="F151" s="45">
        <f>SUM(F8:F150)</f>
        <v>0</v>
      </c>
      <c r="G151" s="45">
        <f>SUM(G6:G150)</f>
        <v>-1229760.0000000005</v>
      </c>
      <c r="H151" s="45">
        <f>SUM(H6:H150)</f>
        <v>-163523.18</v>
      </c>
      <c r="J151" s="1"/>
    </row>
    <row r="152" spans="1:10" x14ac:dyDescent="0.25">
      <c r="B152" s="9"/>
      <c r="C152" s="9"/>
      <c r="D152" s="2"/>
      <c r="E152" s="2"/>
      <c r="F152" s="2"/>
      <c r="G152" s="1">
        <f>G151*-1</f>
        <v>1229760.0000000005</v>
      </c>
      <c r="H152" s="2"/>
    </row>
    <row r="153" spans="1:10" ht="45" x14ac:dyDescent="0.25">
      <c r="B153" s="9"/>
      <c r="C153" s="9" t="s">
        <v>6</v>
      </c>
      <c r="D153" s="11"/>
      <c r="E153" s="68">
        <v>197614.59</v>
      </c>
      <c r="F153" s="8">
        <v>0</v>
      </c>
      <c r="G153" s="9"/>
      <c r="H153" s="8">
        <v>-163523.18</v>
      </c>
      <c r="I153" s="85" t="s">
        <v>174</v>
      </c>
      <c r="J153" s="1" t="s">
        <v>120</v>
      </c>
    </row>
    <row r="154" spans="1:10" x14ac:dyDescent="0.25">
      <c r="B154" s="9"/>
      <c r="C154" s="9" t="s">
        <v>28</v>
      </c>
      <c r="D154" s="10"/>
      <c r="E154" s="10">
        <f>E151-E153</f>
        <v>0</v>
      </c>
      <c r="F154" s="10">
        <f>F151-F153</f>
        <v>0</v>
      </c>
      <c r="G154" s="10"/>
      <c r="H154" s="10">
        <f>H151-H153</f>
        <v>0</v>
      </c>
      <c r="J154" s="1"/>
    </row>
    <row r="155" spans="1:10" x14ac:dyDescent="0.25">
      <c r="B155" s="9"/>
      <c r="C155" s="9"/>
      <c r="D155" s="9"/>
      <c r="E155" s="9"/>
      <c r="F155" s="4"/>
      <c r="G155" s="20"/>
      <c r="H155" s="1"/>
    </row>
    <row r="156" spans="1:10" x14ac:dyDescent="0.25">
      <c r="B156" s="9"/>
      <c r="C156" s="106" t="s">
        <v>30</v>
      </c>
      <c r="D156" s="107"/>
      <c r="E156" s="10"/>
      <c r="F156" s="12"/>
      <c r="G156" s="100">
        <v>731830.41</v>
      </c>
      <c r="H156" s="19" t="s">
        <v>199</v>
      </c>
      <c r="J156" s="1"/>
    </row>
    <row r="157" spans="1:10" x14ac:dyDescent="0.25">
      <c r="B157" s="9"/>
      <c r="C157" s="28" t="s">
        <v>150</v>
      </c>
      <c r="D157" s="61">
        <f>F78</f>
        <v>0</v>
      </c>
      <c r="E157" s="9"/>
      <c r="F157" s="100"/>
      <c r="G157" s="101">
        <f>G152-G156</f>
        <v>497929.59000000043</v>
      </c>
      <c r="H157" s="19" t="s">
        <v>198</v>
      </c>
      <c r="J157" s="1"/>
    </row>
    <row r="158" spans="1:10" x14ac:dyDescent="0.25">
      <c r="B158" s="9"/>
      <c r="C158" s="29" t="s">
        <v>27</v>
      </c>
      <c r="D158" s="42">
        <f>+E146+E138</f>
        <v>35621.22</v>
      </c>
      <c r="E158" s="9"/>
      <c r="F158" s="100"/>
      <c r="G158" s="100"/>
      <c r="H158" s="19"/>
      <c r="J158" s="1"/>
    </row>
    <row r="159" spans="1:10" x14ac:dyDescent="0.25">
      <c r="B159" s="9"/>
      <c r="C159" s="29" t="s">
        <v>33</v>
      </c>
      <c r="D159" s="55">
        <f>+E145+E137</f>
        <v>132112.59</v>
      </c>
      <c r="E159" s="59"/>
      <c r="F159" s="100"/>
      <c r="G159" s="100" t="s">
        <v>25</v>
      </c>
      <c r="H159" s="19"/>
      <c r="J159" s="1"/>
    </row>
    <row r="160" spans="1:10" ht="15.75" thickBot="1" x14ac:dyDescent="0.3">
      <c r="C160" s="30" t="s">
        <v>38</v>
      </c>
      <c r="D160" s="80">
        <f>+E136+E144</f>
        <v>29880.78</v>
      </c>
      <c r="F160" s="100"/>
      <c r="G160" s="100"/>
      <c r="H160" s="43"/>
      <c r="J160" s="1"/>
    </row>
    <row r="161" spans="3:8" x14ac:dyDescent="0.25">
      <c r="C161" s="31"/>
      <c r="D161" s="32">
        <f>SUM(D157:D160)</f>
        <v>197614.59</v>
      </c>
      <c r="F161" s="12"/>
      <c r="G161" s="100"/>
      <c r="H161" s="43"/>
    </row>
    <row r="162" spans="3:8" x14ac:dyDescent="0.25">
      <c r="C162" s="18"/>
      <c r="D162" s="19"/>
      <c r="F162" s="12"/>
      <c r="G162" s="100"/>
      <c r="H162" s="43"/>
    </row>
    <row r="163" spans="3:8" x14ac:dyDescent="0.25">
      <c r="C163" s="92" t="s">
        <v>165</v>
      </c>
      <c r="D163" s="19">
        <f>(E153+F153)-D161</f>
        <v>0</v>
      </c>
      <c r="F163" s="18"/>
      <c r="G163" s="100"/>
      <c r="H163" s="43"/>
    </row>
    <row r="164" spans="3:8" x14ac:dyDescent="0.25">
      <c r="C164" s="18"/>
      <c r="D164" s="19"/>
      <c r="F164" s="18"/>
      <c r="G164" s="100"/>
      <c r="H164" s="43"/>
    </row>
    <row r="165" spans="3:8" x14ac:dyDescent="0.25">
      <c r="F165" s="18"/>
      <c r="G165" s="100"/>
      <c r="H165" s="43"/>
    </row>
    <row r="166" spans="3:8" x14ac:dyDescent="0.25">
      <c r="F166" s="18"/>
      <c r="G166" s="100"/>
      <c r="H166" s="43"/>
    </row>
    <row r="167" spans="3:8" x14ac:dyDescent="0.25">
      <c r="F167" s="18"/>
      <c r="G167" s="100"/>
      <c r="H167" s="43"/>
    </row>
    <row r="168" spans="3:8" x14ac:dyDescent="0.25">
      <c r="F168" s="18"/>
      <c r="G168" s="100"/>
      <c r="H168" s="43"/>
    </row>
    <row r="169" spans="3:8" x14ac:dyDescent="0.25">
      <c r="F169" s="18"/>
      <c r="G169" s="18"/>
      <c r="H169" s="18"/>
    </row>
  </sheetData>
  <autoFilter ref="A5:K161">
    <filterColumn colId="0" showButton="0"/>
  </autoFilter>
  <mergeCells count="4">
    <mergeCell ref="A5:B5"/>
    <mergeCell ref="A6:B6"/>
    <mergeCell ref="A7:B7"/>
    <mergeCell ref="C156:D156"/>
  </mergeCells>
  <pageMargins left="0.7" right="0.7" top="0.5" bottom="0.5" header="0.3" footer="0.3"/>
  <pageSetup scale="43" fitToHeight="0" orientation="portrait" r:id="rId1"/>
  <headerFooter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2"/>
  <sheetViews>
    <sheetView topLeftCell="E1" zoomScale="90" zoomScaleNormal="90" workbookViewId="0">
      <pane ySplit="5" topLeftCell="A128" activePane="bottomLeft" state="frozen"/>
      <selection activeCell="C1" sqref="C1"/>
      <selection pane="bottomLeft" activeCell="F152" sqref="F152"/>
    </sheetView>
  </sheetViews>
  <sheetFormatPr defaultColWidth="9.140625" defaultRowHeight="15" x14ac:dyDescent="0.25"/>
  <cols>
    <col min="1" max="1" width="13.85546875" style="7" customWidth="1"/>
    <col min="2" max="2" width="8.7109375" style="7" customWidth="1"/>
    <col min="3" max="3" width="57" style="7" customWidth="1"/>
    <col min="4" max="4" width="16.28515625" style="7" customWidth="1"/>
    <col min="5" max="5" width="17.7109375" style="7" customWidth="1"/>
    <col min="6" max="6" width="17.28515625" style="7" customWidth="1"/>
    <col min="7" max="7" width="21.7109375" style="7" bestFit="1" customWidth="1"/>
    <col min="8" max="8" width="15.7109375" style="7" customWidth="1"/>
    <col min="9" max="9" width="16.42578125" style="7" customWidth="1"/>
    <col min="10" max="10" width="43.140625" style="7" customWidth="1"/>
    <col min="11" max="11" width="26" style="7" customWidth="1"/>
    <col min="12" max="16384" width="9.140625" style="7"/>
  </cols>
  <sheetData>
    <row r="1" spans="1:10" ht="21" x14ac:dyDescent="0.35">
      <c r="A1" s="58" t="s">
        <v>22</v>
      </c>
    </row>
    <row r="2" spans="1:10" ht="21" x14ac:dyDescent="0.35">
      <c r="A2" s="60" t="s">
        <v>14</v>
      </c>
      <c r="E2" s="14"/>
      <c r="F2" s="14"/>
    </row>
    <row r="3" spans="1:10" ht="21" x14ac:dyDescent="0.35">
      <c r="A3" s="58" t="s">
        <v>12</v>
      </c>
      <c r="B3" s="9"/>
      <c r="D3" s="1"/>
      <c r="E3" s="9"/>
      <c r="F3" s="9"/>
      <c r="G3" s="9"/>
      <c r="H3" s="9"/>
    </row>
    <row r="4" spans="1:10" ht="30.6" customHeight="1" x14ac:dyDescent="0.25">
      <c r="A4" s="50"/>
      <c r="B4" s="18"/>
      <c r="C4" s="51"/>
      <c r="D4" s="47" t="s">
        <v>1</v>
      </c>
      <c r="E4" s="57" t="s">
        <v>32</v>
      </c>
      <c r="F4" s="57" t="s">
        <v>31</v>
      </c>
      <c r="G4" s="52" t="s">
        <v>36</v>
      </c>
      <c r="H4" s="47" t="s">
        <v>2</v>
      </c>
    </row>
    <row r="5" spans="1:10" ht="15.75" thickBot="1" x14ac:dyDescent="0.3">
      <c r="A5" s="104" t="s">
        <v>29</v>
      </c>
      <c r="B5" s="104"/>
      <c r="C5" s="49" t="s">
        <v>3</v>
      </c>
      <c r="D5" s="48" t="s">
        <v>4</v>
      </c>
      <c r="E5" s="48" t="s">
        <v>5</v>
      </c>
      <c r="F5" s="48" t="s">
        <v>5</v>
      </c>
      <c r="G5" s="53" t="s">
        <v>172</v>
      </c>
      <c r="H5" s="48" t="s">
        <v>4</v>
      </c>
    </row>
    <row r="6" spans="1:10" x14ac:dyDescent="0.25">
      <c r="A6" s="105" t="s">
        <v>15</v>
      </c>
      <c r="B6" s="105"/>
      <c r="C6" s="23" t="s">
        <v>145</v>
      </c>
      <c r="D6" s="17">
        <f>1148.11+7643.37+1151.59+7639.89+1155.09+7636.39+1158.59+7632.89+1162.1+7629.38+1165.63+7625.85+1169.16+7622.32+1172.71+7618.77+1176.26+7615.22</f>
        <v>79123.319999999992</v>
      </c>
      <c r="E6" s="47"/>
      <c r="F6" s="34"/>
      <c r="G6" s="74">
        <v>26374.44</v>
      </c>
      <c r="H6" s="12">
        <f>D6-G6</f>
        <v>52748.87999999999</v>
      </c>
      <c r="I6" s="6"/>
    </row>
    <row r="7" spans="1:10" hidden="1" x14ac:dyDescent="0.25">
      <c r="A7" s="105" t="s">
        <v>15</v>
      </c>
      <c r="B7" s="105"/>
      <c r="C7" s="23" t="s">
        <v>78</v>
      </c>
      <c r="D7" s="17">
        <f>11199.33+11199.33+11199.33+11199.33+11199.33+11199.33+11199.33+11199.33+11199.33+1906.78+6492.72+1141.18+7650.3+1144.64+7646.84</f>
        <v>126776.43</v>
      </c>
      <c r="E7" s="47"/>
      <c r="F7" s="34"/>
      <c r="G7" s="74">
        <f>55996.65+61988.3+8791.48</f>
        <v>126776.43000000001</v>
      </c>
      <c r="H7" s="12">
        <f>D7-G7</f>
        <v>0</v>
      </c>
      <c r="I7" s="6"/>
    </row>
    <row r="8" spans="1:10" s="9" customFormat="1" ht="13.9" hidden="1" customHeight="1" x14ac:dyDescent="0.25">
      <c r="A8" s="27">
        <v>43982</v>
      </c>
      <c r="B8" s="9" t="s">
        <v>10</v>
      </c>
      <c r="C8" s="35" t="s">
        <v>101</v>
      </c>
      <c r="D8" s="17">
        <f>6657.07-246.45</f>
        <v>6410.62</v>
      </c>
      <c r="E8" s="5"/>
      <c r="F8" s="17">
        <f>-6657.07+246.45+6410.62</f>
        <v>0</v>
      </c>
      <c r="G8" s="11">
        <f>6657.07-246.45</f>
        <v>6410.62</v>
      </c>
      <c r="H8" s="62">
        <f t="shared" ref="H8:H127" si="0">D8-G8</f>
        <v>0</v>
      </c>
      <c r="I8" s="3"/>
      <c r="J8" s="1"/>
    </row>
    <row r="9" spans="1:10" s="9" customFormat="1" ht="13.9" hidden="1" customHeight="1" x14ac:dyDescent="0.25">
      <c r="A9" s="27">
        <v>43982</v>
      </c>
      <c r="B9" s="9" t="s">
        <v>10</v>
      </c>
      <c r="C9" s="35" t="s">
        <v>102</v>
      </c>
      <c r="D9" s="17">
        <f>-39806.95+23.74</f>
        <v>-39783.21</v>
      </c>
      <c r="E9" s="5">
        <f>39806.95-23.74-39783.21</f>
        <v>0</v>
      </c>
      <c r="F9" s="17"/>
      <c r="G9" s="11">
        <f>-39806.95+23.74</f>
        <v>-39783.21</v>
      </c>
      <c r="H9" s="62">
        <f t="shared" si="0"/>
        <v>0</v>
      </c>
      <c r="I9" s="3"/>
      <c r="J9" s="1"/>
    </row>
    <row r="10" spans="1:10" s="9" customFormat="1" ht="13.9" hidden="1" customHeight="1" x14ac:dyDescent="0.25">
      <c r="A10" s="27">
        <v>43982</v>
      </c>
      <c r="B10" s="9" t="s">
        <v>10</v>
      </c>
      <c r="C10" s="35" t="s">
        <v>103</v>
      </c>
      <c r="D10" s="17">
        <f>-27747.51-275.24</f>
        <v>-28022.75</v>
      </c>
      <c r="E10" s="5">
        <f>27747.51+275.24-28022.75</f>
        <v>0</v>
      </c>
      <c r="F10" s="17"/>
      <c r="G10" s="11">
        <f>-27747.51-275.24</f>
        <v>-28022.75</v>
      </c>
      <c r="H10" s="62">
        <f t="shared" si="0"/>
        <v>0</v>
      </c>
      <c r="I10" s="3"/>
      <c r="J10" s="1"/>
    </row>
    <row r="11" spans="1:10" s="9" customFormat="1" ht="13.9" hidden="1" customHeight="1" x14ac:dyDescent="0.25">
      <c r="A11" s="27">
        <v>43982</v>
      </c>
      <c r="B11" s="9" t="s">
        <v>10</v>
      </c>
      <c r="C11" s="35" t="s">
        <v>34</v>
      </c>
      <c r="D11" s="17">
        <f>-25900.51-29.59</f>
        <v>-25930.1</v>
      </c>
      <c r="E11" s="5"/>
      <c r="F11" s="17"/>
      <c r="G11" s="11">
        <f>-25900.51-29.59</f>
        <v>-25930.1</v>
      </c>
      <c r="H11" s="62">
        <f t="shared" si="0"/>
        <v>0</v>
      </c>
      <c r="I11" s="3"/>
      <c r="J11" s="1"/>
    </row>
    <row r="12" spans="1:10" s="9" customFormat="1" ht="13.9" hidden="1" customHeight="1" x14ac:dyDescent="0.25">
      <c r="A12" s="27">
        <v>43982</v>
      </c>
      <c r="B12" s="9" t="s">
        <v>10</v>
      </c>
      <c r="C12" s="35" t="s">
        <v>35</v>
      </c>
      <c r="D12" s="17">
        <f>-33642.7+9266.09</f>
        <v>-24376.609999999997</v>
      </c>
      <c r="E12" s="5"/>
      <c r="F12" s="17"/>
      <c r="G12" s="11">
        <f>-33642.7+9266.09</f>
        <v>-24376.609999999997</v>
      </c>
      <c r="H12" s="62">
        <f t="shared" si="0"/>
        <v>0</v>
      </c>
      <c r="I12" s="3"/>
      <c r="J12" s="1"/>
    </row>
    <row r="13" spans="1:10" s="9" customFormat="1" ht="13.9" hidden="1" customHeight="1" x14ac:dyDescent="0.25">
      <c r="A13" s="27">
        <v>44012</v>
      </c>
      <c r="B13" s="9" t="s">
        <v>10</v>
      </c>
      <c r="C13" s="35" t="s">
        <v>105</v>
      </c>
      <c r="D13" s="17">
        <f>-6884.15+353.43</f>
        <v>-6530.7199999999993</v>
      </c>
      <c r="E13" s="5">
        <f>6884.15-353.43-6530.72</f>
        <v>0</v>
      </c>
      <c r="F13" s="17"/>
      <c r="G13" s="11">
        <v>-6530.7199999999993</v>
      </c>
      <c r="H13" s="62">
        <f t="shared" si="0"/>
        <v>0</v>
      </c>
      <c r="I13" s="3"/>
      <c r="J13" s="1"/>
    </row>
    <row r="14" spans="1:10" s="9" customFormat="1" ht="13.9" hidden="1" customHeight="1" x14ac:dyDescent="0.25">
      <c r="A14" s="27">
        <v>44012</v>
      </c>
      <c r="B14" s="9" t="s">
        <v>10</v>
      </c>
      <c r="C14" s="35" t="s">
        <v>106</v>
      </c>
      <c r="D14" s="17">
        <f>-30007.16+38.79</f>
        <v>-29968.37</v>
      </c>
      <c r="E14" s="5">
        <f>30007.16-38.79-29968.37</f>
        <v>0</v>
      </c>
      <c r="F14" s="17"/>
      <c r="G14" s="11">
        <v>-29968.37</v>
      </c>
      <c r="H14" s="62">
        <f t="shared" si="0"/>
        <v>0</v>
      </c>
      <c r="I14" s="3"/>
      <c r="J14" s="1"/>
    </row>
    <row r="15" spans="1:10" s="9" customFormat="1" ht="13.9" hidden="1" customHeight="1" x14ac:dyDescent="0.25">
      <c r="A15" s="27">
        <v>44012</v>
      </c>
      <c r="B15" s="9" t="s">
        <v>10</v>
      </c>
      <c r="C15" s="35" t="s">
        <v>107</v>
      </c>
      <c r="D15" s="17">
        <f>-45333.66-2312.7</f>
        <v>-47646.36</v>
      </c>
      <c r="E15" s="5">
        <f>45333.66+2312.7-47646.36</f>
        <v>0</v>
      </c>
      <c r="F15" s="17"/>
      <c r="G15" s="11">
        <v>-47646.36</v>
      </c>
      <c r="H15" s="62">
        <f t="shared" si="0"/>
        <v>0</v>
      </c>
      <c r="I15" s="3"/>
      <c r="J15" s="1"/>
    </row>
    <row r="16" spans="1:10" s="9" customFormat="1" ht="13.9" hidden="1" customHeight="1" x14ac:dyDescent="0.25">
      <c r="A16" s="27">
        <v>44012</v>
      </c>
      <c r="B16" s="9" t="s">
        <v>10</v>
      </c>
      <c r="C16" s="35" t="s">
        <v>104</v>
      </c>
      <c r="D16" s="17">
        <v>24376.61</v>
      </c>
      <c r="E16" s="5"/>
      <c r="F16" s="17"/>
      <c r="G16" s="11">
        <v>24376.61</v>
      </c>
      <c r="H16" s="62">
        <f t="shared" si="0"/>
        <v>0</v>
      </c>
      <c r="I16" s="3"/>
      <c r="J16" s="1"/>
    </row>
    <row r="17" spans="1:10" s="9" customFormat="1" ht="13.9" hidden="1" customHeight="1" x14ac:dyDescent="0.25">
      <c r="A17" s="27">
        <v>44012</v>
      </c>
      <c r="B17" s="9" t="s">
        <v>10</v>
      </c>
      <c r="C17" s="35" t="s">
        <v>39</v>
      </c>
      <c r="D17" s="17">
        <v>-2833.36</v>
      </c>
      <c r="E17" s="5"/>
      <c r="F17" s="17"/>
      <c r="G17" s="11">
        <v>-2833.36</v>
      </c>
      <c r="H17" s="62">
        <f t="shared" si="0"/>
        <v>0</v>
      </c>
      <c r="I17" s="3"/>
      <c r="J17" s="1"/>
    </row>
    <row r="18" spans="1:10" s="9" customFormat="1" ht="13.9" hidden="1" customHeight="1" x14ac:dyDescent="0.25">
      <c r="A18" s="27">
        <v>44012</v>
      </c>
      <c r="B18" s="9" t="s">
        <v>10</v>
      </c>
      <c r="C18" s="35" t="s">
        <v>34</v>
      </c>
      <c r="D18" s="17">
        <f>382.03-0.01</f>
        <v>382.02</v>
      </c>
      <c r="E18" s="5"/>
      <c r="F18" s="17"/>
      <c r="G18" s="11">
        <v>382.02</v>
      </c>
      <c r="H18" s="62">
        <f t="shared" si="0"/>
        <v>0</v>
      </c>
      <c r="I18" s="3"/>
      <c r="J18" s="1"/>
    </row>
    <row r="19" spans="1:10" s="9" customFormat="1" ht="13.9" hidden="1" customHeight="1" x14ac:dyDescent="0.25">
      <c r="A19" s="27">
        <v>44012</v>
      </c>
      <c r="B19" s="9" t="s">
        <v>10</v>
      </c>
      <c r="C19" s="35" t="s">
        <v>35</v>
      </c>
      <c r="D19" s="17">
        <v>-33642.699999999997</v>
      </c>
      <c r="E19" s="5"/>
      <c r="F19" s="17"/>
      <c r="G19" s="11">
        <v>-33642.699999999997</v>
      </c>
      <c r="H19" s="62">
        <f t="shared" si="0"/>
        <v>0</v>
      </c>
      <c r="I19" s="3"/>
      <c r="J19" s="1"/>
    </row>
    <row r="20" spans="1:10" s="9" customFormat="1" ht="13.9" hidden="1" customHeight="1" x14ac:dyDescent="0.25">
      <c r="A20" s="27">
        <v>44043</v>
      </c>
      <c r="B20" s="9" t="s">
        <v>13</v>
      </c>
      <c r="C20" s="35" t="s">
        <v>108</v>
      </c>
      <c r="D20" s="17">
        <f>-83244.29-875.23</f>
        <v>-84119.51999999999</v>
      </c>
      <c r="E20" s="5">
        <f>83244.29+875.23-84119.52</f>
        <v>0</v>
      </c>
      <c r="F20" s="17"/>
      <c r="G20" s="11">
        <v>-84119.51999999999</v>
      </c>
      <c r="H20" s="62">
        <f t="shared" si="0"/>
        <v>0</v>
      </c>
      <c r="I20" s="3"/>
      <c r="J20" s="1"/>
    </row>
    <row r="21" spans="1:10" s="9" customFormat="1" ht="13.9" hidden="1" customHeight="1" x14ac:dyDescent="0.25">
      <c r="A21" s="27">
        <v>44043</v>
      </c>
      <c r="B21" s="9" t="s">
        <v>13</v>
      </c>
      <c r="C21" s="35" t="s">
        <v>109</v>
      </c>
      <c r="D21" s="17">
        <f>-25846.06-271.75</f>
        <v>-26117.81</v>
      </c>
      <c r="E21" s="5">
        <f>25846.06+271.75-26117.81</f>
        <v>0</v>
      </c>
      <c r="F21" s="17"/>
      <c r="G21" s="11">
        <v>-26117.81</v>
      </c>
      <c r="H21" s="62">
        <f t="shared" si="0"/>
        <v>0</v>
      </c>
      <c r="I21" s="3"/>
      <c r="J21" s="1"/>
    </row>
    <row r="22" spans="1:10" s="9" customFormat="1" ht="13.9" hidden="1" customHeight="1" x14ac:dyDescent="0.25">
      <c r="A22" s="27">
        <v>44043</v>
      </c>
      <c r="B22" s="9" t="s">
        <v>13</v>
      </c>
      <c r="C22" s="35" t="s">
        <v>110</v>
      </c>
      <c r="D22" s="17">
        <f>4826.49+671.36</f>
        <v>5497.8499999999995</v>
      </c>
      <c r="E22" s="5"/>
      <c r="F22" s="17">
        <f>-4826.49-671.36+5497.85</f>
        <v>0</v>
      </c>
      <c r="G22" s="11">
        <v>5497.8499999999995</v>
      </c>
      <c r="H22" s="62">
        <f t="shared" si="0"/>
        <v>0</v>
      </c>
      <c r="I22" s="3"/>
      <c r="J22" s="1"/>
    </row>
    <row r="23" spans="1:10" s="9" customFormat="1" ht="13.9" hidden="1" customHeight="1" x14ac:dyDescent="0.25">
      <c r="A23" s="27">
        <v>44043</v>
      </c>
      <c r="B23" s="9" t="s">
        <v>13</v>
      </c>
      <c r="C23" s="35" t="s">
        <v>37</v>
      </c>
      <c r="D23" s="17">
        <v>0</v>
      </c>
      <c r="E23" s="5"/>
      <c r="F23" s="17"/>
      <c r="G23" s="11">
        <v>0</v>
      </c>
      <c r="H23" s="62">
        <f t="shared" si="0"/>
        <v>0</v>
      </c>
      <c r="I23" s="3"/>
      <c r="J23" s="1"/>
    </row>
    <row r="24" spans="1:10" s="9" customFormat="1" ht="13.9" hidden="1" customHeight="1" x14ac:dyDescent="0.25">
      <c r="A24" s="27">
        <v>44043</v>
      </c>
      <c r="B24" s="9" t="s">
        <v>13</v>
      </c>
      <c r="C24" s="35" t="s">
        <v>111</v>
      </c>
      <c r="D24" s="17">
        <v>33642.699999999997</v>
      </c>
      <c r="E24" s="5"/>
      <c r="F24" s="17"/>
      <c r="G24" s="11">
        <v>33642.699999999997</v>
      </c>
      <c r="H24" s="62">
        <f t="shared" si="0"/>
        <v>0</v>
      </c>
      <c r="I24" s="3"/>
      <c r="J24" s="1"/>
    </row>
    <row r="25" spans="1:10" s="9" customFormat="1" ht="13.9" hidden="1" customHeight="1" x14ac:dyDescent="0.25">
      <c r="A25" s="27">
        <v>44043</v>
      </c>
      <c r="B25" s="9" t="s">
        <v>13</v>
      </c>
      <c r="C25" s="35" t="s">
        <v>39</v>
      </c>
      <c r="D25" s="17">
        <f>-2041.69+3208.37</f>
        <v>1166.6799999999998</v>
      </c>
      <c r="E25" s="5"/>
      <c r="F25" s="17"/>
      <c r="G25" s="11">
        <v>1166.6799999999998</v>
      </c>
      <c r="H25" s="62">
        <f t="shared" si="0"/>
        <v>0</v>
      </c>
      <c r="I25" s="3"/>
      <c r="J25" s="1"/>
    </row>
    <row r="26" spans="1:10" s="9" customFormat="1" ht="13.9" hidden="1" customHeight="1" x14ac:dyDescent="0.25">
      <c r="A26" s="27">
        <v>44043</v>
      </c>
      <c r="B26" s="9" t="s">
        <v>13</v>
      </c>
      <c r="C26" s="35" t="s">
        <v>34</v>
      </c>
      <c r="D26" s="17">
        <f>33893.09+757.05</f>
        <v>34650.14</v>
      </c>
      <c r="E26" s="5"/>
      <c r="F26" s="17"/>
      <c r="G26" s="11">
        <v>34650.14</v>
      </c>
      <c r="H26" s="62">
        <f t="shared" si="0"/>
        <v>0</v>
      </c>
      <c r="I26" s="3"/>
      <c r="J26" s="1"/>
    </row>
    <row r="27" spans="1:10" s="9" customFormat="1" ht="13.9" hidden="1" customHeight="1" x14ac:dyDescent="0.25">
      <c r="A27" s="27">
        <v>44043</v>
      </c>
      <c r="B27" s="9" t="s">
        <v>13</v>
      </c>
      <c r="C27" s="35" t="s">
        <v>35</v>
      </c>
      <c r="D27" s="17">
        <v>-40947.879999999997</v>
      </c>
      <c r="E27" s="5"/>
      <c r="F27" s="17"/>
      <c r="G27" s="11">
        <v>-40947.879999999997</v>
      </c>
      <c r="H27" s="62">
        <f t="shared" si="0"/>
        <v>0</v>
      </c>
      <c r="I27" s="3"/>
      <c r="J27" s="1"/>
    </row>
    <row r="28" spans="1:10" s="9" customFormat="1" ht="13.9" hidden="1" customHeight="1" x14ac:dyDescent="0.25">
      <c r="A28" s="27">
        <v>44074</v>
      </c>
      <c r="B28" s="18" t="s">
        <v>13</v>
      </c>
      <c r="C28" s="65" t="s">
        <v>112</v>
      </c>
      <c r="D28" s="17">
        <f>-108715.97+13701.77</f>
        <v>-95014.2</v>
      </c>
      <c r="E28" s="5">
        <f>108715.97-13701.77-95014.2</f>
        <v>0</v>
      </c>
      <c r="F28" s="17"/>
      <c r="G28" s="11">
        <v>-95014.2</v>
      </c>
      <c r="H28" s="62">
        <f t="shared" si="0"/>
        <v>0</v>
      </c>
      <c r="I28" s="3"/>
      <c r="J28" s="1"/>
    </row>
    <row r="29" spans="1:10" s="9" customFormat="1" ht="13.9" hidden="1" customHeight="1" x14ac:dyDescent="0.25">
      <c r="A29" s="27">
        <v>44074</v>
      </c>
      <c r="B29" s="18" t="s">
        <v>13</v>
      </c>
      <c r="C29" s="65" t="s">
        <v>113</v>
      </c>
      <c r="D29" s="17">
        <f>-52697.04+39912.35</f>
        <v>-12784.690000000002</v>
      </c>
      <c r="E29" s="5">
        <f>52697.04-39912.35-12784.69</f>
        <v>0</v>
      </c>
      <c r="F29" s="17"/>
      <c r="G29" s="11">
        <v>-12784.690000000002</v>
      </c>
      <c r="H29" s="62">
        <f t="shared" si="0"/>
        <v>0</v>
      </c>
      <c r="I29" s="3"/>
      <c r="J29" s="1"/>
    </row>
    <row r="30" spans="1:10" s="9" customFormat="1" ht="13.9" hidden="1" customHeight="1" x14ac:dyDescent="0.25">
      <c r="A30" s="27">
        <v>44074</v>
      </c>
      <c r="B30" s="18" t="s">
        <v>13</v>
      </c>
      <c r="C30" s="65" t="s">
        <v>114</v>
      </c>
      <c r="D30" s="17">
        <f>4362.1-1.63</f>
        <v>4360.47</v>
      </c>
      <c r="E30" s="5"/>
      <c r="F30" s="17">
        <f>-4362.1+1.63+4360.47</f>
        <v>0</v>
      </c>
      <c r="G30" s="11">
        <v>4360.47</v>
      </c>
      <c r="H30" s="62">
        <f t="shared" si="0"/>
        <v>0</v>
      </c>
      <c r="I30" s="3"/>
      <c r="J30" s="1"/>
    </row>
    <row r="31" spans="1:10" s="9" customFormat="1" ht="13.9" hidden="1" customHeight="1" x14ac:dyDescent="0.25">
      <c r="A31" s="27">
        <v>44074</v>
      </c>
      <c r="B31" s="18" t="s">
        <v>13</v>
      </c>
      <c r="C31" s="65" t="s">
        <v>37</v>
      </c>
      <c r="D31" s="17">
        <v>0</v>
      </c>
      <c r="E31" s="5"/>
      <c r="F31" s="17"/>
      <c r="G31" s="11">
        <v>0</v>
      </c>
      <c r="H31" s="62">
        <f t="shared" si="0"/>
        <v>0</v>
      </c>
      <c r="I31" s="3"/>
      <c r="J31" s="1"/>
    </row>
    <row r="32" spans="1:10" s="9" customFormat="1" ht="13.9" hidden="1" customHeight="1" x14ac:dyDescent="0.25">
      <c r="A32" s="27">
        <v>44074</v>
      </c>
      <c r="B32" s="18" t="s">
        <v>13</v>
      </c>
      <c r="C32" s="65" t="s">
        <v>115</v>
      </c>
      <c r="D32" s="17">
        <v>40947.879999999997</v>
      </c>
      <c r="E32" s="5"/>
      <c r="F32" s="17"/>
      <c r="G32" s="11">
        <v>40947.879999999997</v>
      </c>
      <c r="H32" s="62">
        <f t="shared" si="0"/>
        <v>0</v>
      </c>
      <c r="I32" s="3"/>
      <c r="J32" s="1"/>
    </row>
    <row r="33" spans="1:10" s="9" customFormat="1" ht="13.9" hidden="1" customHeight="1" x14ac:dyDescent="0.25">
      <c r="A33" s="27">
        <v>44074</v>
      </c>
      <c r="B33" s="18" t="s">
        <v>13</v>
      </c>
      <c r="C33" s="65" t="s">
        <v>127</v>
      </c>
      <c r="D33" s="17">
        <v>-1958.35</v>
      </c>
      <c r="E33" s="5"/>
      <c r="F33" s="17"/>
      <c r="G33" s="11">
        <v>-1958.35</v>
      </c>
      <c r="H33" s="62">
        <f t="shared" si="0"/>
        <v>0</v>
      </c>
      <c r="I33" s="3"/>
      <c r="J33" s="1"/>
    </row>
    <row r="34" spans="1:10" s="9" customFormat="1" ht="13.9" hidden="1" customHeight="1" x14ac:dyDescent="0.25">
      <c r="A34" s="27">
        <v>44074</v>
      </c>
      <c r="B34" s="18" t="s">
        <v>13</v>
      </c>
      <c r="C34" s="65" t="s">
        <v>128</v>
      </c>
      <c r="D34" s="17">
        <f>-14987.39+14229.62</f>
        <v>-757.76999999999862</v>
      </c>
      <c r="E34" s="5"/>
      <c r="F34" s="17"/>
      <c r="G34" s="11">
        <v>-757.76999999999862</v>
      </c>
      <c r="H34" s="62">
        <f t="shared" si="0"/>
        <v>0</v>
      </c>
      <c r="I34" s="3"/>
      <c r="J34" s="1"/>
    </row>
    <row r="35" spans="1:10" s="9" customFormat="1" ht="13.9" hidden="1" customHeight="1" x14ac:dyDescent="0.25">
      <c r="A35" s="27">
        <v>44074</v>
      </c>
      <c r="B35" s="18" t="s">
        <v>13</v>
      </c>
      <c r="C35" s="65" t="s">
        <v>129</v>
      </c>
      <c r="D35" s="17">
        <f>-37867.09</f>
        <v>-37867.089999999997</v>
      </c>
      <c r="E35" s="5"/>
      <c r="F35" s="17"/>
      <c r="G35" s="11">
        <v>-37867.089999999997</v>
      </c>
      <c r="H35" s="62">
        <f t="shared" si="0"/>
        <v>0</v>
      </c>
      <c r="I35" s="3"/>
      <c r="J35" s="1"/>
    </row>
    <row r="36" spans="1:10" s="9" customFormat="1" ht="13.9" hidden="1" customHeight="1" x14ac:dyDescent="0.25">
      <c r="A36" s="27">
        <v>44074</v>
      </c>
      <c r="B36" s="18" t="s">
        <v>13</v>
      </c>
      <c r="C36" s="65" t="s">
        <v>130</v>
      </c>
      <c r="D36" s="17">
        <v>-135.47999999999999</v>
      </c>
      <c r="E36" s="5"/>
      <c r="F36" s="17"/>
      <c r="G36" s="11">
        <v>-135.47999999999999</v>
      </c>
      <c r="H36" s="62">
        <f t="shared" si="0"/>
        <v>0</v>
      </c>
      <c r="I36" s="3"/>
      <c r="J36" s="1"/>
    </row>
    <row r="37" spans="1:10" s="9" customFormat="1" ht="13.9" hidden="1" customHeight="1" x14ac:dyDescent="0.25">
      <c r="A37" s="27">
        <v>44104</v>
      </c>
      <c r="B37" s="18" t="s">
        <v>13</v>
      </c>
      <c r="C37" s="65" t="s">
        <v>117</v>
      </c>
      <c r="D37" s="17">
        <f>-37463.1+1902.1</f>
        <v>-35561</v>
      </c>
      <c r="E37" s="5">
        <f>37463.1-1902.1-35561</f>
        <v>0</v>
      </c>
      <c r="F37" s="17"/>
      <c r="G37" s="11">
        <v>-35561</v>
      </c>
      <c r="H37" s="62">
        <f t="shared" si="0"/>
        <v>0</v>
      </c>
      <c r="I37" s="3"/>
      <c r="J37" s="1"/>
    </row>
    <row r="38" spans="1:10" s="9" customFormat="1" ht="13.9" hidden="1" customHeight="1" x14ac:dyDescent="0.25">
      <c r="A38" s="27">
        <v>44104</v>
      </c>
      <c r="B38" s="18" t="s">
        <v>13</v>
      </c>
      <c r="C38" s="65" t="s">
        <v>118</v>
      </c>
      <c r="D38" s="17">
        <f>-11819.68+600.12</f>
        <v>-11219.56</v>
      </c>
      <c r="E38" s="5">
        <f>11819.68-600.12-11219.56</f>
        <v>0</v>
      </c>
      <c r="F38" s="17"/>
      <c r="G38" s="11">
        <v>-11219.56</v>
      </c>
      <c r="H38" s="62">
        <f t="shared" si="0"/>
        <v>0</v>
      </c>
      <c r="I38" s="3"/>
      <c r="J38" s="1"/>
    </row>
    <row r="39" spans="1:10" s="9" customFormat="1" ht="13.9" hidden="1" customHeight="1" x14ac:dyDescent="0.25">
      <c r="A39" s="27">
        <v>44104</v>
      </c>
      <c r="B39" s="18" t="s">
        <v>13</v>
      </c>
      <c r="C39" s="65" t="s">
        <v>119</v>
      </c>
      <c r="D39" s="17">
        <v>20528.650000000001</v>
      </c>
      <c r="E39" s="5"/>
      <c r="F39" s="17">
        <f>-20528.65+20528.65</f>
        <v>0</v>
      </c>
      <c r="G39" s="11">
        <v>20528.650000000001</v>
      </c>
      <c r="H39" s="62">
        <f t="shared" si="0"/>
        <v>0</v>
      </c>
      <c r="I39" s="3"/>
      <c r="J39" s="1"/>
    </row>
    <row r="40" spans="1:10" s="9" customFormat="1" ht="13.9" hidden="1" customHeight="1" x14ac:dyDescent="0.25">
      <c r="A40" s="27">
        <v>44104</v>
      </c>
      <c r="B40" s="18" t="s">
        <v>13</v>
      </c>
      <c r="C40" s="65" t="s">
        <v>121</v>
      </c>
      <c r="D40" s="17">
        <v>37867.089999999997</v>
      </c>
      <c r="E40" s="5"/>
      <c r="F40" s="17"/>
      <c r="G40" s="11">
        <v>37867.089999999997</v>
      </c>
      <c r="H40" s="62">
        <f t="shared" si="0"/>
        <v>0</v>
      </c>
      <c r="I40" s="3"/>
      <c r="J40" s="1"/>
    </row>
    <row r="41" spans="1:10" s="9" customFormat="1" ht="13.9" hidden="1" customHeight="1" x14ac:dyDescent="0.25">
      <c r="A41" s="27">
        <v>44104</v>
      </c>
      <c r="B41" s="9" t="s">
        <v>13</v>
      </c>
      <c r="C41" s="35" t="s">
        <v>127</v>
      </c>
      <c r="D41" s="17">
        <v>-2000.02</v>
      </c>
      <c r="E41" s="5"/>
      <c r="F41" s="17"/>
      <c r="G41" s="11">
        <v>-2000.02</v>
      </c>
      <c r="H41" s="62">
        <f t="shared" si="0"/>
        <v>0</v>
      </c>
      <c r="I41" s="3"/>
      <c r="J41" s="1"/>
    </row>
    <row r="42" spans="1:10" s="9" customFormat="1" ht="13.9" hidden="1" customHeight="1" x14ac:dyDescent="0.25">
      <c r="A42" s="27">
        <v>44104</v>
      </c>
      <c r="B42" s="9" t="s">
        <v>13</v>
      </c>
      <c r="C42" s="35" t="s">
        <v>128</v>
      </c>
      <c r="D42" s="17">
        <v>-14372.82</v>
      </c>
      <c r="E42" s="5"/>
      <c r="F42" s="17"/>
      <c r="G42" s="11">
        <v>-14372.82</v>
      </c>
      <c r="H42" s="62">
        <f>D42-G42</f>
        <v>0</v>
      </c>
      <c r="I42" s="3"/>
      <c r="J42" s="1"/>
    </row>
    <row r="43" spans="1:10" s="9" customFormat="1" ht="13.9" hidden="1" customHeight="1" x14ac:dyDescent="0.25">
      <c r="A43" s="27">
        <v>44104</v>
      </c>
      <c r="B43" s="9" t="s">
        <v>13</v>
      </c>
      <c r="C43" s="35" t="s">
        <v>129</v>
      </c>
      <c r="D43" s="17">
        <v>-47238.51</v>
      </c>
      <c r="E43" s="5"/>
      <c r="F43" s="17"/>
      <c r="G43" s="11">
        <v>-47238.51</v>
      </c>
      <c r="H43" s="62">
        <f t="shared" si="0"/>
        <v>0</v>
      </c>
      <c r="I43" s="3"/>
      <c r="J43" s="1"/>
    </row>
    <row r="44" spans="1:10" s="9" customFormat="1" ht="13.9" hidden="1" customHeight="1" x14ac:dyDescent="0.25">
      <c r="A44" s="27">
        <v>44135</v>
      </c>
      <c r="B44" s="9" t="s">
        <v>18</v>
      </c>
      <c r="C44" s="35" t="s">
        <v>124</v>
      </c>
      <c r="D44" s="17">
        <f>64170.88+1365.58</f>
        <v>65536.459999999992</v>
      </c>
      <c r="E44" s="5"/>
      <c r="F44" s="17">
        <f>-64170.88-1365.58+65536.46</f>
        <v>0</v>
      </c>
      <c r="G44" s="11">
        <v>65536.459999999992</v>
      </c>
      <c r="H44" s="62">
        <f t="shared" si="0"/>
        <v>0</v>
      </c>
      <c r="I44" s="3"/>
      <c r="J44" s="1"/>
    </row>
    <row r="45" spans="1:10" s="9" customFormat="1" ht="13.9" hidden="1" customHeight="1" x14ac:dyDescent="0.25">
      <c r="A45" s="27">
        <v>44135</v>
      </c>
      <c r="B45" s="9" t="s">
        <v>18</v>
      </c>
      <c r="C45" s="35" t="s">
        <v>125</v>
      </c>
      <c r="D45" s="17">
        <f>-33917.68-1172.07</f>
        <v>-35089.75</v>
      </c>
      <c r="E45" s="5">
        <f>33917.68+1172.07-35089.75</f>
        <v>0</v>
      </c>
      <c r="F45" s="17"/>
      <c r="G45" s="11">
        <f>-33917.68-1172.07</f>
        <v>-35089.75</v>
      </c>
      <c r="H45" s="62">
        <f t="shared" si="0"/>
        <v>0</v>
      </c>
      <c r="I45" s="3"/>
      <c r="J45" s="1"/>
    </row>
    <row r="46" spans="1:10" s="9" customFormat="1" ht="13.9" hidden="1" customHeight="1" x14ac:dyDescent="0.25">
      <c r="A46" s="27">
        <v>44135</v>
      </c>
      <c r="B46" s="9" t="s">
        <v>18</v>
      </c>
      <c r="C46" s="35" t="s">
        <v>126</v>
      </c>
      <c r="D46" s="17">
        <f>10587.87+44.55</f>
        <v>10632.42</v>
      </c>
      <c r="E46" s="5"/>
      <c r="F46" s="17">
        <f>-10587.87-44.55+10632.42</f>
        <v>0</v>
      </c>
      <c r="G46" s="11">
        <v>10632.42</v>
      </c>
      <c r="H46" s="62">
        <f t="shared" si="0"/>
        <v>0</v>
      </c>
      <c r="I46" s="3"/>
      <c r="J46" s="1"/>
    </row>
    <row r="47" spans="1:10" s="9" customFormat="1" ht="13.9" hidden="1" customHeight="1" x14ac:dyDescent="0.25">
      <c r="A47" s="27">
        <v>44135</v>
      </c>
      <c r="B47" s="9" t="s">
        <v>18</v>
      </c>
      <c r="C47" s="35" t="s">
        <v>122</v>
      </c>
      <c r="D47" s="17">
        <v>300.42</v>
      </c>
      <c r="E47" s="5"/>
      <c r="F47" s="17"/>
      <c r="G47" s="11">
        <v>300.42</v>
      </c>
      <c r="H47" s="62">
        <f t="shared" si="0"/>
        <v>0</v>
      </c>
      <c r="I47" s="3"/>
      <c r="J47" s="1"/>
    </row>
    <row r="48" spans="1:10" s="9" customFormat="1" ht="13.9" hidden="1" customHeight="1" x14ac:dyDescent="0.25">
      <c r="A48" s="27">
        <v>44135</v>
      </c>
      <c r="B48" s="9" t="s">
        <v>18</v>
      </c>
      <c r="C48" s="35" t="s">
        <v>123</v>
      </c>
      <c r="D48" s="17">
        <v>47238.51</v>
      </c>
      <c r="E48" s="5"/>
      <c r="F48" s="17"/>
      <c r="G48" s="11">
        <v>47238.51</v>
      </c>
      <c r="H48" s="62">
        <f t="shared" si="0"/>
        <v>0</v>
      </c>
      <c r="I48" s="3"/>
      <c r="J48" s="1"/>
    </row>
    <row r="49" spans="1:10" s="9" customFormat="1" ht="13.9" hidden="1" customHeight="1" x14ac:dyDescent="0.25">
      <c r="A49" s="27">
        <v>44135</v>
      </c>
      <c r="B49" s="9" t="s">
        <v>18</v>
      </c>
      <c r="C49" s="35" t="s">
        <v>39</v>
      </c>
      <c r="D49" s="17">
        <v>-2041.72</v>
      </c>
      <c r="E49" s="5"/>
      <c r="F49" s="17"/>
      <c r="G49" s="11">
        <v>-2041.72</v>
      </c>
      <c r="H49" s="62">
        <f t="shared" si="0"/>
        <v>0</v>
      </c>
      <c r="I49" s="3"/>
      <c r="J49" s="1"/>
    </row>
    <row r="50" spans="1:10" s="9" customFormat="1" ht="13.9" hidden="1" customHeight="1" x14ac:dyDescent="0.25">
      <c r="A50" s="27">
        <v>44135</v>
      </c>
      <c r="B50" s="9" t="s">
        <v>18</v>
      </c>
      <c r="C50" s="35" t="s">
        <v>34</v>
      </c>
      <c r="D50" s="17">
        <v>-152373.14000000001</v>
      </c>
      <c r="E50" s="5"/>
      <c r="F50" s="17"/>
      <c r="G50" s="11">
        <v>-152373.14000000001</v>
      </c>
      <c r="H50" s="62">
        <f t="shared" si="0"/>
        <v>0</v>
      </c>
      <c r="I50" s="3"/>
      <c r="J50" s="1"/>
    </row>
    <row r="51" spans="1:10" s="9" customFormat="1" ht="13.9" hidden="1" customHeight="1" x14ac:dyDescent="0.25">
      <c r="A51" s="27">
        <v>44135</v>
      </c>
      <c r="B51" s="9" t="s">
        <v>18</v>
      </c>
      <c r="C51" s="35" t="s">
        <v>35</v>
      </c>
      <c r="D51" s="17">
        <v>-25801.4</v>
      </c>
      <c r="E51" s="5"/>
      <c r="F51" s="17"/>
      <c r="G51" s="11">
        <v>-25801.4</v>
      </c>
      <c r="H51" s="62">
        <f t="shared" si="0"/>
        <v>0</v>
      </c>
      <c r="I51" s="3"/>
      <c r="J51" s="1"/>
    </row>
    <row r="52" spans="1:10" s="9" customFormat="1" ht="13.9" hidden="1" customHeight="1" x14ac:dyDescent="0.25">
      <c r="A52" s="27">
        <v>44165</v>
      </c>
      <c r="B52" s="9" t="s">
        <v>18</v>
      </c>
      <c r="C52" s="35" t="s">
        <v>131</v>
      </c>
      <c r="D52" s="17">
        <f>-79402.45-127.71</f>
        <v>-79530.16</v>
      </c>
      <c r="E52" s="5">
        <f>127.71+79402.45-79530.16</f>
        <v>0</v>
      </c>
      <c r="F52" s="17"/>
      <c r="G52" s="11">
        <f>-79402.45-127.71</f>
        <v>-79530.16</v>
      </c>
      <c r="H52" s="62">
        <f t="shared" si="0"/>
        <v>0</v>
      </c>
      <c r="I52" s="3"/>
      <c r="J52" s="1"/>
    </row>
    <row r="53" spans="1:10" s="9" customFormat="1" ht="13.9" hidden="1" customHeight="1" x14ac:dyDescent="0.25">
      <c r="A53" s="27">
        <v>44165</v>
      </c>
      <c r="B53" s="9" t="s">
        <v>18</v>
      </c>
      <c r="C53" s="35" t="s">
        <v>132</v>
      </c>
      <c r="D53" s="17">
        <f>-80066.48-128.77</f>
        <v>-80195.25</v>
      </c>
      <c r="E53" s="5">
        <f>80066.48+128.77-80195.25</f>
        <v>0</v>
      </c>
      <c r="F53" s="17"/>
      <c r="G53" s="11">
        <f>-80066.48-128.77</f>
        <v>-80195.25</v>
      </c>
      <c r="H53" s="62">
        <f t="shared" si="0"/>
        <v>0</v>
      </c>
      <c r="I53" s="3"/>
      <c r="J53" s="1"/>
    </row>
    <row r="54" spans="1:10" s="9" customFormat="1" ht="13.9" hidden="1" customHeight="1" x14ac:dyDescent="0.25">
      <c r="A54" s="27">
        <v>44165</v>
      </c>
      <c r="B54" s="9" t="s">
        <v>18</v>
      </c>
      <c r="C54" s="35" t="s">
        <v>133</v>
      </c>
      <c r="D54" s="17">
        <f>23388.88+0.6</f>
        <v>23389.48</v>
      </c>
      <c r="E54" s="5"/>
      <c r="F54" s="17">
        <f>-23388.88-0.6+23389.48</f>
        <v>0</v>
      </c>
      <c r="G54" s="11">
        <f>23388.88+0.6</f>
        <v>23389.48</v>
      </c>
      <c r="H54" s="62">
        <f t="shared" si="0"/>
        <v>0</v>
      </c>
      <c r="I54" s="3"/>
      <c r="J54" s="1"/>
    </row>
    <row r="55" spans="1:10" s="9" customFormat="1" ht="13.9" hidden="1" customHeight="1" x14ac:dyDescent="0.25">
      <c r="A55" s="27">
        <v>44165</v>
      </c>
      <c r="B55" s="9" t="s">
        <v>18</v>
      </c>
      <c r="C55" s="35" t="s">
        <v>134</v>
      </c>
      <c r="D55" s="17">
        <v>25801.4</v>
      </c>
      <c r="E55" s="5"/>
      <c r="F55" s="17"/>
      <c r="G55" s="11">
        <v>25801.4</v>
      </c>
      <c r="H55" s="62">
        <f t="shared" si="0"/>
        <v>0</v>
      </c>
      <c r="I55" s="3"/>
      <c r="J55" s="1"/>
    </row>
    <row r="56" spans="1:10" s="9" customFormat="1" ht="13.9" hidden="1" customHeight="1" x14ac:dyDescent="0.25">
      <c r="A56" s="27">
        <v>44165</v>
      </c>
      <c r="B56" s="9" t="s">
        <v>18</v>
      </c>
      <c r="C56" s="35" t="s">
        <v>39</v>
      </c>
      <c r="D56" s="17">
        <v>-2166.69</v>
      </c>
      <c r="E56" s="5"/>
      <c r="F56" s="17"/>
      <c r="G56" s="11">
        <v>-2166.69</v>
      </c>
      <c r="H56" s="62">
        <f t="shared" si="0"/>
        <v>0</v>
      </c>
      <c r="I56" s="3"/>
      <c r="J56" s="1"/>
    </row>
    <row r="57" spans="1:10" s="9" customFormat="1" ht="13.9" hidden="1" customHeight="1" x14ac:dyDescent="0.25">
      <c r="A57" s="27">
        <v>44165</v>
      </c>
      <c r="B57" s="9" t="s">
        <v>18</v>
      </c>
      <c r="C57" s="35" t="s">
        <v>34</v>
      </c>
      <c r="D57" s="17">
        <v>73988.95</v>
      </c>
      <c r="E57" s="5"/>
      <c r="F57" s="17"/>
      <c r="G57" s="11">
        <v>73988.95</v>
      </c>
      <c r="H57" s="62">
        <f t="shared" si="0"/>
        <v>0</v>
      </c>
      <c r="I57" s="3"/>
      <c r="J57" s="1"/>
    </row>
    <row r="58" spans="1:10" s="9" customFormat="1" ht="13.9" hidden="1" customHeight="1" x14ac:dyDescent="0.25">
      <c r="A58" s="27">
        <v>44165</v>
      </c>
      <c r="B58" s="9" t="s">
        <v>18</v>
      </c>
      <c r="C58" s="35" t="s">
        <v>35</v>
      </c>
      <c r="D58" s="17">
        <f>-53621.76+300</f>
        <v>-53321.760000000002</v>
      </c>
      <c r="E58" s="5"/>
      <c r="F58" s="17"/>
      <c r="G58" s="11">
        <f>-53621.76+300</f>
        <v>-53321.760000000002</v>
      </c>
      <c r="H58" s="62">
        <f t="shared" si="0"/>
        <v>0</v>
      </c>
      <c r="I58" s="3"/>
      <c r="J58" s="1"/>
    </row>
    <row r="59" spans="1:10" s="9" customFormat="1" ht="13.9" hidden="1" customHeight="1" x14ac:dyDescent="0.25">
      <c r="A59" s="27">
        <v>44165</v>
      </c>
      <c r="B59" s="9" t="s">
        <v>18</v>
      </c>
      <c r="C59" s="35" t="s">
        <v>76</v>
      </c>
      <c r="D59" s="17">
        <v>0</v>
      </c>
      <c r="E59" s="5"/>
      <c r="F59" s="17"/>
      <c r="G59" s="38"/>
      <c r="H59" s="62">
        <f t="shared" si="0"/>
        <v>0</v>
      </c>
      <c r="I59" s="3"/>
      <c r="J59" s="1"/>
    </row>
    <row r="60" spans="1:10" s="9" customFormat="1" ht="13.9" hidden="1" customHeight="1" x14ac:dyDescent="0.25">
      <c r="A60" s="27">
        <v>44196</v>
      </c>
      <c r="B60" s="9" t="s">
        <v>18</v>
      </c>
      <c r="C60" s="35" t="s">
        <v>135</v>
      </c>
      <c r="D60" s="17">
        <f>102485.65+1508.75</f>
        <v>103994.4</v>
      </c>
      <c r="E60" s="5"/>
      <c r="F60" s="17">
        <f>-102485.65-1508.75+103994.4</f>
        <v>0</v>
      </c>
      <c r="G60" s="25">
        <v>103994.4</v>
      </c>
      <c r="H60" s="62">
        <f t="shared" si="0"/>
        <v>0</v>
      </c>
      <c r="I60" s="3"/>
      <c r="J60" s="1"/>
    </row>
    <row r="61" spans="1:10" s="9" customFormat="1" ht="13.9" hidden="1" customHeight="1" x14ac:dyDescent="0.25">
      <c r="A61" s="27">
        <v>44196</v>
      </c>
      <c r="B61" s="9" t="s">
        <v>18</v>
      </c>
      <c r="C61" s="35" t="s">
        <v>136</v>
      </c>
      <c r="D61" s="17">
        <f>20128.19+10.1</f>
        <v>20138.289999999997</v>
      </c>
      <c r="E61" s="5"/>
      <c r="F61" s="17">
        <f>-20128.19-10.1+20138.29</f>
        <v>0</v>
      </c>
      <c r="G61" s="25">
        <v>20138.289999999997</v>
      </c>
      <c r="H61" s="62">
        <f t="shared" si="0"/>
        <v>0</v>
      </c>
      <c r="I61" s="3"/>
      <c r="J61" s="1"/>
    </row>
    <row r="62" spans="1:10" s="9" customFormat="1" ht="13.9" hidden="1" customHeight="1" x14ac:dyDescent="0.25">
      <c r="A62" s="27">
        <v>44196</v>
      </c>
      <c r="B62" s="9" t="s">
        <v>18</v>
      </c>
      <c r="C62" s="35" t="s">
        <v>137</v>
      </c>
      <c r="D62" s="17">
        <f>-71825.21-8153.61</f>
        <v>-79978.820000000007</v>
      </c>
      <c r="E62" s="5">
        <f>71825.21+8153.61-79978.82</f>
        <v>0</v>
      </c>
      <c r="F62" s="17"/>
      <c r="G62" s="25">
        <v>-79978.820000000007</v>
      </c>
      <c r="H62" s="62">
        <f t="shared" si="0"/>
        <v>0</v>
      </c>
      <c r="I62" s="3"/>
      <c r="J62" s="1"/>
    </row>
    <row r="63" spans="1:10" s="9" customFormat="1" ht="13.9" hidden="1" customHeight="1" x14ac:dyDescent="0.25">
      <c r="A63" s="27">
        <v>44196</v>
      </c>
      <c r="B63" s="9" t="s">
        <v>18</v>
      </c>
      <c r="C63" s="35" t="s">
        <v>138</v>
      </c>
      <c r="D63" s="17">
        <v>53321.760000000002</v>
      </c>
      <c r="E63" s="5"/>
      <c r="F63" s="17"/>
      <c r="G63" s="25">
        <v>53321.760000000002</v>
      </c>
      <c r="H63" s="62">
        <f t="shared" si="0"/>
        <v>0</v>
      </c>
      <c r="I63" s="3"/>
      <c r="J63" s="1"/>
    </row>
    <row r="64" spans="1:10" s="9" customFormat="1" ht="13.9" hidden="1" customHeight="1" x14ac:dyDescent="0.25">
      <c r="A64" s="27">
        <v>44196</v>
      </c>
      <c r="B64" s="9" t="s">
        <v>18</v>
      </c>
      <c r="C64" s="35" t="s">
        <v>39</v>
      </c>
      <c r="D64" s="17">
        <v>-2791.69</v>
      </c>
      <c r="E64" s="5"/>
      <c r="F64" s="17"/>
      <c r="G64" s="25">
        <v>-2791.69</v>
      </c>
      <c r="H64" s="62">
        <f t="shared" si="0"/>
        <v>0</v>
      </c>
      <c r="I64" s="3"/>
      <c r="J64" s="1"/>
    </row>
    <row r="65" spans="1:10" s="9" customFormat="1" ht="13.9" hidden="1" customHeight="1" x14ac:dyDescent="0.25">
      <c r="A65" s="27">
        <v>44196</v>
      </c>
      <c r="B65" s="9" t="s">
        <v>18</v>
      </c>
      <c r="C65" s="35" t="s">
        <v>34</v>
      </c>
      <c r="D65" s="17">
        <f>-1923.93+7011.57+180</f>
        <v>5267.6399999999994</v>
      </c>
      <c r="E65" s="5"/>
      <c r="F65" s="17"/>
      <c r="G65" s="25">
        <v>5267.6399999999994</v>
      </c>
      <c r="H65" s="62">
        <f t="shared" si="0"/>
        <v>0</v>
      </c>
      <c r="I65" s="3"/>
      <c r="J65" s="1"/>
    </row>
    <row r="66" spans="1:10" s="9" customFormat="1" ht="13.9" hidden="1" customHeight="1" x14ac:dyDescent="0.25">
      <c r="A66" s="27">
        <v>44196</v>
      </c>
      <c r="B66" s="9" t="s">
        <v>18</v>
      </c>
      <c r="C66" s="35" t="s">
        <v>35</v>
      </c>
      <c r="D66" s="17">
        <v>-74388.570000000007</v>
      </c>
      <c r="E66" s="5"/>
      <c r="F66" s="17"/>
      <c r="G66" s="25">
        <v>-74388.570000000007</v>
      </c>
      <c r="H66" s="62">
        <f t="shared" si="0"/>
        <v>0</v>
      </c>
      <c r="I66" s="3"/>
      <c r="J66" s="1"/>
    </row>
    <row r="67" spans="1:10" s="9" customFormat="1" ht="13.9" hidden="1" customHeight="1" x14ac:dyDescent="0.25">
      <c r="A67" s="27">
        <v>44227</v>
      </c>
      <c r="B67" s="9" t="s">
        <v>9</v>
      </c>
      <c r="C67" s="35" t="s">
        <v>144</v>
      </c>
      <c r="D67" s="17">
        <v>1302.08</v>
      </c>
      <c r="E67" s="5"/>
      <c r="F67" s="17"/>
      <c r="G67" s="25">
        <v>1302.08</v>
      </c>
      <c r="H67" s="62">
        <f t="shared" si="0"/>
        <v>0</v>
      </c>
      <c r="I67" s="3"/>
      <c r="J67" s="1"/>
    </row>
    <row r="68" spans="1:10" s="9" customFormat="1" ht="13.9" hidden="1" customHeight="1" x14ac:dyDescent="0.25">
      <c r="A68" s="27">
        <v>44227</v>
      </c>
      <c r="B68" s="9" t="s">
        <v>9</v>
      </c>
      <c r="C68" s="35" t="s">
        <v>140</v>
      </c>
      <c r="D68" s="17">
        <f>361443.6+53107.39</f>
        <v>414550.99</v>
      </c>
      <c r="E68" s="5"/>
      <c r="F68" s="17">
        <f>-361443.6-53107.39+414550.99</f>
        <v>0</v>
      </c>
      <c r="G68" s="25">
        <v>414550.99</v>
      </c>
      <c r="H68" s="62">
        <f t="shared" si="0"/>
        <v>0</v>
      </c>
      <c r="I68" s="3"/>
      <c r="J68" s="1"/>
    </row>
    <row r="69" spans="1:10" s="9" customFormat="1" ht="13.9" hidden="1" customHeight="1" x14ac:dyDescent="0.25">
      <c r="A69" s="27">
        <v>44227</v>
      </c>
      <c r="B69" s="9" t="s">
        <v>9</v>
      </c>
      <c r="C69" s="35" t="s">
        <v>141</v>
      </c>
      <c r="D69" s="17">
        <f>-99869.3+66423.59</f>
        <v>-33445.710000000006</v>
      </c>
      <c r="E69" s="5">
        <f>99869.3-66423.59-33445.71</f>
        <v>0</v>
      </c>
      <c r="F69" s="17"/>
      <c r="G69" s="25">
        <v>-33445.710000000006</v>
      </c>
      <c r="H69" s="62">
        <f t="shared" si="0"/>
        <v>0</v>
      </c>
      <c r="I69" s="3"/>
      <c r="J69" s="1"/>
    </row>
    <row r="70" spans="1:10" s="9" customFormat="1" ht="13.9" hidden="1" customHeight="1" x14ac:dyDescent="0.25">
      <c r="A70" s="27">
        <v>44227</v>
      </c>
      <c r="B70" s="9" t="s">
        <v>9</v>
      </c>
      <c r="C70" s="35" t="s">
        <v>142</v>
      </c>
      <c r="D70" s="17">
        <f>-127977.09-22406.86</f>
        <v>-150383.95000000001</v>
      </c>
      <c r="E70" s="5">
        <f>127977.09+22406.86-150383.95</f>
        <v>0</v>
      </c>
      <c r="F70" s="17"/>
      <c r="G70" s="25">
        <v>-150383.95000000001</v>
      </c>
      <c r="H70" s="62">
        <f t="shared" si="0"/>
        <v>0</v>
      </c>
      <c r="I70" s="3"/>
      <c r="J70" s="1"/>
    </row>
    <row r="71" spans="1:10" s="9" customFormat="1" ht="13.9" hidden="1" customHeight="1" x14ac:dyDescent="0.25">
      <c r="A71" s="27">
        <v>44227</v>
      </c>
      <c r="B71" s="9" t="s">
        <v>9</v>
      </c>
      <c r="C71" s="35" t="s">
        <v>143</v>
      </c>
      <c r="D71" s="17">
        <v>74388.570000000007</v>
      </c>
      <c r="E71" s="5"/>
      <c r="F71" s="17"/>
      <c r="G71" s="25">
        <v>74388.570000000007</v>
      </c>
      <c r="H71" s="62">
        <f t="shared" si="0"/>
        <v>0</v>
      </c>
      <c r="I71" s="3"/>
      <c r="J71" s="1"/>
    </row>
    <row r="72" spans="1:10" s="9" customFormat="1" ht="13.9" hidden="1" customHeight="1" x14ac:dyDescent="0.25">
      <c r="A72" s="27">
        <v>44227</v>
      </c>
      <c r="B72" s="9" t="s">
        <v>9</v>
      </c>
      <c r="C72" s="35" t="s">
        <v>127</v>
      </c>
      <c r="D72" s="17">
        <v>-3000.02</v>
      </c>
      <c r="E72" s="5"/>
      <c r="F72" s="17"/>
      <c r="G72" s="25">
        <v>-3000.02</v>
      </c>
      <c r="H72" s="62">
        <f t="shared" si="0"/>
        <v>0</v>
      </c>
      <c r="I72" s="3"/>
      <c r="J72" s="1"/>
    </row>
    <row r="73" spans="1:10" s="9" customFormat="1" ht="13.9" hidden="1" customHeight="1" x14ac:dyDescent="0.25">
      <c r="A73" s="27">
        <v>44227</v>
      </c>
      <c r="B73" s="9" t="s">
        <v>9</v>
      </c>
      <c r="C73" s="35" t="s">
        <v>128</v>
      </c>
      <c r="D73" s="17">
        <f>-178477.07+23944.61</f>
        <v>-154532.46000000002</v>
      </c>
      <c r="E73" s="5"/>
      <c r="F73" s="17"/>
      <c r="G73" s="25">
        <v>-154532.46000000002</v>
      </c>
      <c r="H73" s="62">
        <f t="shared" si="0"/>
        <v>0</v>
      </c>
      <c r="I73" s="3"/>
      <c r="J73" s="1"/>
    </row>
    <row r="74" spans="1:10" s="9" customFormat="1" ht="13.9" hidden="1" customHeight="1" x14ac:dyDescent="0.25">
      <c r="A74" s="27">
        <v>44227</v>
      </c>
      <c r="B74" s="9" t="s">
        <v>9</v>
      </c>
      <c r="C74" s="35" t="s">
        <v>129</v>
      </c>
      <c r="D74" s="17">
        <v>-42165.79</v>
      </c>
      <c r="E74" s="5"/>
      <c r="F74" s="17"/>
      <c r="G74" s="25">
        <v>-42165.79</v>
      </c>
      <c r="H74" s="62">
        <f t="shared" si="0"/>
        <v>0</v>
      </c>
      <c r="I74" s="3"/>
      <c r="J74" s="1"/>
    </row>
    <row r="75" spans="1:10" s="9" customFormat="1" ht="13.9" hidden="1" customHeight="1" x14ac:dyDescent="0.25">
      <c r="A75" s="27">
        <v>44255</v>
      </c>
      <c r="B75" s="9" t="s">
        <v>9</v>
      </c>
      <c r="C75" s="35" t="s">
        <v>144</v>
      </c>
      <c r="D75" s="17">
        <v>1302.08</v>
      </c>
      <c r="E75" s="5"/>
      <c r="F75" s="17"/>
      <c r="G75" s="25">
        <v>1302.08</v>
      </c>
      <c r="H75" s="62">
        <f t="shared" si="0"/>
        <v>0</v>
      </c>
      <c r="I75" s="3"/>
      <c r="J75" s="1"/>
    </row>
    <row r="76" spans="1:10" s="9" customFormat="1" ht="13.9" hidden="1" customHeight="1" x14ac:dyDescent="0.25">
      <c r="A76" s="27">
        <v>44255</v>
      </c>
      <c r="B76" s="9" t="s">
        <v>9</v>
      </c>
      <c r="C76" s="35" t="s">
        <v>148</v>
      </c>
      <c r="D76" s="17">
        <v>42165.79</v>
      </c>
      <c r="E76" s="5"/>
      <c r="F76" s="17"/>
      <c r="G76" s="25">
        <v>42165.79</v>
      </c>
      <c r="H76" s="62">
        <f t="shared" si="0"/>
        <v>0</v>
      </c>
      <c r="I76" s="3"/>
      <c r="J76" s="1"/>
    </row>
    <row r="77" spans="1:10" s="9" customFormat="1" ht="13.9" hidden="1" customHeight="1" x14ac:dyDescent="0.25">
      <c r="A77" s="27">
        <v>44255</v>
      </c>
      <c r="B77" s="9" t="s">
        <v>9</v>
      </c>
      <c r="C77" s="35" t="s">
        <v>151</v>
      </c>
      <c r="D77" s="17">
        <f>-411154.26+24063.88</f>
        <v>-387090.38</v>
      </c>
      <c r="E77" s="5">
        <f>411154.26-24063.88-387090.38</f>
        <v>0</v>
      </c>
      <c r="F77" s="17"/>
      <c r="G77" s="25">
        <v>-387090.38</v>
      </c>
      <c r="H77" s="62">
        <f t="shared" si="0"/>
        <v>0</v>
      </c>
      <c r="I77" s="3"/>
      <c r="J77" s="1"/>
    </row>
    <row r="78" spans="1:10" s="9" customFormat="1" ht="13.9" hidden="1" customHeight="1" x14ac:dyDescent="0.25">
      <c r="A78" s="27">
        <v>44255</v>
      </c>
      <c r="B78" s="9" t="s">
        <v>9</v>
      </c>
      <c r="C78" s="35" t="s">
        <v>154</v>
      </c>
      <c r="D78" s="17">
        <f>83000+18631.04</f>
        <v>101631.04000000001</v>
      </c>
      <c r="E78" s="5"/>
      <c r="F78" s="17">
        <f>-83000-18631.04+101631.04</f>
        <v>0</v>
      </c>
      <c r="G78" s="25">
        <v>101631.04000000001</v>
      </c>
      <c r="H78" s="62">
        <f t="shared" si="0"/>
        <v>0</v>
      </c>
      <c r="I78" s="3"/>
      <c r="J78" s="1"/>
    </row>
    <row r="79" spans="1:10" s="9" customFormat="1" ht="13.9" customHeight="1" x14ac:dyDescent="0.25">
      <c r="A79" s="27">
        <v>44255</v>
      </c>
      <c r="B79" s="9" t="s">
        <v>9</v>
      </c>
      <c r="C79" s="35" t="s">
        <v>152</v>
      </c>
      <c r="D79" s="17">
        <f>-14380.2+856.44</f>
        <v>-13523.76</v>
      </c>
      <c r="E79" s="5">
        <f>14380.2-856.44-13523.76</f>
        <v>0</v>
      </c>
      <c r="F79" s="17"/>
      <c r="G79" s="25">
        <v>-14380.2</v>
      </c>
      <c r="H79" s="62">
        <f t="shared" si="0"/>
        <v>856.44000000000051</v>
      </c>
      <c r="I79" s="3"/>
      <c r="J79" s="1"/>
    </row>
    <row r="80" spans="1:10" s="9" customFormat="1" ht="13.9" customHeight="1" x14ac:dyDescent="0.25">
      <c r="A80" s="27">
        <v>44255</v>
      </c>
      <c r="B80" s="9" t="s">
        <v>9</v>
      </c>
      <c r="C80" s="35" t="s">
        <v>153</v>
      </c>
      <c r="D80" s="17">
        <f>-33060.54-1224.49</f>
        <v>-34285.03</v>
      </c>
      <c r="E80" s="5">
        <f>33060.54+1224.49-34285.03</f>
        <v>0</v>
      </c>
      <c r="F80" s="17"/>
      <c r="G80" s="25">
        <v>-33060.54</v>
      </c>
      <c r="H80" s="62">
        <f t="shared" si="0"/>
        <v>-1224.489999999998</v>
      </c>
      <c r="I80" s="3"/>
      <c r="J80" s="1"/>
    </row>
    <row r="81" spans="1:10" s="9" customFormat="1" ht="13.9" hidden="1" customHeight="1" x14ac:dyDescent="0.25">
      <c r="A81" s="27">
        <v>44255</v>
      </c>
      <c r="B81" s="9" t="s">
        <v>9</v>
      </c>
      <c r="C81" s="35" t="s">
        <v>159</v>
      </c>
      <c r="D81" s="17">
        <v>-101864.83</v>
      </c>
      <c r="E81" s="5"/>
      <c r="F81" s="17"/>
      <c r="G81" s="25">
        <v>-101864.83</v>
      </c>
      <c r="H81" s="62">
        <f t="shared" si="0"/>
        <v>0</v>
      </c>
      <c r="I81" s="3"/>
      <c r="J81" s="1"/>
    </row>
    <row r="82" spans="1:10" s="9" customFormat="1" ht="13.9" hidden="1" customHeight="1" x14ac:dyDescent="0.25">
      <c r="A82" s="27">
        <v>44255</v>
      </c>
      <c r="B82" s="9" t="s">
        <v>9</v>
      </c>
      <c r="C82" s="35" t="s">
        <v>39</v>
      </c>
      <c r="D82" s="17">
        <v>-2166.69</v>
      </c>
      <c r="E82" s="5"/>
      <c r="F82" s="17"/>
      <c r="G82" s="25">
        <v>-2166.69</v>
      </c>
      <c r="H82" s="62">
        <f t="shared" si="0"/>
        <v>0</v>
      </c>
      <c r="I82" s="3"/>
      <c r="J82" s="1"/>
    </row>
    <row r="83" spans="1:10" s="9" customFormat="1" ht="13.9" hidden="1" customHeight="1" x14ac:dyDescent="0.25">
      <c r="A83" s="27">
        <v>44255</v>
      </c>
      <c r="B83" s="9" t="s">
        <v>9</v>
      </c>
      <c r="C83" s="35" t="s">
        <v>34</v>
      </c>
      <c r="D83" s="17">
        <v>273826.5</v>
      </c>
      <c r="E83" s="5"/>
      <c r="F83" s="17"/>
      <c r="G83" s="25">
        <v>273826.5</v>
      </c>
      <c r="H83" s="62">
        <f t="shared" si="0"/>
        <v>0</v>
      </c>
      <c r="I83" s="3"/>
      <c r="J83" s="1"/>
    </row>
    <row r="84" spans="1:10" s="9" customFormat="1" ht="13.9" hidden="1" customHeight="1" x14ac:dyDescent="0.25">
      <c r="A84" s="27">
        <v>44255</v>
      </c>
      <c r="B84" s="9" t="s">
        <v>9</v>
      </c>
      <c r="C84" s="35" t="s">
        <v>35</v>
      </c>
      <c r="D84" s="17">
        <v>-44307.71</v>
      </c>
      <c r="E84" s="5"/>
      <c r="F84" s="17"/>
      <c r="G84" s="25">
        <v>-44307.71</v>
      </c>
      <c r="H84" s="62">
        <f t="shared" si="0"/>
        <v>0</v>
      </c>
      <c r="I84" s="3"/>
      <c r="J84" s="1"/>
    </row>
    <row r="85" spans="1:10" s="9" customFormat="1" ht="13.9" hidden="1" customHeight="1" x14ac:dyDescent="0.25">
      <c r="A85" s="27">
        <v>44286</v>
      </c>
      <c r="B85" s="9" t="s">
        <v>9</v>
      </c>
      <c r="C85" s="35" t="s">
        <v>155</v>
      </c>
      <c r="D85" s="17">
        <v>44307.71</v>
      </c>
      <c r="E85" s="5"/>
      <c r="F85" s="17"/>
      <c r="G85" s="25">
        <v>44307.71</v>
      </c>
      <c r="H85" s="62">
        <f t="shared" si="0"/>
        <v>0</v>
      </c>
      <c r="I85" s="3"/>
      <c r="J85" s="1"/>
    </row>
    <row r="86" spans="1:10" s="9" customFormat="1" ht="13.9" hidden="1" customHeight="1" x14ac:dyDescent="0.25">
      <c r="A86" s="27">
        <v>44286</v>
      </c>
      <c r="B86" s="9" t="s">
        <v>9</v>
      </c>
      <c r="C86" s="35" t="s">
        <v>144</v>
      </c>
      <c r="D86" s="17">
        <v>1302.08</v>
      </c>
      <c r="E86" s="5"/>
      <c r="F86" s="17"/>
      <c r="G86" s="25">
        <v>1302.08</v>
      </c>
      <c r="H86" s="62">
        <f t="shared" si="0"/>
        <v>0</v>
      </c>
      <c r="I86" s="3"/>
      <c r="J86" s="1"/>
    </row>
    <row r="87" spans="1:10" s="9" customFormat="1" ht="13.9" customHeight="1" x14ac:dyDescent="0.25">
      <c r="A87" s="27">
        <v>44286</v>
      </c>
      <c r="B87" s="9" t="s">
        <v>9</v>
      </c>
      <c r="C87" s="35" t="s">
        <v>156</v>
      </c>
      <c r="D87" s="17">
        <f>-347595.01+220070.8</f>
        <v>-127524.21000000002</v>
      </c>
      <c r="E87" s="5">
        <f>347595.01-220070.8-127524.21</f>
        <v>0</v>
      </c>
      <c r="F87" s="17"/>
      <c r="G87" s="25">
        <v>-347595.01</v>
      </c>
      <c r="H87" s="62">
        <f t="shared" si="0"/>
        <v>220070.8</v>
      </c>
      <c r="I87" s="3"/>
      <c r="J87" s="1"/>
    </row>
    <row r="88" spans="1:10" s="9" customFormat="1" ht="13.9" hidden="1" customHeight="1" x14ac:dyDescent="0.25">
      <c r="A88" s="27">
        <v>44286</v>
      </c>
      <c r="B88" s="9" t="s">
        <v>9</v>
      </c>
      <c r="C88" s="35" t="s">
        <v>157</v>
      </c>
      <c r="D88" s="17">
        <v>-58083.5</v>
      </c>
      <c r="E88" s="5">
        <f>58083.5-58083.5</f>
        <v>0</v>
      </c>
      <c r="F88" s="17"/>
      <c r="G88" s="25">
        <v>-58083.5</v>
      </c>
      <c r="H88" s="62">
        <f t="shared" si="0"/>
        <v>0</v>
      </c>
      <c r="I88" s="3"/>
      <c r="J88" s="1"/>
    </row>
    <row r="89" spans="1:10" s="9" customFormat="1" ht="13.9" customHeight="1" x14ac:dyDescent="0.25">
      <c r="A89" s="27">
        <v>44286</v>
      </c>
      <c r="B89" s="9" t="s">
        <v>9</v>
      </c>
      <c r="C89" s="35" t="s">
        <v>158</v>
      </c>
      <c r="D89" s="17">
        <f>7729.12+0.31</f>
        <v>7729.43</v>
      </c>
      <c r="E89" s="5"/>
      <c r="F89" s="17">
        <f>-7729.12-0.31+7729.43</f>
        <v>0</v>
      </c>
      <c r="G89" s="25">
        <v>7729.12</v>
      </c>
      <c r="H89" s="62">
        <f t="shared" si="0"/>
        <v>0.31000000000040018</v>
      </c>
      <c r="I89" s="3"/>
      <c r="J89" s="1"/>
    </row>
    <row r="90" spans="1:10" s="9" customFormat="1" ht="13.9" hidden="1" customHeight="1" x14ac:dyDescent="0.25">
      <c r="A90" s="27">
        <v>44286</v>
      </c>
      <c r="B90" s="9" t="s">
        <v>9</v>
      </c>
      <c r="C90" s="35" t="s">
        <v>159</v>
      </c>
      <c r="D90" s="17">
        <v>2821.97</v>
      </c>
      <c r="E90" s="5"/>
      <c r="F90" s="17"/>
      <c r="G90" s="25">
        <v>2821.97</v>
      </c>
      <c r="H90" s="62">
        <f t="shared" si="0"/>
        <v>0</v>
      </c>
      <c r="I90" s="3"/>
      <c r="J90" s="1"/>
    </row>
    <row r="91" spans="1:10" s="9" customFormat="1" ht="13.9" hidden="1" customHeight="1" x14ac:dyDescent="0.25">
      <c r="A91" s="27">
        <v>44286</v>
      </c>
      <c r="B91" s="9" t="s">
        <v>9</v>
      </c>
      <c r="C91" s="35" t="s">
        <v>39</v>
      </c>
      <c r="D91" s="17">
        <v>-2750.0200000000004</v>
      </c>
      <c r="E91" s="5"/>
      <c r="F91" s="17"/>
      <c r="G91" s="25">
        <v>-2750.0200000000004</v>
      </c>
      <c r="H91" s="62">
        <f t="shared" si="0"/>
        <v>0</v>
      </c>
      <c r="I91" s="3"/>
      <c r="J91" s="1"/>
    </row>
    <row r="92" spans="1:10" s="9" customFormat="1" ht="13.9" customHeight="1" x14ac:dyDescent="0.25">
      <c r="A92" s="27">
        <v>44286</v>
      </c>
      <c r="B92" s="9" t="s">
        <v>9</v>
      </c>
      <c r="C92" s="35" t="s">
        <v>34</v>
      </c>
      <c r="D92" s="17">
        <f>136248.52-16861.37</f>
        <v>119387.15</v>
      </c>
      <c r="E92" s="5"/>
      <c r="F92" s="17"/>
      <c r="G92" s="25">
        <v>136248.52000000005</v>
      </c>
      <c r="H92" s="62">
        <f t="shared" si="0"/>
        <v>-16861.370000000054</v>
      </c>
      <c r="I92" s="3"/>
      <c r="J92" s="1"/>
    </row>
    <row r="93" spans="1:10" s="9" customFormat="1" ht="13.9" hidden="1" customHeight="1" x14ac:dyDescent="0.25">
      <c r="A93" s="27">
        <v>44286</v>
      </c>
      <c r="B93" s="9" t="s">
        <v>9</v>
      </c>
      <c r="C93" s="35" t="s">
        <v>35</v>
      </c>
      <c r="D93" s="17">
        <v>-14663.53</v>
      </c>
      <c r="E93" s="5"/>
      <c r="F93" s="17"/>
      <c r="G93" s="25">
        <v>-14663.53</v>
      </c>
      <c r="H93" s="62">
        <f t="shared" si="0"/>
        <v>0</v>
      </c>
      <c r="I93" s="3"/>
      <c r="J93" s="1"/>
    </row>
    <row r="94" spans="1:10" s="9" customFormat="1" ht="13.9" customHeight="1" x14ac:dyDescent="0.25">
      <c r="A94" s="27">
        <v>44316</v>
      </c>
      <c r="B94" s="9" t="s">
        <v>10</v>
      </c>
      <c r="C94" s="35" t="s">
        <v>163</v>
      </c>
      <c r="D94" s="17">
        <v>14663.53</v>
      </c>
      <c r="E94" s="5"/>
      <c r="F94" s="17"/>
      <c r="G94" s="38"/>
      <c r="H94" s="62">
        <f t="shared" si="0"/>
        <v>14663.53</v>
      </c>
      <c r="I94" s="3"/>
      <c r="J94" s="1"/>
    </row>
    <row r="95" spans="1:10" s="9" customFormat="1" ht="13.9" customHeight="1" x14ac:dyDescent="0.25">
      <c r="A95" s="27">
        <v>44316</v>
      </c>
      <c r="B95" s="9" t="s">
        <v>10</v>
      </c>
      <c r="C95" s="35" t="s">
        <v>144</v>
      </c>
      <c r="D95" s="17">
        <v>1302.08</v>
      </c>
      <c r="E95" s="5"/>
      <c r="F95" s="17"/>
      <c r="G95" s="38"/>
      <c r="H95" s="62">
        <f t="shared" si="0"/>
        <v>1302.08</v>
      </c>
      <c r="I95" s="3"/>
      <c r="J95" s="1"/>
    </row>
    <row r="96" spans="1:10" s="9" customFormat="1" ht="13.9" customHeight="1" x14ac:dyDescent="0.25">
      <c r="A96" s="27">
        <v>44316</v>
      </c>
      <c r="B96" s="9" t="s">
        <v>10</v>
      </c>
      <c r="C96" s="35" t="s">
        <v>160</v>
      </c>
      <c r="D96" s="17">
        <f>51294.87-546.91</f>
        <v>50747.96</v>
      </c>
      <c r="E96" s="5"/>
      <c r="F96" s="17">
        <f>-51294.87+546.91+50747.96</f>
        <v>0</v>
      </c>
      <c r="G96" s="38"/>
      <c r="H96" s="62">
        <f t="shared" si="0"/>
        <v>50747.96</v>
      </c>
      <c r="I96" s="3"/>
      <c r="J96" s="1"/>
    </row>
    <row r="97" spans="1:10" s="9" customFormat="1" ht="13.9" customHeight="1" x14ac:dyDescent="0.25">
      <c r="A97" s="27">
        <v>44316</v>
      </c>
      <c r="B97" s="9" t="s">
        <v>10</v>
      </c>
      <c r="C97" s="35" t="s">
        <v>161</v>
      </c>
      <c r="D97" s="17">
        <f>-116256.56-802.69</f>
        <v>-117059.25</v>
      </c>
      <c r="E97" s="5">
        <f>116256.56+802.69-117059.25</f>
        <v>0</v>
      </c>
      <c r="F97" s="17"/>
      <c r="G97" s="38"/>
      <c r="H97" s="62">
        <f t="shared" si="0"/>
        <v>-117059.25</v>
      </c>
      <c r="I97" s="3"/>
      <c r="J97" s="1"/>
    </row>
    <row r="98" spans="1:10" s="9" customFormat="1" ht="13.9" customHeight="1" x14ac:dyDescent="0.25">
      <c r="A98" s="27">
        <v>44316</v>
      </c>
      <c r="B98" s="9" t="s">
        <v>10</v>
      </c>
      <c r="C98" s="35" t="s">
        <v>162</v>
      </c>
      <c r="D98" s="17">
        <f>-112001.41-27926.96</f>
        <v>-139928.37</v>
      </c>
      <c r="E98" s="5">
        <f>112001.41+27926.96-139928.37</f>
        <v>0</v>
      </c>
      <c r="F98" s="17"/>
      <c r="G98" s="38"/>
      <c r="H98" s="62">
        <f t="shared" si="0"/>
        <v>-139928.37</v>
      </c>
      <c r="I98" s="3"/>
      <c r="J98" s="1"/>
    </row>
    <row r="99" spans="1:10" s="9" customFormat="1" ht="13.9" customHeight="1" x14ac:dyDescent="0.25">
      <c r="A99" s="27">
        <v>44316</v>
      </c>
      <c r="B99" s="9" t="s">
        <v>10</v>
      </c>
      <c r="C99" s="35" t="s">
        <v>39</v>
      </c>
      <c r="D99" s="17">
        <v>-2750.02</v>
      </c>
      <c r="E99" s="5"/>
      <c r="F99" s="17"/>
      <c r="G99" s="38"/>
      <c r="H99" s="62">
        <f t="shared" si="0"/>
        <v>-2750.02</v>
      </c>
      <c r="I99" s="3"/>
      <c r="J99" s="1"/>
    </row>
    <row r="100" spans="1:10" s="9" customFormat="1" ht="13.9" customHeight="1" x14ac:dyDescent="0.25">
      <c r="A100" s="27">
        <v>44316</v>
      </c>
      <c r="B100" s="9" t="s">
        <v>10</v>
      </c>
      <c r="C100" s="35" t="s">
        <v>34</v>
      </c>
      <c r="D100" s="17">
        <v>119838.63</v>
      </c>
      <c r="E100" s="5"/>
      <c r="F100" s="17"/>
      <c r="G100" s="38"/>
      <c r="H100" s="62">
        <f t="shared" si="0"/>
        <v>119838.63</v>
      </c>
      <c r="I100" s="3"/>
      <c r="J100" s="1"/>
    </row>
    <row r="101" spans="1:10" s="9" customFormat="1" ht="13.9" customHeight="1" x14ac:dyDescent="0.25">
      <c r="A101" s="27">
        <v>44316</v>
      </c>
      <c r="B101" s="9" t="s">
        <v>10</v>
      </c>
      <c r="C101" s="35" t="s">
        <v>35</v>
      </c>
      <c r="D101" s="17">
        <v>-27582.58</v>
      </c>
      <c r="E101" s="5"/>
      <c r="F101" s="17"/>
      <c r="G101" s="38"/>
      <c r="H101" s="62">
        <f t="shared" si="0"/>
        <v>-27582.58</v>
      </c>
      <c r="I101" s="3"/>
      <c r="J101" s="1"/>
    </row>
    <row r="102" spans="1:10" s="9" customFormat="1" ht="13.9" customHeight="1" x14ac:dyDescent="0.25">
      <c r="A102" s="27">
        <v>44347</v>
      </c>
      <c r="B102" s="9" t="s">
        <v>10</v>
      </c>
      <c r="C102" s="35" t="s">
        <v>173</v>
      </c>
      <c r="D102" s="17">
        <v>27582.58</v>
      </c>
      <c r="E102" s="5"/>
      <c r="F102" s="17"/>
      <c r="G102" s="38"/>
      <c r="H102" s="62">
        <f t="shared" si="0"/>
        <v>27582.58</v>
      </c>
      <c r="I102" s="3"/>
      <c r="J102" s="1"/>
    </row>
    <row r="103" spans="1:10" s="9" customFormat="1" ht="13.9" customHeight="1" x14ac:dyDescent="0.25">
      <c r="A103" s="27">
        <v>44347</v>
      </c>
      <c r="B103" s="9" t="s">
        <v>10</v>
      </c>
      <c r="C103" s="35" t="s">
        <v>144</v>
      </c>
      <c r="D103" s="17">
        <v>1302.08</v>
      </c>
      <c r="E103" s="5"/>
      <c r="F103" s="17"/>
      <c r="G103" s="38"/>
      <c r="H103" s="62">
        <f t="shared" si="0"/>
        <v>1302.08</v>
      </c>
      <c r="I103" s="3"/>
      <c r="J103" s="1"/>
    </row>
    <row r="104" spans="1:10" s="9" customFormat="1" ht="13.9" customHeight="1" x14ac:dyDescent="0.25">
      <c r="A104" s="27">
        <v>44347</v>
      </c>
      <c r="B104" s="9" t="s">
        <v>10</v>
      </c>
      <c r="C104" s="35" t="s">
        <v>169</v>
      </c>
      <c r="D104" s="17">
        <f>32913.07+2479.65</f>
        <v>35392.720000000001</v>
      </c>
      <c r="E104" s="5"/>
      <c r="F104" s="17">
        <f>-32913.07-2479.65+35392.72</f>
        <v>0</v>
      </c>
      <c r="G104" s="38"/>
      <c r="H104" s="62">
        <f t="shared" si="0"/>
        <v>35392.720000000001</v>
      </c>
      <c r="I104" s="3"/>
      <c r="J104" s="1"/>
    </row>
    <row r="105" spans="1:10" s="9" customFormat="1" ht="13.9" customHeight="1" x14ac:dyDescent="0.25">
      <c r="A105" s="27">
        <v>44347</v>
      </c>
      <c r="B105" s="9" t="s">
        <v>10</v>
      </c>
      <c r="C105" s="35" t="s">
        <v>170</v>
      </c>
      <c r="D105" s="17">
        <f>-51385.5-272.94</f>
        <v>-51658.44</v>
      </c>
      <c r="E105" s="5">
        <f>51385.5+272.94-51658.44</f>
        <v>0</v>
      </c>
      <c r="F105" s="17"/>
      <c r="G105" s="38"/>
      <c r="H105" s="62">
        <f t="shared" si="0"/>
        <v>-51658.44</v>
      </c>
      <c r="I105" s="3"/>
      <c r="J105" s="1"/>
    </row>
    <row r="106" spans="1:10" s="9" customFormat="1" ht="13.9" customHeight="1" x14ac:dyDescent="0.25">
      <c r="A106" s="27">
        <v>44347</v>
      </c>
      <c r="B106" s="9" t="s">
        <v>10</v>
      </c>
      <c r="C106" s="35" t="s">
        <v>171</v>
      </c>
      <c r="D106" s="17">
        <f>-102615.53-14035.31</f>
        <v>-116650.84</v>
      </c>
      <c r="E106" s="5">
        <f>102615.53+14035.31-116650.84</f>
        <v>0</v>
      </c>
      <c r="F106" s="17"/>
      <c r="G106" s="38"/>
      <c r="H106" s="62">
        <f t="shared" si="0"/>
        <v>-116650.84</v>
      </c>
      <c r="I106" s="3"/>
      <c r="J106" s="1"/>
    </row>
    <row r="107" spans="1:10" s="9" customFormat="1" ht="13.9" customHeight="1" x14ac:dyDescent="0.25">
      <c r="A107" s="27">
        <v>44347</v>
      </c>
      <c r="B107" s="9" t="s">
        <v>10</v>
      </c>
      <c r="C107" s="35" t="s">
        <v>176</v>
      </c>
      <c r="D107" s="17">
        <f>141366.2-141366.2</f>
        <v>0</v>
      </c>
      <c r="E107" s="5"/>
      <c r="F107" s="17"/>
      <c r="G107" s="38"/>
      <c r="H107" s="62">
        <f t="shared" si="0"/>
        <v>0</v>
      </c>
      <c r="I107" s="3"/>
      <c r="J107" s="1"/>
    </row>
    <row r="108" spans="1:10" s="9" customFormat="1" ht="13.9" customHeight="1" x14ac:dyDescent="0.25">
      <c r="A108" s="27">
        <v>44347</v>
      </c>
      <c r="B108" s="9" t="s">
        <v>10</v>
      </c>
      <c r="C108" s="35" t="s">
        <v>39</v>
      </c>
      <c r="D108" s="17">
        <v>-2333.35</v>
      </c>
      <c r="E108" s="5"/>
      <c r="F108" s="17"/>
      <c r="G108" s="38"/>
      <c r="H108" s="62">
        <f t="shared" si="0"/>
        <v>-2333.35</v>
      </c>
      <c r="I108" s="3"/>
      <c r="J108" s="1"/>
    </row>
    <row r="109" spans="1:10" s="9" customFormat="1" ht="13.9" customHeight="1" x14ac:dyDescent="0.25">
      <c r="A109" s="27">
        <v>44347</v>
      </c>
      <c r="B109" s="9" t="s">
        <v>10</v>
      </c>
      <c r="C109" s="35" t="s">
        <v>34</v>
      </c>
      <c r="D109" s="17">
        <v>111752.93</v>
      </c>
      <c r="E109" s="5"/>
      <c r="F109" s="17"/>
      <c r="G109" s="38"/>
      <c r="H109" s="62">
        <f t="shared" si="0"/>
        <v>111752.93</v>
      </c>
      <c r="I109" s="3"/>
      <c r="J109" s="1"/>
    </row>
    <row r="110" spans="1:10" s="9" customFormat="1" ht="13.9" customHeight="1" x14ac:dyDescent="0.25">
      <c r="A110" s="27">
        <v>44347</v>
      </c>
      <c r="B110" s="9" t="s">
        <v>10</v>
      </c>
      <c r="C110" s="35" t="s">
        <v>35</v>
      </c>
      <c r="D110" s="17">
        <v>-13309.03</v>
      </c>
      <c r="E110" s="5"/>
      <c r="F110" s="17"/>
      <c r="G110" s="38"/>
      <c r="H110" s="62">
        <f t="shared" si="0"/>
        <v>-13309.03</v>
      </c>
      <c r="I110" s="3"/>
      <c r="J110" s="1"/>
    </row>
    <row r="111" spans="1:10" s="9" customFormat="1" ht="13.9" customHeight="1" x14ac:dyDescent="0.25">
      <c r="A111" s="27">
        <v>44377</v>
      </c>
      <c r="B111" s="9" t="s">
        <v>10</v>
      </c>
      <c r="C111" s="35" t="s">
        <v>177</v>
      </c>
      <c r="D111" s="17">
        <v>13309.03</v>
      </c>
      <c r="E111" s="5"/>
      <c r="F111" s="17"/>
      <c r="G111" s="38"/>
      <c r="H111" s="62">
        <f t="shared" si="0"/>
        <v>13309.03</v>
      </c>
      <c r="I111" s="3"/>
      <c r="J111" s="1"/>
    </row>
    <row r="112" spans="1:10" s="9" customFormat="1" ht="13.9" customHeight="1" x14ac:dyDescent="0.25">
      <c r="A112" s="27">
        <v>44377</v>
      </c>
      <c r="B112" s="9" t="s">
        <v>10</v>
      </c>
      <c r="C112" s="35" t="s">
        <v>144</v>
      </c>
      <c r="D112" s="17">
        <v>1302.08</v>
      </c>
      <c r="E112" s="5"/>
      <c r="F112" s="17"/>
      <c r="G112" s="38"/>
      <c r="H112" s="62">
        <f t="shared" si="0"/>
        <v>1302.08</v>
      </c>
      <c r="I112" s="3"/>
      <c r="J112" s="1"/>
    </row>
    <row r="113" spans="1:10" s="9" customFormat="1" ht="13.9" customHeight="1" x14ac:dyDescent="0.25">
      <c r="A113" s="27">
        <v>44377</v>
      </c>
      <c r="B113" s="9" t="s">
        <v>10</v>
      </c>
      <c r="C113" s="35" t="s">
        <v>178</v>
      </c>
      <c r="D113" s="17">
        <f>-63449.2+392.75</f>
        <v>-63056.45</v>
      </c>
      <c r="E113" s="5">
        <f>63449.2-392.75-63056.45</f>
        <v>0</v>
      </c>
      <c r="F113" s="17"/>
      <c r="G113" s="38"/>
      <c r="H113" s="62">
        <f t="shared" si="0"/>
        <v>-63056.45</v>
      </c>
      <c r="I113" s="3"/>
      <c r="J113" s="1"/>
    </row>
    <row r="114" spans="1:10" s="9" customFormat="1" ht="13.9" customHeight="1" x14ac:dyDescent="0.25">
      <c r="A114" s="27">
        <v>44377</v>
      </c>
      <c r="B114" s="9" t="s">
        <v>10</v>
      </c>
      <c r="C114" s="35" t="s">
        <v>179</v>
      </c>
      <c r="D114" s="17">
        <f>-50517.43-1607.01</f>
        <v>-52124.44</v>
      </c>
      <c r="E114" s="5">
        <f>50517.43+1607.01-52124.44</f>
        <v>0</v>
      </c>
      <c r="F114" s="17"/>
      <c r="G114" s="38"/>
      <c r="H114" s="62">
        <f t="shared" si="0"/>
        <v>-52124.44</v>
      </c>
      <c r="I114" s="3"/>
      <c r="J114" s="1"/>
    </row>
    <row r="115" spans="1:10" s="9" customFormat="1" ht="13.9" customHeight="1" x14ac:dyDescent="0.25">
      <c r="A115" s="27">
        <v>44377</v>
      </c>
      <c r="B115" s="9" t="s">
        <v>10</v>
      </c>
      <c r="C115" s="35" t="s">
        <v>180</v>
      </c>
      <c r="D115" s="17">
        <f>29857.96+2466.7</f>
        <v>32324.66</v>
      </c>
      <c r="E115" s="5"/>
      <c r="F115" s="17">
        <f>-29857.96-2466.7+32324.66</f>
        <v>0</v>
      </c>
      <c r="G115" s="38"/>
      <c r="H115" s="62">
        <f t="shared" si="0"/>
        <v>32324.66</v>
      </c>
      <c r="I115" s="3"/>
      <c r="J115" s="1"/>
    </row>
    <row r="116" spans="1:10" s="9" customFormat="1" ht="13.9" customHeight="1" x14ac:dyDescent="0.25">
      <c r="A116" s="27">
        <v>44377</v>
      </c>
      <c r="B116" s="9" t="s">
        <v>10</v>
      </c>
      <c r="C116" s="35" t="s">
        <v>39</v>
      </c>
      <c r="D116" s="17">
        <v>-2750.02</v>
      </c>
      <c r="E116" s="5"/>
      <c r="F116" s="17"/>
      <c r="G116" s="38"/>
      <c r="H116" s="62">
        <f t="shared" si="0"/>
        <v>-2750.02</v>
      </c>
      <c r="I116" s="3"/>
      <c r="J116" s="1"/>
    </row>
    <row r="117" spans="1:10" s="9" customFormat="1" ht="13.9" customHeight="1" x14ac:dyDescent="0.25">
      <c r="A117" s="27">
        <v>44377</v>
      </c>
      <c r="B117" s="9" t="s">
        <v>10</v>
      </c>
      <c r="C117" s="35" t="s">
        <v>34</v>
      </c>
      <c r="D117" s="17">
        <f>-20712.66</f>
        <v>-20712.66</v>
      </c>
      <c r="E117" s="5"/>
      <c r="F117" s="17"/>
      <c r="G117" s="38"/>
      <c r="H117" s="62">
        <f t="shared" si="0"/>
        <v>-20712.66</v>
      </c>
      <c r="I117" s="3"/>
      <c r="J117" s="1"/>
    </row>
    <row r="118" spans="1:10" s="9" customFormat="1" ht="13.9" customHeight="1" x14ac:dyDescent="0.25">
      <c r="A118" s="27">
        <v>44377</v>
      </c>
      <c r="B118" s="9" t="s">
        <v>10</v>
      </c>
      <c r="C118" s="35" t="s">
        <v>35</v>
      </c>
      <c r="D118" s="17">
        <f>-37149.39</f>
        <v>-37149.39</v>
      </c>
      <c r="E118" s="5"/>
      <c r="F118" s="17"/>
      <c r="G118" s="38"/>
      <c r="H118" s="62">
        <f t="shared" si="0"/>
        <v>-37149.39</v>
      </c>
      <c r="I118" s="3"/>
      <c r="J118" s="1"/>
    </row>
    <row r="119" spans="1:10" s="9" customFormat="1" ht="13.9" customHeight="1" x14ac:dyDescent="0.25">
      <c r="A119" s="27">
        <v>44408</v>
      </c>
      <c r="B119" s="9" t="s">
        <v>13</v>
      </c>
      <c r="C119" s="35" t="s">
        <v>181</v>
      </c>
      <c r="D119" s="17">
        <v>37149.39</v>
      </c>
      <c r="E119" s="5"/>
      <c r="F119" s="17"/>
      <c r="G119" s="38"/>
      <c r="H119" s="62">
        <f t="shared" si="0"/>
        <v>37149.39</v>
      </c>
      <c r="I119" s="3"/>
      <c r="J119" s="1"/>
    </row>
    <row r="120" spans="1:10" s="9" customFormat="1" ht="13.9" customHeight="1" x14ac:dyDescent="0.25">
      <c r="A120" s="27">
        <v>44408</v>
      </c>
      <c r="B120" s="9" t="s">
        <v>13</v>
      </c>
      <c r="C120" s="35" t="s">
        <v>144</v>
      </c>
      <c r="D120" s="17">
        <v>1302.08</v>
      </c>
      <c r="E120" s="5"/>
      <c r="F120" s="17"/>
      <c r="G120" s="38"/>
      <c r="H120" s="62">
        <f t="shared" si="0"/>
        <v>1302.08</v>
      </c>
      <c r="I120" s="3"/>
      <c r="J120" s="1"/>
    </row>
    <row r="121" spans="1:10" s="9" customFormat="1" ht="13.9" customHeight="1" x14ac:dyDescent="0.25">
      <c r="A121" s="27">
        <v>44408</v>
      </c>
      <c r="B121" s="9" t="s">
        <v>13</v>
      </c>
      <c r="C121" s="35" t="s">
        <v>182</v>
      </c>
      <c r="D121" s="17">
        <f>-227777.44+52161.97</f>
        <v>-175615.47</v>
      </c>
      <c r="E121" s="5">
        <f>227777.44-52161.97-175615.47</f>
        <v>0</v>
      </c>
      <c r="F121" s="17"/>
      <c r="G121" s="38"/>
      <c r="H121" s="62">
        <f t="shared" si="0"/>
        <v>-175615.47</v>
      </c>
      <c r="I121" s="3"/>
      <c r="J121" s="1"/>
    </row>
    <row r="122" spans="1:10" s="9" customFormat="1" ht="13.9" customHeight="1" x14ac:dyDescent="0.25">
      <c r="A122" s="27">
        <v>44408</v>
      </c>
      <c r="B122" s="9" t="s">
        <v>13</v>
      </c>
      <c r="C122" s="35" t="s">
        <v>183</v>
      </c>
      <c r="D122" s="17">
        <f>-76777.05+9343.07</f>
        <v>-67433.98000000001</v>
      </c>
      <c r="E122" s="5">
        <f>76777.05-9343.07-67433.98</f>
        <v>0</v>
      </c>
      <c r="F122" s="17"/>
      <c r="G122" s="38"/>
      <c r="H122" s="62">
        <f t="shared" si="0"/>
        <v>-67433.98000000001</v>
      </c>
      <c r="I122" s="3"/>
      <c r="J122" s="1"/>
    </row>
    <row r="123" spans="1:10" s="9" customFormat="1" ht="13.9" customHeight="1" x14ac:dyDescent="0.25">
      <c r="A123" s="27">
        <v>44408</v>
      </c>
      <c r="B123" s="9" t="s">
        <v>13</v>
      </c>
      <c r="C123" s="35" t="s">
        <v>184</v>
      </c>
      <c r="D123" s="17">
        <f>15161.23+6.09</f>
        <v>15167.32</v>
      </c>
      <c r="E123" s="5"/>
      <c r="F123" s="17">
        <f>-6.09-15161.23+15167.32</f>
        <v>0</v>
      </c>
      <c r="G123" s="38"/>
      <c r="H123" s="62">
        <f t="shared" si="0"/>
        <v>15167.32</v>
      </c>
      <c r="I123" s="3"/>
      <c r="J123" s="1"/>
    </row>
    <row r="124" spans="1:10" s="9" customFormat="1" ht="13.9" customHeight="1" x14ac:dyDescent="0.25">
      <c r="A124" s="27">
        <v>44408</v>
      </c>
      <c r="B124" s="9" t="s">
        <v>13</v>
      </c>
      <c r="C124" s="35" t="s">
        <v>39</v>
      </c>
      <c r="D124" s="17">
        <v>-2750.02</v>
      </c>
      <c r="E124" s="5"/>
      <c r="F124" s="17"/>
      <c r="G124" s="38"/>
      <c r="H124" s="62">
        <f t="shared" si="0"/>
        <v>-2750.02</v>
      </c>
      <c r="I124" s="3"/>
      <c r="J124" s="1"/>
    </row>
    <row r="125" spans="1:10" s="9" customFormat="1" ht="13.9" customHeight="1" x14ac:dyDescent="0.25">
      <c r="A125" s="27">
        <v>44408</v>
      </c>
      <c r="B125" s="9" t="s">
        <v>13</v>
      </c>
      <c r="C125" s="35" t="s">
        <v>34</v>
      </c>
      <c r="D125" s="17">
        <v>104368.19</v>
      </c>
      <c r="E125" s="5"/>
      <c r="F125" s="17"/>
      <c r="G125" s="38"/>
      <c r="H125" s="62">
        <f t="shared" si="0"/>
        <v>104368.19</v>
      </c>
      <c r="I125" s="3"/>
      <c r="J125" s="1"/>
    </row>
    <row r="126" spans="1:10" s="9" customFormat="1" ht="13.9" customHeight="1" x14ac:dyDescent="0.25">
      <c r="A126" s="27">
        <v>44408</v>
      </c>
      <c r="B126" s="9" t="s">
        <v>13</v>
      </c>
      <c r="C126" s="35" t="s">
        <v>35</v>
      </c>
      <c r="D126" s="17">
        <v>-27290.78</v>
      </c>
      <c r="E126" s="5"/>
      <c r="F126" s="17"/>
      <c r="G126" s="38"/>
      <c r="H126" s="62">
        <f t="shared" si="0"/>
        <v>-27290.78</v>
      </c>
      <c r="I126" s="3"/>
      <c r="J126" s="1"/>
    </row>
    <row r="127" spans="1:10" s="9" customFormat="1" ht="13.9" customHeight="1" x14ac:dyDescent="0.25">
      <c r="A127" s="27">
        <v>44439</v>
      </c>
      <c r="B127" s="9" t="s">
        <v>13</v>
      </c>
      <c r="C127" s="35" t="s">
        <v>188</v>
      </c>
      <c r="D127" s="17">
        <v>27290.78</v>
      </c>
      <c r="E127" s="5"/>
      <c r="F127" s="17"/>
      <c r="G127" s="38"/>
      <c r="H127" s="62">
        <f t="shared" si="0"/>
        <v>27290.78</v>
      </c>
      <c r="I127" s="3"/>
      <c r="J127" s="1"/>
    </row>
    <row r="128" spans="1:10" s="9" customFormat="1" ht="13.9" customHeight="1" x14ac:dyDescent="0.25">
      <c r="A128" s="27">
        <v>44439</v>
      </c>
      <c r="B128" s="9" t="s">
        <v>13</v>
      </c>
      <c r="C128" s="35" t="s">
        <v>144</v>
      </c>
      <c r="D128" s="17">
        <v>1302.08</v>
      </c>
      <c r="E128" s="5"/>
      <c r="F128" s="17"/>
      <c r="G128" s="38"/>
      <c r="H128" s="62">
        <f t="shared" ref="H128:H142" si="1">D128-G128</f>
        <v>1302.08</v>
      </c>
      <c r="I128" s="3"/>
      <c r="J128" s="1"/>
    </row>
    <row r="129" spans="1:10" s="9" customFormat="1" ht="13.9" customHeight="1" x14ac:dyDescent="0.25">
      <c r="A129" s="27">
        <v>44439</v>
      </c>
      <c r="B129" s="9" t="s">
        <v>13</v>
      </c>
      <c r="C129" s="35" t="s">
        <v>185</v>
      </c>
      <c r="D129" s="17">
        <f>27902.34+531.5</f>
        <v>28433.84</v>
      </c>
      <c r="E129" s="5"/>
      <c r="F129" s="91">
        <f>-27902.34-531.5</f>
        <v>-28433.84</v>
      </c>
      <c r="G129" s="38"/>
      <c r="H129" s="62">
        <f t="shared" si="1"/>
        <v>28433.84</v>
      </c>
      <c r="I129" s="3"/>
      <c r="J129" s="1"/>
    </row>
    <row r="130" spans="1:10" s="9" customFormat="1" ht="13.9" customHeight="1" x14ac:dyDescent="0.25">
      <c r="A130" s="27">
        <v>44439</v>
      </c>
      <c r="B130" s="9" t="s">
        <v>13</v>
      </c>
      <c r="C130" s="35" t="s">
        <v>186</v>
      </c>
      <c r="D130" s="17">
        <f>-149539.76-3479.41</f>
        <v>-153019.17000000001</v>
      </c>
      <c r="E130" s="5">
        <f>149539.76+3479.41-153019.17</f>
        <v>0</v>
      </c>
      <c r="F130" s="17"/>
      <c r="G130" s="38"/>
      <c r="H130" s="62">
        <f t="shared" si="1"/>
        <v>-153019.17000000001</v>
      </c>
      <c r="I130" s="3"/>
      <c r="J130" s="1"/>
    </row>
    <row r="131" spans="1:10" s="9" customFormat="1" ht="13.9" customHeight="1" x14ac:dyDescent="0.25">
      <c r="A131" s="27">
        <v>44439</v>
      </c>
      <c r="B131" s="9" t="s">
        <v>13</v>
      </c>
      <c r="C131" s="35" t="s">
        <v>187</v>
      </c>
      <c r="D131" s="17">
        <v>33821.83</v>
      </c>
      <c r="E131" s="5"/>
      <c r="F131" s="17">
        <f>-33821.83+33821.83</f>
        <v>0</v>
      </c>
      <c r="G131" s="38"/>
      <c r="H131" s="62">
        <f t="shared" si="1"/>
        <v>33821.83</v>
      </c>
      <c r="I131" s="3"/>
      <c r="J131" s="1"/>
    </row>
    <row r="132" spans="1:10" s="9" customFormat="1" ht="13.9" customHeight="1" x14ac:dyDescent="0.25">
      <c r="A132" s="27">
        <v>44439</v>
      </c>
      <c r="B132" s="9" t="s">
        <v>13</v>
      </c>
      <c r="C132" s="35" t="s">
        <v>39</v>
      </c>
      <c r="D132" s="17">
        <v>-2750.02</v>
      </c>
      <c r="E132" s="5"/>
      <c r="F132" s="17"/>
      <c r="G132" s="38"/>
      <c r="H132" s="62">
        <f t="shared" si="1"/>
        <v>-2750.02</v>
      </c>
      <c r="I132" s="3"/>
      <c r="J132" s="1"/>
    </row>
    <row r="133" spans="1:10" s="9" customFormat="1" ht="13.9" customHeight="1" x14ac:dyDescent="0.25">
      <c r="A133" s="27">
        <v>44439</v>
      </c>
      <c r="B133" s="9" t="s">
        <v>13</v>
      </c>
      <c r="C133" s="35" t="s">
        <v>34</v>
      </c>
      <c r="D133" s="17">
        <f>-174012.31+24159.79</f>
        <v>-149852.51999999999</v>
      </c>
      <c r="E133" s="5"/>
      <c r="F133" s="17"/>
      <c r="G133" s="38"/>
      <c r="H133" s="62">
        <f t="shared" si="1"/>
        <v>-149852.51999999999</v>
      </c>
      <c r="I133" s="3"/>
      <c r="J133" s="1"/>
    </row>
    <row r="134" spans="1:10" s="9" customFormat="1" ht="13.9" customHeight="1" x14ac:dyDescent="0.25">
      <c r="A134" s="27">
        <v>44439</v>
      </c>
      <c r="B134" s="9" t="s">
        <v>13</v>
      </c>
      <c r="C134" s="35" t="s">
        <v>35</v>
      </c>
      <c r="D134" s="17">
        <v>-46615.29</v>
      </c>
      <c r="E134" s="5"/>
      <c r="F134" s="17"/>
      <c r="G134" s="38"/>
      <c r="H134" s="62">
        <f t="shared" si="1"/>
        <v>-46615.29</v>
      </c>
      <c r="I134" s="3"/>
      <c r="J134" s="1"/>
    </row>
    <row r="135" spans="1:10" s="9" customFormat="1" ht="13.9" customHeight="1" x14ac:dyDescent="0.25">
      <c r="A135" s="27">
        <v>44469</v>
      </c>
      <c r="B135" s="9" t="s">
        <v>13</v>
      </c>
      <c r="C135" s="35" t="s">
        <v>192</v>
      </c>
      <c r="D135" s="17">
        <v>46615.29</v>
      </c>
      <c r="E135" s="5"/>
      <c r="F135" s="17"/>
      <c r="G135" s="38"/>
      <c r="H135" s="62">
        <f t="shared" si="1"/>
        <v>46615.29</v>
      </c>
      <c r="I135" s="3"/>
      <c r="J135" s="1"/>
    </row>
    <row r="136" spans="1:10" s="9" customFormat="1" ht="13.9" customHeight="1" x14ac:dyDescent="0.25">
      <c r="A136" s="27">
        <v>44469</v>
      </c>
      <c r="B136" s="9" t="s">
        <v>13</v>
      </c>
      <c r="C136" s="35" t="s">
        <v>144</v>
      </c>
      <c r="D136" s="17">
        <v>1302.08</v>
      </c>
      <c r="E136" s="5"/>
      <c r="F136" s="17"/>
      <c r="G136" s="38"/>
      <c r="H136" s="62">
        <f t="shared" si="1"/>
        <v>1302.08</v>
      </c>
      <c r="I136" s="3"/>
      <c r="J136" s="1"/>
    </row>
    <row r="137" spans="1:10" s="9" customFormat="1" ht="13.9" customHeight="1" x14ac:dyDescent="0.25">
      <c r="A137" s="27">
        <v>44469</v>
      </c>
      <c r="B137" s="9" t="s">
        <v>13</v>
      </c>
      <c r="C137" s="35" t="s">
        <v>189</v>
      </c>
      <c r="D137" s="17">
        <v>-13384.83</v>
      </c>
      <c r="E137" s="54">
        <v>13384.83</v>
      </c>
      <c r="F137" s="17"/>
      <c r="G137" s="38"/>
      <c r="H137" s="62">
        <f t="shared" si="1"/>
        <v>-13384.83</v>
      </c>
      <c r="I137" s="3"/>
      <c r="J137" s="1"/>
    </row>
    <row r="138" spans="1:10" s="9" customFormat="1" ht="13.9" customHeight="1" x14ac:dyDescent="0.25">
      <c r="A138" s="27">
        <v>44469</v>
      </c>
      <c r="B138" s="9" t="s">
        <v>13</v>
      </c>
      <c r="C138" s="35" t="s">
        <v>190</v>
      </c>
      <c r="D138" s="17">
        <v>-67613.259999999995</v>
      </c>
      <c r="E138" s="56">
        <v>67613.259999999995</v>
      </c>
      <c r="F138" s="17"/>
      <c r="G138" s="38"/>
      <c r="H138" s="62">
        <f t="shared" si="1"/>
        <v>-67613.259999999995</v>
      </c>
      <c r="I138" s="3"/>
      <c r="J138" s="1"/>
    </row>
    <row r="139" spans="1:10" s="9" customFormat="1" ht="13.9" customHeight="1" x14ac:dyDescent="0.25">
      <c r="A139" s="27">
        <v>44469</v>
      </c>
      <c r="B139" s="9" t="s">
        <v>13</v>
      </c>
      <c r="C139" s="35" t="s">
        <v>191</v>
      </c>
      <c r="D139" s="17">
        <v>-148366.03</v>
      </c>
      <c r="E139" s="79">
        <v>148366.03</v>
      </c>
      <c r="F139" s="17"/>
      <c r="G139" s="38"/>
      <c r="H139" s="62">
        <f t="shared" si="1"/>
        <v>-148366.03</v>
      </c>
      <c r="I139" s="3"/>
      <c r="J139" s="1"/>
    </row>
    <row r="140" spans="1:10" s="9" customFormat="1" ht="13.9" customHeight="1" x14ac:dyDescent="0.25">
      <c r="A140" s="44">
        <v>44469</v>
      </c>
      <c r="B140" s="24" t="s">
        <v>13</v>
      </c>
      <c r="C140" s="26" t="s">
        <v>41</v>
      </c>
      <c r="D140" s="33">
        <v>-2750.02</v>
      </c>
      <c r="E140" s="5"/>
      <c r="F140" s="17"/>
      <c r="G140" s="38"/>
      <c r="H140" s="62">
        <f t="shared" si="1"/>
        <v>-2750.02</v>
      </c>
      <c r="I140" s="3"/>
      <c r="J140" s="1"/>
    </row>
    <row r="141" spans="1:10" s="9" customFormat="1" ht="13.9" customHeight="1" x14ac:dyDescent="0.25">
      <c r="A141" s="44">
        <v>44469</v>
      </c>
      <c r="B141" s="24" t="s">
        <v>13</v>
      </c>
      <c r="C141" s="26" t="s">
        <v>42</v>
      </c>
      <c r="D141" s="33">
        <v>108395.7</v>
      </c>
      <c r="E141" s="5"/>
      <c r="F141" s="17"/>
      <c r="G141" s="38"/>
      <c r="H141" s="62">
        <f t="shared" si="1"/>
        <v>108395.7</v>
      </c>
      <c r="I141" s="3"/>
      <c r="J141" s="1"/>
    </row>
    <row r="142" spans="1:10" s="9" customFormat="1" ht="13.9" customHeight="1" x14ac:dyDescent="0.25">
      <c r="A142" s="44">
        <v>44469</v>
      </c>
      <c r="B142" s="24" t="s">
        <v>13</v>
      </c>
      <c r="C142" s="26" t="s">
        <v>43</v>
      </c>
      <c r="D142" s="33">
        <v>-63680.79</v>
      </c>
      <c r="E142" s="5"/>
      <c r="F142" s="17"/>
      <c r="G142" s="38"/>
      <c r="H142" s="62">
        <f t="shared" si="1"/>
        <v>-63680.79</v>
      </c>
      <c r="I142" s="3"/>
      <c r="J142" s="1"/>
    </row>
    <row r="143" spans="1:10" s="9" customFormat="1" x14ac:dyDescent="0.25">
      <c r="A143" s="63"/>
      <c r="B143" s="46"/>
      <c r="C143" s="64"/>
      <c r="D143" s="22"/>
      <c r="E143" s="21"/>
      <c r="F143" s="22"/>
      <c r="G143" s="21"/>
      <c r="H143" s="70"/>
      <c r="J143" s="1"/>
    </row>
    <row r="144" spans="1:10" x14ac:dyDescent="0.25">
      <c r="B144" s="9"/>
      <c r="C144" s="9"/>
      <c r="D144" s="45">
        <f>SUM(D8:D143)</f>
        <v>-1435659.7500000002</v>
      </c>
      <c r="E144" s="45">
        <f>SUM(E8:E143)</f>
        <v>229364.12</v>
      </c>
      <c r="F144" s="45">
        <f>SUM(F8:F143)</f>
        <v>-28433.84</v>
      </c>
      <c r="G144" s="45">
        <f>SUM(G6:G143)</f>
        <v>-731830.41</v>
      </c>
      <c r="H144" s="45">
        <f>SUM(H6:H143)</f>
        <v>-497929.58999999997</v>
      </c>
      <c r="J144" s="1"/>
    </row>
    <row r="145" spans="2:10" x14ac:dyDescent="0.25">
      <c r="B145" s="9"/>
      <c r="C145" s="9"/>
      <c r="D145" s="2"/>
      <c r="E145" s="2"/>
      <c r="F145" s="2"/>
      <c r="G145" s="1">
        <f>G144*-1</f>
        <v>731830.41</v>
      </c>
      <c r="H145" s="2"/>
    </row>
    <row r="146" spans="2:10" ht="45" x14ac:dyDescent="0.25">
      <c r="B146" s="9"/>
      <c r="C146" s="9" t="s">
        <v>6</v>
      </c>
      <c r="D146" s="11"/>
      <c r="E146" s="68">
        <v>229364.12</v>
      </c>
      <c r="F146" s="8">
        <v>-28433.84</v>
      </c>
      <c r="G146" s="9"/>
      <c r="H146" s="8">
        <v>-497929.59</v>
      </c>
      <c r="I146" s="85" t="s">
        <v>174</v>
      </c>
      <c r="J146" s="1" t="s">
        <v>120</v>
      </c>
    </row>
    <row r="147" spans="2:10" x14ac:dyDescent="0.25">
      <c r="B147" s="9"/>
      <c r="C147" s="9" t="s">
        <v>28</v>
      </c>
      <c r="D147" s="10"/>
      <c r="E147" s="10">
        <f>E144-E146</f>
        <v>0</v>
      </c>
      <c r="F147" s="10">
        <f>F144-F146</f>
        <v>0</v>
      </c>
      <c r="G147" s="10"/>
      <c r="H147" s="10">
        <f>H144-H146</f>
        <v>0</v>
      </c>
      <c r="J147" s="1"/>
    </row>
    <row r="148" spans="2:10" x14ac:dyDescent="0.25">
      <c r="B148" s="9"/>
      <c r="C148" s="9"/>
      <c r="D148" s="9"/>
      <c r="E148" s="9"/>
      <c r="F148" s="4"/>
      <c r="G148" s="20"/>
      <c r="H148" s="1"/>
    </row>
    <row r="149" spans="2:10" x14ac:dyDescent="0.25">
      <c r="B149" s="9"/>
      <c r="C149" s="106" t="s">
        <v>30</v>
      </c>
      <c r="D149" s="107"/>
      <c r="E149" s="10"/>
      <c r="F149" s="12"/>
      <c r="G149" s="99"/>
      <c r="H149" s="19"/>
      <c r="J149" s="1"/>
    </row>
    <row r="150" spans="2:10" x14ac:dyDescent="0.25">
      <c r="B150" s="9"/>
      <c r="C150" s="28" t="s">
        <v>150</v>
      </c>
      <c r="D150" s="61">
        <f>F78</f>
        <v>0</v>
      </c>
      <c r="E150" s="9"/>
      <c r="F150" s="99"/>
      <c r="G150" s="99"/>
      <c r="H150" s="19"/>
      <c r="J150" s="1"/>
    </row>
    <row r="151" spans="2:10" x14ac:dyDescent="0.25">
      <c r="B151" s="9"/>
      <c r="C151" s="29" t="s">
        <v>27</v>
      </c>
      <c r="D151" s="42">
        <f>+F123+E80+F129+E137</f>
        <v>-15049.01</v>
      </c>
      <c r="E151" s="9"/>
      <c r="F151" s="99"/>
      <c r="G151" s="99"/>
      <c r="H151" s="19"/>
      <c r="J151" s="1"/>
    </row>
    <row r="152" spans="2:10" x14ac:dyDescent="0.25">
      <c r="B152" s="9"/>
      <c r="C152" s="29" t="s">
        <v>33</v>
      </c>
      <c r="D152" s="55">
        <f>+E138</f>
        <v>67613.259999999995</v>
      </c>
      <c r="E152" s="59"/>
      <c r="F152" s="99"/>
      <c r="G152" s="99" t="s">
        <v>25</v>
      </c>
      <c r="H152" s="19"/>
      <c r="J152" s="1"/>
    </row>
    <row r="153" spans="2:10" ht="15.75" thickBot="1" x14ac:dyDescent="0.3">
      <c r="C153" s="30" t="s">
        <v>38</v>
      </c>
      <c r="D153" s="80">
        <f>+E139</f>
        <v>148366.03</v>
      </c>
      <c r="F153" s="99"/>
      <c r="G153" s="99"/>
      <c r="H153" s="43"/>
      <c r="J153" s="1"/>
    </row>
    <row r="154" spans="2:10" x14ac:dyDescent="0.25">
      <c r="C154" s="31"/>
      <c r="D154" s="32">
        <f>SUM(D150:D153)</f>
        <v>200930.28</v>
      </c>
      <c r="F154" s="12"/>
      <c r="G154" s="99"/>
      <c r="H154" s="43"/>
    </row>
    <row r="155" spans="2:10" x14ac:dyDescent="0.25">
      <c r="C155" s="18"/>
      <c r="D155" s="19"/>
      <c r="F155" s="12"/>
      <c r="G155" s="99"/>
      <c r="H155" s="43"/>
    </row>
    <row r="156" spans="2:10" x14ac:dyDescent="0.25">
      <c r="C156" s="92" t="s">
        <v>165</v>
      </c>
      <c r="D156" s="19">
        <f>(E146+F146)-D154</f>
        <v>0</v>
      </c>
      <c r="F156" s="18"/>
      <c r="G156" s="99"/>
      <c r="H156" s="43"/>
    </row>
    <row r="157" spans="2:10" x14ac:dyDescent="0.25">
      <c r="C157" s="18"/>
      <c r="D157" s="19"/>
      <c r="F157" s="18"/>
      <c r="G157" s="99"/>
      <c r="H157" s="43"/>
    </row>
    <row r="158" spans="2:10" x14ac:dyDescent="0.25">
      <c r="F158" s="18"/>
      <c r="G158" s="99"/>
      <c r="H158" s="43"/>
    </row>
    <row r="159" spans="2:10" x14ac:dyDescent="0.25">
      <c r="F159" s="18"/>
      <c r="G159" s="99"/>
      <c r="H159" s="43"/>
    </row>
    <row r="160" spans="2:10" x14ac:dyDescent="0.25">
      <c r="F160" s="18"/>
      <c r="G160" s="99"/>
      <c r="H160" s="43"/>
    </row>
    <row r="161" spans="6:8" x14ac:dyDescent="0.25">
      <c r="F161" s="18"/>
      <c r="G161" s="99"/>
      <c r="H161" s="43"/>
    </row>
    <row r="162" spans="6:8" x14ac:dyDescent="0.25">
      <c r="F162" s="18"/>
      <c r="G162" s="18"/>
      <c r="H162" s="18"/>
    </row>
  </sheetData>
  <autoFilter ref="A5:K154">
    <filterColumn colId="0" showButton="0"/>
  </autoFilter>
  <mergeCells count="4">
    <mergeCell ref="A5:B5"/>
    <mergeCell ref="A6:B6"/>
    <mergeCell ref="A7:B7"/>
    <mergeCell ref="C149:D149"/>
  </mergeCells>
  <pageMargins left="0.7" right="0.7" top="0.5" bottom="0.5" header="0.3" footer="0.3"/>
  <pageSetup scale="54" fitToHeight="0" orientation="portrait" r:id="rId1"/>
  <headerFooter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opLeftCell="D1" zoomScale="90" zoomScaleNormal="90" workbookViewId="0">
      <pane ySplit="5" topLeftCell="A134" activePane="bottomLeft" state="frozen"/>
      <selection activeCell="C1" sqref="C1"/>
      <selection pane="bottomLeft" activeCell="D121" sqref="D121"/>
    </sheetView>
  </sheetViews>
  <sheetFormatPr defaultColWidth="9.140625" defaultRowHeight="15" x14ac:dyDescent="0.25"/>
  <cols>
    <col min="1" max="1" width="13.85546875" style="7" customWidth="1"/>
    <col min="2" max="2" width="8.7109375" style="7" customWidth="1"/>
    <col min="3" max="3" width="57" style="7" customWidth="1"/>
    <col min="4" max="4" width="16.28515625" style="7" customWidth="1"/>
    <col min="5" max="5" width="17.7109375" style="7" customWidth="1"/>
    <col min="6" max="6" width="17.28515625" style="7" customWidth="1"/>
    <col min="7" max="7" width="21.7109375" style="7" bestFit="1" customWidth="1"/>
    <col min="8" max="8" width="15.7109375" style="7" customWidth="1"/>
    <col min="9" max="9" width="16.42578125" style="7" customWidth="1"/>
    <col min="10" max="10" width="43.140625" style="7" customWidth="1"/>
    <col min="11" max="11" width="26" style="7" customWidth="1"/>
    <col min="12" max="16384" width="9.140625" style="7"/>
  </cols>
  <sheetData>
    <row r="1" spans="1:10" ht="21" x14ac:dyDescent="0.35">
      <c r="A1" s="58" t="s">
        <v>22</v>
      </c>
    </row>
    <row r="2" spans="1:10" ht="21" x14ac:dyDescent="0.35">
      <c r="A2" s="60" t="s">
        <v>24</v>
      </c>
      <c r="E2" s="14"/>
      <c r="F2" s="14"/>
    </row>
    <row r="3" spans="1:10" ht="21" x14ac:dyDescent="0.35">
      <c r="A3" s="58" t="s">
        <v>12</v>
      </c>
      <c r="B3" s="9"/>
      <c r="D3" s="1"/>
      <c r="E3" s="9"/>
      <c r="F3" s="9"/>
      <c r="G3" s="9"/>
      <c r="H3" s="9"/>
    </row>
    <row r="4" spans="1:10" ht="30.6" customHeight="1" x14ac:dyDescent="0.25">
      <c r="A4" s="50"/>
      <c r="B4" s="18"/>
      <c r="C4" s="51"/>
      <c r="D4" s="47" t="s">
        <v>1</v>
      </c>
      <c r="E4" s="57" t="s">
        <v>32</v>
      </c>
      <c r="F4" s="57" t="s">
        <v>31</v>
      </c>
      <c r="G4" s="52" t="s">
        <v>36</v>
      </c>
      <c r="H4" s="47" t="s">
        <v>2</v>
      </c>
    </row>
    <row r="5" spans="1:10" ht="15.75" thickBot="1" x14ac:dyDescent="0.3">
      <c r="A5" s="104" t="s">
        <v>29</v>
      </c>
      <c r="B5" s="104"/>
      <c r="C5" s="49" t="s">
        <v>3</v>
      </c>
      <c r="D5" s="48" t="s">
        <v>4</v>
      </c>
      <c r="E5" s="48" t="s">
        <v>5</v>
      </c>
      <c r="F5" s="48" t="s">
        <v>5</v>
      </c>
      <c r="G5" s="53" t="s">
        <v>172</v>
      </c>
      <c r="H5" s="48" t="s">
        <v>4</v>
      </c>
    </row>
    <row r="6" spans="1:10" x14ac:dyDescent="0.25">
      <c r="A6" s="105" t="s">
        <v>15</v>
      </c>
      <c r="B6" s="105"/>
      <c r="C6" s="23" t="s">
        <v>145</v>
      </c>
      <c r="D6" s="17">
        <f>1148.11+7643.37+1151.59+7639.89+1155.09+7636.39+1158.59+7632.89+1162.1+7629.38+1165.63+7625.85+1169.16+7622.32+1172.71+7618.77</f>
        <v>70331.839999999997</v>
      </c>
      <c r="E6" s="47"/>
      <c r="F6" s="34"/>
      <c r="G6" s="74">
        <v>26374.44</v>
      </c>
      <c r="H6" s="12">
        <f>D6-G6</f>
        <v>43957.399999999994</v>
      </c>
      <c r="I6" s="6"/>
    </row>
    <row r="7" spans="1:10" hidden="1" x14ac:dyDescent="0.25">
      <c r="A7" s="105" t="s">
        <v>15</v>
      </c>
      <c r="B7" s="105"/>
      <c r="C7" s="23" t="s">
        <v>78</v>
      </c>
      <c r="D7" s="17">
        <f>11199.33+11199.33+11199.33+11199.33+11199.33+11199.33+11199.33+11199.33+11199.33+1906.78+6492.72+1141.18+7650.3+1144.64+7646.84</f>
        <v>126776.43</v>
      </c>
      <c r="E7" s="47"/>
      <c r="F7" s="34"/>
      <c r="G7" s="74">
        <f>55996.65+61988.3+8791.48</f>
        <v>126776.43000000001</v>
      </c>
      <c r="H7" s="12">
        <f>D7-G7</f>
        <v>0</v>
      </c>
      <c r="I7" s="6"/>
    </row>
    <row r="8" spans="1:10" s="9" customFormat="1" ht="13.9" hidden="1" customHeight="1" x14ac:dyDescent="0.25">
      <c r="A8" s="27">
        <v>43982</v>
      </c>
      <c r="B8" s="9" t="s">
        <v>10</v>
      </c>
      <c r="C8" s="35" t="s">
        <v>101</v>
      </c>
      <c r="D8" s="17">
        <f>6657.07-246.45</f>
        <v>6410.62</v>
      </c>
      <c r="E8" s="5"/>
      <c r="F8" s="17">
        <f>-6657.07+246.45+6410.62</f>
        <v>0</v>
      </c>
      <c r="G8" s="11">
        <f>6657.07-246.45</f>
        <v>6410.62</v>
      </c>
      <c r="H8" s="62">
        <f t="shared" ref="H8:H127" si="0">D8-G8</f>
        <v>0</v>
      </c>
      <c r="I8" s="3"/>
      <c r="J8" s="1"/>
    </row>
    <row r="9" spans="1:10" s="9" customFormat="1" ht="13.9" hidden="1" customHeight="1" x14ac:dyDescent="0.25">
      <c r="A9" s="27">
        <v>43982</v>
      </c>
      <c r="B9" s="9" t="s">
        <v>10</v>
      </c>
      <c r="C9" s="35" t="s">
        <v>102</v>
      </c>
      <c r="D9" s="17">
        <f>-39806.95+23.74</f>
        <v>-39783.21</v>
      </c>
      <c r="E9" s="5">
        <f>39806.95-23.74-39783.21</f>
        <v>0</v>
      </c>
      <c r="F9" s="17"/>
      <c r="G9" s="11">
        <f>-39806.95+23.74</f>
        <v>-39783.21</v>
      </c>
      <c r="H9" s="62">
        <f t="shared" si="0"/>
        <v>0</v>
      </c>
      <c r="I9" s="3"/>
      <c r="J9" s="1"/>
    </row>
    <row r="10" spans="1:10" s="9" customFormat="1" ht="13.9" hidden="1" customHeight="1" x14ac:dyDescent="0.25">
      <c r="A10" s="27">
        <v>43982</v>
      </c>
      <c r="B10" s="9" t="s">
        <v>10</v>
      </c>
      <c r="C10" s="35" t="s">
        <v>103</v>
      </c>
      <c r="D10" s="17">
        <f>-27747.51-275.24</f>
        <v>-28022.75</v>
      </c>
      <c r="E10" s="5">
        <f>27747.51+275.24-28022.75</f>
        <v>0</v>
      </c>
      <c r="F10" s="17"/>
      <c r="G10" s="11">
        <f>-27747.51-275.24</f>
        <v>-28022.75</v>
      </c>
      <c r="H10" s="62">
        <f t="shared" si="0"/>
        <v>0</v>
      </c>
      <c r="I10" s="3"/>
      <c r="J10" s="1"/>
    </row>
    <row r="11" spans="1:10" s="9" customFormat="1" ht="13.9" hidden="1" customHeight="1" x14ac:dyDescent="0.25">
      <c r="A11" s="27">
        <v>43982</v>
      </c>
      <c r="B11" s="9" t="s">
        <v>10</v>
      </c>
      <c r="C11" s="35" t="s">
        <v>34</v>
      </c>
      <c r="D11" s="17">
        <f>-25900.51-29.59</f>
        <v>-25930.1</v>
      </c>
      <c r="E11" s="5"/>
      <c r="F11" s="17"/>
      <c r="G11" s="11">
        <f>-25900.51-29.59</f>
        <v>-25930.1</v>
      </c>
      <c r="H11" s="62">
        <f t="shared" si="0"/>
        <v>0</v>
      </c>
      <c r="I11" s="3"/>
      <c r="J11" s="1"/>
    </row>
    <row r="12" spans="1:10" s="9" customFormat="1" ht="13.9" hidden="1" customHeight="1" x14ac:dyDescent="0.25">
      <c r="A12" s="27">
        <v>43982</v>
      </c>
      <c r="B12" s="9" t="s">
        <v>10</v>
      </c>
      <c r="C12" s="35" t="s">
        <v>35</v>
      </c>
      <c r="D12" s="17">
        <f>-33642.7+9266.09</f>
        <v>-24376.609999999997</v>
      </c>
      <c r="E12" s="5"/>
      <c r="F12" s="17"/>
      <c r="G12" s="11">
        <f>-33642.7+9266.09</f>
        <v>-24376.609999999997</v>
      </c>
      <c r="H12" s="62">
        <f t="shared" si="0"/>
        <v>0</v>
      </c>
      <c r="I12" s="3"/>
      <c r="J12" s="1"/>
    </row>
    <row r="13" spans="1:10" s="9" customFormat="1" ht="13.9" hidden="1" customHeight="1" x14ac:dyDescent="0.25">
      <c r="A13" s="27">
        <v>44012</v>
      </c>
      <c r="B13" s="9" t="s">
        <v>10</v>
      </c>
      <c r="C13" s="35" t="s">
        <v>105</v>
      </c>
      <c r="D13" s="17">
        <f>-6884.15+353.43</f>
        <v>-6530.7199999999993</v>
      </c>
      <c r="E13" s="5">
        <f>6884.15-353.43-6530.72</f>
        <v>0</v>
      </c>
      <c r="F13" s="17"/>
      <c r="G13" s="11">
        <v>-6530.7199999999993</v>
      </c>
      <c r="H13" s="62">
        <f t="shared" si="0"/>
        <v>0</v>
      </c>
      <c r="I13" s="3"/>
      <c r="J13" s="1"/>
    </row>
    <row r="14" spans="1:10" s="9" customFormat="1" ht="13.9" hidden="1" customHeight="1" x14ac:dyDescent="0.25">
      <c r="A14" s="27">
        <v>44012</v>
      </c>
      <c r="B14" s="9" t="s">
        <v>10</v>
      </c>
      <c r="C14" s="35" t="s">
        <v>106</v>
      </c>
      <c r="D14" s="17">
        <f>-30007.16+38.79</f>
        <v>-29968.37</v>
      </c>
      <c r="E14" s="5">
        <f>30007.16-38.79-29968.37</f>
        <v>0</v>
      </c>
      <c r="F14" s="17"/>
      <c r="G14" s="11">
        <v>-29968.37</v>
      </c>
      <c r="H14" s="62">
        <f t="shared" si="0"/>
        <v>0</v>
      </c>
      <c r="I14" s="3"/>
      <c r="J14" s="1"/>
    </row>
    <row r="15" spans="1:10" s="9" customFormat="1" ht="13.9" hidden="1" customHeight="1" x14ac:dyDescent="0.25">
      <c r="A15" s="27">
        <v>44012</v>
      </c>
      <c r="B15" s="9" t="s">
        <v>10</v>
      </c>
      <c r="C15" s="35" t="s">
        <v>107</v>
      </c>
      <c r="D15" s="17">
        <f>-45333.66-2312.7</f>
        <v>-47646.36</v>
      </c>
      <c r="E15" s="5">
        <f>45333.66+2312.7-47646.36</f>
        <v>0</v>
      </c>
      <c r="F15" s="17"/>
      <c r="G15" s="11">
        <v>-47646.36</v>
      </c>
      <c r="H15" s="62">
        <f t="shared" si="0"/>
        <v>0</v>
      </c>
      <c r="I15" s="3"/>
      <c r="J15" s="1"/>
    </row>
    <row r="16" spans="1:10" s="9" customFormat="1" ht="13.9" hidden="1" customHeight="1" x14ac:dyDescent="0.25">
      <c r="A16" s="27">
        <v>44012</v>
      </c>
      <c r="B16" s="9" t="s">
        <v>10</v>
      </c>
      <c r="C16" s="35" t="s">
        <v>104</v>
      </c>
      <c r="D16" s="17">
        <v>24376.61</v>
      </c>
      <c r="E16" s="5"/>
      <c r="F16" s="17"/>
      <c r="G16" s="11">
        <v>24376.61</v>
      </c>
      <c r="H16" s="62">
        <f t="shared" si="0"/>
        <v>0</v>
      </c>
      <c r="I16" s="3"/>
      <c r="J16" s="1"/>
    </row>
    <row r="17" spans="1:10" s="9" customFormat="1" ht="13.9" hidden="1" customHeight="1" x14ac:dyDescent="0.25">
      <c r="A17" s="27">
        <v>44012</v>
      </c>
      <c r="B17" s="9" t="s">
        <v>10</v>
      </c>
      <c r="C17" s="35" t="s">
        <v>39</v>
      </c>
      <c r="D17" s="17">
        <v>-2833.36</v>
      </c>
      <c r="E17" s="5"/>
      <c r="F17" s="17"/>
      <c r="G17" s="11">
        <v>-2833.36</v>
      </c>
      <c r="H17" s="62">
        <f t="shared" si="0"/>
        <v>0</v>
      </c>
      <c r="I17" s="3"/>
      <c r="J17" s="1"/>
    </row>
    <row r="18" spans="1:10" s="9" customFormat="1" ht="13.9" hidden="1" customHeight="1" x14ac:dyDescent="0.25">
      <c r="A18" s="27">
        <v>44012</v>
      </c>
      <c r="B18" s="9" t="s">
        <v>10</v>
      </c>
      <c r="C18" s="35" t="s">
        <v>34</v>
      </c>
      <c r="D18" s="17">
        <f>382.03-0.01</f>
        <v>382.02</v>
      </c>
      <c r="E18" s="5"/>
      <c r="F18" s="17"/>
      <c r="G18" s="11">
        <v>382.02</v>
      </c>
      <c r="H18" s="62">
        <f t="shared" si="0"/>
        <v>0</v>
      </c>
      <c r="I18" s="3"/>
      <c r="J18" s="1"/>
    </row>
    <row r="19" spans="1:10" s="9" customFormat="1" ht="13.9" hidden="1" customHeight="1" x14ac:dyDescent="0.25">
      <c r="A19" s="27">
        <v>44012</v>
      </c>
      <c r="B19" s="9" t="s">
        <v>10</v>
      </c>
      <c r="C19" s="35" t="s">
        <v>35</v>
      </c>
      <c r="D19" s="17">
        <v>-33642.699999999997</v>
      </c>
      <c r="E19" s="5"/>
      <c r="F19" s="17"/>
      <c r="G19" s="11">
        <v>-33642.699999999997</v>
      </c>
      <c r="H19" s="62">
        <f t="shared" si="0"/>
        <v>0</v>
      </c>
      <c r="I19" s="3"/>
      <c r="J19" s="1"/>
    </row>
    <row r="20" spans="1:10" s="9" customFormat="1" ht="13.9" hidden="1" customHeight="1" x14ac:dyDescent="0.25">
      <c r="A20" s="27">
        <v>44043</v>
      </c>
      <c r="B20" s="9" t="s">
        <v>13</v>
      </c>
      <c r="C20" s="35" t="s">
        <v>108</v>
      </c>
      <c r="D20" s="17">
        <f>-83244.29-875.23</f>
        <v>-84119.51999999999</v>
      </c>
      <c r="E20" s="5">
        <f>83244.29+875.23-84119.52</f>
        <v>0</v>
      </c>
      <c r="F20" s="17"/>
      <c r="G20" s="11">
        <v>-84119.51999999999</v>
      </c>
      <c r="H20" s="62">
        <f t="shared" si="0"/>
        <v>0</v>
      </c>
      <c r="I20" s="3"/>
      <c r="J20" s="1"/>
    </row>
    <row r="21" spans="1:10" s="9" customFormat="1" ht="13.9" hidden="1" customHeight="1" x14ac:dyDescent="0.25">
      <c r="A21" s="27">
        <v>44043</v>
      </c>
      <c r="B21" s="9" t="s">
        <v>13</v>
      </c>
      <c r="C21" s="35" t="s">
        <v>109</v>
      </c>
      <c r="D21" s="17">
        <f>-25846.06-271.75</f>
        <v>-26117.81</v>
      </c>
      <c r="E21" s="5">
        <f>25846.06+271.75-26117.81</f>
        <v>0</v>
      </c>
      <c r="F21" s="17"/>
      <c r="G21" s="11">
        <v>-26117.81</v>
      </c>
      <c r="H21" s="62">
        <f t="shared" si="0"/>
        <v>0</v>
      </c>
      <c r="I21" s="3"/>
      <c r="J21" s="1"/>
    </row>
    <row r="22" spans="1:10" s="9" customFormat="1" ht="13.9" hidden="1" customHeight="1" x14ac:dyDescent="0.25">
      <c r="A22" s="27">
        <v>44043</v>
      </c>
      <c r="B22" s="9" t="s">
        <v>13</v>
      </c>
      <c r="C22" s="35" t="s">
        <v>110</v>
      </c>
      <c r="D22" s="17">
        <f>4826.49+671.36</f>
        <v>5497.8499999999995</v>
      </c>
      <c r="E22" s="5"/>
      <c r="F22" s="17">
        <f>-4826.49-671.36+5497.85</f>
        <v>0</v>
      </c>
      <c r="G22" s="11">
        <v>5497.8499999999995</v>
      </c>
      <c r="H22" s="62">
        <f t="shared" si="0"/>
        <v>0</v>
      </c>
      <c r="I22" s="3"/>
      <c r="J22" s="1"/>
    </row>
    <row r="23" spans="1:10" s="9" customFormat="1" ht="13.9" hidden="1" customHeight="1" x14ac:dyDescent="0.25">
      <c r="A23" s="27">
        <v>44043</v>
      </c>
      <c r="B23" s="9" t="s">
        <v>13</v>
      </c>
      <c r="C23" s="35" t="s">
        <v>37</v>
      </c>
      <c r="D23" s="17">
        <v>0</v>
      </c>
      <c r="E23" s="5"/>
      <c r="F23" s="17"/>
      <c r="G23" s="11">
        <v>0</v>
      </c>
      <c r="H23" s="62">
        <f t="shared" si="0"/>
        <v>0</v>
      </c>
      <c r="I23" s="3"/>
      <c r="J23" s="1"/>
    </row>
    <row r="24" spans="1:10" s="9" customFormat="1" ht="13.9" hidden="1" customHeight="1" x14ac:dyDescent="0.25">
      <c r="A24" s="27">
        <v>44043</v>
      </c>
      <c r="B24" s="9" t="s">
        <v>13</v>
      </c>
      <c r="C24" s="35" t="s">
        <v>111</v>
      </c>
      <c r="D24" s="17">
        <v>33642.699999999997</v>
      </c>
      <c r="E24" s="5"/>
      <c r="F24" s="17"/>
      <c r="G24" s="11">
        <v>33642.699999999997</v>
      </c>
      <c r="H24" s="62">
        <f t="shared" si="0"/>
        <v>0</v>
      </c>
      <c r="I24" s="3"/>
      <c r="J24" s="1"/>
    </row>
    <row r="25" spans="1:10" s="9" customFormat="1" ht="13.9" hidden="1" customHeight="1" x14ac:dyDescent="0.25">
      <c r="A25" s="27">
        <v>44043</v>
      </c>
      <c r="B25" s="9" t="s">
        <v>13</v>
      </c>
      <c r="C25" s="35" t="s">
        <v>39</v>
      </c>
      <c r="D25" s="17">
        <f>-2041.69+3208.37</f>
        <v>1166.6799999999998</v>
      </c>
      <c r="E25" s="5"/>
      <c r="F25" s="17"/>
      <c r="G25" s="11">
        <v>1166.6799999999998</v>
      </c>
      <c r="H25" s="62">
        <f t="shared" si="0"/>
        <v>0</v>
      </c>
      <c r="I25" s="3"/>
      <c r="J25" s="1"/>
    </row>
    <row r="26" spans="1:10" s="9" customFormat="1" ht="13.9" hidden="1" customHeight="1" x14ac:dyDescent="0.25">
      <c r="A26" s="27">
        <v>44043</v>
      </c>
      <c r="B26" s="9" t="s">
        <v>13</v>
      </c>
      <c r="C26" s="35" t="s">
        <v>34</v>
      </c>
      <c r="D26" s="17">
        <f>33893.09+757.05</f>
        <v>34650.14</v>
      </c>
      <c r="E26" s="5"/>
      <c r="F26" s="17"/>
      <c r="G26" s="11">
        <v>34650.14</v>
      </c>
      <c r="H26" s="62">
        <f t="shared" si="0"/>
        <v>0</v>
      </c>
      <c r="I26" s="3"/>
      <c r="J26" s="1"/>
    </row>
    <row r="27" spans="1:10" s="9" customFormat="1" ht="13.9" hidden="1" customHeight="1" x14ac:dyDescent="0.25">
      <c r="A27" s="27">
        <v>44043</v>
      </c>
      <c r="B27" s="9" t="s">
        <v>13</v>
      </c>
      <c r="C27" s="35" t="s">
        <v>35</v>
      </c>
      <c r="D27" s="17">
        <v>-40947.879999999997</v>
      </c>
      <c r="E27" s="5"/>
      <c r="F27" s="17"/>
      <c r="G27" s="11">
        <v>-40947.879999999997</v>
      </c>
      <c r="H27" s="62">
        <f t="shared" si="0"/>
        <v>0</v>
      </c>
      <c r="I27" s="3"/>
      <c r="J27" s="1"/>
    </row>
    <row r="28" spans="1:10" s="9" customFormat="1" ht="13.9" hidden="1" customHeight="1" x14ac:dyDescent="0.25">
      <c r="A28" s="27">
        <v>44074</v>
      </c>
      <c r="B28" s="18" t="s">
        <v>13</v>
      </c>
      <c r="C28" s="65" t="s">
        <v>112</v>
      </c>
      <c r="D28" s="17">
        <f>-108715.97+13701.77</f>
        <v>-95014.2</v>
      </c>
      <c r="E28" s="5">
        <f>108715.97-13701.77-95014.2</f>
        <v>0</v>
      </c>
      <c r="F28" s="17"/>
      <c r="G28" s="11">
        <v>-95014.2</v>
      </c>
      <c r="H28" s="62">
        <f t="shared" si="0"/>
        <v>0</v>
      </c>
      <c r="I28" s="3"/>
      <c r="J28" s="1"/>
    </row>
    <row r="29" spans="1:10" s="9" customFormat="1" ht="13.9" hidden="1" customHeight="1" x14ac:dyDescent="0.25">
      <c r="A29" s="27">
        <v>44074</v>
      </c>
      <c r="B29" s="18" t="s">
        <v>13</v>
      </c>
      <c r="C29" s="65" t="s">
        <v>113</v>
      </c>
      <c r="D29" s="17">
        <f>-52697.04+39912.35</f>
        <v>-12784.690000000002</v>
      </c>
      <c r="E29" s="5">
        <f>52697.04-39912.35-12784.69</f>
        <v>0</v>
      </c>
      <c r="F29" s="17"/>
      <c r="G29" s="11">
        <v>-12784.690000000002</v>
      </c>
      <c r="H29" s="62">
        <f t="shared" si="0"/>
        <v>0</v>
      </c>
      <c r="I29" s="3"/>
      <c r="J29" s="1"/>
    </row>
    <row r="30" spans="1:10" s="9" customFormat="1" ht="13.9" hidden="1" customHeight="1" x14ac:dyDescent="0.25">
      <c r="A30" s="27">
        <v>44074</v>
      </c>
      <c r="B30" s="18" t="s">
        <v>13</v>
      </c>
      <c r="C30" s="65" t="s">
        <v>114</v>
      </c>
      <c r="D30" s="17">
        <f>4362.1-1.63</f>
        <v>4360.47</v>
      </c>
      <c r="E30" s="5"/>
      <c r="F30" s="17">
        <f>-4362.1+1.63+4360.47</f>
        <v>0</v>
      </c>
      <c r="G30" s="11">
        <v>4360.47</v>
      </c>
      <c r="H30" s="62">
        <f t="shared" si="0"/>
        <v>0</v>
      </c>
      <c r="I30" s="3"/>
      <c r="J30" s="1"/>
    </row>
    <row r="31" spans="1:10" s="9" customFormat="1" ht="13.9" hidden="1" customHeight="1" x14ac:dyDescent="0.25">
      <c r="A31" s="27">
        <v>44074</v>
      </c>
      <c r="B31" s="18" t="s">
        <v>13</v>
      </c>
      <c r="C31" s="65" t="s">
        <v>37</v>
      </c>
      <c r="D31" s="17">
        <v>0</v>
      </c>
      <c r="E31" s="5"/>
      <c r="F31" s="17"/>
      <c r="G31" s="11">
        <v>0</v>
      </c>
      <c r="H31" s="62">
        <f t="shared" si="0"/>
        <v>0</v>
      </c>
      <c r="I31" s="3"/>
      <c r="J31" s="1"/>
    </row>
    <row r="32" spans="1:10" s="9" customFormat="1" ht="13.9" hidden="1" customHeight="1" x14ac:dyDescent="0.25">
      <c r="A32" s="27">
        <v>44074</v>
      </c>
      <c r="B32" s="18" t="s">
        <v>13</v>
      </c>
      <c r="C32" s="65" t="s">
        <v>115</v>
      </c>
      <c r="D32" s="17">
        <v>40947.879999999997</v>
      </c>
      <c r="E32" s="5"/>
      <c r="F32" s="17"/>
      <c r="G32" s="11">
        <v>40947.879999999997</v>
      </c>
      <c r="H32" s="62">
        <f t="shared" si="0"/>
        <v>0</v>
      </c>
      <c r="I32" s="3"/>
      <c r="J32" s="1"/>
    </row>
    <row r="33" spans="1:10" s="9" customFormat="1" ht="13.9" hidden="1" customHeight="1" x14ac:dyDescent="0.25">
      <c r="A33" s="27">
        <v>44074</v>
      </c>
      <c r="B33" s="18" t="s">
        <v>13</v>
      </c>
      <c r="C33" s="65" t="s">
        <v>127</v>
      </c>
      <c r="D33" s="17">
        <v>-1958.35</v>
      </c>
      <c r="E33" s="5"/>
      <c r="F33" s="17"/>
      <c r="G33" s="11">
        <v>-1958.35</v>
      </c>
      <c r="H33" s="62">
        <f t="shared" si="0"/>
        <v>0</v>
      </c>
      <c r="I33" s="3"/>
      <c r="J33" s="1"/>
    </row>
    <row r="34" spans="1:10" s="9" customFormat="1" ht="13.9" hidden="1" customHeight="1" x14ac:dyDescent="0.25">
      <c r="A34" s="27">
        <v>44074</v>
      </c>
      <c r="B34" s="18" t="s">
        <v>13</v>
      </c>
      <c r="C34" s="65" t="s">
        <v>128</v>
      </c>
      <c r="D34" s="17">
        <f>-14987.39+14229.62</f>
        <v>-757.76999999999862</v>
      </c>
      <c r="E34" s="5"/>
      <c r="F34" s="17"/>
      <c r="G34" s="11">
        <v>-757.76999999999862</v>
      </c>
      <c r="H34" s="62">
        <f t="shared" si="0"/>
        <v>0</v>
      </c>
      <c r="I34" s="3"/>
      <c r="J34" s="1"/>
    </row>
    <row r="35" spans="1:10" s="9" customFormat="1" ht="13.9" hidden="1" customHeight="1" x14ac:dyDescent="0.25">
      <c r="A35" s="27">
        <v>44074</v>
      </c>
      <c r="B35" s="18" t="s">
        <v>13</v>
      </c>
      <c r="C35" s="65" t="s">
        <v>129</v>
      </c>
      <c r="D35" s="17">
        <f>-37867.09</f>
        <v>-37867.089999999997</v>
      </c>
      <c r="E35" s="5"/>
      <c r="F35" s="17"/>
      <c r="G35" s="11">
        <v>-37867.089999999997</v>
      </c>
      <c r="H35" s="62">
        <f t="shared" si="0"/>
        <v>0</v>
      </c>
      <c r="I35" s="3"/>
      <c r="J35" s="1"/>
    </row>
    <row r="36" spans="1:10" s="9" customFormat="1" ht="13.9" hidden="1" customHeight="1" x14ac:dyDescent="0.25">
      <c r="A36" s="27">
        <v>44074</v>
      </c>
      <c r="B36" s="18" t="s">
        <v>13</v>
      </c>
      <c r="C36" s="65" t="s">
        <v>130</v>
      </c>
      <c r="D36" s="17">
        <v>-135.47999999999999</v>
      </c>
      <c r="E36" s="5"/>
      <c r="F36" s="17"/>
      <c r="G36" s="11">
        <v>-135.47999999999999</v>
      </c>
      <c r="H36" s="62">
        <f t="shared" si="0"/>
        <v>0</v>
      </c>
      <c r="I36" s="3"/>
      <c r="J36" s="1"/>
    </row>
    <row r="37" spans="1:10" s="9" customFormat="1" ht="13.9" hidden="1" customHeight="1" x14ac:dyDescent="0.25">
      <c r="A37" s="27">
        <v>44104</v>
      </c>
      <c r="B37" s="18" t="s">
        <v>13</v>
      </c>
      <c r="C37" s="65" t="s">
        <v>117</v>
      </c>
      <c r="D37" s="17">
        <f>-37463.1+1902.1</f>
        <v>-35561</v>
      </c>
      <c r="E37" s="5">
        <f>37463.1-1902.1-35561</f>
        <v>0</v>
      </c>
      <c r="F37" s="17"/>
      <c r="G37" s="11">
        <v>-35561</v>
      </c>
      <c r="H37" s="62">
        <f t="shared" si="0"/>
        <v>0</v>
      </c>
      <c r="I37" s="3"/>
      <c r="J37" s="1"/>
    </row>
    <row r="38" spans="1:10" s="9" customFormat="1" ht="13.9" hidden="1" customHeight="1" x14ac:dyDescent="0.25">
      <c r="A38" s="27">
        <v>44104</v>
      </c>
      <c r="B38" s="18" t="s">
        <v>13</v>
      </c>
      <c r="C38" s="65" t="s">
        <v>118</v>
      </c>
      <c r="D38" s="17">
        <f>-11819.68+600.12</f>
        <v>-11219.56</v>
      </c>
      <c r="E38" s="5">
        <f>11819.68-600.12-11219.56</f>
        <v>0</v>
      </c>
      <c r="F38" s="17"/>
      <c r="G38" s="11">
        <v>-11219.56</v>
      </c>
      <c r="H38" s="62">
        <f t="shared" si="0"/>
        <v>0</v>
      </c>
      <c r="I38" s="3"/>
      <c r="J38" s="1"/>
    </row>
    <row r="39" spans="1:10" s="9" customFormat="1" ht="13.9" hidden="1" customHeight="1" x14ac:dyDescent="0.25">
      <c r="A39" s="27">
        <v>44104</v>
      </c>
      <c r="B39" s="18" t="s">
        <v>13</v>
      </c>
      <c r="C39" s="65" t="s">
        <v>119</v>
      </c>
      <c r="D39" s="17">
        <v>20528.650000000001</v>
      </c>
      <c r="E39" s="5"/>
      <c r="F39" s="17">
        <f>-20528.65+20528.65</f>
        <v>0</v>
      </c>
      <c r="G39" s="11">
        <v>20528.650000000001</v>
      </c>
      <c r="H39" s="62">
        <f t="shared" si="0"/>
        <v>0</v>
      </c>
      <c r="I39" s="3"/>
      <c r="J39" s="1"/>
    </row>
    <row r="40" spans="1:10" s="9" customFormat="1" ht="13.9" hidden="1" customHeight="1" x14ac:dyDescent="0.25">
      <c r="A40" s="27">
        <v>44104</v>
      </c>
      <c r="B40" s="18" t="s">
        <v>13</v>
      </c>
      <c r="C40" s="65" t="s">
        <v>121</v>
      </c>
      <c r="D40" s="17">
        <v>37867.089999999997</v>
      </c>
      <c r="E40" s="5"/>
      <c r="F40" s="17"/>
      <c r="G40" s="11">
        <v>37867.089999999997</v>
      </c>
      <c r="H40" s="62">
        <f t="shared" si="0"/>
        <v>0</v>
      </c>
      <c r="I40" s="3"/>
      <c r="J40" s="1"/>
    </row>
    <row r="41" spans="1:10" s="9" customFormat="1" ht="13.9" hidden="1" customHeight="1" x14ac:dyDescent="0.25">
      <c r="A41" s="27">
        <v>44104</v>
      </c>
      <c r="B41" s="9" t="s">
        <v>13</v>
      </c>
      <c r="C41" s="35" t="s">
        <v>127</v>
      </c>
      <c r="D41" s="17">
        <v>-2000.02</v>
      </c>
      <c r="E41" s="5"/>
      <c r="F41" s="17"/>
      <c r="G41" s="11">
        <v>-2000.02</v>
      </c>
      <c r="H41" s="62">
        <f t="shared" si="0"/>
        <v>0</v>
      </c>
      <c r="I41" s="3"/>
      <c r="J41" s="1"/>
    </row>
    <row r="42" spans="1:10" s="9" customFormat="1" ht="13.9" hidden="1" customHeight="1" x14ac:dyDescent="0.25">
      <c r="A42" s="27">
        <v>44104</v>
      </c>
      <c r="B42" s="9" t="s">
        <v>13</v>
      </c>
      <c r="C42" s="35" t="s">
        <v>128</v>
      </c>
      <c r="D42" s="17">
        <v>-14372.82</v>
      </c>
      <c r="E42" s="5"/>
      <c r="F42" s="17"/>
      <c r="G42" s="11">
        <v>-14372.82</v>
      </c>
      <c r="H42" s="62">
        <f>D42-G42</f>
        <v>0</v>
      </c>
      <c r="I42" s="3"/>
      <c r="J42" s="1"/>
    </row>
    <row r="43" spans="1:10" s="9" customFormat="1" ht="13.9" hidden="1" customHeight="1" x14ac:dyDescent="0.25">
      <c r="A43" s="27">
        <v>44104</v>
      </c>
      <c r="B43" s="9" t="s">
        <v>13</v>
      </c>
      <c r="C43" s="35" t="s">
        <v>129</v>
      </c>
      <c r="D43" s="17">
        <v>-47238.51</v>
      </c>
      <c r="E43" s="5"/>
      <c r="F43" s="17"/>
      <c r="G43" s="11">
        <v>-47238.51</v>
      </c>
      <c r="H43" s="62">
        <f t="shared" si="0"/>
        <v>0</v>
      </c>
      <c r="I43" s="3"/>
      <c r="J43" s="1"/>
    </row>
    <row r="44" spans="1:10" s="9" customFormat="1" ht="13.9" hidden="1" customHeight="1" x14ac:dyDescent="0.25">
      <c r="A44" s="27">
        <v>44135</v>
      </c>
      <c r="B44" s="9" t="s">
        <v>18</v>
      </c>
      <c r="C44" s="35" t="s">
        <v>124</v>
      </c>
      <c r="D44" s="17">
        <f>64170.88+1365.58</f>
        <v>65536.459999999992</v>
      </c>
      <c r="E44" s="5"/>
      <c r="F44" s="17">
        <f>-64170.88-1365.58+65536.46</f>
        <v>0</v>
      </c>
      <c r="G44" s="11">
        <v>65536.459999999992</v>
      </c>
      <c r="H44" s="62">
        <f t="shared" si="0"/>
        <v>0</v>
      </c>
      <c r="I44" s="3"/>
      <c r="J44" s="1"/>
    </row>
    <row r="45" spans="1:10" s="9" customFormat="1" ht="13.9" hidden="1" customHeight="1" x14ac:dyDescent="0.25">
      <c r="A45" s="27">
        <v>44135</v>
      </c>
      <c r="B45" s="9" t="s">
        <v>18</v>
      </c>
      <c r="C45" s="35" t="s">
        <v>125</v>
      </c>
      <c r="D45" s="17">
        <f>-33917.68-1172.07</f>
        <v>-35089.75</v>
      </c>
      <c r="E45" s="5">
        <f>33917.68+1172.07-35089.75</f>
        <v>0</v>
      </c>
      <c r="F45" s="17"/>
      <c r="G45" s="11">
        <f>-33917.68-1172.07</f>
        <v>-35089.75</v>
      </c>
      <c r="H45" s="62">
        <f t="shared" si="0"/>
        <v>0</v>
      </c>
      <c r="I45" s="3"/>
      <c r="J45" s="1"/>
    </row>
    <row r="46" spans="1:10" s="9" customFormat="1" ht="13.9" hidden="1" customHeight="1" x14ac:dyDescent="0.25">
      <c r="A46" s="27">
        <v>44135</v>
      </c>
      <c r="B46" s="9" t="s">
        <v>18</v>
      </c>
      <c r="C46" s="35" t="s">
        <v>126</v>
      </c>
      <c r="D46" s="17">
        <f>10587.87+44.55</f>
        <v>10632.42</v>
      </c>
      <c r="E46" s="5"/>
      <c r="F46" s="17">
        <f>-10587.87-44.55+10632.42</f>
        <v>0</v>
      </c>
      <c r="G46" s="11">
        <v>10632.42</v>
      </c>
      <c r="H46" s="62">
        <f t="shared" si="0"/>
        <v>0</v>
      </c>
      <c r="I46" s="3"/>
      <c r="J46" s="1"/>
    </row>
    <row r="47" spans="1:10" s="9" customFormat="1" ht="13.9" hidden="1" customHeight="1" x14ac:dyDescent="0.25">
      <c r="A47" s="27">
        <v>44135</v>
      </c>
      <c r="B47" s="9" t="s">
        <v>18</v>
      </c>
      <c r="C47" s="35" t="s">
        <v>122</v>
      </c>
      <c r="D47" s="17">
        <v>300.42</v>
      </c>
      <c r="E47" s="5"/>
      <c r="F47" s="17"/>
      <c r="G47" s="11">
        <v>300.42</v>
      </c>
      <c r="H47" s="62">
        <f t="shared" si="0"/>
        <v>0</v>
      </c>
      <c r="I47" s="3"/>
      <c r="J47" s="1"/>
    </row>
    <row r="48" spans="1:10" s="9" customFormat="1" ht="13.9" hidden="1" customHeight="1" x14ac:dyDescent="0.25">
      <c r="A48" s="27">
        <v>44135</v>
      </c>
      <c r="B48" s="9" t="s">
        <v>18</v>
      </c>
      <c r="C48" s="35" t="s">
        <v>123</v>
      </c>
      <c r="D48" s="17">
        <v>47238.51</v>
      </c>
      <c r="E48" s="5"/>
      <c r="F48" s="17"/>
      <c r="G48" s="11">
        <v>47238.51</v>
      </c>
      <c r="H48" s="62">
        <f t="shared" si="0"/>
        <v>0</v>
      </c>
      <c r="I48" s="3"/>
      <c r="J48" s="1"/>
    </row>
    <row r="49" spans="1:10" s="9" customFormat="1" ht="13.9" hidden="1" customHeight="1" x14ac:dyDescent="0.25">
      <c r="A49" s="27">
        <v>44135</v>
      </c>
      <c r="B49" s="9" t="s">
        <v>18</v>
      </c>
      <c r="C49" s="35" t="s">
        <v>39</v>
      </c>
      <c r="D49" s="17">
        <v>-2041.72</v>
      </c>
      <c r="E49" s="5"/>
      <c r="F49" s="17"/>
      <c r="G49" s="11">
        <v>-2041.72</v>
      </c>
      <c r="H49" s="62">
        <f t="shared" si="0"/>
        <v>0</v>
      </c>
      <c r="I49" s="3"/>
      <c r="J49" s="1"/>
    </row>
    <row r="50" spans="1:10" s="9" customFormat="1" ht="13.9" hidden="1" customHeight="1" x14ac:dyDescent="0.25">
      <c r="A50" s="27">
        <v>44135</v>
      </c>
      <c r="B50" s="9" t="s">
        <v>18</v>
      </c>
      <c r="C50" s="35" t="s">
        <v>34</v>
      </c>
      <c r="D50" s="17">
        <v>-152373.14000000001</v>
      </c>
      <c r="E50" s="5"/>
      <c r="F50" s="17"/>
      <c r="G50" s="11">
        <v>-152373.14000000001</v>
      </c>
      <c r="H50" s="62">
        <f t="shared" si="0"/>
        <v>0</v>
      </c>
      <c r="I50" s="3"/>
      <c r="J50" s="1"/>
    </row>
    <row r="51" spans="1:10" s="9" customFormat="1" ht="13.9" hidden="1" customHeight="1" x14ac:dyDescent="0.25">
      <c r="A51" s="27">
        <v>44135</v>
      </c>
      <c r="B51" s="9" t="s">
        <v>18</v>
      </c>
      <c r="C51" s="35" t="s">
        <v>35</v>
      </c>
      <c r="D51" s="17">
        <v>-25801.4</v>
      </c>
      <c r="E51" s="5"/>
      <c r="F51" s="17"/>
      <c r="G51" s="11">
        <v>-25801.4</v>
      </c>
      <c r="H51" s="62">
        <f t="shared" si="0"/>
        <v>0</v>
      </c>
      <c r="I51" s="3"/>
      <c r="J51" s="1"/>
    </row>
    <row r="52" spans="1:10" s="9" customFormat="1" ht="13.9" hidden="1" customHeight="1" x14ac:dyDescent="0.25">
      <c r="A52" s="27">
        <v>44165</v>
      </c>
      <c r="B52" s="9" t="s">
        <v>18</v>
      </c>
      <c r="C52" s="35" t="s">
        <v>131</v>
      </c>
      <c r="D52" s="17">
        <f>-79402.45-127.71</f>
        <v>-79530.16</v>
      </c>
      <c r="E52" s="5">
        <f>127.71+79402.45-79530.16</f>
        <v>0</v>
      </c>
      <c r="F52" s="17"/>
      <c r="G52" s="11">
        <f>-79402.45-127.71</f>
        <v>-79530.16</v>
      </c>
      <c r="H52" s="62">
        <f t="shared" si="0"/>
        <v>0</v>
      </c>
      <c r="I52" s="3"/>
      <c r="J52" s="1"/>
    </row>
    <row r="53" spans="1:10" s="9" customFormat="1" ht="13.9" hidden="1" customHeight="1" x14ac:dyDescent="0.25">
      <c r="A53" s="27">
        <v>44165</v>
      </c>
      <c r="B53" s="9" t="s">
        <v>18</v>
      </c>
      <c r="C53" s="35" t="s">
        <v>132</v>
      </c>
      <c r="D53" s="17">
        <f>-80066.48-128.77</f>
        <v>-80195.25</v>
      </c>
      <c r="E53" s="5">
        <f>80066.48+128.77-80195.25</f>
        <v>0</v>
      </c>
      <c r="F53" s="17"/>
      <c r="G53" s="11">
        <f>-80066.48-128.77</f>
        <v>-80195.25</v>
      </c>
      <c r="H53" s="62">
        <f t="shared" si="0"/>
        <v>0</v>
      </c>
      <c r="I53" s="3"/>
      <c r="J53" s="1"/>
    </row>
    <row r="54" spans="1:10" s="9" customFormat="1" ht="13.9" hidden="1" customHeight="1" x14ac:dyDescent="0.25">
      <c r="A54" s="27">
        <v>44165</v>
      </c>
      <c r="B54" s="9" t="s">
        <v>18</v>
      </c>
      <c r="C54" s="35" t="s">
        <v>133</v>
      </c>
      <c r="D54" s="17">
        <f>23388.88+0.6</f>
        <v>23389.48</v>
      </c>
      <c r="E54" s="5"/>
      <c r="F54" s="17">
        <f>-23388.88-0.6+23389.48</f>
        <v>0</v>
      </c>
      <c r="G54" s="11">
        <f>23388.88+0.6</f>
        <v>23389.48</v>
      </c>
      <c r="H54" s="62">
        <f t="shared" si="0"/>
        <v>0</v>
      </c>
      <c r="I54" s="3"/>
      <c r="J54" s="1"/>
    </row>
    <row r="55" spans="1:10" s="9" customFormat="1" ht="13.9" hidden="1" customHeight="1" x14ac:dyDescent="0.25">
      <c r="A55" s="27">
        <v>44165</v>
      </c>
      <c r="B55" s="9" t="s">
        <v>18</v>
      </c>
      <c r="C55" s="35" t="s">
        <v>134</v>
      </c>
      <c r="D55" s="17">
        <v>25801.4</v>
      </c>
      <c r="E55" s="5"/>
      <c r="F55" s="17"/>
      <c r="G55" s="11">
        <v>25801.4</v>
      </c>
      <c r="H55" s="62">
        <f t="shared" si="0"/>
        <v>0</v>
      </c>
      <c r="I55" s="3"/>
      <c r="J55" s="1"/>
    </row>
    <row r="56" spans="1:10" s="9" customFormat="1" ht="13.9" hidden="1" customHeight="1" x14ac:dyDescent="0.25">
      <c r="A56" s="27">
        <v>44165</v>
      </c>
      <c r="B56" s="9" t="s">
        <v>18</v>
      </c>
      <c r="C56" s="35" t="s">
        <v>39</v>
      </c>
      <c r="D56" s="17">
        <v>-2166.69</v>
      </c>
      <c r="E56" s="5"/>
      <c r="F56" s="17"/>
      <c r="G56" s="11">
        <v>-2166.69</v>
      </c>
      <c r="H56" s="62">
        <f t="shared" si="0"/>
        <v>0</v>
      </c>
      <c r="I56" s="3"/>
      <c r="J56" s="1"/>
    </row>
    <row r="57" spans="1:10" s="9" customFormat="1" ht="13.9" hidden="1" customHeight="1" x14ac:dyDescent="0.25">
      <c r="A57" s="27">
        <v>44165</v>
      </c>
      <c r="B57" s="9" t="s">
        <v>18</v>
      </c>
      <c r="C57" s="35" t="s">
        <v>34</v>
      </c>
      <c r="D57" s="17">
        <v>73988.95</v>
      </c>
      <c r="E57" s="5"/>
      <c r="F57" s="17"/>
      <c r="G57" s="11">
        <v>73988.95</v>
      </c>
      <c r="H57" s="62">
        <f t="shared" si="0"/>
        <v>0</v>
      </c>
      <c r="I57" s="3"/>
      <c r="J57" s="1"/>
    </row>
    <row r="58" spans="1:10" s="9" customFormat="1" ht="13.9" hidden="1" customHeight="1" x14ac:dyDescent="0.25">
      <c r="A58" s="27">
        <v>44165</v>
      </c>
      <c r="B58" s="9" t="s">
        <v>18</v>
      </c>
      <c r="C58" s="35" t="s">
        <v>35</v>
      </c>
      <c r="D58" s="17">
        <f>-53621.76+300</f>
        <v>-53321.760000000002</v>
      </c>
      <c r="E58" s="5"/>
      <c r="F58" s="17"/>
      <c r="G58" s="11">
        <f>-53621.76+300</f>
        <v>-53321.760000000002</v>
      </c>
      <c r="H58" s="62">
        <f t="shared" si="0"/>
        <v>0</v>
      </c>
      <c r="I58" s="3"/>
      <c r="J58" s="1"/>
    </row>
    <row r="59" spans="1:10" s="9" customFormat="1" ht="13.9" hidden="1" customHeight="1" x14ac:dyDescent="0.25">
      <c r="A59" s="27">
        <v>44165</v>
      </c>
      <c r="B59" s="9" t="s">
        <v>18</v>
      </c>
      <c r="C59" s="35" t="s">
        <v>76</v>
      </c>
      <c r="D59" s="17">
        <v>0</v>
      </c>
      <c r="E59" s="5"/>
      <c r="F59" s="17"/>
      <c r="G59" s="38"/>
      <c r="H59" s="62">
        <f t="shared" si="0"/>
        <v>0</v>
      </c>
      <c r="I59" s="3"/>
      <c r="J59" s="1"/>
    </row>
    <row r="60" spans="1:10" s="9" customFormat="1" ht="13.9" hidden="1" customHeight="1" x14ac:dyDescent="0.25">
      <c r="A60" s="27">
        <v>44196</v>
      </c>
      <c r="B60" s="9" t="s">
        <v>18</v>
      </c>
      <c r="C60" s="35" t="s">
        <v>135</v>
      </c>
      <c r="D60" s="17">
        <f>102485.65+1508.75</f>
        <v>103994.4</v>
      </c>
      <c r="E60" s="5"/>
      <c r="F60" s="17">
        <f>-102485.65-1508.75+103994.4</f>
        <v>0</v>
      </c>
      <c r="G60" s="25">
        <v>103994.4</v>
      </c>
      <c r="H60" s="62">
        <f t="shared" si="0"/>
        <v>0</v>
      </c>
      <c r="I60" s="3"/>
      <c r="J60" s="1"/>
    </row>
    <row r="61" spans="1:10" s="9" customFormat="1" ht="13.9" hidden="1" customHeight="1" x14ac:dyDescent="0.25">
      <c r="A61" s="27">
        <v>44196</v>
      </c>
      <c r="B61" s="9" t="s">
        <v>18</v>
      </c>
      <c r="C61" s="35" t="s">
        <v>136</v>
      </c>
      <c r="D61" s="17">
        <f>20128.19+10.1</f>
        <v>20138.289999999997</v>
      </c>
      <c r="E61" s="5"/>
      <c r="F61" s="17">
        <f>-20128.19-10.1+20138.29</f>
        <v>0</v>
      </c>
      <c r="G61" s="25">
        <v>20138.289999999997</v>
      </c>
      <c r="H61" s="62">
        <f t="shared" si="0"/>
        <v>0</v>
      </c>
      <c r="I61" s="3"/>
      <c r="J61" s="1"/>
    </row>
    <row r="62" spans="1:10" s="9" customFormat="1" ht="13.9" hidden="1" customHeight="1" x14ac:dyDescent="0.25">
      <c r="A62" s="27">
        <v>44196</v>
      </c>
      <c r="B62" s="9" t="s">
        <v>18</v>
      </c>
      <c r="C62" s="35" t="s">
        <v>137</v>
      </c>
      <c r="D62" s="17">
        <f>-71825.21-8153.61</f>
        <v>-79978.820000000007</v>
      </c>
      <c r="E62" s="5">
        <f>71825.21+8153.61-79978.82</f>
        <v>0</v>
      </c>
      <c r="F62" s="17"/>
      <c r="G62" s="25">
        <v>-79978.820000000007</v>
      </c>
      <c r="H62" s="62">
        <f t="shared" si="0"/>
        <v>0</v>
      </c>
      <c r="I62" s="3"/>
      <c r="J62" s="1"/>
    </row>
    <row r="63" spans="1:10" s="9" customFormat="1" ht="13.9" hidden="1" customHeight="1" x14ac:dyDescent="0.25">
      <c r="A63" s="27">
        <v>44196</v>
      </c>
      <c r="B63" s="9" t="s">
        <v>18</v>
      </c>
      <c r="C63" s="35" t="s">
        <v>138</v>
      </c>
      <c r="D63" s="17">
        <v>53321.760000000002</v>
      </c>
      <c r="E63" s="5"/>
      <c r="F63" s="17"/>
      <c r="G63" s="25">
        <v>53321.760000000002</v>
      </c>
      <c r="H63" s="62">
        <f t="shared" si="0"/>
        <v>0</v>
      </c>
      <c r="I63" s="3"/>
      <c r="J63" s="1"/>
    </row>
    <row r="64" spans="1:10" s="9" customFormat="1" ht="13.9" hidden="1" customHeight="1" x14ac:dyDescent="0.25">
      <c r="A64" s="27">
        <v>44196</v>
      </c>
      <c r="B64" s="9" t="s">
        <v>18</v>
      </c>
      <c r="C64" s="35" t="s">
        <v>39</v>
      </c>
      <c r="D64" s="17">
        <v>-2791.69</v>
      </c>
      <c r="E64" s="5"/>
      <c r="F64" s="17"/>
      <c r="G64" s="25">
        <v>-2791.69</v>
      </c>
      <c r="H64" s="62">
        <f t="shared" si="0"/>
        <v>0</v>
      </c>
      <c r="I64" s="3"/>
      <c r="J64" s="1"/>
    </row>
    <row r="65" spans="1:10" s="9" customFormat="1" ht="13.9" hidden="1" customHeight="1" x14ac:dyDescent="0.25">
      <c r="A65" s="27">
        <v>44196</v>
      </c>
      <c r="B65" s="9" t="s">
        <v>18</v>
      </c>
      <c r="C65" s="35" t="s">
        <v>34</v>
      </c>
      <c r="D65" s="17">
        <f>-1923.93+7011.57+180</f>
        <v>5267.6399999999994</v>
      </c>
      <c r="E65" s="5"/>
      <c r="F65" s="17"/>
      <c r="G65" s="25">
        <v>5267.6399999999994</v>
      </c>
      <c r="H65" s="62">
        <f t="shared" si="0"/>
        <v>0</v>
      </c>
      <c r="I65" s="3"/>
      <c r="J65" s="1"/>
    </row>
    <row r="66" spans="1:10" s="9" customFormat="1" ht="13.9" hidden="1" customHeight="1" x14ac:dyDescent="0.25">
      <c r="A66" s="27">
        <v>44196</v>
      </c>
      <c r="B66" s="9" t="s">
        <v>18</v>
      </c>
      <c r="C66" s="35" t="s">
        <v>35</v>
      </c>
      <c r="D66" s="17">
        <v>-74388.570000000007</v>
      </c>
      <c r="E66" s="5"/>
      <c r="F66" s="17"/>
      <c r="G66" s="25">
        <v>-74388.570000000007</v>
      </c>
      <c r="H66" s="62">
        <f t="shared" si="0"/>
        <v>0</v>
      </c>
      <c r="I66" s="3"/>
      <c r="J66" s="1"/>
    </row>
    <row r="67" spans="1:10" s="9" customFormat="1" ht="13.9" hidden="1" customHeight="1" x14ac:dyDescent="0.25">
      <c r="A67" s="27">
        <v>44227</v>
      </c>
      <c r="B67" s="9" t="s">
        <v>9</v>
      </c>
      <c r="C67" s="35" t="s">
        <v>144</v>
      </c>
      <c r="D67" s="17">
        <v>1302.08</v>
      </c>
      <c r="E67" s="5"/>
      <c r="F67" s="17"/>
      <c r="G67" s="25">
        <v>1302.08</v>
      </c>
      <c r="H67" s="62">
        <f t="shared" si="0"/>
        <v>0</v>
      </c>
      <c r="I67" s="3"/>
      <c r="J67" s="1"/>
    </row>
    <row r="68" spans="1:10" s="9" customFormat="1" ht="13.9" hidden="1" customHeight="1" x14ac:dyDescent="0.25">
      <c r="A68" s="27">
        <v>44227</v>
      </c>
      <c r="B68" s="9" t="s">
        <v>9</v>
      </c>
      <c r="C68" s="35" t="s">
        <v>140</v>
      </c>
      <c r="D68" s="17">
        <f>361443.6+53107.39</f>
        <v>414550.99</v>
      </c>
      <c r="E68" s="5"/>
      <c r="F68" s="17">
        <f>-361443.6-53107.39+414550.99</f>
        <v>0</v>
      </c>
      <c r="G68" s="25">
        <v>414550.99</v>
      </c>
      <c r="H68" s="62">
        <f t="shared" si="0"/>
        <v>0</v>
      </c>
      <c r="I68" s="3"/>
      <c r="J68" s="1"/>
    </row>
    <row r="69" spans="1:10" s="9" customFormat="1" ht="13.9" hidden="1" customHeight="1" x14ac:dyDescent="0.25">
      <c r="A69" s="27">
        <v>44227</v>
      </c>
      <c r="B69" s="9" t="s">
        <v>9</v>
      </c>
      <c r="C69" s="35" t="s">
        <v>141</v>
      </c>
      <c r="D69" s="17">
        <f>-99869.3+66423.59</f>
        <v>-33445.710000000006</v>
      </c>
      <c r="E69" s="5">
        <f>99869.3-66423.59-33445.71</f>
        <v>0</v>
      </c>
      <c r="F69" s="17"/>
      <c r="G69" s="25">
        <v>-33445.710000000006</v>
      </c>
      <c r="H69" s="62">
        <f t="shared" si="0"/>
        <v>0</v>
      </c>
      <c r="I69" s="3"/>
      <c r="J69" s="1"/>
    </row>
    <row r="70" spans="1:10" s="9" customFormat="1" ht="13.9" hidden="1" customHeight="1" x14ac:dyDescent="0.25">
      <c r="A70" s="27">
        <v>44227</v>
      </c>
      <c r="B70" s="9" t="s">
        <v>9</v>
      </c>
      <c r="C70" s="35" t="s">
        <v>142</v>
      </c>
      <c r="D70" s="17">
        <f>-127977.09-22406.86</f>
        <v>-150383.95000000001</v>
      </c>
      <c r="E70" s="5">
        <f>127977.09+22406.86-150383.95</f>
        <v>0</v>
      </c>
      <c r="F70" s="17"/>
      <c r="G70" s="25">
        <v>-150383.95000000001</v>
      </c>
      <c r="H70" s="62">
        <f t="shared" si="0"/>
        <v>0</v>
      </c>
      <c r="I70" s="3"/>
      <c r="J70" s="1"/>
    </row>
    <row r="71" spans="1:10" s="9" customFormat="1" ht="13.9" hidden="1" customHeight="1" x14ac:dyDescent="0.25">
      <c r="A71" s="27">
        <v>44227</v>
      </c>
      <c r="B71" s="9" t="s">
        <v>9</v>
      </c>
      <c r="C71" s="35" t="s">
        <v>143</v>
      </c>
      <c r="D71" s="17">
        <v>74388.570000000007</v>
      </c>
      <c r="E71" s="5"/>
      <c r="F71" s="17"/>
      <c r="G71" s="25">
        <v>74388.570000000007</v>
      </c>
      <c r="H71" s="62">
        <f t="shared" si="0"/>
        <v>0</v>
      </c>
      <c r="I71" s="3"/>
      <c r="J71" s="1"/>
    </row>
    <row r="72" spans="1:10" s="9" customFormat="1" ht="13.9" hidden="1" customHeight="1" x14ac:dyDescent="0.25">
      <c r="A72" s="27">
        <v>44227</v>
      </c>
      <c r="B72" s="9" t="s">
        <v>9</v>
      </c>
      <c r="C72" s="35" t="s">
        <v>127</v>
      </c>
      <c r="D72" s="17">
        <v>-3000.02</v>
      </c>
      <c r="E72" s="5"/>
      <c r="F72" s="17"/>
      <c r="G72" s="25">
        <v>-3000.02</v>
      </c>
      <c r="H72" s="62">
        <f t="shared" si="0"/>
        <v>0</v>
      </c>
      <c r="I72" s="3"/>
      <c r="J72" s="1"/>
    </row>
    <row r="73" spans="1:10" s="9" customFormat="1" ht="13.9" hidden="1" customHeight="1" x14ac:dyDescent="0.25">
      <c r="A73" s="27">
        <v>44227</v>
      </c>
      <c r="B73" s="9" t="s">
        <v>9</v>
      </c>
      <c r="C73" s="35" t="s">
        <v>128</v>
      </c>
      <c r="D73" s="17">
        <f>-178477.07+23944.61</f>
        <v>-154532.46000000002</v>
      </c>
      <c r="E73" s="5"/>
      <c r="F73" s="17"/>
      <c r="G73" s="25">
        <v>-154532.46000000002</v>
      </c>
      <c r="H73" s="62">
        <f t="shared" si="0"/>
        <v>0</v>
      </c>
      <c r="I73" s="3"/>
      <c r="J73" s="1"/>
    </row>
    <row r="74" spans="1:10" s="9" customFormat="1" ht="13.9" hidden="1" customHeight="1" x14ac:dyDescent="0.25">
      <c r="A74" s="27">
        <v>44227</v>
      </c>
      <c r="B74" s="9" t="s">
        <v>9</v>
      </c>
      <c r="C74" s="35" t="s">
        <v>129</v>
      </c>
      <c r="D74" s="17">
        <v>-42165.79</v>
      </c>
      <c r="E74" s="5"/>
      <c r="F74" s="17"/>
      <c r="G74" s="25">
        <v>-42165.79</v>
      </c>
      <c r="H74" s="62">
        <f t="shared" si="0"/>
        <v>0</v>
      </c>
      <c r="I74" s="3"/>
      <c r="J74" s="1"/>
    </row>
    <row r="75" spans="1:10" s="9" customFormat="1" ht="13.9" hidden="1" customHeight="1" x14ac:dyDescent="0.25">
      <c r="A75" s="27">
        <v>44255</v>
      </c>
      <c r="B75" s="9" t="s">
        <v>9</v>
      </c>
      <c r="C75" s="35" t="s">
        <v>144</v>
      </c>
      <c r="D75" s="17">
        <v>1302.08</v>
      </c>
      <c r="E75" s="5"/>
      <c r="F75" s="17"/>
      <c r="G75" s="25">
        <v>1302.08</v>
      </c>
      <c r="H75" s="62">
        <f t="shared" si="0"/>
        <v>0</v>
      </c>
      <c r="I75" s="3"/>
      <c r="J75" s="1"/>
    </row>
    <row r="76" spans="1:10" s="9" customFormat="1" ht="13.9" hidden="1" customHeight="1" x14ac:dyDescent="0.25">
      <c r="A76" s="27">
        <v>44255</v>
      </c>
      <c r="B76" s="9" t="s">
        <v>9</v>
      </c>
      <c r="C76" s="35" t="s">
        <v>148</v>
      </c>
      <c r="D76" s="17">
        <v>42165.79</v>
      </c>
      <c r="E76" s="5"/>
      <c r="F76" s="17"/>
      <c r="G76" s="25">
        <v>42165.79</v>
      </c>
      <c r="H76" s="62">
        <f t="shared" si="0"/>
        <v>0</v>
      </c>
      <c r="I76" s="3"/>
      <c r="J76" s="1"/>
    </row>
    <row r="77" spans="1:10" s="9" customFormat="1" ht="13.9" hidden="1" customHeight="1" x14ac:dyDescent="0.25">
      <c r="A77" s="27">
        <v>44255</v>
      </c>
      <c r="B77" s="9" t="s">
        <v>9</v>
      </c>
      <c r="C77" s="35" t="s">
        <v>151</v>
      </c>
      <c r="D77" s="17">
        <f>-411154.26+24063.88</f>
        <v>-387090.38</v>
      </c>
      <c r="E77" s="5">
        <f>411154.26-24063.88-387090.38</f>
        <v>0</v>
      </c>
      <c r="F77" s="17"/>
      <c r="G77" s="25">
        <v>-387090.38</v>
      </c>
      <c r="H77" s="62">
        <f t="shared" si="0"/>
        <v>0</v>
      </c>
      <c r="I77" s="3"/>
      <c r="J77" s="1"/>
    </row>
    <row r="78" spans="1:10" s="9" customFormat="1" ht="13.9" hidden="1" customHeight="1" x14ac:dyDescent="0.25">
      <c r="A78" s="27">
        <v>44255</v>
      </c>
      <c r="B78" s="9" t="s">
        <v>9</v>
      </c>
      <c r="C78" s="35" t="s">
        <v>154</v>
      </c>
      <c r="D78" s="17">
        <f>83000+18631.04</f>
        <v>101631.04000000001</v>
      </c>
      <c r="E78" s="5"/>
      <c r="F78" s="17">
        <f>-83000-18631.04+101631.04</f>
        <v>0</v>
      </c>
      <c r="G78" s="25">
        <v>101631.04000000001</v>
      </c>
      <c r="H78" s="62">
        <f t="shared" si="0"/>
        <v>0</v>
      </c>
      <c r="I78" s="3"/>
      <c r="J78" s="1"/>
    </row>
    <row r="79" spans="1:10" s="9" customFormat="1" ht="13.9" customHeight="1" x14ac:dyDescent="0.25">
      <c r="A79" s="27">
        <v>44255</v>
      </c>
      <c r="B79" s="9" t="s">
        <v>9</v>
      </c>
      <c r="C79" s="35" t="s">
        <v>152</v>
      </c>
      <c r="D79" s="17">
        <f>-14380.2+856.44</f>
        <v>-13523.76</v>
      </c>
      <c r="E79" s="5">
        <f>14380.2-856.44-13523.76</f>
        <v>0</v>
      </c>
      <c r="F79" s="17"/>
      <c r="G79" s="25">
        <v>-14380.2</v>
      </c>
      <c r="H79" s="62">
        <f t="shared" si="0"/>
        <v>856.44000000000051</v>
      </c>
      <c r="I79" s="3"/>
      <c r="J79" s="1"/>
    </row>
    <row r="80" spans="1:10" s="9" customFormat="1" ht="13.9" customHeight="1" x14ac:dyDescent="0.25">
      <c r="A80" s="27">
        <v>44255</v>
      </c>
      <c r="B80" s="9" t="s">
        <v>9</v>
      </c>
      <c r="C80" s="35" t="s">
        <v>153</v>
      </c>
      <c r="D80" s="17">
        <v>-33060.54</v>
      </c>
      <c r="E80" s="54">
        <v>33060.54</v>
      </c>
      <c r="F80" s="17"/>
      <c r="G80" s="25">
        <v>-33060.54</v>
      </c>
      <c r="H80" s="62">
        <f t="shared" si="0"/>
        <v>0</v>
      </c>
      <c r="I80" s="3"/>
      <c r="J80" s="1"/>
    </row>
    <row r="81" spans="1:10" s="9" customFormat="1" ht="13.9" hidden="1" customHeight="1" x14ac:dyDescent="0.25">
      <c r="A81" s="27">
        <v>44255</v>
      </c>
      <c r="B81" s="9" t="s">
        <v>9</v>
      </c>
      <c r="C81" s="35" t="s">
        <v>159</v>
      </c>
      <c r="D81" s="17">
        <v>-101864.83</v>
      </c>
      <c r="E81" s="5"/>
      <c r="F81" s="17"/>
      <c r="G81" s="25">
        <v>-101864.83</v>
      </c>
      <c r="H81" s="62">
        <f t="shared" si="0"/>
        <v>0</v>
      </c>
      <c r="I81" s="3"/>
      <c r="J81" s="1"/>
    </row>
    <row r="82" spans="1:10" s="9" customFormat="1" ht="13.9" hidden="1" customHeight="1" x14ac:dyDescent="0.25">
      <c r="A82" s="27">
        <v>44255</v>
      </c>
      <c r="B82" s="9" t="s">
        <v>9</v>
      </c>
      <c r="C82" s="35" t="s">
        <v>39</v>
      </c>
      <c r="D82" s="17">
        <v>-2166.69</v>
      </c>
      <c r="E82" s="5"/>
      <c r="F82" s="17"/>
      <c r="G82" s="25">
        <v>-2166.69</v>
      </c>
      <c r="H82" s="62">
        <f t="shared" si="0"/>
        <v>0</v>
      </c>
      <c r="I82" s="3"/>
      <c r="J82" s="1"/>
    </row>
    <row r="83" spans="1:10" s="9" customFormat="1" ht="13.9" hidden="1" customHeight="1" x14ac:dyDescent="0.25">
      <c r="A83" s="27">
        <v>44255</v>
      </c>
      <c r="B83" s="9" t="s">
        <v>9</v>
      </c>
      <c r="C83" s="35" t="s">
        <v>34</v>
      </c>
      <c r="D83" s="17">
        <v>273826.5</v>
      </c>
      <c r="E83" s="5"/>
      <c r="F83" s="17"/>
      <c r="G83" s="25">
        <v>273826.5</v>
      </c>
      <c r="H83" s="62">
        <f t="shared" si="0"/>
        <v>0</v>
      </c>
      <c r="I83" s="3"/>
      <c r="J83" s="1"/>
    </row>
    <row r="84" spans="1:10" s="9" customFormat="1" ht="13.9" hidden="1" customHeight="1" x14ac:dyDescent="0.25">
      <c r="A84" s="27">
        <v>44255</v>
      </c>
      <c r="B84" s="9" t="s">
        <v>9</v>
      </c>
      <c r="C84" s="35" t="s">
        <v>35</v>
      </c>
      <c r="D84" s="17">
        <v>-44307.71</v>
      </c>
      <c r="E84" s="5"/>
      <c r="F84" s="17"/>
      <c r="G84" s="25">
        <v>-44307.71</v>
      </c>
      <c r="H84" s="62">
        <f t="shared" si="0"/>
        <v>0</v>
      </c>
      <c r="I84" s="3"/>
      <c r="J84" s="1"/>
    </row>
    <row r="85" spans="1:10" s="9" customFormat="1" ht="13.9" hidden="1" customHeight="1" x14ac:dyDescent="0.25">
      <c r="A85" s="27">
        <v>44286</v>
      </c>
      <c r="B85" s="9" t="s">
        <v>9</v>
      </c>
      <c r="C85" s="35" t="s">
        <v>155</v>
      </c>
      <c r="D85" s="17">
        <v>44307.71</v>
      </c>
      <c r="E85" s="5"/>
      <c r="F85" s="17"/>
      <c r="G85" s="25">
        <v>44307.71</v>
      </c>
      <c r="H85" s="62">
        <f t="shared" si="0"/>
        <v>0</v>
      </c>
      <c r="I85" s="3"/>
      <c r="J85" s="1"/>
    </row>
    <row r="86" spans="1:10" s="9" customFormat="1" ht="13.9" hidden="1" customHeight="1" x14ac:dyDescent="0.25">
      <c r="A86" s="27">
        <v>44286</v>
      </c>
      <c r="B86" s="9" t="s">
        <v>9</v>
      </c>
      <c r="C86" s="35" t="s">
        <v>144</v>
      </c>
      <c r="D86" s="17">
        <v>1302.08</v>
      </c>
      <c r="E86" s="5"/>
      <c r="F86" s="17"/>
      <c r="G86" s="25">
        <v>1302.08</v>
      </c>
      <c r="H86" s="62">
        <f t="shared" si="0"/>
        <v>0</v>
      </c>
      <c r="I86" s="3"/>
      <c r="J86" s="1"/>
    </row>
    <row r="87" spans="1:10" s="9" customFormat="1" ht="13.9" customHeight="1" x14ac:dyDescent="0.25">
      <c r="A87" s="27">
        <v>44286</v>
      </c>
      <c r="B87" s="9" t="s">
        <v>9</v>
      </c>
      <c r="C87" s="35" t="s">
        <v>156</v>
      </c>
      <c r="D87" s="17">
        <f>-347595.01+220070.8</f>
        <v>-127524.21000000002</v>
      </c>
      <c r="E87" s="5">
        <f>347595.01-220070.8-127524.21</f>
        <v>0</v>
      </c>
      <c r="F87" s="17"/>
      <c r="G87" s="25">
        <v>-347595.01</v>
      </c>
      <c r="H87" s="62">
        <f t="shared" si="0"/>
        <v>220070.8</v>
      </c>
      <c r="I87" s="3"/>
      <c r="J87" s="1"/>
    </row>
    <row r="88" spans="1:10" s="9" customFormat="1" ht="13.9" hidden="1" customHeight="1" x14ac:dyDescent="0.25">
      <c r="A88" s="27">
        <v>44286</v>
      </c>
      <c r="B88" s="9" t="s">
        <v>9</v>
      </c>
      <c r="C88" s="35" t="s">
        <v>157</v>
      </c>
      <c r="D88" s="17">
        <v>-58083.5</v>
      </c>
      <c r="E88" s="5">
        <f>58083.5-58083.5</f>
        <v>0</v>
      </c>
      <c r="F88" s="17"/>
      <c r="G88" s="25">
        <v>-58083.5</v>
      </c>
      <c r="H88" s="62">
        <f t="shared" si="0"/>
        <v>0</v>
      </c>
      <c r="I88" s="3"/>
      <c r="J88" s="1"/>
    </row>
    <row r="89" spans="1:10" s="9" customFormat="1" ht="13.9" customHeight="1" x14ac:dyDescent="0.25">
      <c r="A89" s="27">
        <v>44286</v>
      </c>
      <c r="B89" s="9" t="s">
        <v>9</v>
      </c>
      <c r="C89" s="35" t="s">
        <v>158</v>
      </c>
      <c r="D89" s="17">
        <f>7729.12+0.31</f>
        <v>7729.43</v>
      </c>
      <c r="E89" s="5"/>
      <c r="F89" s="17">
        <f>-7729.12-0.31+7729.43</f>
        <v>0</v>
      </c>
      <c r="G89" s="25">
        <v>7729.12</v>
      </c>
      <c r="H89" s="62">
        <f t="shared" si="0"/>
        <v>0.31000000000040018</v>
      </c>
      <c r="I89" s="3"/>
      <c r="J89" s="1"/>
    </row>
    <row r="90" spans="1:10" s="9" customFormat="1" ht="13.9" hidden="1" customHeight="1" x14ac:dyDescent="0.25">
      <c r="A90" s="27">
        <v>44286</v>
      </c>
      <c r="B90" s="9" t="s">
        <v>9</v>
      </c>
      <c r="C90" s="35" t="s">
        <v>159</v>
      </c>
      <c r="D90" s="17">
        <v>2821.97</v>
      </c>
      <c r="E90" s="5"/>
      <c r="F90" s="17"/>
      <c r="G90" s="25">
        <v>2821.97</v>
      </c>
      <c r="H90" s="62">
        <f t="shared" si="0"/>
        <v>0</v>
      </c>
      <c r="I90" s="3"/>
      <c r="J90" s="1"/>
    </row>
    <row r="91" spans="1:10" s="9" customFormat="1" ht="13.9" hidden="1" customHeight="1" x14ac:dyDescent="0.25">
      <c r="A91" s="27">
        <v>44286</v>
      </c>
      <c r="B91" s="9" t="s">
        <v>9</v>
      </c>
      <c r="C91" s="35" t="s">
        <v>39</v>
      </c>
      <c r="D91" s="17">
        <v>-2750.0200000000004</v>
      </c>
      <c r="E91" s="5"/>
      <c r="F91" s="17"/>
      <c r="G91" s="25">
        <v>-2750.0200000000004</v>
      </c>
      <c r="H91" s="62">
        <f t="shared" si="0"/>
        <v>0</v>
      </c>
      <c r="I91" s="3"/>
      <c r="J91" s="1"/>
    </row>
    <row r="92" spans="1:10" s="9" customFormat="1" ht="13.9" customHeight="1" x14ac:dyDescent="0.25">
      <c r="A92" s="27">
        <v>44286</v>
      </c>
      <c r="B92" s="9" t="s">
        <v>9</v>
      </c>
      <c r="C92" s="35" t="s">
        <v>34</v>
      </c>
      <c r="D92" s="17">
        <f>136248.52-16861.37</f>
        <v>119387.15</v>
      </c>
      <c r="E92" s="5"/>
      <c r="F92" s="17"/>
      <c r="G92" s="25">
        <v>136248.52000000005</v>
      </c>
      <c r="H92" s="62">
        <f t="shared" si="0"/>
        <v>-16861.370000000054</v>
      </c>
      <c r="I92" s="3"/>
      <c r="J92" s="1"/>
    </row>
    <row r="93" spans="1:10" s="9" customFormat="1" ht="13.9" hidden="1" customHeight="1" x14ac:dyDescent="0.25">
      <c r="A93" s="27">
        <v>44286</v>
      </c>
      <c r="B93" s="9" t="s">
        <v>9</v>
      </c>
      <c r="C93" s="35" t="s">
        <v>35</v>
      </c>
      <c r="D93" s="17">
        <v>-14663.53</v>
      </c>
      <c r="E93" s="5"/>
      <c r="F93" s="17"/>
      <c r="G93" s="25">
        <v>-14663.53</v>
      </c>
      <c r="H93" s="62">
        <f t="shared" si="0"/>
        <v>0</v>
      </c>
      <c r="I93" s="3"/>
      <c r="J93" s="1"/>
    </row>
    <row r="94" spans="1:10" s="9" customFormat="1" ht="13.9" customHeight="1" x14ac:dyDescent="0.25">
      <c r="A94" s="27">
        <v>44316</v>
      </c>
      <c r="B94" s="9" t="s">
        <v>10</v>
      </c>
      <c r="C94" s="35" t="s">
        <v>163</v>
      </c>
      <c r="D94" s="17">
        <v>14663.53</v>
      </c>
      <c r="E94" s="5"/>
      <c r="F94" s="17"/>
      <c r="G94" s="38"/>
      <c r="H94" s="62">
        <f t="shared" si="0"/>
        <v>14663.53</v>
      </c>
      <c r="I94" s="3"/>
      <c r="J94" s="1"/>
    </row>
    <row r="95" spans="1:10" s="9" customFormat="1" ht="13.9" customHeight="1" x14ac:dyDescent="0.25">
      <c r="A95" s="27">
        <v>44316</v>
      </c>
      <c r="B95" s="9" t="s">
        <v>10</v>
      </c>
      <c r="C95" s="35" t="s">
        <v>144</v>
      </c>
      <c r="D95" s="17">
        <v>1302.08</v>
      </c>
      <c r="E95" s="5"/>
      <c r="F95" s="17"/>
      <c r="G95" s="38"/>
      <c r="H95" s="62">
        <f t="shared" si="0"/>
        <v>1302.08</v>
      </c>
      <c r="I95" s="3"/>
      <c r="J95" s="1"/>
    </row>
    <row r="96" spans="1:10" s="9" customFormat="1" ht="13.9" customHeight="1" x14ac:dyDescent="0.25">
      <c r="A96" s="27">
        <v>44316</v>
      </c>
      <c r="B96" s="9" t="s">
        <v>10</v>
      </c>
      <c r="C96" s="35" t="s">
        <v>160</v>
      </c>
      <c r="D96" s="17">
        <f>51294.87-546.91</f>
        <v>50747.96</v>
      </c>
      <c r="E96" s="5"/>
      <c r="F96" s="17">
        <f>-51294.87+546.91+50747.96</f>
        <v>0</v>
      </c>
      <c r="G96" s="38"/>
      <c r="H96" s="62">
        <f t="shared" si="0"/>
        <v>50747.96</v>
      </c>
      <c r="I96" s="3"/>
      <c r="J96" s="1"/>
    </row>
    <row r="97" spans="1:10" s="9" customFormat="1" ht="13.9" customHeight="1" x14ac:dyDescent="0.25">
      <c r="A97" s="27">
        <v>44316</v>
      </c>
      <c r="B97" s="9" t="s">
        <v>10</v>
      </c>
      <c r="C97" s="35" t="s">
        <v>161</v>
      </c>
      <c r="D97" s="17">
        <f>-116256.56-802.69</f>
        <v>-117059.25</v>
      </c>
      <c r="E97" s="5">
        <f>116256.56+802.69-117059.25</f>
        <v>0</v>
      </c>
      <c r="F97" s="17"/>
      <c r="G97" s="38"/>
      <c r="H97" s="62">
        <f t="shared" si="0"/>
        <v>-117059.25</v>
      </c>
      <c r="I97" s="3"/>
      <c r="J97" s="1"/>
    </row>
    <row r="98" spans="1:10" s="9" customFormat="1" ht="13.9" customHeight="1" x14ac:dyDescent="0.25">
      <c r="A98" s="27">
        <v>44316</v>
      </c>
      <c r="B98" s="9" t="s">
        <v>10</v>
      </c>
      <c r="C98" s="35" t="s">
        <v>162</v>
      </c>
      <c r="D98" s="17">
        <f>-112001.41-27926.96</f>
        <v>-139928.37</v>
      </c>
      <c r="E98" s="5">
        <f>112001.41+27926.96-139928.37</f>
        <v>0</v>
      </c>
      <c r="F98" s="17"/>
      <c r="G98" s="38"/>
      <c r="H98" s="62">
        <f t="shared" si="0"/>
        <v>-139928.37</v>
      </c>
      <c r="I98" s="3"/>
      <c r="J98" s="1"/>
    </row>
    <row r="99" spans="1:10" s="9" customFormat="1" ht="13.9" customHeight="1" x14ac:dyDescent="0.25">
      <c r="A99" s="27">
        <v>44316</v>
      </c>
      <c r="B99" s="9" t="s">
        <v>10</v>
      </c>
      <c r="C99" s="35" t="s">
        <v>39</v>
      </c>
      <c r="D99" s="17">
        <v>-2750.02</v>
      </c>
      <c r="E99" s="5"/>
      <c r="F99" s="17"/>
      <c r="G99" s="38"/>
      <c r="H99" s="62">
        <f t="shared" si="0"/>
        <v>-2750.02</v>
      </c>
      <c r="I99" s="3"/>
      <c r="J99" s="1"/>
    </row>
    <row r="100" spans="1:10" s="9" customFormat="1" ht="13.9" customHeight="1" x14ac:dyDescent="0.25">
      <c r="A100" s="27">
        <v>44316</v>
      </c>
      <c r="B100" s="9" t="s">
        <v>10</v>
      </c>
      <c r="C100" s="35" t="s">
        <v>34</v>
      </c>
      <c r="D100" s="17">
        <v>119838.63</v>
      </c>
      <c r="E100" s="5"/>
      <c r="F100" s="17"/>
      <c r="G100" s="38"/>
      <c r="H100" s="62">
        <f t="shared" si="0"/>
        <v>119838.63</v>
      </c>
      <c r="I100" s="3"/>
      <c r="J100" s="1"/>
    </row>
    <row r="101" spans="1:10" s="9" customFormat="1" ht="13.9" customHeight="1" x14ac:dyDescent="0.25">
      <c r="A101" s="27">
        <v>44316</v>
      </c>
      <c r="B101" s="9" t="s">
        <v>10</v>
      </c>
      <c r="C101" s="35" t="s">
        <v>35</v>
      </c>
      <c r="D101" s="17">
        <v>-27582.58</v>
      </c>
      <c r="E101" s="5"/>
      <c r="F101" s="17"/>
      <c r="G101" s="38"/>
      <c r="H101" s="62">
        <f t="shared" si="0"/>
        <v>-27582.58</v>
      </c>
      <c r="I101" s="3"/>
      <c r="J101" s="1"/>
    </row>
    <row r="102" spans="1:10" s="9" customFormat="1" ht="13.9" customHeight="1" x14ac:dyDescent="0.25">
      <c r="A102" s="27">
        <v>44347</v>
      </c>
      <c r="B102" s="9" t="s">
        <v>10</v>
      </c>
      <c r="C102" s="35" t="s">
        <v>173</v>
      </c>
      <c r="D102" s="17">
        <v>27582.58</v>
      </c>
      <c r="E102" s="5"/>
      <c r="F102" s="17"/>
      <c r="G102" s="38"/>
      <c r="H102" s="62">
        <f t="shared" si="0"/>
        <v>27582.58</v>
      </c>
      <c r="I102" s="3"/>
      <c r="J102" s="1"/>
    </row>
    <row r="103" spans="1:10" s="9" customFormat="1" ht="13.9" customHeight="1" x14ac:dyDescent="0.25">
      <c r="A103" s="27">
        <v>44347</v>
      </c>
      <c r="B103" s="9" t="s">
        <v>10</v>
      </c>
      <c r="C103" s="35" t="s">
        <v>144</v>
      </c>
      <c r="D103" s="17">
        <v>1302.08</v>
      </c>
      <c r="E103" s="5"/>
      <c r="F103" s="17"/>
      <c r="G103" s="38"/>
      <c r="H103" s="62">
        <f t="shared" si="0"/>
        <v>1302.08</v>
      </c>
      <c r="I103" s="3"/>
      <c r="J103" s="1"/>
    </row>
    <row r="104" spans="1:10" s="9" customFormat="1" ht="13.9" customHeight="1" x14ac:dyDescent="0.25">
      <c r="A104" s="27">
        <v>44347</v>
      </c>
      <c r="B104" s="9" t="s">
        <v>10</v>
      </c>
      <c r="C104" s="35" t="s">
        <v>169</v>
      </c>
      <c r="D104" s="17">
        <f>32913.07+2479.65</f>
        <v>35392.720000000001</v>
      </c>
      <c r="E104" s="5"/>
      <c r="F104" s="17">
        <f>-32913.07-2479.65+35392.72</f>
        <v>0</v>
      </c>
      <c r="G104" s="38"/>
      <c r="H104" s="62">
        <f t="shared" si="0"/>
        <v>35392.720000000001</v>
      </c>
      <c r="I104" s="3"/>
      <c r="J104" s="1"/>
    </row>
    <row r="105" spans="1:10" s="9" customFormat="1" ht="13.9" customHeight="1" x14ac:dyDescent="0.25">
      <c r="A105" s="27">
        <v>44347</v>
      </c>
      <c r="B105" s="9" t="s">
        <v>10</v>
      </c>
      <c r="C105" s="35" t="s">
        <v>170</v>
      </c>
      <c r="D105" s="17">
        <f>-51385.5-272.94</f>
        <v>-51658.44</v>
      </c>
      <c r="E105" s="5">
        <f>51385.5+272.94-51658.44</f>
        <v>0</v>
      </c>
      <c r="F105" s="17"/>
      <c r="G105" s="38"/>
      <c r="H105" s="62">
        <f t="shared" si="0"/>
        <v>-51658.44</v>
      </c>
      <c r="I105" s="3"/>
      <c r="J105" s="1"/>
    </row>
    <row r="106" spans="1:10" s="9" customFormat="1" ht="13.9" customHeight="1" x14ac:dyDescent="0.25">
      <c r="A106" s="27">
        <v>44347</v>
      </c>
      <c r="B106" s="9" t="s">
        <v>10</v>
      </c>
      <c r="C106" s="35" t="s">
        <v>171</v>
      </c>
      <c r="D106" s="17">
        <f>-102615.53-14035.31</f>
        <v>-116650.84</v>
      </c>
      <c r="E106" s="5">
        <f>102615.53+14035.31-116650.84</f>
        <v>0</v>
      </c>
      <c r="F106" s="17"/>
      <c r="G106" s="38"/>
      <c r="H106" s="62">
        <f t="shared" si="0"/>
        <v>-116650.84</v>
      </c>
      <c r="I106" s="3"/>
      <c r="J106" s="1"/>
    </row>
    <row r="107" spans="1:10" s="9" customFormat="1" ht="13.9" customHeight="1" x14ac:dyDescent="0.25">
      <c r="A107" s="27">
        <v>44347</v>
      </c>
      <c r="B107" s="9" t="s">
        <v>10</v>
      </c>
      <c r="C107" s="35" t="s">
        <v>176</v>
      </c>
      <c r="D107" s="17">
        <f>141366.2-141366.2</f>
        <v>0</v>
      </c>
      <c r="E107" s="5"/>
      <c r="F107" s="17"/>
      <c r="G107" s="38"/>
      <c r="H107" s="62">
        <f t="shared" si="0"/>
        <v>0</v>
      </c>
      <c r="I107" s="3"/>
      <c r="J107" s="1"/>
    </row>
    <row r="108" spans="1:10" s="9" customFormat="1" ht="13.9" customHeight="1" x14ac:dyDescent="0.25">
      <c r="A108" s="27">
        <v>44347</v>
      </c>
      <c r="B108" s="9" t="s">
        <v>10</v>
      </c>
      <c r="C108" s="35" t="s">
        <v>39</v>
      </c>
      <c r="D108" s="17">
        <v>-2333.35</v>
      </c>
      <c r="E108" s="5"/>
      <c r="F108" s="17"/>
      <c r="G108" s="38"/>
      <c r="H108" s="62">
        <f t="shared" si="0"/>
        <v>-2333.35</v>
      </c>
      <c r="I108" s="3"/>
      <c r="J108" s="1"/>
    </row>
    <row r="109" spans="1:10" s="9" customFormat="1" ht="13.9" customHeight="1" x14ac:dyDescent="0.25">
      <c r="A109" s="27">
        <v>44347</v>
      </c>
      <c r="B109" s="9" t="s">
        <v>10</v>
      </c>
      <c r="C109" s="35" t="s">
        <v>34</v>
      </c>
      <c r="D109" s="17">
        <v>111752.93</v>
      </c>
      <c r="E109" s="5"/>
      <c r="F109" s="17"/>
      <c r="G109" s="38"/>
      <c r="H109" s="62">
        <f t="shared" si="0"/>
        <v>111752.93</v>
      </c>
      <c r="I109" s="3"/>
      <c r="J109" s="1"/>
    </row>
    <row r="110" spans="1:10" s="9" customFormat="1" ht="13.9" customHeight="1" x14ac:dyDescent="0.25">
      <c r="A110" s="27">
        <v>44347</v>
      </c>
      <c r="B110" s="9" t="s">
        <v>10</v>
      </c>
      <c r="C110" s="35" t="s">
        <v>35</v>
      </c>
      <c r="D110" s="17">
        <v>-13309.03</v>
      </c>
      <c r="E110" s="5"/>
      <c r="F110" s="17"/>
      <c r="G110" s="38"/>
      <c r="H110" s="62">
        <f t="shared" si="0"/>
        <v>-13309.03</v>
      </c>
      <c r="I110" s="3"/>
      <c r="J110" s="1"/>
    </row>
    <row r="111" spans="1:10" s="9" customFormat="1" ht="13.9" customHeight="1" x14ac:dyDescent="0.25">
      <c r="A111" s="27">
        <v>44377</v>
      </c>
      <c r="B111" s="9" t="s">
        <v>10</v>
      </c>
      <c r="C111" s="35" t="s">
        <v>177</v>
      </c>
      <c r="D111" s="17">
        <v>13309.03</v>
      </c>
      <c r="E111" s="5"/>
      <c r="F111" s="17"/>
      <c r="G111" s="38"/>
      <c r="H111" s="62">
        <f t="shared" si="0"/>
        <v>13309.03</v>
      </c>
      <c r="I111" s="3"/>
      <c r="J111" s="1"/>
    </row>
    <row r="112" spans="1:10" s="9" customFormat="1" ht="13.9" customHeight="1" x14ac:dyDescent="0.25">
      <c r="A112" s="27">
        <v>44377</v>
      </c>
      <c r="B112" s="9" t="s">
        <v>10</v>
      </c>
      <c r="C112" s="35" t="s">
        <v>144</v>
      </c>
      <c r="D112" s="17">
        <v>1302.08</v>
      </c>
      <c r="E112" s="5"/>
      <c r="F112" s="17"/>
      <c r="G112" s="38"/>
      <c r="H112" s="62">
        <f t="shared" si="0"/>
        <v>1302.08</v>
      </c>
      <c r="I112" s="3"/>
      <c r="J112" s="1"/>
    </row>
    <row r="113" spans="1:10" s="9" customFormat="1" ht="13.9" customHeight="1" x14ac:dyDescent="0.25">
      <c r="A113" s="27">
        <v>44377</v>
      </c>
      <c r="B113" s="9" t="s">
        <v>10</v>
      </c>
      <c r="C113" s="35" t="s">
        <v>178</v>
      </c>
      <c r="D113" s="17">
        <f>-63449.2+392.75</f>
        <v>-63056.45</v>
      </c>
      <c r="E113" s="5">
        <f>63449.2-392.75-63056.45</f>
        <v>0</v>
      </c>
      <c r="F113" s="17"/>
      <c r="G113" s="38"/>
      <c r="H113" s="62">
        <f t="shared" si="0"/>
        <v>-63056.45</v>
      </c>
      <c r="I113" s="3"/>
      <c r="J113" s="1"/>
    </row>
    <row r="114" spans="1:10" s="9" customFormat="1" ht="13.9" customHeight="1" x14ac:dyDescent="0.25">
      <c r="A114" s="27">
        <v>44377</v>
      </c>
      <c r="B114" s="9" t="s">
        <v>10</v>
      </c>
      <c r="C114" s="35" t="s">
        <v>179</v>
      </c>
      <c r="D114" s="17">
        <f>-50517.43-1607.01</f>
        <v>-52124.44</v>
      </c>
      <c r="E114" s="5">
        <f>50517.43+1607.01-52124.44</f>
        <v>0</v>
      </c>
      <c r="F114" s="17"/>
      <c r="G114" s="38"/>
      <c r="H114" s="62">
        <f t="shared" si="0"/>
        <v>-52124.44</v>
      </c>
      <c r="I114" s="3"/>
      <c r="J114" s="1"/>
    </row>
    <row r="115" spans="1:10" s="9" customFormat="1" ht="13.9" customHeight="1" x14ac:dyDescent="0.25">
      <c r="A115" s="27">
        <v>44377</v>
      </c>
      <c r="B115" s="9" t="s">
        <v>10</v>
      </c>
      <c r="C115" s="35" t="s">
        <v>180</v>
      </c>
      <c r="D115" s="17">
        <f>29857.96+2466.7</f>
        <v>32324.66</v>
      </c>
      <c r="E115" s="5"/>
      <c r="F115" s="17">
        <f>-29857.96-2466.7+32324.66</f>
        <v>0</v>
      </c>
      <c r="G115" s="38"/>
      <c r="H115" s="62">
        <f t="shared" si="0"/>
        <v>32324.66</v>
      </c>
      <c r="I115" s="3"/>
      <c r="J115" s="1"/>
    </row>
    <row r="116" spans="1:10" s="9" customFormat="1" ht="13.9" customHeight="1" x14ac:dyDescent="0.25">
      <c r="A116" s="27">
        <v>44377</v>
      </c>
      <c r="B116" s="9" t="s">
        <v>10</v>
      </c>
      <c r="C116" s="35" t="s">
        <v>39</v>
      </c>
      <c r="D116" s="17">
        <v>-2750.02</v>
      </c>
      <c r="E116" s="5"/>
      <c r="F116" s="17"/>
      <c r="G116" s="38"/>
      <c r="H116" s="62">
        <f t="shared" si="0"/>
        <v>-2750.02</v>
      </c>
      <c r="I116" s="3"/>
      <c r="J116" s="1"/>
    </row>
    <row r="117" spans="1:10" s="9" customFormat="1" ht="13.9" customHeight="1" x14ac:dyDescent="0.25">
      <c r="A117" s="27">
        <v>44377</v>
      </c>
      <c r="B117" s="9" t="s">
        <v>10</v>
      </c>
      <c r="C117" s="35" t="s">
        <v>34</v>
      </c>
      <c r="D117" s="17">
        <f>-20712.66</f>
        <v>-20712.66</v>
      </c>
      <c r="E117" s="5"/>
      <c r="F117" s="17"/>
      <c r="G117" s="38"/>
      <c r="H117" s="62">
        <f t="shared" si="0"/>
        <v>-20712.66</v>
      </c>
      <c r="I117" s="3"/>
      <c r="J117" s="1"/>
    </row>
    <row r="118" spans="1:10" s="9" customFormat="1" ht="13.9" customHeight="1" x14ac:dyDescent="0.25">
      <c r="A118" s="27">
        <v>44377</v>
      </c>
      <c r="B118" s="9" t="s">
        <v>10</v>
      </c>
      <c r="C118" s="35" t="s">
        <v>35</v>
      </c>
      <c r="D118" s="17">
        <f>-37149.39</f>
        <v>-37149.39</v>
      </c>
      <c r="E118" s="5"/>
      <c r="F118" s="17"/>
      <c r="G118" s="38"/>
      <c r="H118" s="62">
        <f t="shared" si="0"/>
        <v>-37149.39</v>
      </c>
      <c r="I118" s="3"/>
      <c r="J118" s="1"/>
    </row>
    <row r="119" spans="1:10" s="9" customFormat="1" ht="13.9" customHeight="1" x14ac:dyDescent="0.25">
      <c r="A119" s="27">
        <v>44408</v>
      </c>
      <c r="B119" s="9" t="s">
        <v>13</v>
      </c>
      <c r="C119" s="35" t="s">
        <v>181</v>
      </c>
      <c r="D119" s="17">
        <v>37149.39</v>
      </c>
      <c r="E119" s="5"/>
      <c r="F119" s="17"/>
      <c r="G119" s="38"/>
      <c r="H119" s="62">
        <f t="shared" si="0"/>
        <v>37149.39</v>
      </c>
      <c r="I119" s="3"/>
      <c r="J119" s="1"/>
    </row>
    <row r="120" spans="1:10" s="9" customFormat="1" ht="13.9" customHeight="1" x14ac:dyDescent="0.25">
      <c r="A120" s="27">
        <v>44408</v>
      </c>
      <c r="B120" s="9" t="s">
        <v>13</v>
      </c>
      <c r="C120" s="35" t="s">
        <v>144</v>
      </c>
      <c r="D120" s="17">
        <v>1302.08</v>
      </c>
      <c r="E120" s="5"/>
      <c r="F120" s="17"/>
      <c r="G120" s="38"/>
      <c r="H120" s="62">
        <f t="shared" si="0"/>
        <v>1302.08</v>
      </c>
      <c r="I120" s="3"/>
      <c r="J120" s="1"/>
    </row>
    <row r="121" spans="1:10" s="9" customFormat="1" ht="13.9" customHeight="1" x14ac:dyDescent="0.25">
      <c r="A121" s="27">
        <v>44408</v>
      </c>
      <c r="B121" s="9" t="s">
        <v>13</v>
      </c>
      <c r="C121" s="35" t="s">
        <v>182</v>
      </c>
      <c r="D121" s="17">
        <f>-227777.44+52161.97</f>
        <v>-175615.47</v>
      </c>
      <c r="E121" s="79">
        <f>227777.44-52161.97</f>
        <v>175615.47</v>
      </c>
      <c r="F121" s="17"/>
      <c r="G121" s="38"/>
      <c r="H121" s="62">
        <f t="shared" si="0"/>
        <v>-175615.47</v>
      </c>
      <c r="I121" s="3"/>
      <c r="J121" s="1"/>
    </row>
    <row r="122" spans="1:10" s="9" customFormat="1" ht="13.9" customHeight="1" x14ac:dyDescent="0.25">
      <c r="A122" s="27">
        <v>44408</v>
      </c>
      <c r="B122" s="9" t="s">
        <v>13</v>
      </c>
      <c r="C122" s="35" t="s">
        <v>183</v>
      </c>
      <c r="D122" s="17">
        <f>-76777.05+9343.07</f>
        <v>-67433.98000000001</v>
      </c>
      <c r="E122" s="5">
        <f>76777.05-9343.07-67433.98</f>
        <v>0</v>
      </c>
      <c r="F122" s="17"/>
      <c r="G122" s="38"/>
      <c r="H122" s="62">
        <f t="shared" si="0"/>
        <v>-67433.98000000001</v>
      </c>
      <c r="I122" s="3"/>
      <c r="J122" s="1"/>
    </row>
    <row r="123" spans="1:10" s="9" customFormat="1" ht="13.9" customHeight="1" x14ac:dyDescent="0.25">
      <c r="A123" s="27">
        <v>44408</v>
      </c>
      <c r="B123" s="9" t="s">
        <v>13</v>
      </c>
      <c r="C123" s="35" t="s">
        <v>184</v>
      </c>
      <c r="D123" s="17">
        <f>15161.23+6.09</f>
        <v>15167.32</v>
      </c>
      <c r="E123" s="5"/>
      <c r="F123" s="17">
        <f>-6.09-15161.23+15167.32</f>
        <v>0</v>
      </c>
      <c r="G123" s="38"/>
      <c r="H123" s="62">
        <f t="shared" si="0"/>
        <v>15167.32</v>
      </c>
      <c r="I123" s="3"/>
      <c r="J123" s="1"/>
    </row>
    <row r="124" spans="1:10" s="9" customFormat="1" ht="13.9" customHeight="1" x14ac:dyDescent="0.25">
      <c r="A124" s="27">
        <v>44408</v>
      </c>
      <c r="B124" s="9" t="s">
        <v>13</v>
      </c>
      <c r="C124" s="35" t="s">
        <v>39</v>
      </c>
      <c r="D124" s="17">
        <v>-2750.02</v>
      </c>
      <c r="E124" s="5"/>
      <c r="F124" s="17"/>
      <c r="G124" s="38"/>
      <c r="H124" s="62">
        <f t="shared" si="0"/>
        <v>-2750.02</v>
      </c>
      <c r="I124" s="3"/>
      <c r="J124" s="1"/>
    </row>
    <row r="125" spans="1:10" s="9" customFormat="1" ht="13.9" customHeight="1" x14ac:dyDescent="0.25">
      <c r="A125" s="27">
        <v>44408</v>
      </c>
      <c r="B125" s="9" t="s">
        <v>13</v>
      </c>
      <c r="C125" s="35" t="s">
        <v>34</v>
      </c>
      <c r="D125" s="17">
        <v>104368.19</v>
      </c>
      <c r="E125" s="5"/>
      <c r="F125" s="17"/>
      <c r="G125" s="38"/>
      <c r="H125" s="62">
        <f t="shared" si="0"/>
        <v>104368.19</v>
      </c>
      <c r="I125" s="3"/>
      <c r="J125" s="1"/>
    </row>
    <row r="126" spans="1:10" s="9" customFormat="1" ht="13.9" customHeight="1" x14ac:dyDescent="0.25">
      <c r="A126" s="27">
        <v>44408</v>
      </c>
      <c r="B126" s="9" t="s">
        <v>13</v>
      </c>
      <c r="C126" s="35" t="s">
        <v>35</v>
      </c>
      <c r="D126" s="17">
        <v>-27290.78</v>
      </c>
      <c r="E126" s="5"/>
      <c r="F126" s="17"/>
      <c r="G126" s="38"/>
      <c r="H126" s="62">
        <f t="shared" si="0"/>
        <v>-27290.78</v>
      </c>
      <c r="I126" s="3"/>
      <c r="J126" s="1"/>
    </row>
    <row r="127" spans="1:10" s="9" customFormat="1" ht="13.9" customHeight="1" x14ac:dyDescent="0.25">
      <c r="A127" s="27">
        <v>44439</v>
      </c>
      <c r="B127" s="9" t="s">
        <v>13</v>
      </c>
      <c r="C127" s="35" t="s">
        <v>188</v>
      </c>
      <c r="D127" s="17">
        <v>27290.78</v>
      </c>
      <c r="E127" s="5"/>
      <c r="F127" s="17"/>
      <c r="G127" s="38"/>
      <c r="H127" s="62">
        <f t="shared" si="0"/>
        <v>27290.78</v>
      </c>
      <c r="I127" s="3"/>
      <c r="J127" s="1"/>
    </row>
    <row r="128" spans="1:10" s="9" customFormat="1" ht="13.9" customHeight="1" x14ac:dyDescent="0.25">
      <c r="A128" s="27">
        <v>44439</v>
      </c>
      <c r="B128" s="9" t="s">
        <v>13</v>
      </c>
      <c r="C128" s="35" t="s">
        <v>144</v>
      </c>
      <c r="D128" s="17">
        <v>1302.08</v>
      </c>
      <c r="E128" s="5"/>
      <c r="F128" s="17"/>
      <c r="G128" s="38"/>
      <c r="H128" s="62">
        <f t="shared" ref="H128:H134" si="1">D128-G128</f>
        <v>1302.08</v>
      </c>
      <c r="I128" s="3"/>
      <c r="J128" s="1"/>
    </row>
    <row r="129" spans="1:10" s="9" customFormat="1" ht="13.9" customHeight="1" x14ac:dyDescent="0.25">
      <c r="A129" s="27">
        <v>44439</v>
      </c>
      <c r="B129" s="9" t="s">
        <v>13</v>
      </c>
      <c r="C129" s="35" t="s">
        <v>185</v>
      </c>
      <c r="D129" s="17">
        <v>27902.34</v>
      </c>
      <c r="E129" s="5"/>
      <c r="F129" s="91">
        <v>-27902.34</v>
      </c>
      <c r="G129" s="38"/>
      <c r="H129" s="62">
        <f t="shared" si="1"/>
        <v>27902.34</v>
      </c>
      <c r="I129" s="3"/>
      <c r="J129" s="1"/>
    </row>
    <row r="130" spans="1:10" s="9" customFormat="1" ht="13.9" customHeight="1" x14ac:dyDescent="0.25">
      <c r="A130" s="27">
        <v>44439</v>
      </c>
      <c r="B130" s="9" t="s">
        <v>13</v>
      </c>
      <c r="C130" s="35" t="s">
        <v>186</v>
      </c>
      <c r="D130" s="17">
        <v>-149539.76</v>
      </c>
      <c r="E130" s="56">
        <v>149539.76</v>
      </c>
      <c r="F130" s="17"/>
      <c r="G130" s="38"/>
      <c r="H130" s="62">
        <f t="shared" si="1"/>
        <v>-149539.76</v>
      </c>
      <c r="I130" s="3"/>
      <c r="J130" s="1"/>
    </row>
    <row r="131" spans="1:10" s="9" customFormat="1" ht="13.9" customHeight="1" x14ac:dyDescent="0.25">
      <c r="A131" s="27">
        <v>44439</v>
      </c>
      <c r="B131" s="9" t="s">
        <v>13</v>
      </c>
      <c r="C131" s="35" t="s">
        <v>187</v>
      </c>
      <c r="D131" s="17">
        <v>33821.83</v>
      </c>
      <c r="E131" s="5"/>
      <c r="F131" s="81">
        <v>-33821.83</v>
      </c>
      <c r="G131" s="38"/>
      <c r="H131" s="62">
        <f t="shared" si="1"/>
        <v>33821.83</v>
      </c>
      <c r="I131" s="3"/>
      <c r="J131" s="1"/>
    </row>
    <row r="132" spans="1:10" s="9" customFormat="1" ht="13.9" customHeight="1" x14ac:dyDescent="0.25">
      <c r="A132" s="44">
        <v>44439</v>
      </c>
      <c r="B132" s="24" t="s">
        <v>13</v>
      </c>
      <c r="C132" s="26" t="s">
        <v>41</v>
      </c>
      <c r="D132" s="33">
        <v>-2750.02</v>
      </c>
      <c r="E132" s="5"/>
      <c r="F132" s="17"/>
      <c r="G132" s="38"/>
      <c r="H132" s="62">
        <f t="shared" si="1"/>
        <v>-2750.02</v>
      </c>
      <c r="I132" s="3"/>
      <c r="J132" s="1"/>
    </row>
    <row r="133" spans="1:10" s="9" customFormat="1" ht="13.9" customHeight="1" x14ac:dyDescent="0.25">
      <c r="A133" s="44">
        <v>44439</v>
      </c>
      <c r="B133" s="24" t="s">
        <v>13</v>
      </c>
      <c r="C133" s="26" t="s">
        <v>42</v>
      </c>
      <c r="D133" s="33">
        <v>-174012.30999999997</v>
      </c>
      <c r="E133" s="5"/>
      <c r="F133" s="17"/>
      <c r="G133" s="38"/>
      <c r="H133" s="62">
        <f t="shared" si="1"/>
        <v>-174012.30999999997</v>
      </c>
      <c r="I133" s="3"/>
      <c r="J133" s="1"/>
    </row>
    <row r="134" spans="1:10" s="9" customFormat="1" ht="13.9" customHeight="1" x14ac:dyDescent="0.25">
      <c r="A134" s="44">
        <v>44439</v>
      </c>
      <c r="B134" s="24" t="s">
        <v>13</v>
      </c>
      <c r="C134" s="26" t="s">
        <v>43</v>
      </c>
      <c r="D134" s="33">
        <v>-46615.29</v>
      </c>
      <c r="E134" s="5"/>
      <c r="F134" s="17"/>
      <c r="G134" s="38"/>
      <c r="H134" s="62">
        <f t="shared" si="1"/>
        <v>-46615.29</v>
      </c>
      <c r="I134" s="3"/>
      <c r="J134" s="1"/>
    </row>
    <row r="135" spans="1:10" s="9" customFormat="1" x14ac:dyDescent="0.25">
      <c r="A135" s="63"/>
      <c r="B135" s="46"/>
      <c r="C135" s="64"/>
      <c r="D135" s="22"/>
      <c r="E135" s="21"/>
      <c r="F135" s="22"/>
      <c r="G135" s="21"/>
      <c r="H135" s="70"/>
      <c r="J135" s="1"/>
    </row>
    <row r="136" spans="1:10" x14ac:dyDescent="0.25">
      <c r="B136" s="9"/>
      <c r="C136" s="9"/>
      <c r="D136" s="45">
        <f>SUM(D8:D135)</f>
        <v>-1316165.2800000003</v>
      </c>
      <c r="E136" s="45">
        <f>SUM(E8:E135)</f>
        <v>358215.77</v>
      </c>
      <c r="F136" s="45">
        <f>SUM(F8:F135)</f>
        <v>-61724.17</v>
      </c>
      <c r="G136" s="45">
        <f>SUM(G6:G135)</f>
        <v>-731830.41</v>
      </c>
      <c r="H136" s="45">
        <f>SUM(H6:H135)</f>
        <v>-387226.59999999986</v>
      </c>
      <c r="J136" s="1"/>
    </row>
    <row r="137" spans="1:10" x14ac:dyDescent="0.25">
      <c r="B137" s="9"/>
      <c r="C137" s="9"/>
      <c r="D137" s="2"/>
      <c r="E137" s="2"/>
      <c r="F137" s="2"/>
      <c r="G137" s="1">
        <f>G136*-1</f>
        <v>731830.41</v>
      </c>
      <c r="H137" s="2"/>
    </row>
    <row r="138" spans="1:10" ht="45" x14ac:dyDescent="0.25">
      <c r="B138" s="9"/>
      <c r="C138" s="9" t="s">
        <v>6</v>
      </c>
      <c r="D138" s="11"/>
      <c r="E138" s="68">
        <v>358215.77</v>
      </c>
      <c r="F138" s="8">
        <v>-61724.17</v>
      </c>
      <c r="G138" s="9"/>
      <c r="H138" s="8">
        <v>-387226.6</v>
      </c>
      <c r="I138" s="85" t="s">
        <v>174</v>
      </c>
      <c r="J138" s="1" t="s">
        <v>120</v>
      </c>
    </row>
    <row r="139" spans="1:10" x14ac:dyDescent="0.25">
      <c r="B139" s="9"/>
      <c r="C139" s="9" t="s">
        <v>28</v>
      </c>
      <c r="D139" s="10"/>
      <c r="E139" s="10">
        <f>E136-E138</f>
        <v>0</v>
      </c>
      <c r="F139" s="10">
        <f>F136-F138</f>
        <v>0</v>
      </c>
      <c r="G139" s="10"/>
      <c r="H139" s="10">
        <f>H136-H138</f>
        <v>0</v>
      </c>
      <c r="J139" s="1"/>
    </row>
    <row r="140" spans="1:10" x14ac:dyDescent="0.25">
      <c r="B140" s="9"/>
      <c r="C140" s="9"/>
      <c r="D140" s="9"/>
      <c r="E140" s="9"/>
      <c r="F140" s="4"/>
      <c r="G140" s="20"/>
      <c r="H140" s="1"/>
    </row>
    <row r="141" spans="1:10" x14ac:dyDescent="0.25">
      <c r="B141" s="9"/>
      <c r="C141" s="106" t="s">
        <v>30</v>
      </c>
      <c r="D141" s="107"/>
      <c r="E141" s="10"/>
      <c r="F141" s="12"/>
      <c r="G141" s="98"/>
      <c r="H141" s="19"/>
      <c r="J141" s="1"/>
    </row>
    <row r="142" spans="1:10" x14ac:dyDescent="0.25">
      <c r="B142" s="9"/>
      <c r="C142" s="28" t="s">
        <v>150</v>
      </c>
      <c r="D142" s="61">
        <f>F78</f>
        <v>0</v>
      </c>
      <c r="E142" s="9"/>
      <c r="F142" s="98"/>
      <c r="G142" s="98"/>
      <c r="H142" s="19"/>
      <c r="J142" s="1"/>
    </row>
    <row r="143" spans="1:10" x14ac:dyDescent="0.25">
      <c r="B143" s="9"/>
      <c r="C143" s="29" t="s">
        <v>27</v>
      </c>
      <c r="D143" s="42">
        <f>+F123+E80+F129</f>
        <v>5158.2000000000007</v>
      </c>
      <c r="E143" s="9"/>
      <c r="F143" s="98"/>
      <c r="G143" s="98"/>
      <c r="H143" s="19"/>
      <c r="J143" s="1"/>
    </row>
    <row r="144" spans="1:10" x14ac:dyDescent="0.25">
      <c r="B144" s="9"/>
      <c r="C144" s="29" t="s">
        <v>33</v>
      </c>
      <c r="D144" s="55">
        <f>+E130</f>
        <v>149539.76</v>
      </c>
      <c r="E144" s="59"/>
      <c r="F144" s="98"/>
      <c r="G144" s="98" t="s">
        <v>25</v>
      </c>
      <c r="H144" s="19"/>
      <c r="J144" s="1"/>
    </row>
    <row r="145" spans="3:10" ht="15.75" thickBot="1" x14ac:dyDescent="0.3">
      <c r="C145" s="30" t="s">
        <v>38</v>
      </c>
      <c r="D145" s="80">
        <f>+E121+E113+F104+F131</f>
        <v>141793.64000000001</v>
      </c>
      <c r="F145" s="98"/>
      <c r="G145" s="98"/>
      <c r="H145" s="43"/>
      <c r="J145" s="1"/>
    </row>
    <row r="146" spans="3:10" x14ac:dyDescent="0.25">
      <c r="C146" s="31"/>
      <c r="D146" s="32">
        <f>SUM(D142:D145)</f>
        <v>296491.60000000003</v>
      </c>
      <c r="F146" s="12"/>
      <c r="G146" s="98"/>
      <c r="H146" s="43"/>
    </row>
    <row r="147" spans="3:10" x14ac:dyDescent="0.25">
      <c r="C147" s="18"/>
      <c r="D147" s="19"/>
      <c r="F147" s="12"/>
      <c r="G147" s="98"/>
      <c r="H147" s="43"/>
    </row>
    <row r="148" spans="3:10" x14ac:dyDescent="0.25">
      <c r="C148" s="92" t="s">
        <v>165</v>
      </c>
      <c r="D148" s="19">
        <f>(E138+F138)-D146</f>
        <v>0</v>
      </c>
      <c r="F148" s="18"/>
      <c r="G148" s="98"/>
      <c r="H148" s="43"/>
    </row>
    <row r="149" spans="3:10" x14ac:dyDescent="0.25">
      <c r="C149" s="18"/>
      <c r="D149" s="19"/>
      <c r="F149" s="18"/>
      <c r="G149" s="98"/>
      <c r="H149" s="43"/>
    </row>
    <row r="150" spans="3:10" x14ac:dyDescent="0.25">
      <c r="F150" s="18"/>
      <c r="G150" s="98"/>
      <c r="H150" s="43"/>
    </row>
    <row r="151" spans="3:10" x14ac:dyDescent="0.25">
      <c r="F151" s="18"/>
      <c r="G151" s="98"/>
      <c r="H151" s="43"/>
    </row>
    <row r="152" spans="3:10" x14ac:dyDescent="0.25">
      <c r="F152" s="18"/>
      <c r="G152" s="98"/>
      <c r="H152" s="43"/>
    </row>
    <row r="153" spans="3:10" x14ac:dyDescent="0.25">
      <c r="F153" s="18"/>
      <c r="G153" s="98"/>
      <c r="H153" s="43"/>
    </row>
    <row r="154" spans="3:10" x14ac:dyDescent="0.25">
      <c r="F154" s="18"/>
      <c r="G154" s="18"/>
      <c r="H154" s="18"/>
    </row>
  </sheetData>
  <autoFilter ref="A5:K146">
    <filterColumn colId="0" showButton="0"/>
  </autoFilter>
  <mergeCells count="4">
    <mergeCell ref="A5:B5"/>
    <mergeCell ref="A6:B6"/>
    <mergeCell ref="A7:B7"/>
    <mergeCell ref="C141:D141"/>
  </mergeCells>
  <pageMargins left="0.7" right="0.7" top="0.5" bottom="0.5" header="0.3" footer="0.3"/>
  <pageSetup scale="54" fitToHeight="0" orientation="portrait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6"/>
  <sheetViews>
    <sheetView zoomScaleNormal="100" workbookViewId="0">
      <pane ySplit="5" topLeftCell="A115" activePane="bottomLeft" state="frozen"/>
      <selection activeCell="C1" sqref="C1"/>
      <selection pane="bottomLeft" activeCell="D113" sqref="D113"/>
    </sheetView>
  </sheetViews>
  <sheetFormatPr defaultColWidth="9.140625" defaultRowHeight="15" x14ac:dyDescent="0.25"/>
  <cols>
    <col min="1" max="1" width="13.85546875" style="7" customWidth="1"/>
    <col min="2" max="2" width="8.7109375" style="7" customWidth="1"/>
    <col min="3" max="3" width="57" style="7" customWidth="1"/>
    <col min="4" max="4" width="16.28515625" style="7" customWidth="1"/>
    <col min="5" max="5" width="17.7109375" style="7" customWidth="1"/>
    <col min="6" max="6" width="17.28515625" style="7" customWidth="1"/>
    <col min="7" max="7" width="21.7109375" style="7" bestFit="1" customWidth="1"/>
    <col min="8" max="8" width="15.7109375" style="7" customWidth="1"/>
    <col min="9" max="9" width="16.42578125" style="7" customWidth="1"/>
    <col min="10" max="10" width="43.140625" style="7" customWidth="1"/>
    <col min="11" max="11" width="26" style="7" customWidth="1"/>
    <col min="12" max="16384" width="9.140625" style="7"/>
  </cols>
  <sheetData>
    <row r="1" spans="1:10" ht="21" x14ac:dyDescent="0.35">
      <c r="A1" s="58" t="s">
        <v>22</v>
      </c>
    </row>
    <row r="2" spans="1:10" ht="21" x14ac:dyDescent="0.35">
      <c r="A2" s="60" t="s">
        <v>23</v>
      </c>
      <c r="E2" s="14"/>
      <c r="F2" s="14"/>
    </row>
    <row r="3" spans="1:10" ht="21" x14ac:dyDescent="0.35">
      <c r="A3" s="58" t="s">
        <v>12</v>
      </c>
      <c r="B3" s="9"/>
      <c r="D3" s="1"/>
      <c r="E3" s="9"/>
      <c r="F3" s="9"/>
      <c r="G3" s="9"/>
      <c r="H3" s="9"/>
    </row>
    <row r="4" spans="1:10" ht="30.6" customHeight="1" x14ac:dyDescent="0.25">
      <c r="A4" s="50"/>
      <c r="B4" s="18"/>
      <c r="C4" s="51"/>
      <c r="D4" s="47" t="s">
        <v>1</v>
      </c>
      <c r="E4" s="57" t="s">
        <v>32</v>
      </c>
      <c r="F4" s="57" t="s">
        <v>31</v>
      </c>
      <c r="G4" s="52" t="s">
        <v>36</v>
      </c>
      <c r="H4" s="47" t="s">
        <v>2</v>
      </c>
    </row>
    <row r="5" spans="1:10" ht="15.75" thickBot="1" x14ac:dyDescent="0.3">
      <c r="A5" s="104" t="s">
        <v>29</v>
      </c>
      <c r="B5" s="104"/>
      <c r="C5" s="49" t="s">
        <v>3</v>
      </c>
      <c r="D5" s="48" t="s">
        <v>4</v>
      </c>
      <c r="E5" s="48" t="s">
        <v>5</v>
      </c>
      <c r="F5" s="48" t="s">
        <v>5</v>
      </c>
      <c r="G5" s="53" t="s">
        <v>172</v>
      </c>
      <c r="H5" s="48" t="s">
        <v>4</v>
      </c>
    </row>
    <row r="6" spans="1:10" x14ac:dyDescent="0.25">
      <c r="A6" s="105" t="s">
        <v>15</v>
      </c>
      <c r="B6" s="105"/>
      <c r="C6" s="23" t="s">
        <v>145</v>
      </c>
      <c r="D6" s="17">
        <f>1148.11+7643.37+1151.59+7639.89+1155.09+7636.39+1158.59+7632.89+1162.1+7629.38+1165.63+7625.85+1169.16+7622.32</f>
        <v>61540.359999999993</v>
      </c>
      <c r="E6" s="47"/>
      <c r="F6" s="34"/>
      <c r="G6" s="74">
        <v>26374.44</v>
      </c>
      <c r="H6" s="12">
        <f>D6-G6</f>
        <v>35165.919999999998</v>
      </c>
      <c r="I6" s="6"/>
    </row>
    <row r="7" spans="1:10" hidden="1" x14ac:dyDescent="0.25">
      <c r="A7" s="105" t="s">
        <v>15</v>
      </c>
      <c r="B7" s="105"/>
      <c r="C7" s="23" t="s">
        <v>78</v>
      </c>
      <c r="D7" s="17">
        <f>11199.33+11199.33+11199.33+11199.33+11199.33+11199.33+11199.33+11199.33+11199.33+1906.78+6492.72+1141.18+7650.3+1144.64+7646.84</f>
        <v>126776.43</v>
      </c>
      <c r="E7" s="47"/>
      <c r="F7" s="34"/>
      <c r="G7" s="74">
        <f>55996.65+61988.3+8791.48</f>
        <v>126776.43000000001</v>
      </c>
      <c r="H7" s="12">
        <f>D7-G7</f>
        <v>0</v>
      </c>
      <c r="I7" s="6"/>
    </row>
    <row r="8" spans="1:10" s="9" customFormat="1" ht="13.9" hidden="1" customHeight="1" x14ac:dyDescent="0.25">
      <c r="A8" s="27">
        <v>43982</v>
      </c>
      <c r="B8" s="9" t="s">
        <v>10</v>
      </c>
      <c r="C8" s="35" t="s">
        <v>101</v>
      </c>
      <c r="D8" s="17">
        <f>6657.07-246.45</f>
        <v>6410.62</v>
      </c>
      <c r="E8" s="5"/>
      <c r="F8" s="17">
        <f>-6657.07+246.45+6410.62</f>
        <v>0</v>
      </c>
      <c r="G8" s="11">
        <f>6657.07-246.45</f>
        <v>6410.62</v>
      </c>
      <c r="H8" s="62">
        <f t="shared" ref="H8:H126" si="0">D8-G8</f>
        <v>0</v>
      </c>
      <c r="I8" s="3"/>
      <c r="J8" s="1"/>
    </row>
    <row r="9" spans="1:10" s="9" customFormat="1" ht="13.9" hidden="1" customHeight="1" x14ac:dyDescent="0.25">
      <c r="A9" s="27">
        <v>43982</v>
      </c>
      <c r="B9" s="9" t="s">
        <v>10</v>
      </c>
      <c r="C9" s="35" t="s">
        <v>102</v>
      </c>
      <c r="D9" s="17">
        <f>-39806.95+23.74</f>
        <v>-39783.21</v>
      </c>
      <c r="E9" s="5">
        <f>39806.95-23.74-39783.21</f>
        <v>0</v>
      </c>
      <c r="F9" s="17"/>
      <c r="G9" s="11">
        <f>-39806.95+23.74</f>
        <v>-39783.21</v>
      </c>
      <c r="H9" s="62">
        <f t="shared" si="0"/>
        <v>0</v>
      </c>
      <c r="I9" s="3"/>
      <c r="J9" s="1"/>
    </row>
    <row r="10" spans="1:10" s="9" customFormat="1" ht="13.9" hidden="1" customHeight="1" x14ac:dyDescent="0.25">
      <c r="A10" s="27">
        <v>43982</v>
      </c>
      <c r="B10" s="9" t="s">
        <v>10</v>
      </c>
      <c r="C10" s="35" t="s">
        <v>103</v>
      </c>
      <c r="D10" s="17">
        <f>-27747.51-275.24</f>
        <v>-28022.75</v>
      </c>
      <c r="E10" s="5">
        <f>27747.51+275.24-28022.75</f>
        <v>0</v>
      </c>
      <c r="F10" s="17"/>
      <c r="G10" s="11">
        <f>-27747.51-275.24</f>
        <v>-28022.75</v>
      </c>
      <c r="H10" s="62">
        <f t="shared" si="0"/>
        <v>0</v>
      </c>
      <c r="I10" s="3"/>
      <c r="J10" s="1"/>
    </row>
    <row r="11" spans="1:10" s="9" customFormat="1" ht="13.9" hidden="1" customHeight="1" x14ac:dyDescent="0.25">
      <c r="A11" s="27">
        <v>43982</v>
      </c>
      <c r="B11" s="9" t="s">
        <v>10</v>
      </c>
      <c r="C11" s="35" t="s">
        <v>34</v>
      </c>
      <c r="D11" s="17">
        <f>-25900.51-29.59</f>
        <v>-25930.1</v>
      </c>
      <c r="E11" s="5"/>
      <c r="F11" s="17"/>
      <c r="G11" s="11">
        <f>-25900.51-29.59</f>
        <v>-25930.1</v>
      </c>
      <c r="H11" s="62">
        <f t="shared" si="0"/>
        <v>0</v>
      </c>
      <c r="I11" s="3"/>
      <c r="J11" s="1"/>
    </row>
    <row r="12" spans="1:10" s="9" customFormat="1" ht="13.9" hidden="1" customHeight="1" x14ac:dyDescent="0.25">
      <c r="A12" s="27">
        <v>43982</v>
      </c>
      <c r="B12" s="9" t="s">
        <v>10</v>
      </c>
      <c r="C12" s="35" t="s">
        <v>35</v>
      </c>
      <c r="D12" s="17">
        <f>-33642.7+9266.09</f>
        <v>-24376.609999999997</v>
      </c>
      <c r="E12" s="5"/>
      <c r="F12" s="17"/>
      <c r="G12" s="11">
        <f>-33642.7+9266.09</f>
        <v>-24376.609999999997</v>
      </c>
      <c r="H12" s="62">
        <f t="shared" si="0"/>
        <v>0</v>
      </c>
      <c r="I12" s="3"/>
      <c r="J12" s="1"/>
    </row>
    <row r="13" spans="1:10" s="9" customFormat="1" ht="13.9" hidden="1" customHeight="1" x14ac:dyDescent="0.25">
      <c r="A13" s="27">
        <v>44012</v>
      </c>
      <c r="B13" s="9" t="s">
        <v>10</v>
      </c>
      <c r="C13" s="35" t="s">
        <v>105</v>
      </c>
      <c r="D13" s="17">
        <f>-6884.15+353.43</f>
        <v>-6530.7199999999993</v>
      </c>
      <c r="E13" s="5">
        <f>6884.15-353.43-6530.72</f>
        <v>0</v>
      </c>
      <c r="F13" s="17"/>
      <c r="G13" s="11">
        <v>-6530.7199999999993</v>
      </c>
      <c r="H13" s="62">
        <f t="shared" si="0"/>
        <v>0</v>
      </c>
      <c r="I13" s="3"/>
      <c r="J13" s="1"/>
    </row>
    <row r="14" spans="1:10" s="9" customFormat="1" ht="13.9" hidden="1" customHeight="1" x14ac:dyDescent="0.25">
      <c r="A14" s="27">
        <v>44012</v>
      </c>
      <c r="B14" s="9" t="s">
        <v>10</v>
      </c>
      <c r="C14" s="35" t="s">
        <v>106</v>
      </c>
      <c r="D14" s="17">
        <f>-30007.16+38.79</f>
        <v>-29968.37</v>
      </c>
      <c r="E14" s="5">
        <f>30007.16-38.79-29968.37</f>
        <v>0</v>
      </c>
      <c r="F14" s="17"/>
      <c r="G14" s="11">
        <v>-29968.37</v>
      </c>
      <c r="H14" s="62">
        <f t="shared" si="0"/>
        <v>0</v>
      </c>
      <c r="I14" s="3"/>
      <c r="J14" s="1"/>
    </row>
    <row r="15" spans="1:10" s="9" customFormat="1" ht="13.9" hidden="1" customHeight="1" x14ac:dyDescent="0.25">
      <c r="A15" s="27">
        <v>44012</v>
      </c>
      <c r="B15" s="9" t="s">
        <v>10</v>
      </c>
      <c r="C15" s="35" t="s">
        <v>107</v>
      </c>
      <c r="D15" s="17">
        <f>-45333.66-2312.7</f>
        <v>-47646.36</v>
      </c>
      <c r="E15" s="5">
        <f>45333.66+2312.7-47646.36</f>
        <v>0</v>
      </c>
      <c r="F15" s="17"/>
      <c r="G15" s="11">
        <v>-47646.36</v>
      </c>
      <c r="H15" s="62">
        <f t="shared" si="0"/>
        <v>0</v>
      </c>
      <c r="I15" s="3"/>
      <c r="J15" s="1"/>
    </row>
    <row r="16" spans="1:10" s="9" customFormat="1" ht="13.9" hidden="1" customHeight="1" x14ac:dyDescent="0.25">
      <c r="A16" s="27">
        <v>44012</v>
      </c>
      <c r="B16" s="9" t="s">
        <v>10</v>
      </c>
      <c r="C16" s="35" t="s">
        <v>104</v>
      </c>
      <c r="D16" s="17">
        <v>24376.61</v>
      </c>
      <c r="E16" s="5"/>
      <c r="F16" s="17"/>
      <c r="G16" s="11">
        <v>24376.61</v>
      </c>
      <c r="H16" s="62">
        <f t="shared" si="0"/>
        <v>0</v>
      </c>
      <c r="I16" s="3"/>
      <c r="J16" s="1"/>
    </row>
    <row r="17" spans="1:10" s="9" customFormat="1" ht="13.9" hidden="1" customHeight="1" x14ac:dyDescent="0.25">
      <c r="A17" s="27">
        <v>44012</v>
      </c>
      <c r="B17" s="9" t="s">
        <v>10</v>
      </c>
      <c r="C17" s="35" t="s">
        <v>39</v>
      </c>
      <c r="D17" s="17">
        <v>-2833.36</v>
      </c>
      <c r="E17" s="5"/>
      <c r="F17" s="17"/>
      <c r="G17" s="11">
        <v>-2833.36</v>
      </c>
      <c r="H17" s="62">
        <f t="shared" si="0"/>
        <v>0</v>
      </c>
      <c r="I17" s="3"/>
      <c r="J17" s="1"/>
    </row>
    <row r="18" spans="1:10" s="9" customFormat="1" ht="13.9" hidden="1" customHeight="1" x14ac:dyDescent="0.25">
      <c r="A18" s="27">
        <v>44012</v>
      </c>
      <c r="B18" s="9" t="s">
        <v>10</v>
      </c>
      <c r="C18" s="35" t="s">
        <v>34</v>
      </c>
      <c r="D18" s="17">
        <f>382.03-0.01</f>
        <v>382.02</v>
      </c>
      <c r="E18" s="5"/>
      <c r="F18" s="17"/>
      <c r="G18" s="11">
        <v>382.02</v>
      </c>
      <c r="H18" s="62">
        <f t="shared" si="0"/>
        <v>0</v>
      </c>
      <c r="I18" s="3"/>
      <c r="J18" s="1"/>
    </row>
    <row r="19" spans="1:10" s="9" customFormat="1" ht="13.9" hidden="1" customHeight="1" x14ac:dyDescent="0.25">
      <c r="A19" s="27">
        <v>44012</v>
      </c>
      <c r="B19" s="9" t="s">
        <v>10</v>
      </c>
      <c r="C19" s="35" t="s">
        <v>35</v>
      </c>
      <c r="D19" s="17">
        <v>-33642.699999999997</v>
      </c>
      <c r="E19" s="5"/>
      <c r="F19" s="17"/>
      <c r="G19" s="11">
        <v>-33642.699999999997</v>
      </c>
      <c r="H19" s="62">
        <f t="shared" si="0"/>
        <v>0</v>
      </c>
      <c r="I19" s="3"/>
      <c r="J19" s="1"/>
    </row>
    <row r="20" spans="1:10" s="9" customFormat="1" ht="13.9" hidden="1" customHeight="1" x14ac:dyDescent="0.25">
      <c r="A20" s="27">
        <v>44043</v>
      </c>
      <c r="B20" s="9" t="s">
        <v>13</v>
      </c>
      <c r="C20" s="35" t="s">
        <v>108</v>
      </c>
      <c r="D20" s="17">
        <f>-83244.29-875.23</f>
        <v>-84119.51999999999</v>
      </c>
      <c r="E20" s="5">
        <f>83244.29+875.23-84119.52</f>
        <v>0</v>
      </c>
      <c r="F20" s="17"/>
      <c r="G20" s="11">
        <v>-84119.51999999999</v>
      </c>
      <c r="H20" s="62">
        <f t="shared" si="0"/>
        <v>0</v>
      </c>
      <c r="I20" s="3"/>
      <c r="J20" s="1"/>
    </row>
    <row r="21" spans="1:10" s="9" customFormat="1" ht="13.9" hidden="1" customHeight="1" x14ac:dyDescent="0.25">
      <c r="A21" s="27">
        <v>44043</v>
      </c>
      <c r="B21" s="9" t="s">
        <v>13</v>
      </c>
      <c r="C21" s="35" t="s">
        <v>109</v>
      </c>
      <c r="D21" s="17">
        <f>-25846.06-271.75</f>
        <v>-26117.81</v>
      </c>
      <c r="E21" s="5">
        <f>25846.06+271.75-26117.81</f>
        <v>0</v>
      </c>
      <c r="F21" s="17"/>
      <c r="G21" s="11">
        <v>-26117.81</v>
      </c>
      <c r="H21" s="62">
        <f t="shared" si="0"/>
        <v>0</v>
      </c>
      <c r="I21" s="3"/>
      <c r="J21" s="1"/>
    </row>
    <row r="22" spans="1:10" s="9" customFormat="1" ht="13.9" hidden="1" customHeight="1" x14ac:dyDescent="0.25">
      <c r="A22" s="27">
        <v>44043</v>
      </c>
      <c r="B22" s="9" t="s">
        <v>13</v>
      </c>
      <c r="C22" s="35" t="s">
        <v>110</v>
      </c>
      <c r="D22" s="17">
        <f>4826.49+671.36</f>
        <v>5497.8499999999995</v>
      </c>
      <c r="E22" s="5"/>
      <c r="F22" s="17">
        <f>-4826.49-671.36+5497.85</f>
        <v>0</v>
      </c>
      <c r="G22" s="11">
        <v>5497.8499999999995</v>
      </c>
      <c r="H22" s="62">
        <f t="shared" si="0"/>
        <v>0</v>
      </c>
      <c r="I22" s="3"/>
      <c r="J22" s="1"/>
    </row>
    <row r="23" spans="1:10" s="9" customFormat="1" ht="13.9" hidden="1" customHeight="1" x14ac:dyDescent="0.25">
      <c r="A23" s="27">
        <v>44043</v>
      </c>
      <c r="B23" s="9" t="s">
        <v>13</v>
      </c>
      <c r="C23" s="35" t="s">
        <v>37</v>
      </c>
      <c r="D23" s="17">
        <v>0</v>
      </c>
      <c r="E23" s="5"/>
      <c r="F23" s="17"/>
      <c r="G23" s="11">
        <v>0</v>
      </c>
      <c r="H23" s="62">
        <f t="shared" si="0"/>
        <v>0</v>
      </c>
      <c r="I23" s="3"/>
      <c r="J23" s="1"/>
    </row>
    <row r="24" spans="1:10" s="9" customFormat="1" ht="13.9" hidden="1" customHeight="1" x14ac:dyDescent="0.25">
      <c r="A24" s="27">
        <v>44043</v>
      </c>
      <c r="B24" s="9" t="s">
        <v>13</v>
      </c>
      <c r="C24" s="35" t="s">
        <v>111</v>
      </c>
      <c r="D24" s="17">
        <v>33642.699999999997</v>
      </c>
      <c r="E24" s="5"/>
      <c r="F24" s="17"/>
      <c r="G24" s="11">
        <v>33642.699999999997</v>
      </c>
      <c r="H24" s="62">
        <f t="shared" si="0"/>
        <v>0</v>
      </c>
      <c r="I24" s="3"/>
      <c r="J24" s="1"/>
    </row>
    <row r="25" spans="1:10" s="9" customFormat="1" ht="13.9" hidden="1" customHeight="1" x14ac:dyDescent="0.25">
      <c r="A25" s="27">
        <v>44043</v>
      </c>
      <c r="B25" s="9" t="s">
        <v>13</v>
      </c>
      <c r="C25" s="35" t="s">
        <v>39</v>
      </c>
      <c r="D25" s="17">
        <f>-2041.69+3208.37</f>
        <v>1166.6799999999998</v>
      </c>
      <c r="E25" s="5"/>
      <c r="F25" s="17"/>
      <c r="G25" s="11">
        <v>1166.6799999999998</v>
      </c>
      <c r="H25" s="62">
        <f t="shared" si="0"/>
        <v>0</v>
      </c>
      <c r="I25" s="3"/>
      <c r="J25" s="1"/>
    </row>
    <row r="26" spans="1:10" s="9" customFormat="1" ht="13.9" hidden="1" customHeight="1" x14ac:dyDescent="0.25">
      <c r="A26" s="27">
        <v>44043</v>
      </c>
      <c r="B26" s="9" t="s">
        <v>13</v>
      </c>
      <c r="C26" s="35" t="s">
        <v>34</v>
      </c>
      <c r="D26" s="17">
        <f>33893.09+757.05</f>
        <v>34650.14</v>
      </c>
      <c r="E26" s="5"/>
      <c r="F26" s="17"/>
      <c r="G26" s="11">
        <v>34650.14</v>
      </c>
      <c r="H26" s="62">
        <f t="shared" si="0"/>
        <v>0</v>
      </c>
      <c r="I26" s="3"/>
      <c r="J26" s="1"/>
    </row>
    <row r="27" spans="1:10" s="9" customFormat="1" ht="13.9" hidden="1" customHeight="1" x14ac:dyDescent="0.25">
      <c r="A27" s="27">
        <v>44043</v>
      </c>
      <c r="B27" s="9" t="s">
        <v>13</v>
      </c>
      <c r="C27" s="35" t="s">
        <v>35</v>
      </c>
      <c r="D27" s="17">
        <v>-40947.879999999997</v>
      </c>
      <c r="E27" s="5"/>
      <c r="F27" s="17"/>
      <c r="G27" s="11">
        <v>-40947.879999999997</v>
      </c>
      <c r="H27" s="62">
        <f t="shared" si="0"/>
        <v>0</v>
      </c>
      <c r="I27" s="3"/>
      <c r="J27" s="1"/>
    </row>
    <row r="28" spans="1:10" s="9" customFormat="1" ht="13.9" hidden="1" customHeight="1" x14ac:dyDescent="0.25">
      <c r="A28" s="27">
        <v>44074</v>
      </c>
      <c r="B28" s="18" t="s">
        <v>13</v>
      </c>
      <c r="C28" s="65" t="s">
        <v>112</v>
      </c>
      <c r="D28" s="17">
        <f>-108715.97+13701.77</f>
        <v>-95014.2</v>
      </c>
      <c r="E28" s="5">
        <f>108715.97-13701.77-95014.2</f>
        <v>0</v>
      </c>
      <c r="F28" s="17"/>
      <c r="G28" s="11">
        <v>-95014.2</v>
      </c>
      <c r="H28" s="62">
        <f t="shared" si="0"/>
        <v>0</v>
      </c>
      <c r="I28" s="3"/>
      <c r="J28" s="1"/>
    </row>
    <row r="29" spans="1:10" s="9" customFormat="1" ht="13.9" hidden="1" customHeight="1" x14ac:dyDescent="0.25">
      <c r="A29" s="27">
        <v>44074</v>
      </c>
      <c r="B29" s="18" t="s">
        <v>13</v>
      </c>
      <c r="C29" s="65" t="s">
        <v>113</v>
      </c>
      <c r="D29" s="17">
        <f>-52697.04+39912.35</f>
        <v>-12784.690000000002</v>
      </c>
      <c r="E29" s="5">
        <f>52697.04-39912.35-12784.69</f>
        <v>0</v>
      </c>
      <c r="F29" s="17"/>
      <c r="G29" s="11">
        <v>-12784.690000000002</v>
      </c>
      <c r="H29" s="62">
        <f t="shared" si="0"/>
        <v>0</v>
      </c>
      <c r="I29" s="3"/>
      <c r="J29" s="1"/>
    </row>
    <row r="30" spans="1:10" s="9" customFormat="1" ht="13.9" hidden="1" customHeight="1" x14ac:dyDescent="0.25">
      <c r="A30" s="27">
        <v>44074</v>
      </c>
      <c r="B30" s="18" t="s">
        <v>13</v>
      </c>
      <c r="C30" s="65" t="s">
        <v>114</v>
      </c>
      <c r="D30" s="17">
        <f>4362.1-1.63</f>
        <v>4360.47</v>
      </c>
      <c r="E30" s="5"/>
      <c r="F30" s="17">
        <f>-4362.1+1.63+4360.47</f>
        <v>0</v>
      </c>
      <c r="G30" s="11">
        <v>4360.47</v>
      </c>
      <c r="H30" s="62">
        <f t="shared" si="0"/>
        <v>0</v>
      </c>
      <c r="I30" s="3"/>
      <c r="J30" s="1"/>
    </row>
    <row r="31" spans="1:10" s="9" customFormat="1" ht="13.9" hidden="1" customHeight="1" x14ac:dyDescent="0.25">
      <c r="A31" s="27">
        <v>44074</v>
      </c>
      <c r="B31" s="18" t="s">
        <v>13</v>
      </c>
      <c r="C31" s="65" t="s">
        <v>37</v>
      </c>
      <c r="D31" s="17">
        <v>0</v>
      </c>
      <c r="E31" s="5"/>
      <c r="F31" s="17"/>
      <c r="G31" s="11">
        <v>0</v>
      </c>
      <c r="H31" s="62">
        <f t="shared" si="0"/>
        <v>0</v>
      </c>
      <c r="I31" s="3"/>
      <c r="J31" s="1"/>
    </row>
    <row r="32" spans="1:10" s="9" customFormat="1" ht="13.9" hidden="1" customHeight="1" x14ac:dyDescent="0.25">
      <c r="A32" s="27">
        <v>44074</v>
      </c>
      <c r="B32" s="18" t="s">
        <v>13</v>
      </c>
      <c r="C32" s="65" t="s">
        <v>115</v>
      </c>
      <c r="D32" s="17">
        <v>40947.879999999997</v>
      </c>
      <c r="E32" s="5"/>
      <c r="F32" s="17"/>
      <c r="G32" s="11">
        <v>40947.879999999997</v>
      </c>
      <c r="H32" s="62">
        <f t="shared" si="0"/>
        <v>0</v>
      </c>
      <c r="I32" s="3"/>
      <c r="J32" s="1"/>
    </row>
    <row r="33" spans="1:10" s="9" customFormat="1" ht="13.9" hidden="1" customHeight="1" x14ac:dyDescent="0.25">
      <c r="A33" s="27">
        <v>44074</v>
      </c>
      <c r="B33" s="18" t="s">
        <v>13</v>
      </c>
      <c r="C33" s="65" t="s">
        <v>127</v>
      </c>
      <c r="D33" s="17">
        <v>-1958.35</v>
      </c>
      <c r="E33" s="5"/>
      <c r="F33" s="17"/>
      <c r="G33" s="11">
        <v>-1958.35</v>
      </c>
      <c r="H33" s="62">
        <f t="shared" si="0"/>
        <v>0</v>
      </c>
      <c r="I33" s="3"/>
      <c r="J33" s="1"/>
    </row>
    <row r="34" spans="1:10" s="9" customFormat="1" ht="13.9" hidden="1" customHeight="1" x14ac:dyDescent="0.25">
      <c r="A34" s="27">
        <v>44074</v>
      </c>
      <c r="B34" s="18" t="s">
        <v>13</v>
      </c>
      <c r="C34" s="65" t="s">
        <v>128</v>
      </c>
      <c r="D34" s="17">
        <f>-14987.39+14229.62</f>
        <v>-757.76999999999862</v>
      </c>
      <c r="E34" s="5"/>
      <c r="F34" s="17"/>
      <c r="G34" s="11">
        <v>-757.76999999999862</v>
      </c>
      <c r="H34" s="62">
        <f t="shared" si="0"/>
        <v>0</v>
      </c>
      <c r="I34" s="3"/>
      <c r="J34" s="1"/>
    </row>
    <row r="35" spans="1:10" s="9" customFormat="1" ht="13.9" hidden="1" customHeight="1" x14ac:dyDescent="0.25">
      <c r="A35" s="27">
        <v>44074</v>
      </c>
      <c r="B35" s="18" t="s">
        <v>13</v>
      </c>
      <c r="C35" s="65" t="s">
        <v>129</v>
      </c>
      <c r="D35" s="17">
        <f>-37867.09</f>
        <v>-37867.089999999997</v>
      </c>
      <c r="E35" s="5"/>
      <c r="F35" s="17"/>
      <c r="G35" s="11">
        <v>-37867.089999999997</v>
      </c>
      <c r="H35" s="62">
        <f t="shared" si="0"/>
        <v>0</v>
      </c>
      <c r="I35" s="3"/>
      <c r="J35" s="1"/>
    </row>
    <row r="36" spans="1:10" s="9" customFormat="1" ht="13.9" hidden="1" customHeight="1" x14ac:dyDescent="0.25">
      <c r="A36" s="27">
        <v>44074</v>
      </c>
      <c r="B36" s="18" t="s">
        <v>13</v>
      </c>
      <c r="C36" s="65" t="s">
        <v>130</v>
      </c>
      <c r="D36" s="17">
        <v>-135.47999999999999</v>
      </c>
      <c r="E36" s="5"/>
      <c r="F36" s="17"/>
      <c r="G36" s="11">
        <v>-135.47999999999999</v>
      </c>
      <c r="H36" s="62">
        <f t="shared" si="0"/>
        <v>0</v>
      </c>
      <c r="I36" s="3"/>
      <c r="J36" s="1"/>
    </row>
    <row r="37" spans="1:10" s="9" customFormat="1" ht="13.9" hidden="1" customHeight="1" x14ac:dyDescent="0.25">
      <c r="A37" s="27">
        <v>44104</v>
      </c>
      <c r="B37" s="18" t="s">
        <v>13</v>
      </c>
      <c r="C37" s="65" t="s">
        <v>117</v>
      </c>
      <c r="D37" s="17">
        <f>-37463.1+1902.1</f>
        <v>-35561</v>
      </c>
      <c r="E37" s="5">
        <f>37463.1-1902.1-35561</f>
        <v>0</v>
      </c>
      <c r="F37" s="17"/>
      <c r="G37" s="11">
        <v>-35561</v>
      </c>
      <c r="H37" s="62">
        <f t="shared" si="0"/>
        <v>0</v>
      </c>
      <c r="I37" s="3"/>
      <c r="J37" s="1"/>
    </row>
    <row r="38" spans="1:10" s="9" customFormat="1" ht="13.9" hidden="1" customHeight="1" x14ac:dyDescent="0.25">
      <c r="A38" s="27">
        <v>44104</v>
      </c>
      <c r="B38" s="18" t="s">
        <v>13</v>
      </c>
      <c r="C38" s="65" t="s">
        <v>118</v>
      </c>
      <c r="D38" s="17">
        <f>-11819.68+600.12</f>
        <v>-11219.56</v>
      </c>
      <c r="E38" s="5">
        <f>11819.68-600.12-11219.56</f>
        <v>0</v>
      </c>
      <c r="F38" s="17"/>
      <c r="G38" s="11">
        <v>-11219.56</v>
      </c>
      <c r="H38" s="62">
        <f t="shared" si="0"/>
        <v>0</v>
      </c>
      <c r="I38" s="3"/>
      <c r="J38" s="1"/>
    </row>
    <row r="39" spans="1:10" s="9" customFormat="1" ht="13.9" hidden="1" customHeight="1" x14ac:dyDescent="0.25">
      <c r="A39" s="27">
        <v>44104</v>
      </c>
      <c r="B39" s="18" t="s">
        <v>13</v>
      </c>
      <c r="C39" s="65" t="s">
        <v>119</v>
      </c>
      <c r="D39" s="17">
        <v>20528.650000000001</v>
      </c>
      <c r="E39" s="5"/>
      <c r="F39" s="17">
        <f>-20528.65+20528.65</f>
        <v>0</v>
      </c>
      <c r="G39" s="11">
        <v>20528.650000000001</v>
      </c>
      <c r="H39" s="62">
        <f t="shared" si="0"/>
        <v>0</v>
      </c>
      <c r="I39" s="3"/>
      <c r="J39" s="1"/>
    </row>
    <row r="40" spans="1:10" s="9" customFormat="1" ht="13.9" hidden="1" customHeight="1" x14ac:dyDescent="0.25">
      <c r="A40" s="27">
        <v>44104</v>
      </c>
      <c r="B40" s="18" t="s">
        <v>13</v>
      </c>
      <c r="C40" s="65" t="s">
        <v>121</v>
      </c>
      <c r="D40" s="17">
        <v>37867.089999999997</v>
      </c>
      <c r="E40" s="5"/>
      <c r="F40" s="17"/>
      <c r="G40" s="11">
        <v>37867.089999999997</v>
      </c>
      <c r="H40" s="62">
        <f t="shared" si="0"/>
        <v>0</v>
      </c>
      <c r="I40" s="3"/>
      <c r="J40" s="1"/>
    </row>
    <row r="41" spans="1:10" s="9" customFormat="1" ht="13.9" hidden="1" customHeight="1" x14ac:dyDescent="0.25">
      <c r="A41" s="27">
        <v>44104</v>
      </c>
      <c r="B41" s="9" t="s">
        <v>13</v>
      </c>
      <c r="C41" s="35" t="s">
        <v>127</v>
      </c>
      <c r="D41" s="17">
        <v>-2000.02</v>
      </c>
      <c r="E41" s="5"/>
      <c r="F41" s="17"/>
      <c r="G41" s="11">
        <v>-2000.02</v>
      </c>
      <c r="H41" s="62">
        <f t="shared" si="0"/>
        <v>0</v>
      </c>
      <c r="I41" s="3"/>
      <c r="J41" s="1"/>
    </row>
    <row r="42" spans="1:10" s="9" customFormat="1" ht="13.9" hidden="1" customHeight="1" x14ac:dyDescent="0.25">
      <c r="A42" s="27">
        <v>44104</v>
      </c>
      <c r="B42" s="9" t="s">
        <v>13</v>
      </c>
      <c r="C42" s="35" t="s">
        <v>128</v>
      </c>
      <c r="D42" s="17">
        <v>-14372.82</v>
      </c>
      <c r="E42" s="5"/>
      <c r="F42" s="17"/>
      <c r="G42" s="11">
        <v>-14372.82</v>
      </c>
      <c r="H42" s="62">
        <f>D42-G42</f>
        <v>0</v>
      </c>
      <c r="I42" s="3"/>
      <c r="J42" s="1"/>
    </row>
    <row r="43" spans="1:10" s="9" customFormat="1" ht="13.9" hidden="1" customHeight="1" x14ac:dyDescent="0.25">
      <c r="A43" s="27">
        <v>44104</v>
      </c>
      <c r="B43" s="9" t="s">
        <v>13</v>
      </c>
      <c r="C43" s="35" t="s">
        <v>129</v>
      </c>
      <c r="D43" s="17">
        <v>-47238.51</v>
      </c>
      <c r="E43" s="5"/>
      <c r="F43" s="17"/>
      <c r="G43" s="11">
        <v>-47238.51</v>
      </c>
      <c r="H43" s="62">
        <f t="shared" si="0"/>
        <v>0</v>
      </c>
      <c r="I43" s="3"/>
      <c r="J43" s="1"/>
    </row>
    <row r="44" spans="1:10" s="9" customFormat="1" ht="13.9" hidden="1" customHeight="1" x14ac:dyDescent="0.25">
      <c r="A44" s="27">
        <v>44135</v>
      </c>
      <c r="B44" s="9" t="s">
        <v>18</v>
      </c>
      <c r="C44" s="35" t="s">
        <v>124</v>
      </c>
      <c r="D44" s="17">
        <f>64170.88+1365.58</f>
        <v>65536.459999999992</v>
      </c>
      <c r="E44" s="5"/>
      <c r="F44" s="17">
        <f>-64170.88-1365.58+65536.46</f>
        <v>0</v>
      </c>
      <c r="G44" s="11">
        <v>65536.459999999992</v>
      </c>
      <c r="H44" s="62">
        <f t="shared" si="0"/>
        <v>0</v>
      </c>
      <c r="I44" s="3"/>
      <c r="J44" s="1"/>
    </row>
    <row r="45" spans="1:10" s="9" customFormat="1" ht="13.9" hidden="1" customHeight="1" x14ac:dyDescent="0.25">
      <c r="A45" s="27">
        <v>44135</v>
      </c>
      <c r="B45" s="9" t="s">
        <v>18</v>
      </c>
      <c r="C45" s="35" t="s">
        <v>125</v>
      </c>
      <c r="D45" s="17">
        <f>-33917.68-1172.07</f>
        <v>-35089.75</v>
      </c>
      <c r="E45" s="5">
        <f>33917.68+1172.07-35089.75</f>
        <v>0</v>
      </c>
      <c r="F45" s="17"/>
      <c r="G45" s="11">
        <f>-33917.68-1172.07</f>
        <v>-35089.75</v>
      </c>
      <c r="H45" s="62">
        <f t="shared" si="0"/>
        <v>0</v>
      </c>
      <c r="I45" s="3"/>
      <c r="J45" s="1"/>
    </row>
    <row r="46" spans="1:10" s="9" customFormat="1" ht="13.9" hidden="1" customHeight="1" x14ac:dyDescent="0.25">
      <c r="A46" s="27">
        <v>44135</v>
      </c>
      <c r="B46" s="9" t="s">
        <v>18</v>
      </c>
      <c r="C46" s="35" t="s">
        <v>126</v>
      </c>
      <c r="D46" s="17">
        <f>10587.87+44.55</f>
        <v>10632.42</v>
      </c>
      <c r="E46" s="5"/>
      <c r="F46" s="17">
        <f>-10587.87-44.55+10632.42</f>
        <v>0</v>
      </c>
      <c r="G46" s="11">
        <v>10632.42</v>
      </c>
      <c r="H46" s="62">
        <f t="shared" si="0"/>
        <v>0</v>
      </c>
      <c r="I46" s="3"/>
      <c r="J46" s="1"/>
    </row>
    <row r="47" spans="1:10" s="9" customFormat="1" ht="13.9" hidden="1" customHeight="1" x14ac:dyDescent="0.25">
      <c r="A47" s="27">
        <v>44135</v>
      </c>
      <c r="B47" s="9" t="s">
        <v>18</v>
      </c>
      <c r="C47" s="35" t="s">
        <v>122</v>
      </c>
      <c r="D47" s="17">
        <v>300.42</v>
      </c>
      <c r="E47" s="5"/>
      <c r="F47" s="17"/>
      <c r="G47" s="11">
        <v>300.42</v>
      </c>
      <c r="H47" s="62">
        <f t="shared" si="0"/>
        <v>0</v>
      </c>
      <c r="I47" s="3"/>
      <c r="J47" s="1"/>
    </row>
    <row r="48" spans="1:10" s="9" customFormat="1" ht="13.9" hidden="1" customHeight="1" x14ac:dyDescent="0.25">
      <c r="A48" s="27">
        <v>44135</v>
      </c>
      <c r="B48" s="9" t="s">
        <v>18</v>
      </c>
      <c r="C48" s="35" t="s">
        <v>123</v>
      </c>
      <c r="D48" s="17">
        <v>47238.51</v>
      </c>
      <c r="E48" s="5"/>
      <c r="F48" s="17"/>
      <c r="G48" s="11">
        <v>47238.51</v>
      </c>
      <c r="H48" s="62">
        <f t="shared" si="0"/>
        <v>0</v>
      </c>
      <c r="I48" s="3"/>
      <c r="J48" s="1"/>
    </row>
    <row r="49" spans="1:10" s="9" customFormat="1" ht="13.9" hidden="1" customHeight="1" x14ac:dyDescent="0.25">
      <c r="A49" s="27">
        <v>44135</v>
      </c>
      <c r="B49" s="9" t="s">
        <v>18</v>
      </c>
      <c r="C49" s="35" t="s">
        <v>39</v>
      </c>
      <c r="D49" s="17">
        <v>-2041.72</v>
      </c>
      <c r="E49" s="5"/>
      <c r="F49" s="17"/>
      <c r="G49" s="11">
        <v>-2041.72</v>
      </c>
      <c r="H49" s="62">
        <f t="shared" si="0"/>
        <v>0</v>
      </c>
      <c r="I49" s="3"/>
      <c r="J49" s="1"/>
    </row>
    <row r="50" spans="1:10" s="9" customFormat="1" ht="13.9" hidden="1" customHeight="1" x14ac:dyDescent="0.25">
      <c r="A50" s="27">
        <v>44135</v>
      </c>
      <c r="B50" s="9" t="s">
        <v>18</v>
      </c>
      <c r="C50" s="35" t="s">
        <v>34</v>
      </c>
      <c r="D50" s="17">
        <v>-152373.14000000001</v>
      </c>
      <c r="E50" s="5"/>
      <c r="F50" s="17"/>
      <c r="G50" s="11">
        <v>-152373.14000000001</v>
      </c>
      <c r="H50" s="62">
        <f t="shared" si="0"/>
        <v>0</v>
      </c>
      <c r="I50" s="3"/>
      <c r="J50" s="1"/>
    </row>
    <row r="51" spans="1:10" s="9" customFormat="1" ht="13.9" hidden="1" customHeight="1" x14ac:dyDescent="0.25">
      <c r="A51" s="27">
        <v>44135</v>
      </c>
      <c r="B51" s="9" t="s">
        <v>18</v>
      </c>
      <c r="C51" s="35" t="s">
        <v>35</v>
      </c>
      <c r="D51" s="17">
        <v>-25801.4</v>
      </c>
      <c r="E51" s="5"/>
      <c r="F51" s="17"/>
      <c r="G51" s="11">
        <v>-25801.4</v>
      </c>
      <c r="H51" s="62">
        <f t="shared" si="0"/>
        <v>0</v>
      </c>
      <c r="I51" s="3"/>
      <c r="J51" s="1"/>
    </row>
    <row r="52" spans="1:10" s="9" customFormat="1" ht="13.9" hidden="1" customHeight="1" x14ac:dyDescent="0.25">
      <c r="A52" s="27">
        <v>44165</v>
      </c>
      <c r="B52" s="9" t="s">
        <v>18</v>
      </c>
      <c r="C52" s="35" t="s">
        <v>131</v>
      </c>
      <c r="D52" s="17">
        <f>-79402.45-127.71</f>
        <v>-79530.16</v>
      </c>
      <c r="E52" s="5">
        <f>127.71+79402.45-79530.16</f>
        <v>0</v>
      </c>
      <c r="F52" s="17"/>
      <c r="G52" s="11">
        <f>-79402.45-127.71</f>
        <v>-79530.16</v>
      </c>
      <c r="H52" s="62">
        <f t="shared" si="0"/>
        <v>0</v>
      </c>
      <c r="I52" s="3"/>
      <c r="J52" s="1"/>
    </row>
    <row r="53" spans="1:10" s="9" customFormat="1" ht="13.9" hidden="1" customHeight="1" x14ac:dyDescent="0.25">
      <c r="A53" s="27">
        <v>44165</v>
      </c>
      <c r="B53" s="9" t="s">
        <v>18</v>
      </c>
      <c r="C53" s="35" t="s">
        <v>132</v>
      </c>
      <c r="D53" s="17">
        <f>-80066.48-128.77</f>
        <v>-80195.25</v>
      </c>
      <c r="E53" s="5">
        <f>80066.48+128.77-80195.25</f>
        <v>0</v>
      </c>
      <c r="F53" s="17"/>
      <c r="G53" s="11">
        <f>-80066.48-128.77</f>
        <v>-80195.25</v>
      </c>
      <c r="H53" s="62">
        <f t="shared" si="0"/>
        <v>0</v>
      </c>
      <c r="I53" s="3"/>
      <c r="J53" s="1"/>
    </row>
    <row r="54" spans="1:10" s="9" customFormat="1" ht="13.9" hidden="1" customHeight="1" x14ac:dyDescent="0.25">
      <c r="A54" s="27">
        <v>44165</v>
      </c>
      <c r="B54" s="9" t="s">
        <v>18</v>
      </c>
      <c r="C54" s="35" t="s">
        <v>133</v>
      </c>
      <c r="D54" s="17">
        <f>23388.88+0.6</f>
        <v>23389.48</v>
      </c>
      <c r="E54" s="5"/>
      <c r="F54" s="17">
        <f>-23388.88-0.6+23389.48</f>
        <v>0</v>
      </c>
      <c r="G54" s="11">
        <f>23388.88+0.6</f>
        <v>23389.48</v>
      </c>
      <c r="H54" s="62">
        <f t="shared" si="0"/>
        <v>0</v>
      </c>
      <c r="I54" s="3"/>
      <c r="J54" s="1"/>
    </row>
    <row r="55" spans="1:10" s="9" customFormat="1" ht="13.9" hidden="1" customHeight="1" x14ac:dyDescent="0.25">
      <c r="A55" s="27">
        <v>44165</v>
      </c>
      <c r="B55" s="9" t="s">
        <v>18</v>
      </c>
      <c r="C55" s="35" t="s">
        <v>134</v>
      </c>
      <c r="D55" s="17">
        <v>25801.4</v>
      </c>
      <c r="E55" s="5"/>
      <c r="F55" s="17"/>
      <c r="G55" s="11">
        <v>25801.4</v>
      </c>
      <c r="H55" s="62">
        <f t="shared" si="0"/>
        <v>0</v>
      </c>
      <c r="I55" s="3"/>
      <c r="J55" s="1"/>
    </row>
    <row r="56" spans="1:10" s="9" customFormat="1" ht="13.9" hidden="1" customHeight="1" x14ac:dyDescent="0.25">
      <c r="A56" s="27">
        <v>44165</v>
      </c>
      <c r="B56" s="9" t="s">
        <v>18</v>
      </c>
      <c r="C56" s="35" t="s">
        <v>39</v>
      </c>
      <c r="D56" s="17">
        <v>-2166.69</v>
      </c>
      <c r="E56" s="5"/>
      <c r="F56" s="17"/>
      <c r="G56" s="11">
        <v>-2166.69</v>
      </c>
      <c r="H56" s="62">
        <f t="shared" si="0"/>
        <v>0</v>
      </c>
      <c r="I56" s="3"/>
      <c r="J56" s="1"/>
    </row>
    <row r="57" spans="1:10" s="9" customFormat="1" ht="13.9" hidden="1" customHeight="1" x14ac:dyDescent="0.25">
      <c r="A57" s="27">
        <v>44165</v>
      </c>
      <c r="B57" s="9" t="s">
        <v>18</v>
      </c>
      <c r="C57" s="35" t="s">
        <v>34</v>
      </c>
      <c r="D57" s="17">
        <v>73988.95</v>
      </c>
      <c r="E57" s="5"/>
      <c r="F57" s="17"/>
      <c r="G57" s="11">
        <v>73988.95</v>
      </c>
      <c r="H57" s="62">
        <f t="shared" si="0"/>
        <v>0</v>
      </c>
      <c r="I57" s="3"/>
      <c r="J57" s="1"/>
    </row>
    <row r="58" spans="1:10" s="9" customFormat="1" ht="13.9" hidden="1" customHeight="1" x14ac:dyDescent="0.25">
      <c r="A58" s="27">
        <v>44165</v>
      </c>
      <c r="B58" s="9" t="s">
        <v>18</v>
      </c>
      <c r="C58" s="35" t="s">
        <v>35</v>
      </c>
      <c r="D58" s="17">
        <f>-53621.76+300</f>
        <v>-53321.760000000002</v>
      </c>
      <c r="E58" s="5"/>
      <c r="F58" s="17"/>
      <c r="G58" s="11">
        <f>-53621.76+300</f>
        <v>-53321.760000000002</v>
      </c>
      <c r="H58" s="62">
        <f t="shared" si="0"/>
        <v>0</v>
      </c>
      <c r="I58" s="3"/>
      <c r="J58" s="1"/>
    </row>
    <row r="59" spans="1:10" s="9" customFormat="1" ht="13.9" hidden="1" customHeight="1" x14ac:dyDescent="0.25">
      <c r="A59" s="27">
        <v>44165</v>
      </c>
      <c r="B59" s="9" t="s">
        <v>18</v>
      </c>
      <c r="C59" s="35" t="s">
        <v>76</v>
      </c>
      <c r="D59" s="17">
        <v>0</v>
      </c>
      <c r="E59" s="5"/>
      <c r="F59" s="17"/>
      <c r="G59" s="38"/>
      <c r="H59" s="62">
        <f t="shared" si="0"/>
        <v>0</v>
      </c>
      <c r="I59" s="3"/>
      <c r="J59" s="1"/>
    </row>
    <row r="60" spans="1:10" s="9" customFormat="1" ht="13.9" hidden="1" customHeight="1" x14ac:dyDescent="0.25">
      <c r="A60" s="27">
        <v>44196</v>
      </c>
      <c r="B60" s="9" t="s">
        <v>18</v>
      </c>
      <c r="C60" s="35" t="s">
        <v>135</v>
      </c>
      <c r="D60" s="17">
        <f>102485.65+1508.75</f>
        <v>103994.4</v>
      </c>
      <c r="E60" s="5"/>
      <c r="F60" s="17">
        <f>-102485.65-1508.75+103994.4</f>
        <v>0</v>
      </c>
      <c r="G60" s="25">
        <v>103994.4</v>
      </c>
      <c r="H60" s="62">
        <f t="shared" si="0"/>
        <v>0</v>
      </c>
      <c r="I60" s="3"/>
      <c r="J60" s="1"/>
    </row>
    <row r="61" spans="1:10" s="9" customFormat="1" ht="13.9" hidden="1" customHeight="1" x14ac:dyDescent="0.25">
      <c r="A61" s="27">
        <v>44196</v>
      </c>
      <c r="B61" s="9" t="s">
        <v>18</v>
      </c>
      <c r="C61" s="35" t="s">
        <v>136</v>
      </c>
      <c r="D61" s="17">
        <f>20128.19+10.1</f>
        <v>20138.289999999997</v>
      </c>
      <c r="E61" s="5"/>
      <c r="F61" s="17">
        <f>-20128.19-10.1+20138.29</f>
        <v>0</v>
      </c>
      <c r="G61" s="25">
        <v>20138.289999999997</v>
      </c>
      <c r="H61" s="62">
        <f t="shared" si="0"/>
        <v>0</v>
      </c>
      <c r="I61" s="3"/>
      <c r="J61" s="1"/>
    </row>
    <row r="62" spans="1:10" s="9" customFormat="1" ht="13.9" hidden="1" customHeight="1" x14ac:dyDescent="0.25">
      <c r="A62" s="27">
        <v>44196</v>
      </c>
      <c r="B62" s="9" t="s">
        <v>18</v>
      </c>
      <c r="C62" s="35" t="s">
        <v>137</v>
      </c>
      <c r="D62" s="17">
        <f>-71825.21-8153.61</f>
        <v>-79978.820000000007</v>
      </c>
      <c r="E62" s="5">
        <f>71825.21+8153.61-79978.82</f>
        <v>0</v>
      </c>
      <c r="F62" s="17"/>
      <c r="G62" s="25">
        <v>-79978.820000000007</v>
      </c>
      <c r="H62" s="62">
        <f t="shared" si="0"/>
        <v>0</v>
      </c>
      <c r="I62" s="3"/>
      <c r="J62" s="1"/>
    </row>
    <row r="63" spans="1:10" s="9" customFormat="1" ht="13.9" hidden="1" customHeight="1" x14ac:dyDescent="0.25">
      <c r="A63" s="27">
        <v>44196</v>
      </c>
      <c r="B63" s="9" t="s">
        <v>18</v>
      </c>
      <c r="C63" s="35" t="s">
        <v>138</v>
      </c>
      <c r="D63" s="17">
        <v>53321.760000000002</v>
      </c>
      <c r="E63" s="5"/>
      <c r="F63" s="17"/>
      <c r="G63" s="25">
        <v>53321.760000000002</v>
      </c>
      <c r="H63" s="62">
        <f t="shared" si="0"/>
        <v>0</v>
      </c>
      <c r="I63" s="3"/>
      <c r="J63" s="1"/>
    </row>
    <row r="64" spans="1:10" s="9" customFormat="1" ht="13.9" hidden="1" customHeight="1" x14ac:dyDescent="0.25">
      <c r="A64" s="27">
        <v>44196</v>
      </c>
      <c r="B64" s="9" t="s">
        <v>18</v>
      </c>
      <c r="C64" s="35" t="s">
        <v>39</v>
      </c>
      <c r="D64" s="17">
        <v>-2791.69</v>
      </c>
      <c r="E64" s="5"/>
      <c r="F64" s="17"/>
      <c r="G64" s="25">
        <v>-2791.69</v>
      </c>
      <c r="H64" s="62">
        <f t="shared" si="0"/>
        <v>0</v>
      </c>
      <c r="I64" s="3"/>
      <c r="J64" s="1"/>
    </row>
    <row r="65" spans="1:10" s="9" customFormat="1" ht="13.9" hidden="1" customHeight="1" x14ac:dyDescent="0.25">
      <c r="A65" s="27">
        <v>44196</v>
      </c>
      <c r="B65" s="9" t="s">
        <v>18</v>
      </c>
      <c r="C65" s="35" t="s">
        <v>34</v>
      </c>
      <c r="D65" s="17">
        <f>-1923.93+7011.57+180</f>
        <v>5267.6399999999994</v>
      </c>
      <c r="E65" s="5"/>
      <c r="F65" s="17"/>
      <c r="G65" s="25">
        <v>5267.6399999999994</v>
      </c>
      <c r="H65" s="62">
        <f t="shared" si="0"/>
        <v>0</v>
      </c>
      <c r="I65" s="3"/>
      <c r="J65" s="1"/>
    </row>
    <row r="66" spans="1:10" s="9" customFormat="1" ht="13.9" hidden="1" customHeight="1" x14ac:dyDescent="0.25">
      <c r="A66" s="27">
        <v>44196</v>
      </c>
      <c r="B66" s="9" t="s">
        <v>18</v>
      </c>
      <c r="C66" s="35" t="s">
        <v>35</v>
      </c>
      <c r="D66" s="17">
        <v>-74388.570000000007</v>
      </c>
      <c r="E66" s="5"/>
      <c r="F66" s="17"/>
      <c r="G66" s="25">
        <v>-74388.570000000007</v>
      </c>
      <c r="H66" s="62">
        <f t="shared" si="0"/>
        <v>0</v>
      </c>
      <c r="I66" s="3"/>
      <c r="J66" s="1"/>
    </row>
    <row r="67" spans="1:10" s="9" customFormat="1" ht="13.9" hidden="1" customHeight="1" x14ac:dyDescent="0.25">
      <c r="A67" s="27">
        <v>44227</v>
      </c>
      <c r="B67" s="9" t="s">
        <v>9</v>
      </c>
      <c r="C67" s="35" t="s">
        <v>144</v>
      </c>
      <c r="D67" s="17">
        <v>1302.08</v>
      </c>
      <c r="E67" s="5"/>
      <c r="F67" s="17"/>
      <c r="G67" s="25">
        <v>1302.08</v>
      </c>
      <c r="H67" s="62">
        <f t="shared" si="0"/>
        <v>0</v>
      </c>
      <c r="I67" s="3"/>
      <c r="J67" s="1"/>
    </row>
    <row r="68" spans="1:10" s="9" customFormat="1" ht="13.9" hidden="1" customHeight="1" x14ac:dyDescent="0.25">
      <c r="A68" s="27">
        <v>44227</v>
      </c>
      <c r="B68" s="9" t="s">
        <v>9</v>
      </c>
      <c r="C68" s="35" t="s">
        <v>140</v>
      </c>
      <c r="D68" s="17">
        <f>361443.6+53107.39</f>
        <v>414550.99</v>
      </c>
      <c r="E68" s="5"/>
      <c r="F68" s="17">
        <f>-361443.6-53107.39+414550.99</f>
        <v>0</v>
      </c>
      <c r="G68" s="25">
        <v>414550.99</v>
      </c>
      <c r="H68" s="62">
        <f t="shared" si="0"/>
        <v>0</v>
      </c>
      <c r="I68" s="3"/>
      <c r="J68" s="1"/>
    </row>
    <row r="69" spans="1:10" s="9" customFormat="1" ht="13.9" hidden="1" customHeight="1" x14ac:dyDescent="0.25">
      <c r="A69" s="27">
        <v>44227</v>
      </c>
      <c r="B69" s="9" t="s">
        <v>9</v>
      </c>
      <c r="C69" s="35" t="s">
        <v>141</v>
      </c>
      <c r="D69" s="17">
        <f>-99869.3+66423.59</f>
        <v>-33445.710000000006</v>
      </c>
      <c r="E69" s="5">
        <f>99869.3-66423.59-33445.71</f>
        <v>0</v>
      </c>
      <c r="F69" s="17"/>
      <c r="G69" s="25">
        <v>-33445.710000000006</v>
      </c>
      <c r="H69" s="62">
        <f t="shared" si="0"/>
        <v>0</v>
      </c>
      <c r="I69" s="3"/>
      <c r="J69" s="1"/>
    </row>
    <row r="70" spans="1:10" s="9" customFormat="1" ht="13.9" hidden="1" customHeight="1" x14ac:dyDescent="0.25">
      <c r="A70" s="27">
        <v>44227</v>
      </c>
      <c r="B70" s="9" t="s">
        <v>9</v>
      </c>
      <c r="C70" s="35" t="s">
        <v>142</v>
      </c>
      <c r="D70" s="17">
        <f>-127977.09-22406.86</f>
        <v>-150383.95000000001</v>
      </c>
      <c r="E70" s="5">
        <f>127977.09+22406.86-150383.95</f>
        <v>0</v>
      </c>
      <c r="F70" s="17"/>
      <c r="G70" s="25">
        <v>-150383.95000000001</v>
      </c>
      <c r="H70" s="62">
        <f t="shared" si="0"/>
        <v>0</v>
      </c>
      <c r="I70" s="3"/>
      <c r="J70" s="1"/>
    </row>
    <row r="71" spans="1:10" s="9" customFormat="1" ht="13.9" hidden="1" customHeight="1" x14ac:dyDescent="0.25">
      <c r="A71" s="27">
        <v>44227</v>
      </c>
      <c r="B71" s="9" t="s">
        <v>9</v>
      </c>
      <c r="C71" s="35" t="s">
        <v>143</v>
      </c>
      <c r="D71" s="17">
        <v>74388.570000000007</v>
      </c>
      <c r="E71" s="5"/>
      <c r="F71" s="17"/>
      <c r="G71" s="25">
        <v>74388.570000000007</v>
      </c>
      <c r="H71" s="62">
        <f t="shared" si="0"/>
        <v>0</v>
      </c>
      <c r="I71" s="3"/>
      <c r="J71" s="1"/>
    </row>
    <row r="72" spans="1:10" s="9" customFormat="1" ht="13.9" hidden="1" customHeight="1" x14ac:dyDescent="0.25">
      <c r="A72" s="27">
        <v>44227</v>
      </c>
      <c r="B72" s="9" t="s">
        <v>9</v>
      </c>
      <c r="C72" s="35" t="s">
        <v>127</v>
      </c>
      <c r="D72" s="17">
        <v>-3000.02</v>
      </c>
      <c r="E72" s="5"/>
      <c r="F72" s="17"/>
      <c r="G72" s="25">
        <v>-3000.02</v>
      </c>
      <c r="H72" s="62">
        <f t="shared" si="0"/>
        <v>0</v>
      </c>
      <c r="I72" s="3"/>
      <c r="J72" s="1"/>
    </row>
    <row r="73" spans="1:10" s="9" customFormat="1" ht="13.9" hidden="1" customHeight="1" x14ac:dyDescent="0.25">
      <c r="A73" s="27">
        <v>44227</v>
      </c>
      <c r="B73" s="9" t="s">
        <v>9</v>
      </c>
      <c r="C73" s="35" t="s">
        <v>128</v>
      </c>
      <c r="D73" s="17">
        <f>-178477.07+23944.61</f>
        <v>-154532.46000000002</v>
      </c>
      <c r="E73" s="5"/>
      <c r="F73" s="17"/>
      <c r="G73" s="25">
        <v>-154532.46000000002</v>
      </c>
      <c r="H73" s="62">
        <f t="shared" si="0"/>
        <v>0</v>
      </c>
      <c r="I73" s="3"/>
      <c r="J73" s="1"/>
    </row>
    <row r="74" spans="1:10" s="9" customFormat="1" ht="13.9" hidden="1" customHeight="1" x14ac:dyDescent="0.25">
      <c r="A74" s="27">
        <v>44227</v>
      </c>
      <c r="B74" s="9" t="s">
        <v>9</v>
      </c>
      <c r="C74" s="35" t="s">
        <v>129</v>
      </c>
      <c r="D74" s="17">
        <v>-42165.79</v>
      </c>
      <c r="E74" s="5"/>
      <c r="F74" s="17"/>
      <c r="G74" s="25">
        <v>-42165.79</v>
      </c>
      <c r="H74" s="62">
        <f t="shared" si="0"/>
        <v>0</v>
      </c>
      <c r="I74" s="3"/>
      <c r="J74" s="1"/>
    </row>
    <row r="75" spans="1:10" s="9" customFormat="1" ht="13.9" hidden="1" customHeight="1" x14ac:dyDescent="0.25">
      <c r="A75" s="27">
        <v>44255</v>
      </c>
      <c r="B75" s="9" t="s">
        <v>9</v>
      </c>
      <c r="C75" s="35" t="s">
        <v>144</v>
      </c>
      <c r="D75" s="17">
        <v>1302.08</v>
      </c>
      <c r="E75" s="5"/>
      <c r="F75" s="17"/>
      <c r="G75" s="25">
        <v>1302.08</v>
      </c>
      <c r="H75" s="62">
        <f t="shared" si="0"/>
        <v>0</v>
      </c>
      <c r="I75" s="3"/>
      <c r="J75" s="1"/>
    </row>
    <row r="76" spans="1:10" s="9" customFormat="1" ht="13.9" hidden="1" customHeight="1" x14ac:dyDescent="0.25">
      <c r="A76" s="27">
        <v>44255</v>
      </c>
      <c r="B76" s="9" t="s">
        <v>9</v>
      </c>
      <c r="C76" s="35" t="s">
        <v>148</v>
      </c>
      <c r="D76" s="17">
        <v>42165.79</v>
      </c>
      <c r="E76" s="5"/>
      <c r="F76" s="17"/>
      <c r="G76" s="25">
        <v>42165.79</v>
      </c>
      <c r="H76" s="62">
        <f t="shared" si="0"/>
        <v>0</v>
      </c>
      <c r="I76" s="3"/>
      <c r="J76" s="1"/>
    </row>
    <row r="77" spans="1:10" s="9" customFormat="1" ht="13.9" hidden="1" customHeight="1" x14ac:dyDescent="0.25">
      <c r="A77" s="27">
        <v>44255</v>
      </c>
      <c r="B77" s="9" t="s">
        <v>9</v>
      </c>
      <c r="C77" s="35" t="s">
        <v>151</v>
      </c>
      <c r="D77" s="17">
        <f>-411154.26+24063.88</f>
        <v>-387090.38</v>
      </c>
      <c r="E77" s="5">
        <f>411154.26-24063.88-387090.38</f>
        <v>0</v>
      </c>
      <c r="F77" s="17"/>
      <c r="G77" s="25">
        <v>-387090.38</v>
      </c>
      <c r="H77" s="62">
        <f t="shared" si="0"/>
        <v>0</v>
      </c>
      <c r="I77" s="3"/>
      <c r="J77" s="1"/>
    </row>
    <row r="78" spans="1:10" s="9" customFormat="1" ht="13.9" hidden="1" customHeight="1" x14ac:dyDescent="0.25">
      <c r="A78" s="27">
        <v>44255</v>
      </c>
      <c r="B78" s="9" t="s">
        <v>9</v>
      </c>
      <c r="C78" s="35" t="s">
        <v>154</v>
      </c>
      <c r="D78" s="17">
        <f>83000+18631.04</f>
        <v>101631.04000000001</v>
      </c>
      <c r="E78" s="5"/>
      <c r="F78" s="17">
        <f>-83000-18631.04+101631.04</f>
        <v>0</v>
      </c>
      <c r="G78" s="25">
        <v>101631.04000000001</v>
      </c>
      <c r="H78" s="62">
        <f t="shared" si="0"/>
        <v>0</v>
      </c>
      <c r="I78" s="3"/>
      <c r="J78" s="1"/>
    </row>
    <row r="79" spans="1:10" s="9" customFormat="1" ht="13.9" customHeight="1" x14ac:dyDescent="0.25">
      <c r="A79" s="27">
        <v>44255</v>
      </c>
      <c r="B79" s="9" t="s">
        <v>9</v>
      </c>
      <c r="C79" s="35" t="s">
        <v>152</v>
      </c>
      <c r="D79" s="17">
        <f>-14380.2+856.44</f>
        <v>-13523.76</v>
      </c>
      <c r="E79" s="5">
        <f>14380.2-856.44-13523.76</f>
        <v>0</v>
      </c>
      <c r="F79" s="17"/>
      <c r="G79" s="25">
        <v>-14380.2</v>
      </c>
      <c r="H79" s="62">
        <f t="shared" si="0"/>
        <v>856.44000000000051</v>
      </c>
      <c r="I79" s="3"/>
      <c r="J79" s="1"/>
    </row>
    <row r="80" spans="1:10" s="9" customFormat="1" ht="13.9" customHeight="1" x14ac:dyDescent="0.25">
      <c r="A80" s="27">
        <v>44255</v>
      </c>
      <c r="B80" s="9" t="s">
        <v>9</v>
      </c>
      <c r="C80" s="35" t="s">
        <v>153</v>
      </c>
      <c r="D80" s="17">
        <v>-33060.54</v>
      </c>
      <c r="E80" s="54">
        <v>33060.54</v>
      </c>
      <c r="F80" s="17"/>
      <c r="G80" s="25">
        <v>-33060.54</v>
      </c>
      <c r="H80" s="62">
        <f t="shared" si="0"/>
        <v>0</v>
      </c>
      <c r="I80" s="3"/>
      <c r="J80" s="1"/>
    </row>
    <row r="81" spans="1:10" s="9" customFormat="1" ht="13.9" hidden="1" customHeight="1" x14ac:dyDescent="0.25">
      <c r="A81" s="27">
        <v>44255</v>
      </c>
      <c r="B81" s="9" t="s">
        <v>9</v>
      </c>
      <c r="C81" s="35" t="s">
        <v>159</v>
      </c>
      <c r="D81" s="17">
        <v>-101864.83</v>
      </c>
      <c r="E81" s="5"/>
      <c r="F81" s="17"/>
      <c r="G81" s="25">
        <v>-101864.83</v>
      </c>
      <c r="H81" s="62">
        <f t="shared" si="0"/>
        <v>0</v>
      </c>
      <c r="I81" s="3"/>
      <c r="J81" s="1"/>
    </row>
    <row r="82" spans="1:10" s="9" customFormat="1" ht="13.9" hidden="1" customHeight="1" x14ac:dyDescent="0.25">
      <c r="A82" s="27">
        <v>44255</v>
      </c>
      <c r="B82" s="9" t="s">
        <v>9</v>
      </c>
      <c r="C82" s="35" t="s">
        <v>39</v>
      </c>
      <c r="D82" s="17">
        <v>-2166.69</v>
      </c>
      <c r="E82" s="5"/>
      <c r="F82" s="17"/>
      <c r="G82" s="25">
        <v>-2166.69</v>
      </c>
      <c r="H82" s="62">
        <f t="shared" si="0"/>
        <v>0</v>
      </c>
      <c r="I82" s="3"/>
      <c r="J82" s="1"/>
    </row>
    <row r="83" spans="1:10" s="9" customFormat="1" ht="13.9" hidden="1" customHeight="1" x14ac:dyDescent="0.25">
      <c r="A83" s="27">
        <v>44255</v>
      </c>
      <c r="B83" s="9" t="s">
        <v>9</v>
      </c>
      <c r="C83" s="35" t="s">
        <v>34</v>
      </c>
      <c r="D83" s="17">
        <v>273826.5</v>
      </c>
      <c r="E83" s="5"/>
      <c r="F83" s="17"/>
      <c r="G83" s="25">
        <v>273826.5</v>
      </c>
      <c r="H83" s="62">
        <f t="shared" si="0"/>
        <v>0</v>
      </c>
      <c r="I83" s="3"/>
      <c r="J83" s="1"/>
    </row>
    <row r="84" spans="1:10" s="9" customFormat="1" ht="13.9" hidden="1" customHeight="1" x14ac:dyDescent="0.25">
      <c r="A84" s="27">
        <v>44255</v>
      </c>
      <c r="B84" s="9" t="s">
        <v>9</v>
      </c>
      <c r="C84" s="35" t="s">
        <v>35</v>
      </c>
      <c r="D84" s="17">
        <v>-44307.71</v>
      </c>
      <c r="E84" s="5"/>
      <c r="F84" s="17"/>
      <c r="G84" s="25">
        <v>-44307.71</v>
      </c>
      <c r="H84" s="62">
        <f t="shared" si="0"/>
        <v>0</v>
      </c>
      <c r="I84" s="3"/>
      <c r="J84" s="1"/>
    </row>
    <row r="85" spans="1:10" s="9" customFormat="1" ht="13.9" hidden="1" customHeight="1" x14ac:dyDescent="0.25">
      <c r="A85" s="27">
        <v>44286</v>
      </c>
      <c r="B85" s="9" t="s">
        <v>9</v>
      </c>
      <c r="C85" s="35" t="s">
        <v>155</v>
      </c>
      <c r="D85" s="17">
        <v>44307.71</v>
      </c>
      <c r="E85" s="5"/>
      <c r="F85" s="17"/>
      <c r="G85" s="25">
        <v>44307.71</v>
      </c>
      <c r="H85" s="62">
        <f t="shared" si="0"/>
        <v>0</v>
      </c>
      <c r="I85" s="3"/>
      <c r="J85" s="1"/>
    </row>
    <row r="86" spans="1:10" s="9" customFormat="1" ht="13.9" hidden="1" customHeight="1" x14ac:dyDescent="0.25">
      <c r="A86" s="27">
        <v>44286</v>
      </c>
      <c r="B86" s="9" t="s">
        <v>9</v>
      </c>
      <c r="C86" s="35" t="s">
        <v>144</v>
      </c>
      <c r="D86" s="17">
        <v>1302.08</v>
      </c>
      <c r="E86" s="5"/>
      <c r="F86" s="17"/>
      <c r="G86" s="25">
        <v>1302.08</v>
      </c>
      <c r="H86" s="62">
        <f t="shared" si="0"/>
        <v>0</v>
      </c>
      <c r="I86" s="3"/>
      <c r="J86" s="1"/>
    </row>
    <row r="87" spans="1:10" s="9" customFormat="1" ht="13.9" customHeight="1" x14ac:dyDescent="0.25">
      <c r="A87" s="27">
        <v>44286</v>
      </c>
      <c r="B87" s="9" t="s">
        <v>9</v>
      </c>
      <c r="C87" s="35" t="s">
        <v>156</v>
      </c>
      <c r="D87" s="17">
        <f>-347595.01+220070.8</f>
        <v>-127524.21000000002</v>
      </c>
      <c r="E87" s="5">
        <f>347595.01-220070.8-127524.21</f>
        <v>0</v>
      </c>
      <c r="F87" s="17"/>
      <c r="G87" s="25">
        <v>-347595.01</v>
      </c>
      <c r="H87" s="62">
        <f t="shared" si="0"/>
        <v>220070.8</v>
      </c>
      <c r="I87" s="3"/>
      <c r="J87" s="1"/>
    </row>
    <row r="88" spans="1:10" s="9" customFormat="1" ht="13.9" hidden="1" customHeight="1" x14ac:dyDescent="0.25">
      <c r="A88" s="27">
        <v>44286</v>
      </c>
      <c r="B88" s="9" t="s">
        <v>9</v>
      </c>
      <c r="C88" s="35" t="s">
        <v>157</v>
      </c>
      <c r="D88" s="17">
        <v>-58083.5</v>
      </c>
      <c r="E88" s="5">
        <f>58083.5-58083.5</f>
        <v>0</v>
      </c>
      <c r="F88" s="17"/>
      <c r="G88" s="25">
        <v>-58083.5</v>
      </c>
      <c r="H88" s="62">
        <f t="shared" si="0"/>
        <v>0</v>
      </c>
      <c r="I88" s="3"/>
      <c r="J88" s="1"/>
    </row>
    <row r="89" spans="1:10" s="9" customFormat="1" ht="13.9" customHeight="1" x14ac:dyDescent="0.25">
      <c r="A89" s="27">
        <v>44286</v>
      </c>
      <c r="B89" s="9" t="s">
        <v>9</v>
      </c>
      <c r="C89" s="35" t="s">
        <v>158</v>
      </c>
      <c r="D89" s="17">
        <f>7729.12+0.31</f>
        <v>7729.43</v>
      </c>
      <c r="E89" s="5"/>
      <c r="F89" s="17">
        <f>-7729.12-0.31+7729.43</f>
        <v>0</v>
      </c>
      <c r="G89" s="25">
        <v>7729.12</v>
      </c>
      <c r="H89" s="62">
        <f t="shared" si="0"/>
        <v>0.31000000000040018</v>
      </c>
      <c r="I89" s="3"/>
      <c r="J89" s="1"/>
    </row>
    <row r="90" spans="1:10" s="9" customFormat="1" ht="13.9" hidden="1" customHeight="1" x14ac:dyDescent="0.25">
      <c r="A90" s="27">
        <v>44286</v>
      </c>
      <c r="B90" s="9" t="s">
        <v>9</v>
      </c>
      <c r="C90" s="35" t="s">
        <v>159</v>
      </c>
      <c r="D90" s="17">
        <v>2821.97</v>
      </c>
      <c r="E90" s="5"/>
      <c r="F90" s="17"/>
      <c r="G90" s="25">
        <v>2821.97</v>
      </c>
      <c r="H90" s="62">
        <f t="shared" si="0"/>
        <v>0</v>
      </c>
      <c r="I90" s="3"/>
      <c r="J90" s="1"/>
    </row>
    <row r="91" spans="1:10" s="9" customFormat="1" ht="13.9" hidden="1" customHeight="1" x14ac:dyDescent="0.25">
      <c r="A91" s="27">
        <v>44286</v>
      </c>
      <c r="B91" s="9" t="s">
        <v>9</v>
      </c>
      <c r="C91" s="35" t="s">
        <v>39</v>
      </c>
      <c r="D91" s="17">
        <v>-2750.0200000000004</v>
      </c>
      <c r="E91" s="5"/>
      <c r="F91" s="17"/>
      <c r="G91" s="25">
        <v>-2750.0200000000004</v>
      </c>
      <c r="H91" s="62">
        <f t="shared" si="0"/>
        <v>0</v>
      </c>
      <c r="I91" s="3"/>
      <c r="J91" s="1"/>
    </row>
    <row r="92" spans="1:10" s="9" customFormat="1" ht="13.9" customHeight="1" x14ac:dyDescent="0.25">
      <c r="A92" s="27">
        <v>44286</v>
      </c>
      <c r="B92" s="9" t="s">
        <v>9</v>
      </c>
      <c r="C92" s="35" t="s">
        <v>34</v>
      </c>
      <c r="D92" s="17">
        <f>136248.52-16861.37</f>
        <v>119387.15</v>
      </c>
      <c r="E92" s="5"/>
      <c r="F92" s="17"/>
      <c r="G92" s="25">
        <v>136248.52000000005</v>
      </c>
      <c r="H92" s="62">
        <f t="shared" si="0"/>
        <v>-16861.370000000054</v>
      </c>
      <c r="I92" s="3"/>
      <c r="J92" s="1"/>
    </row>
    <row r="93" spans="1:10" s="9" customFormat="1" ht="13.9" hidden="1" customHeight="1" x14ac:dyDescent="0.25">
      <c r="A93" s="27">
        <v>44286</v>
      </c>
      <c r="B93" s="9" t="s">
        <v>9</v>
      </c>
      <c r="C93" s="35" t="s">
        <v>35</v>
      </c>
      <c r="D93" s="17">
        <v>-14663.53</v>
      </c>
      <c r="E93" s="5"/>
      <c r="F93" s="17"/>
      <c r="G93" s="25">
        <v>-14663.53</v>
      </c>
      <c r="H93" s="62">
        <f t="shared" si="0"/>
        <v>0</v>
      </c>
      <c r="I93" s="3"/>
      <c r="J93" s="1"/>
    </row>
    <row r="94" spans="1:10" s="9" customFormat="1" ht="13.9" customHeight="1" x14ac:dyDescent="0.25">
      <c r="A94" s="27">
        <v>44316</v>
      </c>
      <c r="B94" s="9" t="s">
        <v>10</v>
      </c>
      <c r="C94" s="35" t="s">
        <v>163</v>
      </c>
      <c r="D94" s="17">
        <v>14663.53</v>
      </c>
      <c r="E94" s="5"/>
      <c r="F94" s="17"/>
      <c r="G94" s="38"/>
      <c r="H94" s="62">
        <f t="shared" si="0"/>
        <v>14663.53</v>
      </c>
      <c r="I94" s="3"/>
      <c r="J94" s="1"/>
    </row>
    <row r="95" spans="1:10" s="9" customFormat="1" ht="13.9" customHeight="1" x14ac:dyDescent="0.25">
      <c r="A95" s="27">
        <v>44316</v>
      </c>
      <c r="B95" s="9" t="s">
        <v>10</v>
      </c>
      <c r="C95" s="35" t="s">
        <v>144</v>
      </c>
      <c r="D95" s="17">
        <v>1302.08</v>
      </c>
      <c r="E95" s="5"/>
      <c r="F95" s="17"/>
      <c r="G95" s="38"/>
      <c r="H95" s="62">
        <f t="shared" si="0"/>
        <v>1302.08</v>
      </c>
      <c r="I95" s="3"/>
      <c r="J95" s="1"/>
    </row>
    <row r="96" spans="1:10" s="9" customFormat="1" ht="13.9" customHeight="1" x14ac:dyDescent="0.25">
      <c r="A96" s="27">
        <v>44316</v>
      </c>
      <c r="B96" s="9" t="s">
        <v>10</v>
      </c>
      <c r="C96" s="35" t="s">
        <v>160</v>
      </c>
      <c r="D96" s="17">
        <f>51294.87-546.91</f>
        <v>50747.96</v>
      </c>
      <c r="E96" s="5"/>
      <c r="F96" s="17">
        <f>-51294.87+546.91+50747.96</f>
        <v>0</v>
      </c>
      <c r="G96" s="38"/>
      <c r="H96" s="62">
        <f t="shared" si="0"/>
        <v>50747.96</v>
      </c>
      <c r="I96" s="3"/>
      <c r="J96" s="1"/>
    </row>
    <row r="97" spans="1:10" s="9" customFormat="1" ht="13.9" customHeight="1" x14ac:dyDescent="0.25">
      <c r="A97" s="27">
        <v>44316</v>
      </c>
      <c r="B97" s="9" t="s">
        <v>10</v>
      </c>
      <c r="C97" s="35" t="s">
        <v>161</v>
      </c>
      <c r="D97" s="17">
        <f>-116256.56-802.69</f>
        <v>-117059.25</v>
      </c>
      <c r="E97" s="5">
        <f>116256.56+802.69-117059.25</f>
        <v>0</v>
      </c>
      <c r="F97" s="17"/>
      <c r="G97" s="38"/>
      <c r="H97" s="62">
        <f t="shared" si="0"/>
        <v>-117059.25</v>
      </c>
      <c r="I97" s="3"/>
      <c r="J97" s="1"/>
    </row>
    <row r="98" spans="1:10" s="9" customFormat="1" ht="13.9" customHeight="1" x14ac:dyDescent="0.25">
      <c r="A98" s="27">
        <v>44316</v>
      </c>
      <c r="B98" s="9" t="s">
        <v>10</v>
      </c>
      <c r="C98" s="35" t="s">
        <v>162</v>
      </c>
      <c r="D98" s="17">
        <f>-112001.41-27926.96</f>
        <v>-139928.37</v>
      </c>
      <c r="E98" s="5">
        <f>112001.41+27926.96-139928.37</f>
        <v>0</v>
      </c>
      <c r="F98" s="17"/>
      <c r="G98" s="38"/>
      <c r="H98" s="62">
        <f t="shared" si="0"/>
        <v>-139928.37</v>
      </c>
      <c r="I98" s="3"/>
      <c r="J98" s="1"/>
    </row>
    <row r="99" spans="1:10" s="9" customFormat="1" ht="13.9" customHeight="1" x14ac:dyDescent="0.25">
      <c r="A99" s="27">
        <v>44316</v>
      </c>
      <c r="B99" s="9" t="s">
        <v>10</v>
      </c>
      <c r="C99" s="35" t="s">
        <v>39</v>
      </c>
      <c r="D99" s="17">
        <v>-2750.02</v>
      </c>
      <c r="E99" s="5"/>
      <c r="F99" s="17"/>
      <c r="G99" s="38"/>
      <c r="H99" s="62">
        <f t="shared" si="0"/>
        <v>-2750.02</v>
      </c>
      <c r="I99" s="3"/>
      <c r="J99" s="1"/>
    </row>
    <row r="100" spans="1:10" s="9" customFormat="1" ht="13.9" customHeight="1" x14ac:dyDescent="0.25">
      <c r="A100" s="27">
        <v>44316</v>
      </c>
      <c r="B100" s="9" t="s">
        <v>10</v>
      </c>
      <c r="C100" s="35" t="s">
        <v>34</v>
      </c>
      <c r="D100" s="17">
        <v>119838.63</v>
      </c>
      <c r="E100" s="5"/>
      <c r="F100" s="17"/>
      <c r="G100" s="38"/>
      <c r="H100" s="62">
        <f t="shared" si="0"/>
        <v>119838.63</v>
      </c>
      <c r="I100" s="3"/>
      <c r="J100" s="1"/>
    </row>
    <row r="101" spans="1:10" s="9" customFormat="1" ht="13.9" customHeight="1" x14ac:dyDescent="0.25">
      <c r="A101" s="27">
        <v>44316</v>
      </c>
      <c r="B101" s="9" t="s">
        <v>10</v>
      </c>
      <c r="C101" s="35" t="s">
        <v>35</v>
      </c>
      <c r="D101" s="17">
        <v>-27582.58</v>
      </c>
      <c r="E101" s="5"/>
      <c r="F101" s="17"/>
      <c r="G101" s="38"/>
      <c r="H101" s="62">
        <f t="shared" si="0"/>
        <v>-27582.58</v>
      </c>
      <c r="I101" s="3"/>
      <c r="J101" s="1"/>
    </row>
    <row r="102" spans="1:10" s="9" customFormat="1" ht="13.9" customHeight="1" x14ac:dyDescent="0.25">
      <c r="A102" s="27">
        <v>44347</v>
      </c>
      <c r="B102" s="9" t="s">
        <v>10</v>
      </c>
      <c r="C102" s="35" t="s">
        <v>173</v>
      </c>
      <c r="D102" s="17">
        <v>27582.58</v>
      </c>
      <c r="E102" s="5"/>
      <c r="F102" s="17"/>
      <c r="G102" s="38"/>
      <c r="H102" s="62">
        <f t="shared" si="0"/>
        <v>27582.58</v>
      </c>
      <c r="I102" s="3"/>
      <c r="J102" s="1"/>
    </row>
    <row r="103" spans="1:10" s="9" customFormat="1" ht="13.9" customHeight="1" x14ac:dyDescent="0.25">
      <c r="A103" s="27">
        <v>44347</v>
      </c>
      <c r="B103" s="9" t="s">
        <v>10</v>
      </c>
      <c r="C103" s="35" t="s">
        <v>144</v>
      </c>
      <c r="D103" s="17">
        <v>1302.08</v>
      </c>
      <c r="E103" s="5"/>
      <c r="F103" s="17"/>
      <c r="G103" s="38"/>
      <c r="H103" s="62">
        <f t="shared" si="0"/>
        <v>1302.08</v>
      </c>
      <c r="I103" s="3"/>
      <c r="J103" s="1"/>
    </row>
    <row r="104" spans="1:10" s="9" customFormat="1" ht="13.9" customHeight="1" x14ac:dyDescent="0.25">
      <c r="A104" s="27">
        <v>44347</v>
      </c>
      <c r="B104" s="9" t="s">
        <v>10</v>
      </c>
      <c r="C104" s="35" t="s">
        <v>169</v>
      </c>
      <c r="D104" s="17">
        <f>32913.07+2479.65</f>
        <v>35392.720000000001</v>
      </c>
      <c r="E104" s="5"/>
      <c r="F104" s="81">
        <f>-32913.07-2479.65</f>
        <v>-35392.720000000001</v>
      </c>
      <c r="G104" s="38"/>
      <c r="H104" s="62">
        <f t="shared" si="0"/>
        <v>35392.720000000001</v>
      </c>
      <c r="I104" s="3"/>
      <c r="J104" s="1"/>
    </row>
    <row r="105" spans="1:10" s="9" customFormat="1" ht="13.9" customHeight="1" x14ac:dyDescent="0.25">
      <c r="A105" s="27">
        <v>44347</v>
      </c>
      <c r="B105" s="9" t="s">
        <v>10</v>
      </c>
      <c r="C105" s="35" t="s">
        <v>170</v>
      </c>
      <c r="D105" s="17">
        <f>-51385.5-272.94</f>
        <v>-51658.44</v>
      </c>
      <c r="E105" s="5">
        <f>51385.5+272.94-51658.44</f>
        <v>0</v>
      </c>
      <c r="F105" s="17"/>
      <c r="G105" s="38"/>
      <c r="H105" s="62">
        <f t="shared" si="0"/>
        <v>-51658.44</v>
      </c>
      <c r="I105" s="3"/>
      <c r="J105" s="1"/>
    </row>
    <row r="106" spans="1:10" s="9" customFormat="1" ht="13.9" customHeight="1" x14ac:dyDescent="0.25">
      <c r="A106" s="27">
        <v>44347</v>
      </c>
      <c r="B106" s="9" t="s">
        <v>10</v>
      </c>
      <c r="C106" s="35" t="s">
        <v>171</v>
      </c>
      <c r="D106" s="17">
        <f>-102615.53-14035.31</f>
        <v>-116650.84</v>
      </c>
      <c r="E106" s="5">
        <f>102615.53+14035.31-116650.84</f>
        <v>0</v>
      </c>
      <c r="F106" s="17"/>
      <c r="G106" s="38"/>
      <c r="H106" s="62">
        <f t="shared" si="0"/>
        <v>-116650.84</v>
      </c>
      <c r="I106" s="3"/>
      <c r="J106" s="1"/>
    </row>
    <row r="107" spans="1:10" s="9" customFormat="1" ht="13.9" customHeight="1" x14ac:dyDescent="0.25">
      <c r="A107" s="27">
        <v>44347</v>
      </c>
      <c r="B107" s="9" t="s">
        <v>10</v>
      </c>
      <c r="C107" s="35" t="s">
        <v>176</v>
      </c>
      <c r="D107" s="17">
        <f>141366.2-141366.2</f>
        <v>0</v>
      </c>
      <c r="E107" s="5"/>
      <c r="F107" s="17"/>
      <c r="G107" s="38"/>
      <c r="H107" s="62">
        <f t="shared" si="0"/>
        <v>0</v>
      </c>
      <c r="I107" s="3"/>
      <c r="J107" s="1"/>
    </row>
    <row r="108" spans="1:10" s="9" customFormat="1" ht="13.9" customHeight="1" x14ac:dyDescent="0.25">
      <c r="A108" s="27">
        <v>44347</v>
      </c>
      <c r="B108" s="9" t="s">
        <v>10</v>
      </c>
      <c r="C108" s="35" t="s">
        <v>39</v>
      </c>
      <c r="D108" s="17">
        <v>-2333.35</v>
      </c>
      <c r="E108" s="5"/>
      <c r="F108" s="17"/>
      <c r="G108" s="38"/>
      <c r="H108" s="62">
        <f t="shared" si="0"/>
        <v>-2333.35</v>
      </c>
      <c r="I108" s="3"/>
      <c r="J108" s="1"/>
    </row>
    <row r="109" spans="1:10" s="9" customFormat="1" ht="13.9" customHeight="1" x14ac:dyDescent="0.25">
      <c r="A109" s="27">
        <v>44347</v>
      </c>
      <c r="B109" s="9" t="s">
        <v>10</v>
      </c>
      <c r="C109" s="35" t="s">
        <v>34</v>
      </c>
      <c r="D109" s="17">
        <v>111752.93</v>
      </c>
      <c r="E109" s="5"/>
      <c r="F109" s="17"/>
      <c r="G109" s="38"/>
      <c r="H109" s="62">
        <f t="shared" si="0"/>
        <v>111752.93</v>
      </c>
      <c r="I109" s="3"/>
      <c r="J109" s="1"/>
    </row>
    <row r="110" spans="1:10" s="9" customFormat="1" ht="13.9" customHeight="1" x14ac:dyDescent="0.25">
      <c r="A110" s="27">
        <v>44347</v>
      </c>
      <c r="B110" s="9" t="s">
        <v>10</v>
      </c>
      <c r="C110" s="35" t="s">
        <v>35</v>
      </c>
      <c r="D110" s="17">
        <v>-13309.03</v>
      </c>
      <c r="E110" s="5"/>
      <c r="F110" s="17"/>
      <c r="G110" s="38"/>
      <c r="H110" s="62">
        <f t="shared" si="0"/>
        <v>-13309.03</v>
      </c>
      <c r="I110" s="3"/>
      <c r="J110" s="1"/>
    </row>
    <row r="111" spans="1:10" s="9" customFormat="1" ht="13.9" customHeight="1" x14ac:dyDescent="0.25">
      <c r="A111" s="27">
        <v>44377</v>
      </c>
      <c r="B111" s="9" t="s">
        <v>10</v>
      </c>
      <c r="C111" s="35" t="s">
        <v>177</v>
      </c>
      <c r="D111" s="17">
        <v>13309.03</v>
      </c>
      <c r="E111" s="5"/>
      <c r="F111" s="17"/>
      <c r="G111" s="38"/>
      <c r="H111" s="62">
        <f t="shared" si="0"/>
        <v>13309.03</v>
      </c>
      <c r="I111" s="3"/>
      <c r="J111" s="1"/>
    </row>
    <row r="112" spans="1:10" s="9" customFormat="1" ht="13.9" customHeight="1" x14ac:dyDescent="0.25">
      <c r="A112" s="27">
        <v>44377</v>
      </c>
      <c r="B112" s="9" t="s">
        <v>10</v>
      </c>
      <c r="C112" s="35" t="s">
        <v>144</v>
      </c>
      <c r="D112" s="17">
        <v>1302.08</v>
      </c>
      <c r="E112" s="5"/>
      <c r="F112" s="17"/>
      <c r="G112" s="38"/>
      <c r="H112" s="62">
        <f t="shared" si="0"/>
        <v>1302.08</v>
      </c>
      <c r="I112" s="3"/>
      <c r="J112" s="1"/>
    </row>
    <row r="113" spans="1:10" s="9" customFormat="1" ht="13.9" customHeight="1" x14ac:dyDescent="0.25">
      <c r="A113" s="27">
        <v>44377</v>
      </c>
      <c r="B113" s="9" t="s">
        <v>10</v>
      </c>
      <c r="C113" s="35" t="s">
        <v>178</v>
      </c>
      <c r="D113" s="17">
        <f>-63449.2+392.75</f>
        <v>-63056.45</v>
      </c>
      <c r="E113" s="79">
        <f>63449.2-392.75</f>
        <v>63056.45</v>
      </c>
      <c r="F113" s="17"/>
      <c r="G113" s="38"/>
      <c r="H113" s="62">
        <f t="shared" si="0"/>
        <v>-63056.45</v>
      </c>
      <c r="I113" s="3"/>
      <c r="J113" s="1"/>
    </row>
    <row r="114" spans="1:10" s="9" customFormat="1" ht="13.9" customHeight="1" x14ac:dyDescent="0.25">
      <c r="A114" s="27">
        <v>44377</v>
      </c>
      <c r="B114" s="9" t="s">
        <v>10</v>
      </c>
      <c r="C114" s="35" t="s">
        <v>179</v>
      </c>
      <c r="D114" s="17">
        <v>-50517.43</v>
      </c>
      <c r="E114" s="56">
        <v>50517.43</v>
      </c>
      <c r="F114" s="17"/>
      <c r="G114" s="38"/>
      <c r="H114" s="62">
        <f t="shared" si="0"/>
        <v>-50517.43</v>
      </c>
      <c r="I114" s="3"/>
      <c r="J114" s="1"/>
    </row>
    <row r="115" spans="1:10" s="9" customFormat="1" ht="13.9" customHeight="1" x14ac:dyDescent="0.25">
      <c r="A115" s="27">
        <v>44377</v>
      </c>
      <c r="B115" s="9" t="s">
        <v>10</v>
      </c>
      <c r="C115" s="35" t="s">
        <v>180</v>
      </c>
      <c r="D115" s="17">
        <f>29857.96+2466.7</f>
        <v>32324.66</v>
      </c>
      <c r="E115" s="5"/>
      <c r="F115" s="36">
        <f>-29857.96-2466.7+32324.66</f>
        <v>0</v>
      </c>
      <c r="G115" s="38"/>
      <c r="H115" s="62">
        <f t="shared" si="0"/>
        <v>32324.66</v>
      </c>
      <c r="I115" s="3"/>
      <c r="J115" s="1"/>
    </row>
    <row r="116" spans="1:10" s="9" customFormat="1" ht="13.9" customHeight="1" x14ac:dyDescent="0.25">
      <c r="A116" s="27">
        <v>44377</v>
      </c>
      <c r="B116" s="9" t="s">
        <v>10</v>
      </c>
      <c r="C116" s="35" t="s">
        <v>39</v>
      </c>
      <c r="D116" s="17">
        <v>-2750.02</v>
      </c>
      <c r="E116" s="5"/>
      <c r="F116" s="17"/>
      <c r="G116" s="38"/>
      <c r="H116" s="62">
        <f t="shared" si="0"/>
        <v>-2750.02</v>
      </c>
      <c r="I116" s="3"/>
      <c r="J116" s="1"/>
    </row>
    <row r="117" spans="1:10" s="9" customFormat="1" ht="13.9" customHeight="1" x14ac:dyDescent="0.25">
      <c r="A117" s="27">
        <v>44377</v>
      </c>
      <c r="B117" s="9" t="s">
        <v>10</v>
      </c>
      <c r="C117" s="35" t="s">
        <v>34</v>
      </c>
      <c r="D117" s="17">
        <f>-20712.66</f>
        <v>-20712.66</v>
      </c>
      <c r="E117" s="5"/>
      <c r="F117" s="17"/>
      <c r="G117" s="38"/>
      <c r="H117" s="62">
        <f t="shared" si="0"/>
        <v>-20712.66</v>
      </c>
      <c r="I117" s="3"/>
      <c r="J117" s="1"/>
    </row>
    <row r="118" spans="1:10" s="9" customFormat="1" ht="13.9" customHeight="1" x14ac:dyDescent="0.25">
      <c r="A118" s="27">
        <v>44377</v>
      </c>
      <c r="B118" s="9" t="s">
        <v>10</v>
      </c>
      <c r="C118" s="35" t="s">
        <v>35</v>
      </c>
      <c r="D118" s="17">
        <f>-37149.39</f>
        <v>-37149.39</v>
      </c>
      <c r="E118" s="5"/>
      <c r="F118" s="17"/>
      <c r="G118" s="38"/>
      <c r="H118" s="62">
        <f t="shared" si="0"/>
        <v>-37149.39</v>
      </c>
      <c r="I118" s="3"/>
      <c r="J118" s="1"/>
    </row>
    <row r="119" spans="1:10" s="9" customFormat="1" ht="13.9" customHeight="1" x14ac:dyDescent="0.25">
      <c r="A119" s="27">
        <v>44408</v>
      </c>
      <c r="B119" s="9" t="s">
        <v>13</v>
      </c>
      <c r="C119" s="35" t="s">
        <v>181</v>
      </c>
      <c r="D119" s="17">
        <v>37149.39</v>
      </c>
      <c r="E119" s="5"/>
      <c r="F119" s="17"/>
      <c r="G119" s="38"/>
      <c r="H119" s="62">
        <f t="shared" si="0"/>
        <v>37149.39</v>
      </c>
      <c r="I119" s="3"/>
      <c r="J119" s="1"/>
    </row>
    <row r="120" spans="1:10" s="9" customFormat="1" ht="13.9" customHeight="1" x14ac:dyDescent="0.25">
      <c r="A120" s="27">
        <v>44408</v>
      </c>
      <c r="B120" s="9" t="s">
        <v>13</v>
      </c>
      <c r="C120" s="35" t="s">
        <v>144</v>
      </c>
      <c r="D120" s="17">
        <v>1302.08</v>
      </c>
      <c r="E120" s="5"/>
      <c r="F120" s="17"/>
      <c r="G120" s="38"/>
      <c r="H120" s="62">
        <f t="shared" si="0"/>
        <v>1302.08</v>
      </c>
      <c r="I120" s="3"/>
      <c r="J120" s="1"/>
    </row>
    <row r="121" spans="1:10" s="9" customFormat="1" ht="13.9" customHeight="1" x14ac:dyDescent="0.25">
      <c r="A121" s="27">
        <v>44408</v>
      </c>
      <c r="B121" s="9" t="s">
        <v>13</v>
      </c>
      <c r="C121" s="35" t="s">
        <v>182</v>
      </c>
      <c r="D121" s="17">
        <v>-227777.44</v>
      </c>
      <c r="E121" s="79">
        <v>227777.44</v>
      </c>
      <c r="F121" s="17"/>
      <c r="G121" s="38"/>
      <c r="H121" s="62">
        <f t="shared" si="0"/>
        <v>-227777.44</v>
      </c>
      <c r="I121" s="3"/>
      <c r="J121" s="1"/>
    </row>
    <row r="122" spans="1:10" s="9" customFormat="1" ht="13.9" customHeight="1" x14ac:dyDescent="0.25">
      <c r="A122" s="27">
        <v>44408</v>
      </c>
      <c r="B122" s="9" t="s">
        <v>13</v>
      </c>
      <c r="C122" s="35" t="s">
        <v>183</v>
      </c>
      <c r="D122" s="17">
        <v>-76777.05</v>
      </c>
      <c r="E122" s="56">
        <v>76777.05</v>
      </c>
      <c r="F122" s="17"/>
      <c r="G122" s="38"/>
      <c r="H122" s="62">
        <f t="shared" si="0"/>
        <v>-76777.05</v>
      </c>
      <c r="I122" s="3"/>
      <c r="J122" s="1"/>
    </row>
    <row r="123" spans="1:10" s="9" customFormat="1" ht="13.9" customHeight="1" x14ac:dyDescent="0.25">
      <c r="A123" s="27">
        <v>44408</v>
      </c>
      <c r="B123" s="9" t="s">
        <v>13</v>
      </c>
      <c r="C123" s="35" t="s">
        <v>184</v>
      </c>
      <c r="D123" s="17">
        <v>15161.23</v>
      </c>
      <c r="E123" s="5"/>
      <c r="F123" s="91">
        <v>-15161.23</v>
      </c>
      <c r="G123" s="38"/>
      <c r="H123" s="62">
        <f t="shared" si="0"/>
        <v>15161.23</v>
      </c>
      <c r="I123" s="3"/>
      <c r="J123" s="1"/>
    </row>
    <row r="124" spans="1:10" s="9" customFormat="1" ht="13.9" customHeight="1" x14ac:dyDescent="0.25">
      <c r="A124" s="44">
        <v>44408</v>
      </c>
      <c r="B124" s="24" t="s">
        <v>13</v>
      </c>
      <c r="C124" s="26" t="s">
        <v>41</v>
      </c>
      <c r="D124" s="33">
        <v>-2750.02</v>
      </c>
      <c r="E124" s="5"/>
      <c r="F124" s="17"/>
      <c r="G124" s="38"/>
      <c r="H124" s="62">
        <f t="shared" si="0"/>
        <v>-2750.02</v>
      </c>
      <c r="I124" s="3"/>
      <c r="J124" s="1"/>
    </row>
    <row r="125" spans="1:10" s="9" customFormat="1" ht="13.9" customHeight="1" x14ac:dyDescent="0.25">
      <c r="A125" s="44">
        <v>44408</v>
      </c>
      <c r="B125" s="24" t="s">
        <v>13</v>
      </c>
      <c r="C125" s="26" t="s">
        <v>42</v>
      </c>
      <c r="D125" s="33">
        <v>104368.19</v>
      </c>
      <c r="E125" s="5"/>
      <c r="F125" s="17"/>
      <c r="G125" s="38"/>
      <c r="H125" s="62">
        <f t="shared" si="0"/>
        <v>104368.19</v>
      </c>
      <c r="I125" s="3"/>
      <c r="J125" s="1"/>
    </row>
    <row r="126" spans="1:10" s="9" customFormat="1" ht="13.9" customHeight="1" x14ac:dyDescent="0.25">
      <c r="A126" s="44">
        <v>44408</v>
      </c>
      <c r="B126" s="24" t="s">
        <v>13</v>
      </c>
      <c r="C126" s="26" t="s">
        <v>43</v>
      </c>
      <c r="D126" s="33">
        <v>-27290.78</v>
      </c>
      <c r="E126" s="5"/>
      <c r="F126" s="17"/>
      <c r="G126" s="38"/>
      <c r="H126" s="62">
        <f t="shared" si="0"/>
        <v>-27290.78</v>
      </c>
      <c r="I126" s="3"/>
      <c r="J126" s="1"/>
    </row>
    <row r="127" spans="1:10" s="9" customFormat="1" x14ac:dyDescent="0.25">
      <c r="A127" s="63"/>
      <c r="B127" s="46"/>
      <c r="C127" s="64"/>
      <c r="D127" s="22"/>
      <c r="E127" s="21"/>
      <c r="F127" s="22"/>
      <c r="G127" s="21"/>
      <c r="H127" s="70"/>
      <c r="J127" s="1"/>
    </row>
    <row r="128" spans="1:10" x14ac:dyDescent="0.25">
      <c r="B128" s="9"/>
      <c r="C128" s="9"/>
      <c r="D128" s="45">
        <f>SUM(D8:D127)</f>
        <v>-1093469.0500000003</v>
      </c>
      <c r="E128" s="45">
        <f>SUM(E8:E127)</f>
        <v>451188.91</v>
      </c>
      <c r="F128" s="45">
        <f>SUM(F8:F127)</f>
        <v>-50553.95</v>
      </c>
      <c r="G128" s="45">
        <f>SUM(G6:G127)</f>
        <v>-731830.41</v>
      </c>
      <c r="H128" s="45">
        <f>SUM(H6:H127)</f>
        <v>-173321.85</v>
      </c>
      <c r="J128" s="1"/>
    </row>
    <row r="129" spans="2:10" x14ac:dyDescent="0.25">
      <c r="B129" s="9"/>
      <c r="C129" s="9"/>
      <c r="D129" s="2"/>
      <c r="E129" s="2"/>
      <c r="F129" s="2"/>
      <c r="G129" s="1">
        <f>G128*-1</f>
        <v>731830.41</v>
      </c>
      <c r="H129" s="2"/>
    </row>
    <row r="130" spans="2:10" ht="45" x14ac:dyDescent="0.25">
      <c r="B130" s="9"/>
      <c r="C130" s="9" t="s">
        <v>6</v>
      </c>
      <c r="D130" s="11"/>
      <c r="E130" s="68">
        <v>451188.91</v>
      </c>
      <c r="F130" s="8">
        <v>-50553.95</v>
      </c>
      <c r="G130" s="9"/>
      <c r="H130" s="8">
        <v>-173321.85</v>
      </c>
      <c r="I130" s="85" t="s">
        <v>174</v>
      </c>
      <c r="J130" s="1" t="s">
        <v>120</v>
      </c>
    </row>
    <row r="131" spans="2:10" x14ac:dyDescent="0.25">
      <c r="B131" s="9"/>
      <c r="C131" s="9" t="s">
        <v>28</v>
      </c>
      <c r="D131" s="10"/>
      <c r="E131" s="10">
        <f>E128-E130</f>
        <v>0</v>
      </c>
      <c r="F131" s="10">
        <f>F128-F130</f>
        <v>0</v>
      </c>
      <c r="G131" s="10"/>
      <c r="H131" s="10">
        <f>H128-H130</f>
        <v>0</v>
      </c>
      <c r="J131" s="1"/>
    </row>
    <row r="132" spans="2:10" x14ac:dyDescent="0.25">
      <c r="B132" s="9"/>
      <c r="C132" s="9"/>
      <c r="D132" s="9"/>
      <c r="E132" s="9"/>
      <c r="F132" s="4"/>
      <c r="G132" s="20"/>
      <c r="H132" s="1"/>
    </row>
    <row r="133" spans="2:10" x14ac:dyDescent="0.25">
      <c r="B133" s="9"/>
      <c r="C133" s="106" t="s">
        <v>30</v>
      </c>
      <c r="D133" s="107"/>
      <c r="E133" s="10"/>
      <c r="F133" s="12"/>
      <c r="G133" s="97"/>
      <c r="H133" s="19"/>
      <c r="J133" s="1"/>
    </row>
    <row r="134" spans="2:10" x14ac:dyDescent="0.25">
      <c r="B134" s="9"/>
      <c r="C134" s="28" t="s">
        <v>150</v>
      </c>
      <c r="D134" s="61">
        <f>F78</f>
        <v>0</v>
      </c>
      <c r="E134" s="9"/>
      <c r="F134" s="97"/>
      <c r="G134" s="97"/>
      <c r="H134" s="19"/>
      <c r="J134" s="1"/>
    </row>
    <row r="135" spans="2:10" x14ac:dyDescent="0.25">
      <c r="B135" s="9"/>
      <c r="C135" s="29" t="s">
        <v>27</v>
      </c>
      <c r="D135" s="42">
        <f>+F123+E80</f>
        <v>17899.310000000001</v>
      </c>
      <c r="E135" s="9"/>
      <c r="F135" s="97"/>
      <c r="G135" s="97"/>
      <c r="H135" s="19"/>
      <c r="J135" s="1"/>
    </row>
    <row r="136" spans="2:10" x14ac:dyDescent="0.25">
      <c r="B136" s="9"/>
      <c r="C136" s="29" t="s">
        <v>33</v>
      </c>
      <c r="D136" s="55">
        <f>+E122+E114</f>
        <v>127294.48000000001</v>
      </c>
      <c r="E136" s="59"/>
      <c r="F136" s="97"/>
      <c r="G136" s="97" t="s">
        <v>25</v>
      </c>
      <c r="H136" s="19"/>
      <c r="J136" s="1"/>
    </row>
    <row r="137" spans="2:10" ht="15.75" thickBot="1" x14ac:dyDescent="0.3">
      <c r="C137" s="30" t="s">
        <v>38</v>
      </c>
      <c r="D137" s="80">
        <f>+E121+E113+F104</f>
        <v>255441.17</v>
      </c>
      <c r="F137" s="97"/>
      <c r="G137" s="97"/>
      <c r="H137" s="43"/>
      <c r="J137" s="1"/>
    </row>
    <row r="138" spans="2:10" x14ac:dyDescent="0.25">
      <c r="C138" s="31"/>
      <c r="D138" s="32">
        <f>SUM(D134:D137)</f>
        <v>400634.96</v>
      </c>
      <c r="F138" s="12"/>
      <c r="G138" s="97"/>
      <c r="H138" s="43"/>
    </row>
    <row r="139" spans="2:10" x14ac:dyDescent="0.25">
      <c r="C139" s="18"/>
      <c r="D139" s="19"/>
      <c r="F139" s="12"/>
      <c r="G139" s="97"/>
      <c r="H139" s="43"/>
    </row>
    <row r="140" spans="2:10" x14ac:dyDescent="0.25">
      <c r="C140" s="92" t="s">
        <v>165</v>
      </c>
      <c r="D140" s="19">
        <f>(E130+F130)-D138</f>
        <v>0</v>
      </c>
      <c r="F140" s="18"/>
      <c r="G140" s="97"/>
      <c r="H140" s="43"/>
    </row>
    <row r="141" spans="2:10" x14ac:dyDescent="0.25">
      <c r="C141" s="18"/>
      <c r="D141" s="19"/>
      <c r="F141" s="18"/>
      <c r="G141" s="97"/>
      <c r="H141" s="43"/>
    </row>
    <row r="142" spans="2:10" x14ac:dyDescent="0.25">
      <c r="F142" s="18"/>
      <c r="G142" s="97"/>
      <c r="H142" s="43"/>
    </row>
    <row r="143" spans="2:10" x14ac:dyDescent="0.25">
      <c r="F143" s="18"/>
      <c r="G143" s="97"/>
      <c r="H143" s="43"/>
    </row>
    <row r="144" spans="2:10" x14ac:dyDescent="0.25">
      <c r="F144" s="18"/>
      <c r="G144" s="97"/>
      <c r="H144" s="43"/>
    </row>
    <row r="145" spans="6:8" x14ac:dyDescent="0.25">
      <c r="F145" s="18"/>
      <c r="G145" s="97"/>
      <c r="H145" s="43"/>
    </row>
    <row r="146" spans="6:8" x14ac:dyDescent="0.25">
      <c r="F146" s="18"/>
      <c r="G146" s="18"/>
      <c r="H146" s="18"/>
    </row>
  </sheetData>
  <autoFilter ref="A5:K138">
    <filterColumn colId="0" showButton="0"/>
  </autoFilter>
  <mergeCells count="4">
    <mergeCell ref="A5:B5"/>
    <mergeCell ref="A6:B6"/>
    <mergeCell ref="A7:B7"/>
    <mergeCell ref="C133:D133"/>
  </mergeCells>
  <pageMargins left="0.7" right="0.7" top="0.5" bottom="0.5" header="0.3" footer="0.3"/>
  <pageSetup scale="54" fitToHeight="0" orientation="portrait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topLeftCell="E1" zoomScaleNormal="100" workbookViewId="0">
      <pane ySplit="5" topLeftCell="A100" activePane="bottomLeft" state="frozen"/>
      <selection activeCell="C1" sqref="C1"/>
      <selection pane="bottomLeft" activeCell="D104" sqref="D104"/>
    </sheetView>
  </sheetViews>
  <sheetFormatPr defaultColWidth="9.140625" defaultRowHeight="15" x14ac:dyDescent="0.25"/>
  <cols>
    <col min="1" max="1" width="13.85546875" style="7" customWidth="1"/>
    <col min="2" max="2" width="8.7109375" style="7" customWidth="1"/>
    <col min="3" max="3" width="57" style="7" customWidth="1"/>
    <col min="4" max="4" width="16.28515625" style="7" customWidth="1"/>
    <col min="5" max="5" width="17.7109375" style="7" customWidth="1"/>
    <col min="6" max="6" width="17.28515625" style="7" customWidth="1"/>
    <col min="7" max="7" width="21.7109375" style="7" bestFit="1" customWidth="1"/>
    <col min="8" max="8" width="15.7109375" style="7" customWidth="1"/>
    <col min="9" max="9" width="16.42578125" style="7" customWidth="1"/>
    <col min="10" max="10" width="43.140625" style="7" customWidth="1"/>
    <col min="11" max="11" width="26" style="7" customWidth="1"/>
    <col min="12" max="16384" width="9.140625" style="7"/>
  </cols>
  <sheetData>
    <row r="1" spans="1:10" ht="21" x14ac:dyDescent="0.35">
      <c r="A1" s="58" t="s">
        <v>22</v>
      </c>
    </row>
    <row r="2" spans="1:10" ht="21" x14ac:dyDescent="0.35">
      <c r="A2" s="60" t="s">
        <v>175</v>
      </c>
      <c r="E2" s="14"/>
      <c r="F2" s="14"/>
    </row>
    <row r="3" spans="1:10" ht="21" x14ac:dyDescent="0.35">
      <c r="A3" s="58" t="s">
        <v>11</v>
      </c>
      <c r="B3" s="9"/>
      <c r="D3" s="1"/>
      <c r="E3" s="9"/>
      <c r="F3" s="9"/>
      <c r="G3" s="9"/>
      <c r="H3" s="9"/>
    </row>
    <row r="4" spans="1:10" ht="30.6" customHeight="1" x14ac:dyDescent="0.25">
      <c r="A4" s="50"/>
      <c r="B4" s="18"/>
      <c r="C4" s="51"/>
      <c r="D4" s="47" t="s">
        <v>1</v>
      </c>
      <c r="E4" s="57" t="s">
        <v>32</v>
      </c>
      <c r="F4" s="57" t="s">
        <v>31</v>
      </c>
      <c r="G4" s="52" t="s">
        <v>36</v>
      </c>
      <c r="H4" s="47" t="s">
        <v>2</v>
      </c>
    </row>
    <row r="5" spans="1:10" ht="15.75" thickBot="1" x14ac:dyDescent="0.3">
      <c r="A5" s="104" t="s">
        <v>29</v>
      </c>
      <c r="B5" s="104"/>
      <c r="C5" s="49" t="s">
        <v>3</v>
      </c>
      <c r="D5" s="48" t="s">
        <v>4</v>
      </c>
      <c r="E5" s="48" t="s">
        <v>5</v>
      </c>
      <c r="F5" s="48" t="s">
        <v>5</v>
      </c>
      <c r="G5" s="53" t="s">
        <v>172</v>
      </c>
      <c r="H5" s="48" t="s">
        <v>4</v>
      </c>
    </row>
    <row r="6" spans="1:10" x14ac:dyDescent="0.25">
      <c r="A6" s="105" t="s">
        <v>15</v>
      </c>
      <c r="B6" s="105"/>
      <c r="C6" s="23" t="s">
        <v>145</v>
      </c>
      <c r="D6" s="17">
        <f>1148.11+7643.37+1151.59+7639.89+1155.09+7636.39+1158.59+7632.89+1162.1+7629.38+1165.63+7625.85</f>
        <v>52748.87999999999</v>
      </c>
      <c r="E6" s="47"/>
      <c r="F6" s="34"/>
      <c r="G6" s="74">
        <v>26374.44</v>
      </c>
      <c r="H6" s="12">
        <f>D6-G6</f>
        <v>26374.439999999991</v>
      </c>
      <c r="I6" s="6"/>
    </row>
    <row r="7" spans="1:10" x14ac:dyDescent="0.25">
      <c r="A7" s="105" t="s">
        <v>15</v>
      </c>
      <c r="B7" s="105"/>
      <c r="C7" s="23" t="s">
        <v>78</v>
      </c>
      <c r="D7" s="17">
        <f>11199.33+11199.33+11199.33+11199.33+11199.33+11199.33+11199.33+11199.33+11199.33+1906.78+6492.72+1141.18+7650.3+1144.64+7646.84</f>
        <v>126776.43</v>
      </c>
      <c r="E7" s="47"/>
      <c r="F7" s="34"/>
      <c r="G7" s="74">
        <f>55996.65+61988.3+8791.48</f>
        <v>126776.43000000001</v>
      </c>
      <c r="H7" s="12">
        <f>D7-G7</f>
        <v>0</v>
      </c>
      <c r="I7" s="6"/>
    </row>
    <row r="8" spans="1:10" s="9" customFormat="1" ht="13.9" hidden="1" customHeight="1" x14ac:dyDescent="0.25">
      <c r="A8" s="27">
        <v>43982</v>
      </c>
      <c r="B8" s="9" t="s">
        <v>10</v>
      </c>
      <c r="C8" s="35" t="s">
        <v>101</v>
      </c>
      <c r="D8" s="17">
        <f>6657.07-246.45</f>
        <v>6410.62</v>
      </c>
      <c r="E8" s="5"/>
      <c r="F8" s="17">
        <f>-6657.07+246.45+6410.62</f>
        <v>0</v>
      </c>
      <c r="G8" s="11">
        <f>6657.07-246.45</f>
        <v>6410.62</v>
      </c>
      <c r="H8" s="62">
        <f t="shared" ref="H8:H119" si="0">D8-G8</f>
        <v>0</v>
      </c>
      <c r="I8" s="3"/>
      <c r="J8" s="1"/>
    </row>
    <row r="9" spans="1:10" s="9" customFormat="1" ht="13.9" hidden="1" customHeight="1" x14ac:dyDescent="0.25">
      <c r="A9" s="27">
        <v>43982</v>
      </c>
      <c r="B9" s="9" t="s">
        <v>10</v>
      </c>
      <c r="C9" s="35" t="s">
        <v>102</v>
      </c>
      <c r="D9" s="17">
        <f>-39806.95+23.74</f>
        <v>-39783.21</v>
      </c>
      <c r="E9" s="5">
        <f>39806.95-23.74-39783.21</f>
        <v>0</v>
      </c>
      <c r="F9" s="17"/>
      <c r="G9" s="11">
        <f>-39806.95+23.74</f>
        <v>-39783.21</v>
      </c>
      <c r="H9" s="62">
        <f t="shared" si="0"/>
        <v>0</v>
      </c>
      <c r="I9" s="3"/>
      <c r="J9" s="1"/>
    </row>
    <row r="10" spans="1:10" s="9" customFormat="1" ht="13.9" hidden="1" customHeight="1" x14ac:dyDescent="0.25">
      <c r="A10" s="27">
        <v>43982</v>
      </c>
      <c r="B10" s="9" t="s">
        <v>10</v>
      </c>
      <c r="C10" s="35" t="s">
        <v>103</v>
      </c>
      <c r="D10" s="17">
        <f>-27747.51-275.24</f>
        <v>-28022.75</v>
      </c>
      <c r="E10" s="5">
        <f>27747.51+275.24-28022.75</f>
        <v>0</v>
      </c>
      <c r="F10" s="17"/>
      <c r="G10" s="11">
        <f>-27747.51-275.24</f>
        <v>-28022.75</v>
      </c>
      <c r="H10" s="62">
        <f t="shared" si="0"/>
        <v>0</v>
      </c>
      <c r="I10" s="3"/>
      <c r="J10" s="1"/>
    </row>
    <row r="11" spans="1:10" s="9" customFormat="1" ht="13.9" hidden="1" customHeight="1" x14ac:dyDescent="0.25">
      <c r="A11" s="27">
        <v>43982</v>
      </c>
      <c r="B11" s="9" t="s">
        <v>10</v>
      </c>
      <c r="C11" s="35" t="s">
        <v>34</v>
      </c>
      <c r="D11" s="17">
        <f>-25900.51-29.59</f>
        <v>-25930.1</v>
      </c>
      <c r="E11" s="5"/>
      <c r="F11" s="17"/>
      <c r="G11" s="11">
        <f>-25900.51-29.59</f>
        <v>-25930.1</v>
      </c>
      <c r="H11" s="62">
        <f t="shared" si="0"/>
        <v>0</v>
      </c>
      <c r="I11" s="3"/>
      <c r="J11" s="1"/>
    </row>
    <row r="12" spans="1:10" s="9" customFormat="1" ht="13.9" hidden="1" customHeight="1" x14ac:dyDescent="0.25">
      <c r="A12" s="27">
        <v>43982</v>
      </c>
      <c r="B12" s="9" t="s">
        <v>10</v>
      </c>
      <c r="C12" s="35" t="s">
        <v>35</v>
      </c>
      <c r="D12" s="17">
        <f>-33642.7+9266.09</f>
        <v>-24376.609999999997</v>
      </c>
      <c r="E12" s="5"/>
      <c r="F12" s="17"/>
      <c r="G12" s="11">
        <f>-33642.7+9266.09</f>
        <v>-24376.609999999997</v>
      </c>
      <c r="H12" s="62">
        <f t="shared" si="0"/>
        <v>0</v>
      </c>
      <c r="I12" s="3"/>
      <c r="J12" s="1"/>
    </row>
    <row r="13" spans="1:10" s="9" customFormat="1" ht="13.9" hidden="1" customHeight="1" x14ac:dyDescent="0.25">
      <c r="A13" s="27">
        <v>44012</v>
      </c>
      <c r="B13" s="9" t="s">
        <v>10</v>
      </c>
      <c r="C13" s="35" t="s">
        <v>105</v>
      </c>
      <c r="D13" s="17">
        <f>-6884.15+353.43</f>
        <v>-6530.7199999999993</v>
      </c>
      <c r="E13" s="5">
        <f>6884.15-353.43-6530.72</f>
        <v>0</v>
      </c>
      <c r="F13" s="17"/>
      <c r="G13" s="11">
        <v>-6530.7199999999993</v>
      </c>
      <c r="H13" s="62">
        <f t="shared" si="0"/>
        <v>0</v>
      </c>
      <c r="I13" s="3"/>
      <c r="J13" s="1"/>
    </row>
    <row r="14" spans="1:10" s="9" customFormat="1" ht="13.9" hidden="1" customHeight="1" x14ac:dyDescent="0.25">
      <c r="A14" s="27">
        <v>44012</v>
      </c>
      <c r="B14" s="9" t="s">
        <v>10</v>
      </c>
      <c r="C14" s="35" t="s">
        <v>106</v>
      </c>
      <c r="D14" s="17">
        <f>-30007.16+38.79</f>
        <v>-29968.37</v>
      </c>
      <c r="E14" s="5">
        <f>30007.16-38.79-29968.37</f>
        <v>0</v>
      </c>
      <c r="F14" s="17"/>
      <c r="G14" s="11">
        <v>-29968.37</v>
      </c>
      <c r="H14" s="62">
        <f t="shared" si="0"/>
        <v>0</v>
      </c>
      <c r="I14" s="3"/>
      <c r="J14" s="1"/>
    </row>
    <row r="15" spans="1:10" s="9" customFormat="1" ht="13.9" hidden="1" customHeight="1" x14ac:dyDescent="0.25">
      <c r="A15" s="27">
        <v>44012</v>
      </c>
      <c r="B15" s="9" t="s">
        <v>10</v>
      </c>
      <c r="C15" s="35" t="s">
        <v>107</v>
      </c>
      <c r="D15" s="17">
        <f>-45333.66-2312.7</f>
        <v>-47646.36</v>
      </c>
      <c r="E15" s="5">
        <f>45333.66+2312.7-47646.36</f>
        <v>0</v>
      </c>
      <c r="F15" s="17"/>
      <c r="G15" s="11">
        <v>-47646.36</v>
      </c>
      <c r="H15" s="62">
        <f t="shared" si="0"/>
        <v>0</v>
      </c>
      <c r="I15" s="3"/>
      <c r="J15" s="1"/>
    </row>
    <row r="16" spans="1:10" s="9" customFormat="1" ht="13.9" hidden="1" customHeight="1" x14ac:dyDescent="0.25">
      <c r="A16" s="27">
        <v>44012</v>
      </c>
      <c r="B16" s="9" t="s">
        <v>10</v>
      </c>
      <c r="C16" s="35" t="s">
        <v>104</v>
      </c>
      <c r="D16" s="17">
        <v>24376.61</v>
      </c>
      <c r="E16" s="5"/>
      <c r="F16" s="17"/>
      <c r="G16" s="11">
        <v>24376.61</v>
      </c>
      <c r="H16" s="62">
        <f t="shared" si="0"/>
        <v>0</v>
      </c>
      <c r="I16" s="3"/>
      <c r="J16" s="1"/>
    </row>
    <row r="17" spans="1:10" s="9" customFormat="1" ht="13.9" hidden="1" customHeight="1" x14ac:dyDescent="0.25">
      <c r="A17" s="27">
        <v>44012</v>
      </c>
      <c r="B17" s="9" t="s">
        <v>10</v>
      </c>
      <c r="C17" s="35" t="s">
        <v>39</v>
      </c>
      <c r="D17" s="17">
        <v>-2833.36</v>
      </c>
      <c r="E17" s="5"/>
      <c r="F17" s="17"/>
      <c r="G17" s="11">
        <v>-2833.36</v>
      </c>
      <c r="H17" s="62">
        <f t="shared" si="0"/>
        <v>0</v>
      </c>
      <c r="I17" s="3"/>
      <c r="J17" s="1"/>
    </row>
    <row r="18" spans="1:10" s="9" customFormat="1" ht="13.9" hidden="1" customHeight="1" x14ac:dyDescent="0.25">
      <c r="A18" s="27">
        <v>44012</v>
      </c>
      <c r="B18" s="9" t="s">
        <v>10</v>
      </c>
      <c r="C18" s="35" t="s">
        <v>34</v>
      </c>
      <c r="D18" s="17">
        <f>382.03-0.01</f>
        <v>382.02</v>
      </c>
      <c r="E18" s="5"/>
      <c r="F18" s="17"/>
      <c r="G18" s="11">
        <v>382.02</v>
      </c>
      <c r="H18" s="62">
        <f t="shared" si="0"/>
        <v>0</v>
      </c>
      <c r="I18" s="3"/>
      <c r="J18" s="1"/>
    </row>
    <row r="19" spans="1:10" s="9" customFormat="1" ht="13.9" hidden="1" customHeight="1" x14ac:dyDescent="0.25">
      <c r="A19" s="27">
        <v>44012</v>
      </c>
      <c r="B19" s="9" t="s">
        <v>10</v>
      </c>
      <c r="C19" s="35" t="s">
        <v>35</v>
      </c>
      <c r="D19" s="17">
        <v>-33642.699999999997</v>
      </c>
      <c r="E19" s="5"/>
      <c r="F19" s="17"/>
      <c r="G19" s="11">
        <v>-33642.699999999997</v>
      </c>
      <c r="H19" s="62">
        <f t="shared" si="0"/>
        <v>0</v>
      </c>
      <c r="I19" s="3"/>
      <c r="J19" s="1"/>
    </row>
    <row r="20" spans="1:10" s="9" customFormat="1" ht="13.9" hidden="1" customHeight="1" x14ac:dyDescent="0.25">
      <c r="A20" s="27">
        <v>44043</v>
      </c>
      <c r="B20" s="9" t="s">
        <v>13</v>
      </c>
      <c r="C20" s="35" t="s">
        <v>108</v>
      </c>
      <c r="D20" s="17">
        <f>-83244.29-875.23</f>
        <v>-84119.51999999999</v>
      </c>
      <c r="E20" s="5">
        <f>83244.29+875.23-84119.52</f>
        <v>0</v>
      </c>
      <c r="F20" s="17"/>
      <c r="G20" s="11">
        <v>-84119.51999999999</v>
      </c>
      <c r="H20" s="62">
        <f t="shared" si="0"/>
        <v>0</v>
      </c>
      <c r="I20" s="3"/>
      <c r="J20" s="1"/>
    </row>
    <row r="21" spans="1:10" s="9" customFormat="1" ht="13.9" hidden="1" customHeight="1" x14ac:dyDescent="0.25">
      <c r="A21" s="27">
        <v>44043</v>
      </c>
      <c r="B21" s="9" t="s">
        <v>13</v>
      </c>
      <c r="C21" s="35" t="s">
        <v>109</v>
      </c>
      <c r="D21" s="17">
        <f>-25846.06-271.75</f>
        <v>-26117.81</v>
      </c>
      <c r="E21" s="5">
        <f>25846.06+271.75-26117.81</f>
        <v>0</v>
      </c>
      <c r="F21" s="17"/>
      <c r="G21" s="11">
        <v>-26117.81</v>
      </c>
      <c r="H21" s="62">
        <f t="shared" si="0"/>
        <v>0</v>
      </c>
      <c r="I21" s="3"/>
      <c r="J21" s="1"/>
    </row>
    <row r="22" spans="1:10" s="9" customFormat="1" ht="13.9" hidden="1" customHeight="1" x14ac:dyDescent="0.25">
      <c r="A22" s="27">
        <v>44043</v>
      </c>
      <c r="B22" s="9" t="s">
        <v>13</v>
      </c>
      <c r="C22" s="35" t="s">
        <v>110</v>
      </c>
      <c r="D22" s="17">
        <f>4826.49+671.36</f>
        <v>5497.8499999999995</v>
      </c>
      <c r="E22" s="5"/>
      <c r="F22" s="17">
        <f>-4826.49-671.36+5497.85</f>
        <v>0</v>
      </c>
      <c r="G22" s="11">
        <v>5497.8499999999995</v>
      </c>
      <c r="H22" s="62">
        <f t="shared" si="0"/>
        <v>0</v>
      </c>
      <c r="I22" s="3"/>
      <c r="J22" s="1"/>
    </row>
    <row r="23" spans="1:10" s="9" customFormat="1" ht="13.9" hidden="1" customHeight="1" x14ac:dyDescent="0.25">
      <c r="A23" s="27">
        <v>44043</v>
      </c>
      <c r="B23" s="9" t="s">
        <v>13</v>
      </c>
      <c r="C23" s="35" t="s">
        <v>37</v>
      </c>
      <c r="D23" s="17">
        <v>0</v>
      </c>
      <c r="E23" s="5"/>
      <c r="F23" s="17"/>
      <c r="G23" s="11">
        <v>0</v>
      </c>
      <c r="H23" s="62">
        <f t="shared" si="0"/>
        <v>0</v>
      </c>
      <c r="I23" s="3"/>
      <c r="J23" s="1"/>
    </row>
    <row r="24" spans="1:10" s="9" customFormat="1" ht="13.9" hidden="1" customHeight="1" x14ac:dyDescent="0.25">
      <c r="A24" s="27">
        <v>44043</v>
      </c>
      <c r="B24" s="9" t="s">
        <v>13</v>
      </c>
      <c r="C24" s="35" t="s">
        <v>111</v>
      </c>
      <c r="D24" s="17">
        <v>33642.699999999997</v>
      </c>
      <c r="E24" s="5"/>
      <c r="F24" s="17"/>
      <c r="G24" s="11">
        <v>33642.699999999997</v>
      </c>
      <c r="H24" s="62">
        <f t="shared" si="0"/>
        <v>0</v>
      </c>
      <c r="I24" s="3"/>
      <c r="J24" s="1"/>
    </row>
    <row r="25" spans="1:10" s="9" customFormat="1" ht="13.9" hidden="1" customHeight="1" x14ac:dyDescent="0.25">
      <c r="A25" s="27">
        <v>44043</v>
      </c>
      <c r="B25" s="9" t="s">
        <v>13</v>
      </c>
      <c r="C25" s="35" t="s">
        <v>39</v>
      </c>
      <c r="D25" s="17">
        <f>-2041.69+3208.37</f>
        <v>1166.6799999999998</v>
      </c>
      <c r="E25" s="5"/>
      <c r="F25" s="17"/>
      <c r="G25" s="11">
        <v>1166.6799999999998</v>
      </c>
      <c r="H25" s="62">
        <f t="shared" si="0"/>
        <v>0</v>
      </c>
      <c r="I25" s="3"/>
      <c r="J25" s="1"/>
    </row>
    <row r="26" spans="1:10" s="9" customFormat="1" ht="13.9" hidden="1" customHeight="1" x14ac:dyDescent="0.25">
      <c r="A26" s="27">
        <v>44043</v>
      </c>
      <c r="B26" s="9" t="s">
        <v>13</v>
      </c>
      <c r="C26" s="35" t="s">
        <v>34</v>
      </c>
      <c r="D26" s="17">
        <f>33893.09+757.05</f>
        <v>34650.14</v>
      </c>
      <c r="E26" s="5"/>
      <c r="F26" s="17"/>
      <c r="G26" s="11">
        <v>34650.14</v>
      </c>
      <c r="H26" s="62">
        <f t="shared" si="0"/>
        <v>0</v>
      </c>
      <c r="I26" s="3"/>
      <c r="J26" s="1"/>
    </row>
    <row r="27" spans="1:10" s="9" customFormat="1" ht="13.9" hidden="1" customHeight="1" x14ac:dyDescent="0.25">
      <c r="A27" s="27">
        <v>44043</v>
      </c>
      <c r="B27" s="9" t="s">
        <v>13</v>
      </c>
      <c r="C27" s="35" t="s">
        <v>35</v>
      </c>
      <c r="D27" s="17">
        <v>-40947.879999999997</v>
      </c>
      <c r="E27" s="5"/>
      <c r="F27" s="17"/>
      <c r="G27" s="11">
        <v>-40947.879999999997</v>
      </c>
      <c r="H27" s="62">
        <f t="shared" si="0"/>
        <v>0</v>
      </c>
      <c r="I27" s="3"/>
      <c r="J27" s="1"/>
    </row>
    <row r="28" spans="1:10" s="9" customFormat="1" ht="13.9" hidden="1" customHeight="1" x14ac:dyDescent="0.25">
      <c r="A28" s="27">
        <v>44074</v>
      </c>
      <c r="B28" s="18" t="s">
        <v>13</v>
      </c>
      <c r="C28" s="65" t="s">
        <v>112</v>
      </c>
      <c r="D28" s="17">
        <f>-108715.97+13701.77</f>
        <v>-95014.2</v>
      </c>
      <c r="E28" s="5">
        <f>108715.97-13701.77-95014.2</f>
        <v>0</v>
      </c>
      <c r="F28" s="17"/>
      <c r="G28" s="11">
        <v>-95014.2</v>
      </c>
      <c r="H28" s="62">
        <f t="shared" si="0"/>
        <v>0</v>
      </c>
      <c r="I28" s="3"/>
      <c r="J28" s="1"/>
    </row>
    <row r="29" spans="1:10" s="9" customFormat="1" ht="13.9" hidden="1" customHeight="1" x14ac:dyDescent="0.25">
      <c r="A29" s="27">
        <v>44074</v>
      </c>
      <c r="B29" s="18" t="s">
        <v>13</v>
      </c>
      <c r="C29" s="65" t="s">
        <v>113</v>
      </c>
      <c r="D29" s="17">
        <f>-52697.04+39912.35</f>
        <v>-12784.690000000002</v>
      </c>
      <c r="E29" s="5">
        <f>52697.04-39912.35-12784.69</f>
        <v>0</v>
      </c>
      <c r="F29" s="17"/>
      <c r="G29" s="11">
        <v>-12784.690000000002</v>
      </c>
      <c r="H29" s="62">
        <f t="shared" si="0"/>
        <v>0</v>
      </c>
      <c r="I29" s="3"/>
      <c r="J29" s="1"/>
    </row>
    <row r="30" spans="1:10" s="9" customFormat="1" ht="13.9" hidden="1" customHeight="1" x14ac:dyDescent="0.25">
      <c r="A30" s="27">
        <v>44074</v>
      </c>
      <c r="B30" s="18" t="s">
        <v>13</v>
      </c>
      <c r="C30" s="65" t="s">
        <v>114</v>
      </c>
      <c r="D30" s="17">
        <f>4362.1-1.63</f>
        <v>4360.47</v>
      </c>
      <c r="E30" s="5"/>
      <c r="F30" s="17">
        <f>-4362.1+1.63+4360.47</f>
        <v>0</v>
      </c>
      <c r="G30" s="11">
        <v>4360.47</v>
      </c>
      <c r="H30" s="62">
        <f t="shared" si="0"/>
        <v>0</v>
      </c>
      <c r="I30" s="3"/>
      <c r="J30" s="1"/>
    </row>
    <row r="31" spans="1:10" s="9" customFormat="1" ht="13.9" hidden="1" customHeight="1" x14ac:dyDescent="0.25">
      <c r="A31" s="27">
        <v>44074</v>
      </c>
      <c r="B31" s="18" t="s">
        <v>13</v>
      </c>
      <c r="C31" s="65" t="s">
        <v>37</v>
      </c>
      <c r="D31" s="17">
        <v>0</v>
      </c>
      <c r="E31" s="5"/>
      <c r="F31" s="17"/>
      <c r="G31" s="11">
        <v>0</v>
      </c>
      <c r="H31" s="62">
        <f t="shared" si="0"/>
        <v>0</v>
      </c>
      <c r="I31" s="3"/>
      <c r="J31" s="1"/>
    </row>
    <row r="32" spans="1:10" s="9" customFormat="1" ht="13.9" hidden="1" customHeight="1" x14ac:dyDescent="0.25">
      <c r="A32" s="27">
        <v>44074</v>
      </c>
      <c r="B32" s="18" t="s">
        <v>13</v>
      </c>
      <c r="C32" s="65" t="s">
        <v>115</v>
      </c>
      <c r="D32" s="17">
        <v>40947.879999999997</v>
      </c>
      <c r="E32" s="5"/>
      <c r="F32" s="17"/>
      <c r="G32" s="11">
        <v>40947.879999999997</v>
      </c>
      <c r="H32" s="62">
        <f t="shared" si="0"/>
        <v>0</v>
      </c>
      <c r="I32" s="3"/>
      <c r="J32" s="1"/>
    </row>
    <row r="33" spans="1:10" s="9" customFormat="1" ht="13.9" hidden="1" customHeight="1" x14ac:dyDescent="0.25">
      <c r="A33" s="27">
        <v>44074</v>
      </c>
      <c r="B33" s="18" t="s">
        <v>13</v>
      </c>
      <c r="C33" s="65" t="s">
        <v>127</v>
      </c>
      <c r="D33" s="17">
        <v>-1958.35</v>
      </c>
      <c r="E33" s="5"/>
      <c r="F33" s="17"/>
      <c r="G33" s="11">
        <v>-1958.35</v>
      </c>
      <c r="H33" s="62">
        <f t="shared" si="0"/>
        <v>0</v>
      </c>
      <c r="I33" s="3"/>
      <c r="J33" s="1"/>
    </row>
    <row r="34" spans="1:10" s="9" customFormat="1" ht="13.9" hidden="1" customHeight="1" x14ac:dyDescent="0.25">
      <c r="A34" s="27">
        <v>44074</v>
      </c>
      <c r="B34" s="18" t="s">
        <v>13</v>
      </c>
      <c r="C34" s="65" t="s">
        <v>128</v>
      </c>
      <c r="D34" s="17">
        <f>-14987.39+14229.62</f>
        <v>-757.76999999999862</v>
      </c>
      <c r="E34" s="5"/>
      <c r="F34" s="17"/>
      <c r="G34" s="11">
        <v>-757.76999999999862</v>
      </c>
      <c r="H34" s="62">
        <f t="shared" si="0"/>
        <v>0</v>
      </c>
      <c r="I34" s="3"/>
      <c r="J34" s="1"/>
    </row>
    <row r="35" spans="1:10" s="9" customFormat="1" ht="13.9" hidden="1" customHeight="1" x14ac:dyDescent="0.25">
      <c r="A35" s="27">
        <v>44074</v>
      </c>
      <c r="B35" s="18" t="s">
        <v>13</v>
      </c>
      <c r="C35" s="65" t="s">
        <v>129</v>
      </c>
      <c r="D35" s="17">
        <f>-37867.09</f>
        <v>-37867.089999999997</v>
      </c>
      <c r="E35" s="5"/>
      <c r="F35" s="17"/>
      <c r="G35" s="11">
        <v>-37867.089999999997</v>
      </c>
      <c r="H35" s="62">
        <f t="shared" si="0"/>
        <v>0</v>
      </c>
      <c r="I35" s="3"/>
      <c r="J35" s="1"/>
    </row>
    <row r="36" spans="1:10" s="9" customFormat="1" ht="13.9" hidden="1" customHeight="1" x14ac:dyDescent="0.25">
      <c r="A36" s="27">
        <v>44074</v>
      </c>
      <c r="B36" s="18" t="s">
        <v>13</v>
      </c>
      <c r="C36" s="65" t="s">
        <v>130</v>
      </c>
      <c r="D36" s="17">
        <v>-135.47999999999999</v>
      </c>
      <c r="E36" s="5"/>
      <c r="F36" s="17"/>
      <c r="G36" s="11">
        <v>-135.47999999999999</v>
      </c>
      <c r="H36" s="62">
        <f t="shared" si="0"/>
        <v>0</v>
      </c>
      <c r="I36" s="3"/>
      <c r="J36" s="1"/>
    </row>
    <row r="37" spans="1:10" s="9" customFormat="1" ht="13.9" hidden="1" customHeight="1" x14ac:dyDescent="0.25">
      <c r="A37" s="27">
        <v>44104</v>
      </c>
      <c r="B37" s="18" t="s">
        <v>13</v>
      </c>
      <c r="C37" s="65" t="s">
        <v>117</v>
      </c>
      <c r="D37" s="17">
        <f>-37463.1+1902.1</f>
        <v>-35561</v>
      </c>
      <c r="E37" s="5">
        <f>37463.1-1902.1-35561</f>
        <v>0</v>
      </c>
      <c r="F37" s="17"/>
      <c r="G37" s="11">
        <v>-35561</v>
      </c>
      <c r="H37" s="62">
        <f t="shared" si="0"/>
        <v>0</v>
      </c>
      <c r="I37" s="3"/>
      <c r="J37" s="1"/>
    </row>
    <row r="38" spans="1:10" s="9" customFormat="1" ht="13.9" hidden="1" customHeight="1" x14ac:dyDescent="0.25">
      <c r="A38" s="27">
        <v>44104</v>
      </c>
      <c r="B38" s="18" t="s">
        <v>13</v>
      </c>
      <c r="C38" s="65" t="s">
        <v>118</v>
      </c>
      <c r="D38" s="17">
        <f>-11819.68+600.12</f>
        <v>-11219.56</v>
      </c>
      <c r="E38" s="5">
        <f>11819.68-600.12-11219.56</f>
        <v>0</v>
      </c>
      <c r="F38" s="17"/>
      <c r="G38" s="11">
        <v>-11219.56</v>
      </c>
      <c r="H38" s="62">
        <f t="shared" si="0"/>
        <v>0</v>
      </c>
      <c r="I38" s="3"/>
      <c r="J38" s="1"/>
    </row>
    <row r="39" spans="1:10" s="9" customFormat="1" ht="13.9" hidden="1" customHeight="1" x14ac:dyDescent="0.25">
      <c r="A39" s="27">
        <v>44104</v>
      </c>
      <c r="B39" s="18" t="s">
        <v>13</v>
      </c>
      <c r="C39" s="65" t="s">
        <v>119</v>
      </c>
      <c r="D39" s="17">
        <v>20528.650000000001</v>
      </c>
      <c r="E39" s="5"/>
      <c r="F39" s="17">
        <f>-20528.65+20528.65</f>
        <v>0</v>
      </c>
      <c r="G39" s="11">
        <v>20528.650000000001</v>
      </c>
      <c r="H39" s="62">
        <f t="shared" si="0"/>
        <v>0</v>
      </c>
      <c r="I39" s="3"/>
      <c r="J39" s="1"/>
    </row>
    <row r="40" spans="1:10" s="9" customFormat="1" ht="13.9" hidden="1" customHeight="1" x14ac:dyDescent="0.25">
      <c r="A40" s="27">
        <v>44104</v>
      </c>
      <c r="B40" s="18" t="s">
        <v>13</v>
      </c>
      <c r="C40" s="65" t="s">
        <v>121</v>
      </c>
      <c r="D40" s="17">
        <v>37867.089999999997</v>
      </c>
      <c r="E40" s="5"/>
      <c r="F40" s="17"/>
      <c r="G40" s="11">
        <v>37867.089999999997</v>
      </c>
      <c r="H40" s="62">
        <f t="shared" si="0"/>
        <v>0</v>
      </c>
      <c r="I40" s="3"/>
      <c r="J40" s="1"/>
    </row>
    <row r="41" spans="1:10" s="9" customFormat="1" ht="13.9" hidden="1" customHeight="1" x14ac:dyDescent="0.25">
      <c r="A41" s="27">
        <v>44104</v>
      </c>
      <c r="B41" s="9" t="s">
        <v>13</v>
      </c>
      <c r="C41" s="35" t="s">
        <v>127</v>
      </c>
      <c r="D41" s="17">
        <v>-2000.02</v>
      </c>
      <c r="E41" s="5"/>
      <c r="F41" s="17"/>
      <c r="G41" s="11">
        <v>-2000.02</v>
      </c>
      <c r="H41" s="62">
        <f t="shared" si="0"/>
        <v>0</v>
      </c>
      <c r="I41" s="3"/>
      <c r="J41" s="1"/>
    </row>
    <row r="42" spans="1:10" s="9" customFormat="1" ht="13.9" hidden="1" customHeight="1" x14ac:dyDescent="0.25">
      <c r="A42" s="27">
        <v>44104</v>
      </c>
      <c r="B42" s="9" t="s">
        <v>13</v>
      </c>
      <c r="C42" s="35" t="s">
        <v>128</v>
      </c>
      <c r="D42" s="17">
        <v>-14372.82</v>
      </c>
      <c r="E42" s="5"/>
      <c r="F42" s="17"/>
      <c r="G42" s="11">
        <v>-14372.82</v>
      </c>
      <c r="H42" s="62">
        <f>D42-G42</f>
        <v>0</v>
      </c>
      <c r="I42" s="3"/>
      <c r="J42" s="1"/>
    </row>
    <row r="43" spans="1:10" s="9" customFormat="1" ht="13.9" hidden="1" customHeight="1" x14ac:dyDescent="0.25">
      <c r="A43" s="27">
        <v>44104</v>
      </c>
      <c r="B43" s="9" t="s">
        <v>13</v>
      </c>
      <c r="C43" s="35" t="s">
        <v>129</v>
      </c>
      <c r="D43" s="17">
        <v>-47238.51</v>
      </c>
      <c r="E43" s="5"/>
      <c r="F43" s="17"/>
      <c r="G43" s="11">
        <v>-47238.51</v>
      </c>
      <c r="H43" s="62">
        <f t="shared" si="0"/>
        <v>0</v>
      </c>
      <c r="I43" s="3"/>
      <c r="J43" s="1"/>
    </row>
    <row r="44" spans="1:10" s="9" customFormat="1" ht="13.9" hidden="1" customHeight="1" x14ac:dyDescent="0.25">
      <c r="A44" s="27">
        <v>44135</v>
      </c>
      <c r="B44" s="9" t="s">
        <v>18</v>
      </c>
      <c r="C44" s="35" t="s">
        <v>124</v>
      </c>
      <c r="D44" s="17">
        <f>64170.88+1365.58</f>
        <v>65536.459999999992</v>
      </c>
      <c r="E44" s="5"/>
      <c r="F44" s="17">
        <f>-64170.88-1365.58+65536.46</f>
        <v>0</v>
      </c>
      <c r="G44" s="11">
        <v>65536.459999999992</v>
      </c>
      <c r="H44" s="62">
        <f t="shared" si="0"/>
        <v>0</v>
      </c>
      <c r="I44" s="3"/>
      <c r="J44" s="1"/>
    </row>
    <row r="45" spans="1:10" s="9" customFormat="1" ht="13.9" customHeight="1" x14ac:dyDescent="0.25">
      <c r="A45" s="27">
        <v>44135</v>
      </c>
      <c r="B45" s="9" t="s">
        <v>18</v>
      </c>
      <c r="C45" s="35" t="s">
        <v>125</v>
      </c>
      <c r="D45" s="17">
        <f>-33917.68-1172.07</f>
        <v>-35089.75</v>
      </c>
      <c r="E45" s="5">
        <f>33917.68+1172.07-35089.75</f>
        <v>0</v>
      </c>
      <c r="F45" s="17"/>
      <c r="G45" s="11">
        <f>-33917.68-1172.07</f>
        <v>-35089.75</v>
      </c>
      <c r="H45" s="62">
        <f t="shared" si="0"/>
        <v>0</v>
      </c>
      <c r="I45" s="3"/>
      <c r="J45" s="1"/>
    </row>
    <row r="46" spans="1:10" s="9" customFormat="1" ht="13.9" hidden="1" customHeight="1" x14ac:dyDescent="0.25">
      <c r="A46" s="27">
        <v>44135</v>
      </c>
      <c r="B46" s="9" t="s">
        <v>18</v>
      </c>
      <c r="C46" s="35" t="s">
        <v>126</v>
      </c>
      <c r="D46" s="17">
        <f>10587.87+44.55</f>
        <v>10632.42</v>
      </c>
      <c r="E46" s="5"/>
      <c r="F46" s="17">
        <f>-10587.87-44.55+10632.42</f>
        <v>0</v>
      </c>
      <c r="G46" s="11">
        <v>10632.42</v>
      </c>
      <c r="H46" s="62">
        <f t="shared" si="0"/>
        <v>0</v>
      </c>
      <c r="I46" s="3"/>
      <c r="J46" s="1"/>
    </row>
    <row r="47" spans="1:10" s="9" customFormat="1" ht="13.9" hidden="1" customHeight="1" x14ac:dyDescent="0.25">
      <c r="A47" s="27">
        <v>44135</v>
      </c>
      <c r="B47" s="9" t="s">
        <v>18</v>
      </c>
      <c r="C47" s="35" t="s">
        <v>122</v>
      </c>
      <c r="D47" s="17">
        <v>300.42</v>
      </c>
      <c r="E47" s="5"/>
      <c r="F47" s="17"/>
      <c r="G47" s="11">
        <v>300.42</v>
      </c>
      <c r="H47" s="62">
        <f t="shared" si="0"/>
        <v>0</v>
      </c>
      <c r="I47" s="3"/>
      <c r="J47" s="1"/>
    </row>
    <row r="48" spans="1:10" s="9" customFormat="1" ht="13.9" hidden="1" customHeight="1" x14ac:dyDescent="0.25">
      <c r="A48" s="27">
        <v>44135</v>
      </c>
      <c r="B48" s="9" t="s">
        <v>18</v>
      </c>
      <c r="C48" s="35" t="s">
        <v>123</v>
      </c>
      <c r="D48" s="17">
        <v>47238.51</v>
      </c>
      <c r="E48" s="5"/>
      <c r="F48" s="17"/>
      <c r="G48" s="11">
        <v>47238.51</v>
      </c>
      <c r="H48" s="62">
        <f t="shared" si="0"/>
        <v>0</v>
      </c>
      <c r="I48" s="3"/>
      <c r="J48" s="1"/>
    </row>
    <row r="49" spans="1:10" s="9" customFormat="1" ht="13.9" hidden="1" customHeight="1" x14ac:dyDescent="0.25">
      <c r="A49" s="27">
        <v>44135</v>
      </c>
      <c r="B49" s="9" t="s">
        <v>18</v>
      </c>
      <c r="C49" s="35" t="s">
        <v>39</v>
      </c>
      <c r="D49" s="17">
        <v>-2041.72</v>
      </c>
      <c r="E49" s="5"/>
      <c r="F49" s="17"/>
      <c r="G49" s="11">
        <v>-2041.72</v>
      </c>
      <c r="H49" s="62">
        <f t="shared" si="0"/>
        <v>0</v>
      </c>
      <c r="I49" s="3"/>
      <c r="J49" s="1"/>
    </row>
    <row r="50" spans="1:10" s="9" customFormat="1" ht="13.9" hidden="1" customHeight="1" x14ac:dyDescent="0.25">
      <c r="A50" s="27">
        <v>44135</v>
      </c>
      <c r="B50" s="9" t="s">
        <v>18</v>
      </c>
      <c r="C50" s="35" t="s">
        <v>34</v>
      </c>
      <c r="D50" s="17">
        <v>-152373.14000000001</v>
      </c>
      <c r="E50" s="5"/>
      <c r="F50" s="17"/>
      <c r="G50" s="11">
        <v>-152373.14000000001</v>
      </c>
      <c r="H50" s="62">
        <f t="shared" si="0"/>
        <v>0</v>
      </c>
      <c r="I50" s="3"/>
      <c r="J50" s="1"/>
    </row>
    <row r="51" spans="1:10" s="9" customFormat="1" ht="13.9" hidden="1" customHeight="1" x14ac:dyDescent="0.25">
      <c r="A51" s="27">
        <v>44135</v>
      </c>
      <c r="B51" s="9" t="s">
        <v>18</v>
      </c>
      <c r="C51" s="35" t="s">
        <v>35</v>
      </c>
      <c r="D51" s="17">
        <v>-25801.4</v>
      </c>
      <c r="E51" s="5"/>
      <c r="F51" s="17"/>
      <c r="G51" s="11">
        <v>-25801.4</v>
      </c>
      <c r="H51" s="62">
        <f t="shared" si="0"/>
        <v>0</v>
      </c>
      <c r="I51" s="3"/>
      <c r="J51" s="1"/>
    </row>
    <row r="52" spans="1:10" s="9" customFormat="1" ht="13.9" customHeight="1" x14ac:dyDescent="0.25">
      <c r="A52" s="27">
        <v>44165</v>
      </c>
      <c r="B52" s="9" t="s">
        <v>18</v>
      </c>
      <c r="C52" s="35" t="s">
        <v>131</v>
      </c>
      <c r="D52" s="17">
        <f>-79402.45-127.71</f>
        <v>-79530.16</v>
      </c>
      <c r="E52" s="5">
        <f>127.71+79402.45-79530.16</f>
        <v>0</v>
      </c>
      <c r="F52" s="17"/>
      <c r="G52" s="11">
        <f>-79402.45-127.71</f>
        <v>-79530.16</v>
      </c>
      <c r="H52" s="62">
        <f t="shared" si="0"/>
        <v>0</v>
      </c>
      <c r="I52" s="3"/>
      <c r="J52" s="1"/>
    </row>
    <row r="53" spans="1:10" s="9" customFormat="1" ht="13.9" customHeight="1" x14ac:dyDescent="0.25">
      <c r="A53" s="27">
        <v>44165</v>
      </c>
      <c r="B53" s="9" t="s">
        <v>18</v>
      </c>
      <c r="C53" s="35" t="s">
        <v>132</v>
      </c>
      <c r="D53" s="17">
        <f>-80066.48-128.77</f>
        <v>-80195.25</v>
      </c>
      <c r="E53" s="5">
        <f>80066.48+128.77-80195.25</f>
        <v>0</v>
      </c>
      <c r="F53" s="17"/>
      <c r="G53" s="11">
        <f>-80066.48-128.77</f>
        <v>-80195.25</v>
      </c>
      <c r="H53" s="62">
        <f t="shared" si="0"/>
        <v>0</v>
      </c>
      <c r="I53" s="3"/>
      <c r="J53" s="1"/>
    </row>
    <row r="54" spans="1:10" s="9" customFormat="1" ht="13.9" customHeight="1" x14ac:dyDescent="0.25">
      <c r="A54" s="27">
        <v>44165</v>
      </c>
      <c r="B54" s="9" t="s">
        <v>18</v>
      </c>
      <c r="C54" s="35" t="s">
        <v>133</v>
      </c>
      <c r="D54" s="17">
        <f>23388.88+0.6</f>
        <v>23389.48</v>
      </c>
      <c r="E54" s="5"/>
      <c r="F54" s="17">
        <f>-23388.88-0.6+23389.48</f>
        <v>0</v>
      </c>
      <c r="G54" s="11">
        <f>23388.88+0.6</f>
        <v>23389.48</v>
      </c>
      <c r="H54" s="62">
        <f t="shared" si="0"/>
        <v>0</v>
      </c>
      <c r="I54" s="3"/>
      <c r="J54" s="1"/>
    </row>
    <row r="55" spans="1:10" s="9" customFormat="1" ht="13.9" hidden="1" customHeight="1" x14ac:dyDescent="0.25">
      <c r="A55" s="27">
        <v>44165</v>
      </c>
      <c r="B55" s="9" t="s">
        <v>18</v>
      </c>
      <c r="C55" s="35" t="s">
        <v>134</v>
      </c>
      <c r="D55" s="17">
        <v>25801.4</v>
      </c>
      <c r="E55" s="5"/>
      <c r="F55" s="17"/>
      <c r="G55" s="11">
        <v>25801.4</v>
      </c>
      <c r="H55" s="62">
        <f t="shared" si="0"/>
        <v>0</v>
      </c>
      <c r="I55" s="3"/>
      <c r="J55" s="1"/>
    </row>
    <row r="56" spans="1:10" s="9" customFormat="1" ht="13.9" hidden="1" customHeight="1" x14ac:dyDescent="0.25">
      <c r="A56" s="27">
        <v>44165</v>
      </c>
      <c r="B56" s="9" t="s">
        <v>18</v>
      </c>
      <c r="C56" s="35" t="s">
        <v>39</v>
      </c>
      <c r="D56" s="17">
        <v>-2166.69</v>
      </c>
      <c r="E56" s="5"/>
      <c r="F56" s="17"/>
      <c r="G56" s="11">
        <v>-2166.69</v>
      </c>
      <c r="H56" s="62">
        <f t="shared" si="0"/>
        <v>0</v>
      </c>
      <c r="I56" s="3"/>
      <c r="J56" s="1"/>
    </row>
    <row r="57" spans="1:10" s="9" customFormat="1" ht="13.9" hidden="1" customHeight="1" x14ac:dyDescent="0.25">
      <c r="A57" s="27">
        <v>44165</v>
      </c>
      <c r="B57" s="9" t="s">
        <v>18</v>
      </c>
      <c r="C57" s="35" t="s">
        <v>34</v>
      </c>
      <c r="D57" s="17">
        <v>73988.95</v>
      </c>
      <c r="E57" s="5"/>
      <c r="F57" s="17"/>
      <c r="G57" s="11">
        <v>73988.95</v>
      </c>
      <c r="H57" s="62">
        <f t="shared" si="0"/>
        <v>0</v>
      </c>
      <c r="I57" s="3"/>
      <c r="J57" s="1"/>
    </row>
    <row r="58" spans="1:10" s="9" customFormat="1" ht="13.9" customHeight="1" x14ac:dyDescent="0.25">
      <c r="A58" s="27">
        <v>44165</v>
      </c>
      <c r="B58" s="9" t="s">
        <v>18</v>
      </c>
      <c r="C58" s="35" t="s">
        <v>35</v>
      </c>
      <c r="D58" s="17">
        <f>-53621.76+300</f>
        <v>-53321.760000000002</v>
      </c>
      <c r="E58" s="5"/>
      <c r="F58" s="17"/>
      <c r="G58" s="11">
        <f>-53621.76+300</f>
        <v>-53321.760000000002</v>
      </c>
      <c r="H58" s="62">
        <f t="shared" si="0"/>
        <v>0</v>
      </c>
      <c r="I58" s="3"/>
      <c r="J58" s="1"/>
    </row>
    <row r="59" spans="1:10" s="9" customFormat="1" ht="13.9" hidden="1" customHeight="1" x14ac:dyDescent="0.25">
      <c r="A59" s="27">
        <v>44165</v>
      </c>
      <c r="B59" s="9" t="s">
        <v>18</v>
      </c>
      <c r="C59" s="35" t="s">
        <v>76</v>
      </c>
      <c r="D59" s="17">
        <v>0</v>
      </c>
      <c r="E59" s="5"/>
      <c r="F59" s="17"/>
      <c r="G59" s="38"/>
      <c r="H59" s="62">
        <f t="shared" si="0"/>
        <v>0</v>
      </c>
      <c r="I59" s="3"/>
      <c r="J59" s="1"/>
    </row>
    <row r="60" spans="1:10" s="9" customFormat="1" ht="13.9" customHeight="1" x14ac:dyDescent="0.25">
      <c r="A60" s="27">
        <v>44196</v>
      </c>
      <c r="B60" s="9" t="s">
        <v>18</v>
      </c>
      <c r="C60" s="35" t="s">
        <v>135</v>
      </c>
      <c r="D60" s="17">
        <f>102485.65+1508.75</f>
        <v>103994.4</v>
      </c>
      <c r="E60" s="5"/>
      <c r="F60" s="17">
        <f>-102485.65-1508.75+103994.4</f>
        <v>0</v>
      </c>
      <c r="G60" s="25">
        <v>103994.4</v>
      </c>
      <c r="H60" s="62">
        <f t="shared" si="0"/>
        <v>0</v>
      </c>
      <c r="I60" s="3"/>
      <c r="J60" s="1"/>
    </row>
    <row r="61" spans="1:10" s="9" customFormat="1" ht="13.9" customHeight="1" x14ac:dyDescent="0.25">
      <c r="A61" s="27">
        <v>44196</v>
      </c>
      <c r="B61" s="9" t="s">
        <v>18</v>
      </c>
      <c r="C61" s="35" t="s">
        <v>136</v>
      </c>
      <c r="D61" s="17">
        <f>20128.19+10.1</f>
        <v>20138.289999999997</v>
      </c>
      <c r="E61" s="5"/>
      <c r="F61" s="17">
        <f>-20128.19-10.1+20138.29</f>
        <v>0</v>
      </c>
      <c r="G61" s="25">
        <v>20138.289999999997</v>
      </c>
      <c r="H61" s="62">
        <f t="shared" si="0"/>
        <v>0</v>
      </c>
      <c r="I61" s="3"/>
      <c r="J61" s="1"/>
    </row>
    <row r="62" spans="1:10" s="9" customFormat="1" ht="13.9" customHeight="1" x14ac:dyDescent="0.25">
      <c r="A62" s="27">
        <v>44196</v>
      </c>
      <c r="B62" s="9" t="s">
        <v>18</v>
      </c>
      <c r="C62" s="35" t="s">
        <v>137</v>
      </c>
      <c r="D62" s="17">
        <f>-71825.21-8153.61</f>
        <v>-79978.820000000007</v>
      </c>
      <c r="E62" s="5">
        <f>71825.21+8153.61-79978.82</f>
        <v>0</v>
      </c>
      <c r="F62" s="17"/>
      <c r="G62" s="25">
        <v>-79978.820000000007</v>
      </c>
      <c r="H62" s="62">
        <f t="shared" si="0"/>
        <v>0</v>
      </c>
      <c r="I62" s="3"/>
      <c r="J62" s="1"/>
    </row>
    <row r="63" spans="1:10" s="9" customFormat="1" ht="13.9" customHeight="1" x14ac:dyDescent="0.25">
      <c r="A63" s="27">
        <v>44196</v>
      </c>
      <c r="B63" s="9" t="s">
        <v>18</v>
      </c>
      <c r="C63" s="35" t="s">
        <v>138</v>
      </c>
      <c r="D63" s="17">
        <v>53321.760000000002</v>
      </c>
      <c r="E63" s="5"/>
      <c r="F63" s="17"/>
      <c r="G63" s="25">
        <v>53321.760000000002</v>
      </c>
      <c r="H63" s="62">
        <f t="shared" si="0"/>
        <v>0</v>
      </c>
      <c r="I63" s="3"/>
      <c r="J63" s="1"/>
    </row>
    <row r="64" spans="1:10" s="9" customFormat="1" ht="13.9" customHeight="1" x14ac:dyDescent="0.25">
      <c r="A64" s="27">
        <v>44196</v>
      </c>
      <c r="B64" s="9" t="s">
        <v>18</v>
      </c>
      <c r="C64" s="35" t="s">
        <v>39</v>
      </c>
      <c r="D64" s="17">
        <v>-2791.69</v>
      </c>
      <c r="E64" s="5"/>
      <c r="F64" s="17"/>
      <c r="G64" s="25">
        <v>-2791.69</v>
      </c>
      <c r="H64" s="62">
        <f t="shared" si="0"/>
        <v>0</v>
      </c>
      <c r="I64" s="3"/>
      <c r="J64" s="1"/>
    </row>
    <row r="65" spans="1:10" s="9" customFormat="1" ht="13.9" customHeight="1" x14ac:dyDescent="0.25">
      <c r="A65" s="27">
        <v>44196</v>
      </c>
      <c r="B65" s="9" t="s">
        <v>18</v>
      </c>
      <c r="C65" s="35" t="s">
        <v>34</v>
      </c>
      <c r="D65" s="17">
        <f>-1923.93+7011.57+180</f>
        <v>5267.6399999999994</v>
      </c>
      <c r="E65" s="5"/>
      <c r="F65" s="17"/>
      <c r="G65" s="25">
        <v>5267.6399999999994</v>
      </c>
      <c r="H65" s="62">
        <f t="shared" si="0"/>
        <v>0</v>
      </c>
      <c r="I65" s="3"/>
      <c r="J65" s="1"/>
    </row>
    <row r="66" spans="1:10" s="9" customFormat="1" ht="13.9" customHeight="1" x14ac:dyDescent="0.25">
      <c r="A66" s="27">
        <v>44196</v>
      </c>
      <c r="B66" s="9" t="s">
        <v>18</v>
      </c>
      <c r="C66" s="35" t="s">
        <v>35</v>
      </c>
      <c r="D66" s="17">
        <v>-74388.570000000007</v>
      </c>
      <c r="E66" s="5"/>
      <c r="F66" s="17"/>
      <c r="G66" s="25">
        <v>-74388.570000000007</v>
      </c>
      <c r="H66" s="62">
        <f t="shared" si="0"/>
        <v>0</v>
      </c>
      <c r="I66" s="3"/>
      <c r="J66" s="1"/>
    </row>
    <row r="67" spans="1:10" s="9" customFormat="1" ht="13.9" customHeight="1" x14ac:dyDescent="0.25">
      <c r="A67" s="27">
        <v>44227</v>
      </c>
      <c r="B67" s="9" t="s">
        <v>9</v>
      </c>
      <c r="C67" s="35" t="s">
        <v>144</v>
      </c>
      <c r="D67" s="17">
        <v>1302.08</v>
      </c>
      <c r="E67" s="5"/>
      <c r="F67" s="17"/>
      <c r="G67" s="25">
        <v>1302.08</v>
      </c>
      <c r="H67" s="62">
        <f t="shared" si="0"/>
        <v>0</v>
      </c>
      <c r="I67" s="3"/>
      <c r="J67" s="1"/>
    </row>
    <row r="68" spans="1:10" s="9" customFormat="1" ht="13.9" customHeight="1" x14ac:dyDescent="0.25">
      <c r="A68" s="27">
        <v>44227</v>
      </c>
      <c r="B68" s="9" t="s">
        <v>9</v>
      </c>
      <c r="C68" s="35" t="s">
        <v>140</v>
      </c>
      <c r="D68" s="17">
        <f>361443.6+53107.39</f>
        <v>414550.99</v>
      </c>
      <c r="E68" s="5"/>
      <c r="F68" s="17">
        <f>-361443.6-53107.39+414550.99</f>
        <v>0</v>
      </c>
      <c r="G68" s="25">
        <v>414550.99</v>
      </c>
      <c r="H68" s="62">
        <f t="shared" si="0"/>
        <v>0</v>
      </c>
      <c r="I68" s="3"/>
      <c r="J68" s="1"/>
    </row>
    <row r="69" spans="1:10" s="9" customFormat="1" ht="13.9" customHeight="1" x14ac:dyDescent="0.25">
      <c r="A69" s="27">
        <v>44227</v>
      </c>
      <c r="B69" s="9" t="s">
        <v>9</v>
      </c>
      <c r="C69" s="35" t="s">
        <v>141</v>
      </c>
      <c r="D69" s="17">
        <f>-99869.3+66423.59</f>
        <v>-33445.710000000006</v>
      </c>
      <c r="E69" s="5">
        <f>99869.3-66423.59-33445.71</f>
        <v>0</v>
      </c>
      <c r="F69" s="17"/>
      <c r="G69" s="25">
        <v>-33445.710000000006</v>
      </c>
      <c r="H69" s="62">
        <f t="shared" si="0"/>
        <v>0</v>
      </c>
      <c r="I69" s="3"/>
      <c r="J69" s="1"/>
    </row>
    <row r="70" spans="1:10" s="9" customFormat="1" ht="13.9" customHeight="1" x14ac:dyDescent="0.25">
      <c r="A70" s="27">
        <v>44227</v>
      </c>
      <c r="B70" s="9" t="s">
        <v>9</v>
      </c>
      <c r="C70" s="35" t="s">
        <v>142</v>
      </c>
      <c r="D70" s="17">
        <f>-127977.09-22406.86</f>
        <v>-150383.95000000001</v>
      </c>
      <c r="E70" s="5">
        <f>127977.09+22406.86-150383.95</f>
        <v>0</v>
      </c>
      <c r="F70" s="17"/>
      <c r="G70" s="25">
        <v>-150383.95000000001</v>
      </c>
      <c r="H70" s="62">
        <f t="shared" si="0"/>
        <v>0</v>
      </c>
      <c r="I70" s="3"/>
      <c r="J70" s="1"/>
    </row>
    <row r="71" spans="1:10" s="9" customFormat="1" ht="13.9" customHeight="1" x14ac:dyDescent="0.25">
      <c r="A71" s="27">
        <v>44227</v>
      </c>
      <c r="B71" s="9" t="s">
        <v>9</v>
      </c>
      <c r="C71" s="35" t="s">
        <v>143</v>
      </c>
      <c r="D71" s="17">
        <v>74388.570000000007</v>
      </c>
      <c r="E71" s="5"/>
      <c r="F71" s="17"/>
      <c r="G71" s="25">
        <v>74388.570000000007</v>
      </c>
      <c r="H71" s="62">
        <f t="shared" si="0"/>
        <v>0</v>
      </c>
      <c r="I71" s="3"/>
      <c r="J71" s="1"/>
    </row>
    <row r="72" spans="1:10" s="9" customFormat="1" ht="13.9" customHeight="1" x14ac:dyDescent="0.25">
      <c r="A72" s="27">
        <v>44227</v>
      </c>
      <c r="B72" s="9" t="s">
        <v>9</v>
      </c>
      <c r="C72" s="35" t="s">
        <v>127</v>
      </c>
      <c r="D72" s="17">
        <v>-3000.02</v>
      </c>
      <c r="E72" s="5"/>
      <c r="F72" s="17"/>
      <c r="G72" s="25">
        <v>-3000.02</v>
      </c>
      <c r="H72" s="62">
        <f t="shared" si="0"/>
        <v>0</v>
      </c>
      <c r="I72" s="3"/>
      <c r="J72" s="1"/>
    </row>
    <row r="73" spans="1:10" s="9" customFormat="1" ht="13.9" customHeight="1" x14ac:dyDescent="0.25">
      <c r="A73" s="27">
        <v>44227</v>
      </c>
      <c r="B73" s="9" t="s">
        <v>9</v>
      </c>
      <c r="C73" s="35" t="s">
        <v>128</v>
      </c>
      <c r="D73" s="17">
        <f>-178477.07+23944.61</f>
        <v>-154532.46000000002</v>
      </c>
      <c r="E73" s="5"/>
      <c r="F73" s="17"/>
      <c r="G73" s="25">
        <v>-154532.46000000002</v>
      </c>
      <c r="H73" s="62">
        <f t="shared" si="0"/>
        <v>0</v>
      </c>
      <c r="I73" s="3"/>
      <c r="J73" s="1"/>
    </row>
    <row r="74" spans="1:10" s="9" customFormat="1" ht="13.9" customHeight="1" x14ac:dyDescent="0.25">
      <c r="A74" s="27">
        <v>44227</v>
      </c>
      <c r="B74" s="9" t="s">
        <v>9</v>
      </c>
      <c r="C74" s="35" t="s">
        <v>129</v>
      </c>
      <c r="D74" s="17">
        <v>-42165.79</v>
      </c>
      <c r="E74" s="5"/>
      <c r="F74" s="17"/>
      <c r="G74" s="25">
        <v>-42165.79</v>
      </c>
      <c r="H74" s="62">
        <f t="shared" si="0"/>
        <v>0</v>
      </c>
      <c r="I74" s="3"/>
      <c r="J74" s="1"/>
    </row>
    <row r="75" spans="1:10" s="9" customFormat="1" ht="13.9" customHeight="1" x14ac:dyDescent="0.25">
      <c r="A75" s="27">
        <v>44255</v>
      </c>
      <c r="B75" s="9" t="s">
        <v>9</v>
      </c>
      <c r="C75" s="35" t="s">
        <v>144</v>
      </c>
      <c r="D75" s="17">
        <v>1302.08</v>
      </c>
      <c r="E75" s="5"/>
      <c r="F75" s="17"/>
      <c r="G75" s="25">
        <v>1302.08</v>
      </c>
      <c r="H75" s="62">
        <f t="shared" si="0"/>
        <v>0</v>
      </c>
      <c r="I75" s="3"/>
      <c r="J75" s="1"/>
    </row>
    <row r="76" spans="1:10" s="9" customFormat="1" ht="13.9" customHeight="1" x14ac:dyDescent="0.25">
      <c r="A76" s="27">
        <v>44255</v>
      </c>
      <c r="B76" s="9" t="s">
        <v>9</v>
      </c>
      <c r="C76" s="35" t="s">
        <v>148</v>
      </c>
      <c r="D76" s="17">
        <v>42165.79</v>
      </c>
      <c r="E76" s="5"/>
      <c r="F76" s="17"/>
      <c r="G76" s="25">
        <v>42165.79</v>
      </c>
      <c r="H76" s="62">
        <f t="shared" si="0"/>
        <v>0</v>
      </c>
      <c r="I76" s="3"/>
      <c r="J76" s="1"/>
    </row>
    <row r="77" spans="1:10" s="9" customFormat="1" ht="13.9" customHeight="1" x14ac:dyDescent="0.25">
      <c r="A77" s="27">
        <v>44255</v>
      </c>
      <c r="B77" s="9" t="s">
        <v>9</v>
      </c>
      <c r="C77" s="35" t="s">
        <v>151</v>
      </c>
      <c r="D77" s="17">
        <f>-411154.26+24063.88</f>
        <v>-387090.38</v>
      </c>
      <c r="E77" s="5">
        <f>411154.26-24063.88-387090.38</f>
        <v>0</v>
      </c>
      <c r="F77" s="17"/>
      <c r="G77" s="25">
        <v>-387090.38</v>
      </c>
      <c r="H77" s="62">
        <f t="shared" si="0"/>
        <v>0</v>
      </c>
      <c r="I77" s="3"/>
      <c r="J77" s="1"/>
    </row>
    <row r="78" spans="1:10" s="9" customFormat="1" ht="13.9" customHeight="1" x14ac:dyDescent="0.25">
      <c r="A78" s="27">
        <v>44255</v>
      </c>
      <c r="B78" s="9" t="s">
        <v>9</v>
      </c>
      <c r="C78" s="35" t="s">
        <v>154</v>
      </c>
      <c r="D78" s="17">
        <f>83000+18631.04</f>
        <v>101631.04000000001</v>
      </c>
      <c r="E78" s="5"/>
      <c r="F78" s="17">
        <f>-83000-18631.04+101631.04</f>
        <v>0</v>
      </c>
      <c r="G78" s="25">
        <v>101631.04000000001</v>
      </c>
      <c r="H78" s="62">
        <f t="shared" si="0"/>
        <v>0</v>
      </c>
      <c r="I78" s="3"/>
      <c r="J78" s="1"/>
    </row>
    <row r="79" spans="1:10" s="9" customFormat="1" ht="13.9" customHeight="1" x14ac:dyDescent="0.25">
      <c r="A79" s="27">
        <v>44255</v>
      </c>
      <c r="B79" s="9" t="s">
        <v>9</v>
      </c>
      <c r="C79" s="35" t="s">
        <v>152</v>
      </c>
      <c r="D79" s="17">
        <f>-14380.2+856.44</f>
        <v>-13523.76</v>
      </c>
      <c r="E79" s="5">
        <f>14380.2-856.44-13523.76</f>
        <v>0</v>
      </c>
      <c r="F79" s="17"/>
      <c r="G79" s="25">
        <v>-14380.2</v>
      </c>
      <c r="H79" s="62">
        <f t="shared" si="0"/>
        <v>856.44000000000051</v>
      </c>
      <c r="I79" s="3"/>
      <c r="J79" s="1"/>
    </row>
    <row r="80" spans="1:10" s="9" customFormat="1" ht="13.9" customHeight="1" x14ac:dyDescent="0.25">
      <c r="A80" s="27">
        <v>44255</v>
      </c>
      <c r="B80" s="9" t="s">
        <v>9</v>
      </c>
      <c r="C80" s="35" t="s">
        <v>153</v>
      </c>
      <c r="D80" s="17">
        <v>-33060.54</v>
      </c>
      <c r="E80" s="54">
        <v>33060.54</v>
      </c>
      <c r="F80" s="17"/>
      <c r="G80" s="25">
        <v>-33060.54</v>
      </c>
      <c r="H80" s="62">
        <f t="shared" si="0"/>
        <v>0</v>
      </c>
      <c r="I80" s="3"/>
      <c r="J80" s="1"/>
    </row>
    <row r="81" spans="1:10" s="9" customFormat="1" ht="13.9" customHeight="1" x14ac:dyDescent="0.25">
      <c r="A81" s="27">
        <v>44255</v>
      </c>
      <c r="B81" s="9" t="s">
        <v>9</v>
      </c>
      <c r="C81" s="35" t="s">
        <v>159</v>
      </c>
      <c r="D81" s="17">
        <v>-101864.83</v>
      </c>
      <c r="E81" s="5"/>
      <c r="F81" s="17"/>
      <c r="G81" s="25">
        <v>-101864.83</v>
      </c>
      <c r="H81" s="62">
        <f t="shared" si="0"/>
        <v>0</v>
      </c>
      <c r="I81" s="3"/>
      <c r="J81" s="1"/>
    </row>
    <row r="82" spans="1:10" s="9" customFormat="1" ht="13.9" customHeight="1" x14ac:dyDescent="0.25">
      <c r="A82" s="27">
        <v>44255</v>
      </c>
      <c r="B82" s="9" t="s">
        <v>9</v>
      </c>
      <c r="C82" s="35" t="s">
        <v>39</v>
      </c>
      <c r="D82" s="17">
        <v>-2166.69</v>
      </c>
      <c r="E82" s="5"/>
      <c r="F82" s="17"/>
      <c r="G82" s="25">
        <v>-2166.69</v>
      </c>
      <c r="H82" s="62">
        <f t="shared" si="0"/>
        <v>0</v>
      </c>
      <c r="I82" s="3"/>
      <c r="J82" s="1"/>
    </row>
    <row r="83" spans="1:10" s="9" customFormat="1" ht="13.9" customHeight="1" x14ac:dyDescent="0.25">
      <c r="A83" s="27">
        <v>44255</v>
      </c>
      <c r="B83" s="9" t="s">
        <v>9</v>
      </c>
      <c r="C83" s="35" t="s">
        <v>34</v>
      </c>
      <c r="D83" s="17">
        <v>273826.5</v>
      </c>
      <c r="E83" s="5"/>
      <c r="F83" s="17"/>
      <c r="G83" s="25">
        <v>273826.5</v>
      </c>
      <c r="H83" s="62">
        <f t="shared" si="0"/>
        <v>0</v>
      </c>
      <c r="I83" s="3"/>
      <c r="J83" s="1"/>
    </row>
    <row r="84" spans="1:10" s="9" customFormat="1" ht="13.9" customHeight="1" x14ac:dyDescent="0.25">
      <c r="A84" s="27">
        <v>44255</v>
      </c>
      <c r="B84" s="9" t="s">
        <v>9</v>
      </c>
      <c r="C84" s="35" t="s">
        <v>35</v>
      </c>
      <c r="D84" s="17">
        <v>-44307.71</v>
      </c>
      <c r="E84" s="5"/>
      <c r="F84" s="17"/>
      <c r="G84" s="25">
        <v>-44307.71</v>
      </c>
      <c r="H84" s="62">
        <f t="shared" si="0"/>
        <v>0</v>
      </c>
      <c r="I84" s="3"/>
      <c r="J84" s="1"/>
    </row>
    <row r="85" spans="1:10" s="9" customFormat="1" ht="13.9" customHeight="1" x14ac:dyDescent="0.25">
      <c r="A85" s="27">
        <v>44286</v>
      </c>
      <c r="B85" s="9" t="s">
        <v>9</v>
      </c>
      <c r="C85" s="35" t="s">
        <v>155</v>
      </c>
      <c r="D85" s="17">
        <v>44307.71</v>
      </c>
      <c r="E85" s="5"/>
      <c r="F85" s="17"/>
      <c r="G85" s="25">
        <v>44307.71</v>
      </c>
      <c r="H85" s="62">
        <f t="shared" si="0"/>
        <v>0</v>
      </c>
      <c r="I85" s="3"/>
      <c r="J85" s="1"/>
    </row>
    <row r="86" spans="1:10" s="9" customFormat="1" ht="13.9" customHeight="1" x14ac:dyDescent="0.25">
      <c r="A86" s="27">
        <v>44286</v>
      </c>
      <c r="B86" s="9" t="s">
        <v>9</v>
      </c>
      <c r="C86" s="35" t="s">
        <v>144</v>
      </c>
      <c r="D86" s="17">
        <v>1302.08</v>
      </c>
      <c r="E86" s="5"/>
      <c r="F86" s="17"/>
      <c r="G86" s="25">
        <v>1302.08</v>
      </c>
      <c r="H86" s="62">
        <f t="shared" si="0"/>
        <v>0</v>
      </c>
      <c r="I86" s="3"/>
      <c r="J86" s="1"/>
    </row>
    <row r="87" spans="1:10" s="9" customFormat="1" ht="13.9" customHeight="1" x14ac:dyDescent="0.25">
      <c r="A87" s="27">
        <v>44286</v>
      </c>
      <c r="B87" s="9" t="s">
        <v>9</v>
      </c>
      <c r="C87" s="35" t="s">
        <v>156</v>
      </c>
      <c r="D87" s="17">
        <f>-347595.01+220070.8</f>
        <v>-127524.21000000002</v>
      </c>
      <c r="E87" s="5">
        <f>347595.01-220070.8-127524.21</f>
        <v>0</v>
      </c>
      <c r="F87" s="17"/>
      <c r="G87" s="25">
        <v>-347595.01</v>
      </c>
      <c r="H87" s="62">
        <f t="shared" si="0"/>
        <v>220070.8</v>
      </c>
      <c r="I87" s="3"/>
      <c r="J87" s="1"/>
    </row>
    <row r="88" spans="1:10" s="9" customFormat="1" ht="13.9" customHeight="1" x14ac:dyDescent="0.25">
      <c r="A88" s="27">
        <v>44286</v>
      </c>
      <c r="B88" s="9" t="s">
        <v>9</v>
      </c>
      <c r="C88" s="35" t="s">
        <v>157</v>
      </c>
      <c r="D88" s="17">
        <v>-58083.5</v>
      </c>
      <c r="E88" s="5">
        <f>58083.5-58083.5</f>
        <v>0</v>
      </c>
      <c r="F88" s="17"/>
      <c r="G88" s="25">
        <v>-58083.5</v>
      </c>
      <c r="H88" s="62">
        <f t="shared" si="0"/>
        <v>0</v>
      </c>
      <c r="I88" s="3"/>
      <c r="J88" s="1"/>
    </row>
    <row r="89" spans="1:10" s="9" customFormat="1" ht="13.9" customHeight="1" x14ac:dyDescent="0.25">
      <c r="A89" s="27">
        <v>44286</v>
      </c>
      <c r="B89" s="9" t="s">
        <v>9</v>
      </c>
      <c r="C89" s="35" t="s">
        <v>158</v>
      </c>
      <c r="D89" s="17">
        <f>7729.12+0.31</f>
        <v>7729.43</v>
      </c>
      <c r="E89" s="5"/>
      <c r="F89" s="17">
        <f>-7729.12-0.31+7729.43</f>
        <v>0</v>
      </c>
      <c r="G89" s="25">
        <v>7729.12</v>
      </c>
      <c r="H89" s="62">
        <f t="shared" si="0"/>
        <v>0.31000000000040018</v>
      </c>
      <c r="I89" s="3"/>
      <c r="J89" s="1"/>
    </row>
    <row r="90" spans="1:10" s="9" customFormat="1" ht="13.9" customHeight="1" x14ac:dyDescent="0.25">
      <c r="A90" s="27">
        <v>44286</v>
      </c>
      <c r="B90" s="9" t="s">
        <v>9</v>
      </c>
      <c r="C90" s="35" t="s">
        <v>159</v>
      </c>
      <c r="D90" s="17">
        <v>2821.97</v>
      </c>
      <c r="E90" s="5"/>
      <c r="F90" s="17"/>
      <c r="G90" s="25">
        <v>2821.97</v>
      </c>
      <c r="H90" s="62">
        <f t="shared" si="0"/>
        <v>0</v>
      </c>
      <c r="I90" s="3"/>
      <c r="J90" s="1"/>
    </row>
    <row r="91" spans="1:10" s="9" customFormat="1" ht="13.9" customHeight="1" x14ac:dyDescent="0.25">
      <c r="A91" s="27">
        <v>44286</v>
      </c>
      <c r="B91" s="9" t="s">
        <v>9</v>
      </c>
      <c r="C91" s="35" t="s">
        <v>39</v>
      </c>
      <c r="D91" s="17">
        <v>-2750.0200000000004</v>
      </c>
      <c r="E91" s="5"/>
      <c r="F91" s="17"/>
      <c r="G91" s="25">
        <v>-2750.0200000000004</v>
      </c>
      <c r="H91" s="62">
        <f t="shared" si="0"/>
        <v>0</v>
      </c>
      <c r="I91" s="3"/>
      <c r="J91" s="1"/>
    </row>
    <row r="92" spans="1:10" s="9" customFormat="1" ht="13.9" customHeight="1" x14ac:dyDescent="0.25">
      <c r="A92" s="27">
        <v>44286</v>
      </c>
      <c r="B92" s="9" t="s">
        <v>9</v>
      </c>
      <c r="C92" s="35" t="s">
        <v>34</v>
      </c>
      <c r="D92" s="17">
        <f>136248.52-16861.37</f>
        <v>119387.15</v>
      </c>
      <c r="E92" s="5"/>
      <c r="F92" s="17"/>
      <c r="G92" s="25">
        <v>136248.52000000005</v>
      </c>
      <c r="H92" s="62">
        <f t="shared" si="0"/>
        <v>-16861.370000000054</v>
      </c>
      <c r="I92" s="3"/>
      <c r="J92" s="1"/>
    </row>
    <row r="93" spans="1:10" s="9" customFormat="1" ht="13.9" customHeight="1" x14ac:dyDescent="0.25">
      <c r="A93" s="27">
        <v>44286</v>
      </c>
      <c r="B93" s="9" t="s">
        <v>9</v>
      </c>
      <c r="C93" s="35" t="s">
        <v>35</v>
      </c>
      <c r="D93" s="17">
        <v>-14663.53</v>
      </c>
      <c r="E93" s="5"/>
      <c r="F93" s="17"/>
      <c r="G93" s="25">
        <v>-14663.53</v>
      </c>
      <c r="H93" s="62">
        <f t="shared" si="0"/>
        <v>0</v>
      </c>
      <c r="I93" s="3"/>
      <c r="J93" s="1"/>
    </row>
    <row r="94" spans="1:10" s="9" customFormat="1" ht="13.9" customHeight="1" x14ac:dyDescent="0.25">
      <c r="A94" s="27">
        <v>44316</v>
      </c>
      <c r="B94" s="9" t="s">
        <v>10</v>
      </c>
      <c r="C94" s="35" t="s">
        <v>163</v>
      </c>
      <c r="D94" s="17">
        <v>14663.53</v>
      </c>
      <c r="E94" s="5"/>
      <c r="F94" s="17"/>
      <c r="G94" s="38"/>
      <c r="H94" s="62">
        <f t="shared" si="0"/>
        <v>14663.53</v>
      </c>
      <c r="I94" s="3"/>
      <c r="J94" s="1"/>
    </row>
    <row r="95" spans="1:10" s="9" customFormat="1" ht="13.9" customHeight="1" x14ac:dyDescent="0.25">
      <c r="A95" s="27">
        <v>44316</v>
      </c>
      <c r="B95" s="9" t="s">
        <v>10</v>
      </c>
      <c r="C95" s="35" t="s">
        <v>144</v>
      </c>
      <c r="D95" s="17">
        <v>1302.08</v>
      </c>
      <c r="E95" s="5"/>
      <c r="F95" s="17"/>
      <c r="G95" s="38"/>
      <c r="H95" s="62">
        <f t="shared" si="0"/>
        <v>1302.08</v>
      </c>
      <c r="I95" s="3"/>
      <c r="J95" s="1"/>
    </row>
    <row r="96" spans="1:10" s="9" customFormat="1" ht="13.9" customHeight="1" x14ac:dyDescent="0.25">
      <c r="A96" s="27">
        <v>44316</v>
      </c>
      <c r="B96" s="9" t="s">
        <v>10</v>
      </c>
      <c r="C96" s="35" t="s">
        <v>160</v>
      </c>
      <c r="D96" s="17">
        <f>51294.87-546.91</f>
        <v>50747.96</v>
      </c>
      <c r="E96" s="5"/>
      <c r="F96" s="17">
        <f>-51294.87+546.91+50747.96</f>
        <v>0</v>
      </c>
      <c r="G96" s="38"/>
      <c r="H96" s="62">
        <f t="shared" si="0"/>
        <v>50747.96</v>
      </c>
      <c r="I96" s="3"/>
      <c r="J96" s="1"/>
    </row>
    <row r="97" spans="1:10" s="9" customFormat="1" ht="13.9" customHeight="1" x14ac:dyDescent="0.25">
      <c r="A97" s="27">
        <v>44316</v>
      </c>
      <c r="B97" s="9" t="s">
        <v>10</v>
      </c>
      <c r="C97" s="35" t="s">
        <v>161</v>
      </c>
      <c r="D97" s="17">
        <f>-116256.56-802.69</f>
        <v>-117059.25</v>
      </c>
      <c r="E97" s="5">
        <f>116256.56+802.69-117059.25</f>
        <v>0</v>
      </c>
      <c r="F97" s="17"/>
      <c r="G97" s="38"/>
      <c r="H97" s="62">
        <f t="shared" si="0"/>
        <v>-117059.25</v>
      </c>
      <c r="I97" s="3"/>
      <c r="J97" s="1"/>
    </row>
    <row r="98" spans="1:10" s="9" customFormat="1" ht="13.9" customHeight="1" x14ac:dyDescent="0.25">
      <c r="A98" s="27">
        <v>44316</v>
      </c>
      <c r="B98" s="9" t="s">
        <v>10</v>
      </c>
      <c r="C98" s="35" t="s">
        <v>162</v>
      </c>
      <c r="D98" s="17">
        <f>-112001.41-27926.96</f>
        <v>-139928.37</v>
      </c>
      <c r="E98" s="5">
        <f>112001.41+27926.96-139928.37</f>
        <v>0</v>
      </c>
      <c r="F98" s="17"/>
      <c r="G98" s="38"/>
      <c r="H98" s="62">
        <f t="shared" si="0"/>
        <v>-139928.37</v>
      </c>
      <c r="I98" s="3"/>
      <c r="J98" s="1"/>
    </row>
    <row r="99" spans="1:10" s="9" customFormat="1" ht="13.9" customHeight="1" x14ac:dyDescent="0.25">
      <c r="A99" s="27">
        <v>44316</v>
      </c>
      <c r="B99" s="9" t="s">
        <v>10</v>
      </c>
      <c r="C99" s="35" t="s">
        <v>41</v>
      </c>
      <c r="D99" s="17">
        <v>-2750.02</v>
      </c>
      <c r="E99" s="5"/>
      <c r="F99" s="17"/>
      <c r="G99" s="38"/>
      <c r="H99" s="62">
        <f t="shared" si="0"/>
        <v>-2750.02</v>
      </c>
      <c r="I99" s="3"/>
      <c r="J99" s="1"/>
    </row>
    <row r="100" spans="1:10" s="9" customFormat="1" ht="13.9" customHeight="1" x14ac:dyDescent="0.25">
      <c r="A100" s="27">
        <v>44316</v>
      </c>
      <c r="B100" s="9" t="s">
        <v>10</v>
      </c>
      <c r="C100" s="35" t="s">
        <v>42</v>
      </c>
      <c r="D100" s="17">
        <v>119838.63</v>
      </c>
      <c r="E100" s="5"/>
      <c r="F100" s="17"/>
      <c r="G100" s="38"/>
      <c r="H100" s="62">
        <f t="shared" si="0"/>
        <v>119838.63</v>
      </c>
      <c r="I100" s="3"/>
      <c r="J100" s="1"/>
    </row>
    <row r="101" spans="1:10" s="9" customFormat="1" ht="13.9" customHeight="1" x14ac:dyDescent="0.25">
      <c r="A101" s="27">
        <v>44316</v>
      </c>
      <c r="B101" s="9" t="s">
        <v>10</v>
      </c>
      <c r="C101" s="35" t="s">
        <v>43</v>
      </c>
      <c r="D101" s="17">
        <v>-27582.58</v>
      </c>
      <c r="E101" s="5"/>
      <c r="F101" s="17"/>
      <c r="G101" s="38"/>
      <c r="H101" s="62">
        <f t="shared" si="0"/>
        <v>-27582.58</v>
      </c>
      <c r="I101" s="3"/>
      <c r="J101" s="1"/>
    </row>
    <row r="102" spans="1:10" s="9" customFormat="1" ht="13.9" customHeight="1" x14ac:dyDescent="0.25">
      <c r="A102" s="27">
        <v>44347</v>
      </c>
      <c r="B102" s="9" t="s">
        <v>10</v>
      </c>
      <c r="C102" s="35" t="s">
        <v>173</v>
      </c>
      <c r="D102" s="17">
        <v>27582.58</v>
      </c>
      <c r="E102" s="5"/>
      <c r="F102" s="17"/>
      <c r="G102" s="38"/>
      <c r="H102" s="62">
        <f t="shared" si="0"/>
        <v>27582.58</v>
      </c>
      <c r="I102" s="3"/>
      <c r="J102" s="1"/>
    </row>
    <row r="103" spans="1:10" s="9" customFormat="1" ht="13.9" customHeight="1" x14ac:dyDescent="0.25">
      <c r="A103" s="27">
        <v>44347</v>
      </c>
      <c r="B103" s="9" t="s">
        <v>10</v>
      </c>
      <c r="C103" s="35" t="s">
        <v>144</v>
      </c>
      <c r="D103" s="17">
        <v>1302.08</v>
      </c>
      <c r="E103" s="5"/>
      <c r="F103" s="17"/>
      <c r="G103" s="38"/>
      <c r="H103" s="62">
        <f t="shared" si="0"/>
        <v>1302.08</v>
      </c>
      <c r="I103" s="3"/>
      <c r="J103" s="1"/>
    </row>
    <row r="104" spans="1:10" s="9" customFormat="1" ht="13.9" customHeight="1" x14ac:dyDescent="0.25">
      <c r="A104" s="27">
        <v>44347</v>
      </c>
      <c r="B104" s="9" t="s">
        <v>10</v>
      </c>
      <c r="C104" s="35" t="s">
        <v>169</v>
      </c>
      <c r="D104" s="17">
        <f>32913.07+2479.65</f>
        <v>35392.720000000001</v>
      </c>
      <c r="E104" s="5"/>
      <c r="F104" s="81">
        <f>-32913.07-2479.65</f>
        <v>-35392.720000000001</v>
      </c>
      <c r="G104" s="38"/>
      <c r="H104" s="62">
        <f t="shared" si="0"/>
        <v>35392.720000000001</v>
      </c>
      <c r="I104" s="3"/>
      <c r="J104" s="1"/>
    </row>
    <row r="105" spans="1:10" s="9" customFormat="1" ht="13.9" customHeight="1" x14ac:dyDescent="0.25">
      <c r="A105" s="27">
        <v>44347</v>
      </c>
      <c r="B105" s="9" t="s">
        <v>10</v>
      </c>
      <c r="C105" s="35" t="s">
        <v>170</v>
      </c>
      <c r="D105" s="17">
        <f>-51385.5-272.94</f>
        <v>-51658.44</v>
      </c>
      <c r="E105" s="5">
        <f>51385.5+272.94-51658.44</f>
        <v>0</v>
      </c>
      <c r="F105" s="17"/>
      <c r="G105" s="38"/>
      <c r="H105" s="62">
        <f t="shared" si="0"/>
        <v>-51658.44</v>
      </c>
      <c r="I105" s="3"/>
      <c r="J105" s="1"/>
    </row>
    <row r="106" spans="1:10" s="9" customFormat="1" ht="13.9" customHeight="1" x14ac:dyDescent="0.25">
      <c r="A106" s="27">
        <v>44347</v>
      </c>
      <c r="B106" s="9" t="s">
        <v>10</v>
      </c>
      <c r="C106" s="35" t="s">
        <v>171</v>
      </c>
      <c r="D106" s="17">
        <f>-102615.53-14035.31</f>
        <v>-116650.84</v>
      </c>
      <c r="E106" s="5">
        <f>102615.53+14035.31-116650.84</f>
        <v>0</v>
      </c>
      <c r="F106" s="17"/>
      <c r="G106" s="38"/>
      <c r="H106" s="62">
        <f t="shared" si="0"/>
        <v>-116650.84</v>
      </c>
      <c r="I106" s="3"/>
      <c r="J106" s="1"/>
    </row>
    <row r="107" spans="1:10" s="9" customFormat="1" ht="13.9" customHeight="1" x14ac:dyDescent="0.25">
      <c r="A107" s="27">
        <v>44347</v>
      </c>
      <c r="B107" s="9" t="s">
        <v>10</v>
      </c>
      <c r="C107" s="35" t="s">
        <v>176</v>
      </c>
      <c r="D107" s="17">
        <f>141366.2-141366.2</f>
        <v>0</v>
      </c>
      <c r="E107" s="5"/>
      <c r="F107" s="17"/>
      <c r="G107" s="38"/>
      <c r="H107" s="62">
        <f t="shared" si="0"/>
        <v>0</v>
      </c>
      <c r="I107" s="3"/>
      <c r="J107" s="1"/>
    </row>
    <row r="108" spans="1:10" s="9" customFormat="1" ht="13.9" customHeight="1" x14ac:dyDescent="0.25">
      <c r="A108" s="27">
        <v>44347</v>
      </c>
      <c r="B108" s="9" t="s">
        <v>10</v>
      </c>
      <c r="C108" s="35" t="s">
        <v>39</v>
      </c>
      <c r="D108" s="17">
        <v>-2333.35</v>
      </c>
      <c r="E108" s="5"/>
      <c r="F108" s="17"/>
      <c r="G108" s="38"/>
      <c r="H108" s="62">
        <f t="shared" si="0"/>
        <v>-2333.35</v>
      </c>
      <c r="I108" s="3"/>
      <c r="J108" s="1"/>
    </row>
    <row r="109" spans="1:10" s="9" customFormat="1" ht="13.9" customHeight="1" x14ac:dyDescent="0.25">
      <c r="A109" s="27">
        <v>44347</v>
      </c>
      <c r="B109" s="9" t="s">
        <v>10</v>
      </c>
      <c r="C109" s="35" t="s">
        <v>34</v>
      </c>
      <c r="D109" s="17">
        <v>111752.93</v>
      </c>
      <c r="E109" s="5"/>
      <c r="F109" s="17"/>
      <c r="G109" s="38"/>
      <c r="H109" s="62">
        <f t="shared" si="0"/>
        <v>111752.93</v>
      </c>
      <c r="I109" s="3"/>
      <c r="J109" s="1"/>
    </row>
    <row r="110" spans="1:10" s="9" customFormat="1" ht="13.9" customHeight="1" x14ac:dyDescent="0.25">
      <c r="A110" s="27">
        <v>44347</v>
      </c>
      <c r="B110" s="9" t="s">
        <v>10</v>
      </c>
      <c r="C110" s="35" t="s">
        <v>35</v>
      </c>
      <c r="D110" s="17">
        <v>-13309.03</v>
      </c>
      <c r="E110" s="5"/>
      <c r="F110" s="17"/>
      <c r="G110" s="38"/>
      <c r="H110" s="62">
        <f t="shared" si="0"/>
        <v>-13309.03</v>
      </c>
      <c r="I110" s="3"/>
      <c r="J110" s="1"/>
    </row>
    <row r="111" spans="1:10" s="9" customFormat="1" ht="13.9" customHeight="1" x14ac:dyDescent="0.25">
      <c r="A111" s="27">
        <v>44377</v>
      </c>
      <c r="B111" s="9" t="s">
        <v>10</v>
      </c>
      <c r="C111" s="35" t="s">
        <v>177</v>
      </c>
      <c r="D111" s="17">
        <v>13309.03</v>
      </c>
      <c r="E111" s="5"/>
      <c r="F111" s="17"/>
      <c r="G111" s="38"/>
      <c r="H111" s="62">
        <f t="shared" si="0"/>
        <v>13309.03</v>
      </c>
      <c r="I111" s="3"/>
      <c r="J111" s="1"/>
    </row>
    <row r="112" spans="1:10" s="9" customFormat="1" ht="13.9" customHeight="1" x14ac:dyDescent="0.25">
      <c r="A112" s="27">
        <v>44377</v>
      </c>
      <c r="B112" s="9" t="s">
        <v>10</v>
      </c>
      <c r="C112" s="35" t="s">
        <v>144</v>
      </c>
      <c r="D112" s="17">
        <v>1302.08</v>
      </c>
      <c r="E112" s="5"/>
      <c r="F112" s="17"/>
      <c r="G112" s="38"/>
      <c r="H112" s="62">
        <f t="shared" si="0"/>
        <v>1302.08</v>
      </c>
      <c r="I112" s="3"/>
      <c r="J112" s="1"/>
    </row>
    <row r="113" spans="1:10" s="9" customFormat="1" ht="13.9" customHeight="1" x14ac:dyDescent="0.25">
      <c r="A113" s="27">
        <v>44377</v>
      </c>
      <c r="B113" s="9" t="s">
        <v>10</v>
      </c>
      <c r="C113" s="35" t="s">
        <v>178</v>
      </c>
      <c r="D113" s="17">
        <v>-63449.2</v>
      </c>
      <c r="E113" s="79">
        <v>63449.2</v>
      </c>
      <c r="F113" s="17"/>
      <c r="G113" s="38"/>
      <c r="H113" s="62">
        <f t="shared" si="0"/>
        <v>-63449.2</v>
      </c>
      <c r="I113" s="3"/>
      <c r="J113" s="1"/>
    </row>
    <row r="114" spans="1:10" s="9" customFormat="1" ht="13.9" customHeight="1" x14ac:dyDescent="0.25">
      <c r="A114" s="27">
        <v>44377</v>
      </c>
      <c r="B114" s="9" t="s">
        <v>10</v>
      </c>
      <c r="C114" s="35" t="s">
        <v>179</v>
      </c>
      <c r="D114" s="17">
        <v>-50517.43</v>
      </c>
      <c r="E114" s="56">
        <v>50517.43</v>
      </c>
      <c r="F114" s="17"/>
      <c r="G114" s="38"/>
      <c r="H114" s="62">
        <f t="shared" si="0"/>
        <v>-50517.43</v>
      </c>
      <c r="I114" s="3"/>
      <c r="J114" s="1"/>
    </row>
    <row r="115" spans="1:10" s="9" customFormat="1" ht="13.9" customHeight="1" x14ac:dyDescent="0.25">
      <c r="A115" s="27">
        <v>44377</v>
      </c>
      <c r="B115" s="9" t="s">
        <v>10</v>
      </c>
      <c r="C115" s="35" t="s">
        <v>180</v>
      </c>
      <c r="D115" s="17">
        <v>29857.96</v>
      </c>
      <c r="E115" s="5"/>
      <c r="F115" s="91">
        <v>-29857.96</v>
      </c>
      <c r="G115" s="38"/>
      <c r="H115" s="62">
        <f t="shared" si="0"/>
        <v>29857.96</v>
      </c>
      <c r="I115" s="3"/>
      <c r="J115" s="1"/>
    </row>
    <row r="116" spans="1:10" s="9" customFormat="1" ht="13.9" customHeight="1" x14ac:dyDescent="0.25">
      <c r="A116" s="44">
        <v>44377</v>
      </c>
      <c r="B116" s="24" t="s">
        <v>10</v>
      </c>
      <c r="C116" s="26" t="s">
        <v>41</v>
      </c>
      <c r="D116" s="33">
        <v>-2750.02</v>
      </c>
      <c r="E116" s="5"/>
      <c r="F116" s="17"/>
      <c r="G116" s="38"/>
      <c r="H116" s="62">
        <f t="shared" si="0"/>
        <v>-2750.02</v>
      </c>
      <c r="I116" s="3"/>
      <c r="J116" s="1"/>
    </row>
    <row r="117" spans="1:10" s="9" customFormat="1" ht="13.9" customHeight="1" x14ac:dyDescent="0.25">
      <c r="A117" s="44">
        <v>44377</v>
      </c>
      <c r="B117" s="24" t="s">
        <v>10</v>
      </c>
      <c r="C117" s="26" t="s">
        <v>42</v>
      </c>
      <c r="D117" s="33">
        <v>-20712.660000000003</v>
      </c>
      <c r="E117" s="5"/>
      <c r="F117" s="17"/>
      <c r="G117" s="38"/>
      <c r="H117" s="62">
        <f t="shared" si="0"/>
        <v>-20712.660000000003</v>
      </c>
      <c r="I117" s="3"/>
      <c r="J117" s="1"/>
    </row>
    <row r="118" spans="1:10" s="9" customFormat="1" ht="13.9" customHeight="1" x14ac:dyDescent="0.25">
      <c r="A118" s="44">
        <v>44377</v>
      </c>
      <c r="B118" s="24" t="s">
        <v>10</v>
      </c>
      <c r="C118" s="26" t="s">
        <v>43</v>
      </c>
      <c r="D118" s="33">
        <v>-37149.39</v>
      </c>
      <c r="E118" s="5"/>
      <c r="F118" s="17"/>
      <c r="G118" s="38"/>
      <c r="H118" s="62">
        <f t="shared" si="0"/>
        <v>-37149.39</v>
      </c>
      <c r="I118" s="3"/>
      <c r="J118" s="1"/>
    </row>
    <row r="119" spans="1:10" s="9" customFormat="1" x14ac:dyDescent="0.25">
      <c r="A119" s="63"/>
      <c r="B119" s="46"/>
      <c r="C119" s="64"/>
      <c r="D119" s="22"/>
      <c r="E119" s="21"/>
      <c r="F119" s="22"/>
      <c r="G119" s="21"/>
      <c r="H119" s="62">
        <f t="shared" si="0"/>
        <v>0</v>
      </c>
      <c r="J119" s="1"/>
    </row>
    <row r="120" spans="1:10" x14ac:dyDescent="0.25">
      <c r="B120" s="9"/>
      <c r="C120" s="9"/>
      <c r="D120" s="45">
        <f>SUM(D8:D119)</f>
        <v>-919714.10000000009</v>
      </c>
      <c r="E120" s="45">
        <f>SUM(E8:E119)</f>
        <v>147027.16999999998</v>
      </c>
      <c r="F120" s="45">
        <f>SUM(F8:F119)</f>
        <v>-65250.68</v>
      </c>
      <c r="G120" s="45">
        <f>SUM(G6:G119)</f>
        <v>-731830.41</v>
      </c>
      <c r="H120" s="45">
        <f>SUM(H6:H119)</f>
        <v>-8358.3800000000701</v>
      </c>
      <c r="J120" s="1"/>
    </row>
    <row r="121" spans="1:10" x14ac:dyDescent="0.25">
      <c r="B121" s="9"/>
      <c r="C121" s="9"/>
      <c r="D121" s="2"/>
      <c r="E121" s="2"/>
      <c r="F121" s="2"/>
      <c r="G121" s="1">
        <f>G120*-1</f>
        <v>731830.41</v>
      </c>
      <c r="H121" s="2"/>
    </row>
    <row r="122" spans="1:10" x14ac:dyDescent="0.25">
      <c r="B122" s="9"/>
      <c r="C122" s="9" t="s">
        <v>6</v>
      </c>
      <c r="D122" s="11"/>
      <c r="E122" s="68">
        <v>147027.17000000001</v>
      </c>
      <c r="F122" s="8">
        <v>-65250.68</v>
      </c>
      <c r="G122" s="9"/>
      <c r="H122" s="8">
        <v>-8358.3799999999992</v>
      </c>
      <c r="I122" s="85"/>
      <c r="J122" s="1" t="s">
        <v>120</v>
      </c>
    </row>
    <row r="123" spans="1:10" x14ac:dyDescent="0.25">
      <c r="B123" s="9"/>
      <c r="C123" s="9" t="s">
        <v>28</v>
      </c>
      <c r="D123" s="10"/>
      <c r="E123" s="10">
        <f>E120-E122</f>
        <v>0</v>
      </c>
      <c r="F123" s="10">
        <f>F120-F122</f>
        <v>0</v>
      </c>
      <c r="G123" s="10"/>
      <c r="H123" s="10">
        <f>H120-H122</f>
        <v>-7.0940586738288403E-11</v>
      </c>
      <c r="J123" s="1"/>
    </row>
    <row r="124" spans="1:10" x14ac:dyDescent="0.25">
      <c r="B124" s="9"/>
      <c r="C124" s="9"/>
      <c r="D124" s="9"/>
      <c r="E124" s="9"/>
      <c r="F124" s="4"/>
      <c r="G124" s="20"/>
      <c r="H124" s="1"/>
    </row>
    <row r="125" spans="1:10" x14ac:dyDescent="0.25">
      <c r="B125" s="9"/>
      <c r="C125" s="106" t="s">
        <v>30</v>
      </c>
      <c r="D125" s="107"/>
      <c r="E125" s="10"/>
      <c r="F125" s="12"/>
      <c r="G125" s="96"/>
      <c r="H125" s="19"/>
      <c r="J125" s="1"/>
    </row>
    <row r="126" spans="1:10" x14ac:dyDescent="0.25">
      <c r="B126" s="9"/>
      <c r="C126" s="28" t="s">
        <v>150</v>
      </c>
      <c r="D126" s="61">
        <f>F78</f>
        <v>0</v>
      </c>
      <c r="E126" s="9"/>
      <c r="F126" s="96"/>
      <c r="G126" s="96"/>
      <c r="H126" s="19"/>
      <c r="J126" s="1"/>
    </row>
    <row r="127" spans="1:10" x14ac:dyDescent="0.25">
      <c r="B127" s="9"/>
      <c r="C127" s="29" t="s">
        <v>27</v>
      </c>
      <c r="D127" s="42">
        <f>E80+E98+E106+F115</f>
        <v>3202.5800000000017</v>
      </c>
      <c r="E127" s="9"/>
      <c r="F127" s="96"/>
      <c r="G127" s="96"/>
      <c r="H127" s="19"/>
      <c r="J127" s="1"/>
    </row>
    <row r="128" spans="1:10" x14ac:dyDescent="0.25">
      <c r="B128" s="9"/>
      <c r="C128" s="29" t="s">
        <v>33</v>
      </c>
      <c r="D128" s="55">
        <f>E97+E105+E114</f>
        <v>50517.43</v>
      </c>
      <c r="E128" s="59"/>
      <c r="F128" s="96"/>
      <c r="G128" s="96" t="s">
        <v>25</v>
      </c>
      <c r="H128" s="19"/>
      <c r="J128" s="1"/>
    </row>
    <row r="129" spans="3:10" ht="15.75" thickBot="1" x14ac:dyDescent="0.3">
      <c r="C129" s="30" t="s">
        <v>38</v>
      </c>
      <c r="D129" s="80">
        <f>F68+F96+E87+F104+E113</f>
        <v>28056.479999999996</v>
      </c>
      <c r="F129" s="96"/>
      <c r="G129" s="96"/>
      <c r="H129" s="43"/>
      <c r="J129" s="1"/>
    </row>
    <row r="130" spans="3:10" x14ac:dyDescent="0.25">
      <c r="C130" s="31"/>
      <c r="D130" s="32">
        <f>SUM(D126:D129)</f>
        <v>81776.489999999991</v>
      </c>
      <c r="F130" s="12"/>
      <c r="G130" s="96"/>
      <c r="H130" s="43"/>
    </row>
    <row r="131" spans="3:10" x14ac:dyDescent="0.25">
      <c r="C131" s="18"/>
      <c r="D131" s="19"/>
      <c r="F131" s="12"/>
      <c r="G131" s="96"/>
      <c r="H131" s="43"/>
    </row>
    <row r="132" spans="3:10" x14ac:dyDescent="0.25">
      <c r="C132" s="92" t="s">
        <v>165</v>
      </c>
      <c r="D132" s="19">
        <f>(E122+F122)-D130</f>
        <v>0</v>
      </c>
      <c r="F132" s="18"/>
      <c r="G132" s="96"/>
      <c r="H132" s="43"/>
    </row>
    <row r="133" spans="3:10" x14ac:dyDescent="0.25">
      <c r="C133" s="18"/>
      <c r="D133" s="19"/>
      <c r="F133" s="18"/>
      <c r="G133" s="96"/>
      <c r="H133" s="43"/>
    </row>
    <row r="134" spans="3:10" x14ac:dyDescent="0.25">
      <c r="F134" s="18"/>
      <c r="G134" s="96"/>
      <c r="H134" s="43"/>
    </row>
    <row r="135" spans="3:10" x14ac:dyDescent="0.25">
      <c r="F135" s="18"/>
      <c r="G135" s="96"/>
      <c r="H135" s="43"/>
    </row>
    <row r="136" spans="3:10" x14ac:dyDescent="0.25">
      <c r="F136" s="18"/>
      <c r="G136" s="96"/>
      <c r="H136" s="43"/>
    </row>
    <row r="137" spans="3:10" x14ac:dyDescent="0.25">
      <c r="F137" s="18"/>
      <c r="G137" s="96"/>
      <c r="H137" s="43"/>
    </row>
    <row r="138" spans="3:10" x14ac:dyDescent="0.25">
      <c r="F138" s="18"/>
      <c r="G138" s="18"/>
      <c r="H138" s="18"/>
    </row>
  </sheetData>
  <autoFilter ref="A5:K130">
    <filterColumn colId="0" showButton="0"/>
  </autoFilter>
  <mergeCells count="4">
    <mergeCell ref="A5:B5"/>
    <mergeCell ref="A6:B6"/>
    <mergeCell ref="A7:B7"/>
    <mergeCell ref="C125:D125"/>
  </mergeCells>
  <pageMargins left="0.7" right="0.7" top="0.5" bottom="0.5" header="0.3" footer="0.3"/>
  <pageSetup scale="54" fitToHeight="0" orientation="portrait" r:id="rId1"/>
  <headerFooter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0"/>
  <sheetViews>
    <sheetView topLeftCell="D1" zoomScaleNormal="100" workbookViewId="0">
      <pane ySplit="5" topLeftCell="A94" activePane="bottomLeft" state="frozen"/>
      <selection activeCell="C1" sqref="C1"/>
      <selection pane="bottomLeft" activeCell="H114" sqref="H114"/>
    </sheetView>
  </sheetViews>
  <sheetFormatPr defaultColWidth="9.140625" defaultRowHeight="15" x14ac:dyDescent="0.25"/>
  <cols>
    <col min="1" max="1" width="13.85546875" style="7" customWidth="1"/>
    <col min="2" max="2" width="8.7109375" style="7" customWidth="1"/>
    <col min="3" max="3" width="57" style="7" customWidth="1"/>
    <col min="4" max="4" width="16.28515625" style="7" customWidth="1"/>
    <col min="5" max="5" width="17.7109375" style="7" customWidth="1"/>
    <col min="6" max="6" width="17.28515625" style="7" customWidth="1"/>
    <col min="7" max="7" width="21.7109375" style="7" bestFit="1" customWidth="1"/>
    <col min="8" max="8" width="15.7109375" style="7" customWidth="1"/>
    <col min="9" max="9" width="16.42578125" style="7" customWidth="1"/>
    <col min="10" max="10" width="43.140625" style="7" customWidth="1"/>
    <col min="11" max="11" width="26" style="7" customWidth="1"/>
    <col min="12" max="16384" width="9.140625" style="7"/>
  </cols>
  <sheetData>
    <row r="1" spans="1:10" ht="21" x14ac:dyDescent="0.35">
      <c r="A1" s="58" t="s">
        <v>22</v>
      </c>
    </row>
    <row r="2" spans="1:10" ht="21" x14ac:dyDescent="0.35">
      <c r="A2" s="60" t="s">
        <v>168</v>
      </c>
      <c r="E2" s="14"/>
      <c r="F2" s="14"/>
    </row>
    <row r="3" spans="1:10" ht="21" x14ac:dyDescent="0.35">
      <c r="A3" s="58" t="s">
        <v>11</v>
      </c>
      <c r="B3" s="9"/>
      <c r="D3" s="1"/>
      <c r="E3" s="9"/>
      <c r="F3" s="9"/>
      <c r="G3" s="9"/>
      <c r="H3" s="9"/>
    </row>
    <row r="4" spans="1:10" ht="30.6" customHeight="1" x14ac:dyDescent="0.25">
      <c r="A4" s="50"/>
      <c r="B4" s="18"/>
      <c r="C4" s="51"/>
      <c r="D4" s="47" t="s">
        <v>1</v>
      </c>
      <c r="E4" s="57" t="s">
        <v>32</v>
      </c>
      <c r="F4" s="57" t="s">
        <v>31</v>
      </c>
      <c r="G4" s="52" t="s">
        <v>36</v>
      </c>
      <c r="H4" s="47" t="s">
        <v>2</v>
      </c>
    </row>
    <row r="5" spans="1:10" ht="15.75" thickBot="1" x14ac:dyDescent="0.3">
      <c r="A5" s="104" t="s">
        <v>29</v>
      </c>
      <c r="B5" s="104"/>
      <c r="C5" s="49" t="s">
        <v>3</v>
      </c>
      <c r="D5" s="48" t="s">
        <v>4</v>
      </c>
      <c r="E5" s="48" t="s">
        <v>5</v>
      </c>
      <c r="F5" s="48" t="s">
        <v>5</v>
      </c>
      <c r="G5" s="53" t="s">
        <v>172</v>
      </c>
      <c r="H5" s="48" t="s">
        <v>4</v>
      </c>
    </row>
    <row r="6" spans="1:10" x14ac:dyDescent="0.25">
      <c r="A6" s="105" t="s">
        <v>15</v>
      </c>
      <c r="B6" s="105"/>
      <c r="C6" s="23" t="s">
        <v>145</v>
      </c>
      <c r="D6" s="17">
        <f>1148.11+7643.37+1151.59+7639.89+1155.09+7636.39+1158.59+7632.89+1162.1+7629.38</f>
        <v>43957.399999999994</v>
      </c>
      <c r="E6" s="47"/>
      <c r="F6" s="34"/>
      <c r="G6" s="74">
        <v>26374.44</v>
      </c>
      <c r="H6" s="12">
        <f>D6-G6</f>
        <v>17582.959999999995</v>
      </c>
      <c r="I6" s="6"/>
    </row>
    <row r="7" spans="1:10" x14ac:dyDescent="0.25">
      <c r="A7" s="105" t="s">
        <v>15</v>
      </c>
      <c r="B7" s="105"/>
      <c r="C7" s="23" t="s">
        <v>78</v>
      </c>
      <c r="D7" s="17">
        <f>11199.33+11199.33+11199.33+11199.33+11199.33+11199.33+11199.33+11199.33+11199.33+1906.78+6492.72+1141.18+7650.3+1144.64+7646.84</f>
        <v>126776.43</v>
      </c>
      <c r="E7" s="47"/>
      <c r="F7" s="34"/>
      <c r="G7" s="74">
        <f>55996.65+61988.3+8791.48</f>
        <v>126776.43000000001</v>
      </c>
      <c r="H7" s="12">
        <f>D7-G7</f>
        <v>0</v>
      </c>
      <c r="I7" s="6"/>
    </row>
    <row r="8" spans="1:10" s="9" customFormat="1" ht="13.9" hidden="1" customHeight="1" x14ac:dyDescent="0.25">
      <c r="A8" s="27">
        <v>43982</v>
      </c>
      <c r="B8" s="9" t="s">
        <v>10</v>
      </c>
      <c r="C8" s="35" t="s">
        <v>101</v>
      </c>
      <c r="D8" s="17">
        <f>6657.07-246.45</f>
        <v>6410.62</v>
      </c>
      <c r="E8" s="5"/>
      <c r="F8" s="17">
        <f>-6657.07+246.45+6410.62</f>
        <v>0</v>
      </c>
      <c r="G8" s="11">
        <f>6657.07-246.45</f>
        <v>6410.62</v>
      </c>
      <c r="H8" s="62">
        <f t="shared" ref="H8:H111" si="0">D8-G8</f>
        <v>0</v>
      </c>
      <c r="I8" s="3"/>
      <c r="J8" s="1"/>
    </row>
    <row r="9" spans="1:10" s="9" customFormat="1" ht="13.9" hidden="1" customHeight="1" x14ac:dyDescent="0.25">
      <c r="A9" s="27">
        <v>43982</v>
      </c>
      <c r="B9" s="9" t="s">
        <v>10</v>
      </c>
      <c r="C9" s="35" t="s">
        <v>102</v>
      </c>
      <c r="D9" s="17">
        <f>-39806.95+23.74</f>
        <v>-39783.21</v>
      </c>
      <c r="E9" s="5">
        <f>39806.95-23.74-39783.21</f>
        <v>0</v>
      </c>
      <c r="F9" s="17"/>
      <c r="G9" s="11">
        <f>-39806.95+23.74</f>
        <v>-39783.21</v>
      </c>
      <c r="H9" s="62">
        <f t="shared" si="0"/>
        <v>0</v>
      </c>
      <c r="I9" s="3"/>
      <c r="J9" s="1"/>
    </row>
    <row r="10" spans="1:10" s="9" customFormat="1" ht="13.9" hidden="1" customHeight="1" x14ac:dyDescent="0.25">
      <c r="A10" s="27">
        <v>43982</v>
      </c>
      <c r="B10" s="9" t="s">
        <v>10</v>
      </c>
      <c r="C10" s="35" t="s">
        <v>103</v>
      </c>
      <c r="D10" s="17">
        <f>-27747.51-275.24</f>
        <v>-28022.75</v>
      </c>
      <c r="E10" s="5">
        <f>27747.51+275.24-28022.75</f>
        <v>0</v>
      </c>
      <c r="F10" s="17"/>
      <c r="G10" s="11">
        <f>-27747.51-275.24</f>
        <v>-28022.75</v>
      </c>
      <c r="H10" s="62">
        <f t="shared" si="0"/>
        <v>0</v>
      </c>
      <c r="I10" s="3"/>
      <c r="J10" s="1"/>
    </row>
    <row r="11" spans="1:10" s="9" customFormat="1" ht="13.9" hidden="1" customHeight="1" x14ac:dyDescent="0.25">
      <c r="A11" s="27">
        <v>43982</v>
      </c>
      <c r="B11" s="9" t="s">
        <v>10</v>
      </c>
      <c r="C11" s="35" t="s">
        <v>34</v>
      </c>
      <c r="D11" s="17">
        <f>-25900.51-29.59</f>
        <v>-25930.1</v>
      </c>
      <c r="E11" s="5"/>
      <c r="F11" s="17"/>
      <c r="G11" s="11">
        <f>-25900.51-29.59</f>
        <v>-25930.1</v>
      </c>
      <c r="H11" s="62">
        <f t="shared" si="0"/>
        <v>0</v>
      </c>
      <c r="I11" s="3"/>
      <c r="J11" s="1"/>
    </row>
    <row r="12" spans="1:10" s="9" customFormat="1" ht="13.9" hidden="1" customHeight="1" x14ac:dyDescent="0.25">
      <c r="A12" s="27">
        <v>43982</v>
      </c>
      <c r="B12" s="9" t="s">
        <v>10</v>
      </c>
      <c r="C12" s="35" t="s">
        <v>35</v>
      </c>
      <c r="D12" s="17">
        <f>-33642.7+9266.09</f>
        <v>-24376.609999999997</v>
      </c>
      <c r="E12" s="5"/>
      <c r="F12" s="17"/>
      <c r="G12" s="11">
        <f>-33642.7+9266.09</f>
        <v>-24376.609999999997</v>
      </c>
      <c r="H12" s="62">
        <f t="shared" si="0"/>
        <v>0</v>
      </c>
      <c r="I12" s="3"/>
      <c r="J12" s="1"/>
    </row>
    <row r="13" spans="1:10" s="9" customFormat="1" ht="13.9" hidden="1" customHeight="1" x14ac:dyDescent="0.25">
      <c r="A13" s="27">
        <v>44012</v>
      </c>
      <c r="B13" s="9" t="s">
        <v>10</v>
      </c>
      <c r="C13" s="35" t="s">
        <v>105</v>
      </c>
      <c r="D13" s="17">
        <f>-6884.15+353.43</f>
        <v>-6530.7199999999993</v>
      </c>
      <c r="E13" s="5">
        <f>6884.15-353.43-6530.72</f>
        <v>0</v>
      </c>
      <c r="F13" s="17"/>
      <c r="G13" s="11">
        <v>-6530.7199999999993</v>
      </c>
      <c r="H13" s="62">
        <f t="shared" si="0"/>
        <v>0</v>
      </c>
      <c r="I13" s="3"/>
      <c r="J13" s="1"/>
    </row>
    <row r="14" spans="1:10" s="9" customFormat="1" ht="13.9" hidden="1" customHeight="1" x14ac:dyDescent="0.25">
      <c r="A14" s="27">
        <v>44012</v>
      </c>
      <c r="B14" s="9" t="s">
        <v>10</v>
      </c>
      <c r="C14" s="35" t="s">
        <v>106</v>
      </c>
      <c r="D14" s="17">
        <f>-30007.16+38.79</f>
        <v>-29968.37</v>
      </c>
      <c r="E14" s="5">
        <f>30007.16-38.79-29968.37</f>
        <v>0</v>
      </c>
      <c r="F14" s="17"/>
      <c r="G14" s="11">
        <v>-29968.37</v>
      </c>
      <c r="H14" s="62">
        <f t="shared" si="0"/>
        <v>0</v>
      </c>
      <c r="I14" s="3"/>
      <c r="J14" s="1"/>
    </row>
    <row r="15" spans="1:10" s="9" customFormat="1" ht="13.9" hidden="1" customHeight="1" x14ac:dyDescent="0.25">
      <c r="A15" s="27">
        <v>44012</v>
      </c>
      <c r="B15" s="9" t="s">
        <v>10</v>
      </c>
      <c r="C15" s="35" t="s">
        <v>107</v>
      </c>
      <c r="D15" s="17">
        <f>-45333.66-2312.7</f>
        <v>-47646.36</v>
      </c>
      <c r="E15" s="5">
        <f>45333.66+2312.7-47646.36</f>
        <v>0</v>
      </c>
      <c r="F15" s="17"/>
      <c r="G15" s="11">
        <v>-47646.36</v>
      </c>
      <c r="H15" s="62">
        <f t="shared" si="0"/>
        <v>0</v>
      </c>
      <c r="I15" s="3"/>
      <c r="J15" s="1"/>
    </row>
    <row r="16" spans="1:10" s="9" customFormat="1" ht="13.9" hidden="1" customHeight="1" x14ac:dyDescent="0.25">
      <c r="A16" s="27">
        <v>44012</v>
      </c>
      <c r="B16" s="9" t="s">
        <v>10</v>
      </c>
      <c r="C16" s="35" t="s">
        <v>104</v>
      </c>
      <c r="D16" s="17">
        <v>24376.61</v>
      </c>
      <c r="E16" s="5"/>
      <c r="F16" s="17"/>
      <c r="G16" s="11">
        <v>24376.61</v>
      </c>
      <c r="H16" s="62">
        <f t="shared" si="0"/>
        <v>0</v>
      </c>
      <c r="I16" s="3"/>
      <c r="J16" s="1"/>
    </row>
    <row r="17" spans="1:10" s="9" customFormat="1" ht="13.9" hidden="1" customHeight="1" x14ac:dyDescent="0.25">
      <c r="A17" s="27">
        <v>44012</v>
      </c>
      <c r="B17" s="9" t="s">
        <v>10</v>
      </c>
      <c r="C17" s="35" t="s">
        <v>39</v>
      </c>
      <c r="D17" s="17">
        <v>-2833.36</v>
      </c>
      <c r="E17" s="5"/>
      <c r="F17" s="17"/>
      <c r="G17" s="11">
        <v>-2833.36</v>
      </c>
      <c r="H17" s="62">
        <f t="shared" si="0"/>
        <v>0</v>
      </c>
      <c r="I17" s="3"/>
      <c r="J17" s="1"/>
    </row>
    <row r="18" spans="1:10" s="9" customFormat="1" ht="13.9" hidden="1" customHeight="1" x14ac:dyDescent="0.25">
      <c r="A18" s="27">
        <v>44012</v>
      </c>
      <c r="B18" s="9" t="s">
        <v>10</v>
      </c>
      <c r="C18" s="35" t="s">
        <v>34</v>
      </c>
      <c r="D18" s="17">
        <f>382.03-0.01</f>
        <v>382.02</v>
      </c>
      <c r="E18" s="5"/>
      <c r="F18" s="17"/>
      <c r="G18" s="11">
        <v>382.02</v>
      </c>
      <c r="H18" s="62">
        <f t="shared" si="0"/>
        <v>0</v>
      </c>
      <c r="I18" s="3"/>
      <c r="J18" s="1"/>
    </row>
    <row r="19" spans="1:10" s="9" customFormat="1" ht="13.9" hidden="1" customHeight="1" x14ac:dyDescent="0.25">
      <c r="A19" s="27">
        <v>44012</v>
      </c>
      <c r="B19" s="9" t="s">
        <v>10</v>
      </c>
      <c r="C19" s="35" t="s">
        <v>35</v>
      </c>
      <c r="D19" s="17">
        <v>-33642.699999999997</v>
      </c>
      <c r="E19" s="5"/>
      <c r="F19" s="17"/>
      <c r="G19" s="11">
        <v>-33642.699999999997</v>
      </c>
      <c r="H19" s="62">
        <f t="shared" si="0"/>
        <v>0</v>
      </c>
      <c r="I19" s="3"/>
      <c r="J19" s="1"/>
    </row>
    <row r="20" spans="1:10" s="9" customFormat="1" ht="13.9" hidden="1" customHeight="1" x14ac:dyDescent="0.25">
      <c r="A20" s="27">
        <v>44043</v>
      </c>
      <c r="B20" s="9" t="s">
        <v>13</v>
      </c>
      <c r="C20" s="35" t="s">
        <v>108</v>
      </c>
      <c r="D20" s="17">
        <f>-83244.29-875.23</f>
        <v>-84119.51999999999</v>
      </c>
      <c r="E20" s="5">
        <f>83244.29+875.23-84119.52</f>
        <v>0</v>
      </c>
      <c r="F20" s="17"/>
      <c r="G20" s="11">
        <v>-84119.51999999999</v>
      </c>
      <c r="H20" s="62">
        <f t="shared" si="0"/>
        <v>0</v>
      </c>
      <c r="I20" s="3"/>
      <c r="J20" s="1"/>
    </row>
    <row r="21" spans="1:10" s="9" customFormat="1" ht="13.9" hidden="1" customHeight="1" x14ac:dyDescent="0.25">
      <c r="A21" s="27">
        <v>44043</v>
      </c>
      <c r="B21" s="9" t="s">
        <v>13</v>
      </c>
      <c r="C21" s="35" t="s">
        <v>109</v>
      </c>
      <c r="D21" s="17">
        <f>-25846.06-271.75</f>
        <v>-26117.81</v>
      </c>
      <c r="E21" s="5">
        <f>25846.06+271.75-26117.81</f>
        <v>0</v>
      </c>
      <c r="F21" s="17"/>
      <c r="G21" s="11">
        <v>-26117.81</v>
      </c>
      <c r="H21" s="62">
        <f t="shared" si="0"/>
        <v>0</v>
      </c>
      <c r="I21" s="3"/>
      <c r="J21" s="1"/>
    </row>
    <row r="22" spans="1:10" s="9" customFormat="1" ht="13.9" hidden="1" customHeight="1" x14ac:dyDescent="0.25">
      <c r="A22" s="27">
        <v>44043</v>
      </c>
      <c r="B22" s="9" t="s">
        <v>13</v>
      </c>
      <c r="C22" s="35" t="s">
        <v>110</v>
      </c>
      <c r="D22" s="17">
        <f>4826.49+671.36</f>
        <v>5497.8499999999995</v>
      </c>
      <c r="E22" s="5"/>
      <c r="F22" s="17">
        <f>-4826.49-671.36+5497.85</f>
        <v>0</v>
      </c>
      <c r="G22" s="11">
        <v>5497.8499999999995</v>
      </c>
      <c r="H22" s="62">
        <f t="shared" si="0"/>
        <v>0</v>
      </c>
      <c r="I22" s="3"/>
      <c r="J22" s="1"/>
    </row>
    <row r="23" spans="1:10" s="9" customFormat="1" ht="13.9" hidden="1" customHeight="1" x14ac:dyDescent="0.25">
      <c r="A23" s="27">
        <v>44043</v>
      </c>
      <c r="B23" s="9" t="s">
        <v>13</v>
      </c>
      <c r="C23" s="35" t="s">
        <v>37</v>
      </c>
      <c r="D23" s="17">
        <v>0</v>
      </c>
      <c r="E23" s="5"/>
      <c r="F23" s="17"/>
      <c r="G23" s="11">
        <v>0</v>
      </c>
      <c r="H23" s="62">
        <f t="shared" si="0"/>
        <v>0</v>
      </c>
      <c r="I23" s="3"/>
      <c r="J23" s="1"/>
    </row>
    <row r="24" spans="1:10" s="9" customFormat="1" ht="13.9" hidden="1" customHeight="1" x14ac:dyDescent="0.25">
      <c r="A24" s="27">
        <v>44043</v>
      </c>
      <c r="B24" s="9" t="s">
        <v>13</v>
      </c>
      <c r="C24" s="35" t="s">
        <v>111</v>
      </c>
      <c r="D24" s="17">
        <v>33642.699999999997</v>
      </c>
      <c r="E24" s="5"/>
      <c r="F24" s="17"/>
      <c r="G24" s="11">
        <v>33642.699999999997</v>
      </c>
      <c r="H24" s="62">
        <f t="shared" si="0"/>
        <v>0</v>
      </c>
      <c r="I24" s="3"/>
      <c r="J24" s="1"/>
    </row>
    <row r="25" spans="1:10" s="9" customFormat="1" ht="13.9" hidden="1" customHeight="1" x14ac:dyDescent="0.25">
      <c r="A25" s="27">
        <v>44043</v>
      </c>
      <c r="B25" s="9" t="s">
        <v>13</v>
      </c>
      <c r="C25" s="35" t="s">
        <v>39</v>
      </c>
      <c r="D25" s="17">
        <f>-2041.69+3208.37</f>
        <v>1166.6799999999998</v>
      </c>
      <c r="E25" s="5"/>
      <c r="F25" s="17"/>
      <c r="G25" s="11">
        <v>1166.6799999999998</v>
      </c>
      <c r="H25" s="62">
        <f t="shared" si="0"/>
        <v>0</v>
      </c>
      <c r="I25" s="3"/>
      <c r="J25" s="1"/>
    </row>
    <row r="26" spans="1:10" s="9" customFormat="1" ht="13.9" hidden="1" customHeight="1" x14ac:dyDescent="0.25">
      <c r="A26" s="27">
        <v>44043</v>
      </c>
      <c r="B26" s="9" t="s">
        <v>13</v>
      </c>
      <c r="C26" s="35" t="s">
        <v>34</v>
      </c>
      <c r="D26" s="17">
        <f>33893.09+757.05</f>
        <v>34650.14</v>
      </c>
      <c r="E26" s="5"/>
      <c r="F26" s="17"/>
      <c r="G26" s="11">
        <v>34650.14</v>
      </c>
      <c r="H26" s="62">
        <f t="shared" si="0"/>
        <v>0</v>
      </c>
      <c r="I26" s="3"/>
      <c r="J26" s="1"/>
    </row>
    <row r="27" spans="1:10" s="9" customFormat="1" ht="13.9" hidden="1" customHeight="1" x14ac:dyDescent="0.25">
      <c r="A27" s="27">
        <v>44043</v>
      </c>
      <c r="B27" s="9" t="s">
        <v>13</v>
      </c>
      <c r="C27" s="35" t="s">
        <v>35</v>
      </c>
      <c r="D27" s="17">
        <v>-40947.879999999997</v>
      </c>
      <c r="E27" s="5"/>
      <c r="F27" s="17"/>
      <c r="G27" s="11">
        <v>-40947.879999999997</v>
      </c>
      <c r="H27" s="62">
        <f t="shared" si="0"/>
        <v>0</v>
      </c>
      <c r="I27" s="3"/>
      <c r="J27" s="1"/>
    </row>
    <row r="28" spans="1:10" s="9" customFormat="1" ht="13.9" hidden="1" customHeight="1" x14ac:dyDescent="0.25">
      <c r="A28" s="27">
        <v>44074</v>
      </c>
      <c r="B28" s="18" t="s">
        <v>13</v>
      </c>
      <c r="C28" s="65" t="s">
        <v>112</v>
      </c>
      <c r="D28" s="17">
        <f>-108715.97+13701.77</f>
        <v>-95014.2</v>
      </c>
      <c r="E28" s="5">
        <f>108715.97-13701.77-95014.2</f>
        <v>0</v>
      </c>
      <c r="F28" s="17"/>
      <c r="G28" s="11">
        <v>-95014.2</v>
      </c>
      <c r="H28" s="62">
        <f t="shared" si="0"/>
        <v>0</v>
      </c>
      <c r="I28" s="3"/>
      <c r="J28" s="1"/>
    </row>
    <row r="29" spans="1:10" s="9" customFormat="1" ht="13.9" hidden="1" customHeight="1" x14ac:dyDescent="0.25">
      <c r="A29" s="27">
        <v>44074</v>
      </c>
      <c r="B29" s="18" t="s">
        <v>13</v>
      </c>
      <c r="C29" s="65" t="s">
        <v>113</v>
      </c>
      <c r="D29" s="17">
        <f>-52697.04+39912.35</f>
        <v>-12784.690000000002</v>
      </c>
      <c r="E29" s="5">
        <f>52697.04-39912.35-12784.69</f>
        <v>0</v>
      </c>
      <c r="F29" s="17"/>
      <c r="G29" s="11">
        <v>-12784.690000000002</v>
      </c>
      <c r="H29" s="62">
        <f t="shared" si="0"/>
        <v>0</v>
      </c>
      <c r="I29" s="3"/>
      <c r="J29" s="1"/>
    </row>
    <row r="30" spans="1:10" s="9" customFormat="1" ht="13.9" hidden="1" customHeight="1" x14ac:dyDescent="0.25">
      <c r="A30" s="27">
        <v>44074</v>
      </c>
      <c r="B30" s="18" t="s">
        <v>13</v>
      </c>
      <c r="C30" s="65" t="s">
        <v>114</v>
      </c>
      <c r="D30" s="17">
        <f>4362.1-1.63</f>
        <v>4360.47</v>
      </c>
      <c r="E30" s="5"/>
      <c r="F30" s="17">
        <f>-4362.1+1.63+4360.47</f>
        <v>0</v>
      </c>
      <c r="G30" s="11">
        <v>4360.47</v>
      </c>
      <c r="H30" s="62">
        <f t="shared" si="0"/>
        <v>0</v>
      </c>
      <c r="I30" s="3"/>
      <c r="J30" s="1"/>
    </row>
    <row r="31" spans="1:10" s="9" customFormat="1" ht="13.9" hidden="1" customHeight="1" x14ac:dyDescent="0.25">
      <c r="A31" s="27">
        <v>44074</v>
      </c>
      <c r="B31" s="18" t="s">
        <v>13</v>
      </c>
      <c r="C31" s="65" t="s">
        <v>37</v>
      </c>
      <c r="D31" s="17">
        <v>0</v>
      </c>
      <c r="E31" s="5"/>
      <c r="F31" s="17"/>
      <c r="G31" s="11">
        <v>0</v>
      </c>
      <c r="H31" s="62">
        <f t="shared" si="0"/>
        <v>0</v>
      </c>
      <c r="I31" s="3"/>
      <c r="J31" s="1"/>
    </row>
    <row r="32" spans="1:10" s="9" customFormat="1" ht="13.9" hidden="1" customHeight="1" x14ac:dyDescent="0.25">
      <c r="A32" s="27">
        <v>44074</v>
      </c>
      <c r="B32" s="18" t="s">
        <v>13</v>
      </c>
      <c r="C32" s="65" t="s">
        <v>115</v>
      </c>
      <c r="D32" s="17">
        <v>40947.879999999997</v>
      </c>
      <c r="E32" s="5"/>
      <c r="F32" s="17"/>
      <c r="G32" s="11">
        <v>40947.879999999997</v>
      </c>
      <c r="H32" s="62">
        <f t="shared" si="0"/>
        <v>0</v>
      </c>
      <c r="I32" s="3"/>
      <c r="J32" s="1"/>
    </row>
    <row r="33" spans="1:10" s="9" customFormat="1" ht="13.9" hidden="1" customHeight="1" x14ac:dyDescent="0.25">
      <c r="A33" s="27">
        <v>44074</v>
      </c>
      <c r="B33" s="18" t="s">
        <v>13</v>
      </c>
      <c r="C33" s="65" t="s">
        <v>127</v>
      </c>
      <c r="D33" s="17">
        <v>-1958.35</v>
      </c>
      <c r="E33" s="5"/>
      <c r="F33" s="17"/>
      <c r="G33" s="11">
        <v>-1958.35</v>
      </c>
      <c r="H33" s="62">
        <f t="shared" si="0"/>
        <v>0</v>
      </c>
      <c r="I33" s="3"/>
      <c r="J33" s="1"/>
    </row>
    <row r="34" spans="1:10" s="9" customFormat="1" ht="13.9" hidden="1" customHeight="1" x14ac:dyDescent="0.25">
      <c r="A34" s="27">
        <v>44074</v>
      </c>
      <c r="B34" s="18" t="s">
        <v>13</v>
      </c>
      <c r="C34" s="65" t="s">
        <v>128</v>
      </c>
      <c r="D34" s="17">
        <f>-14987.39+14229.62</f>
        <v>-757.76999999999862</v>
      </c>
      <c r="E34" s="5"/>
      <c r="F34" s="17"/>
      <c r="G34" s="11">
        <v>-757.76999999999862</v>
      </c>
      <c r="H34" s="62">
        <f t="shared" si="0"/>
        <v>0</v>
      </c>
      <c r="I34" s="3"/>
      <c r="J34" s="1"/>
    </row>
    <row r="35" spans="1:10" s="9" customFormat="1" ht="13.9" hidden="1" customHeight="1" x14ac:dyDescent="0.25">
      <c r="A35" s="27">
        <v>44074</v>
      </c>
      <c r="B35" s="18" t="s">
        <v>13</v>
      </c>
      <c r="C35" s="65" t="s">
        <v>129</v>
      </c>
      <c r="D35" s="17">
        <f>-37867.09</f>
        <v>-37867.089999999997</v>
      </c>
      <c r="E35" s="5"/>
      <c r="F35" s="17"/>
      <c r="G35" s="11">
        <v>-37867.089999999997</v>
      </c>
      <c r="H35" s="62">
        <f t="shared" si="0"/>
        <v>0</v>
      </c>
      <c r="I35" s="3"/>
      <c r="J35" s="1"/>
    </row>
    <row r="36" spans="1:10" s="9" customFormat="1" ht="13.9" hidden="1" customHeight="1" x14ac:dyDescent="0.25">
      <c r="A36" s="27">
        <v>44074</v>
      </c>
      <c r="B36" s="18" t="s">
        <v>13</v>
      </c>
      <c r="C36" s="65" t="s">
        <v>130</v>
      </c>
      <c r="D36" s="17">
        <v>-135.47999999999999</v>
      </c>
      <c r="E36" s="5"/>
      <c r="F36" s="17"/>
      <c r="G36" s="11">
        <v>-135.47999999999999</v>
      </c>
      <c r="H36" s="62">
        <f t="shared" si="0"/>
        <v>0</v>
      </c>
      <c r="I36" s="3"/>
      <c r="J36" s="1"/>
    </row>
    <row r="37" spans="1:10" s="9" customFormat="1" ht="13.9" hidden="1" customHeight="1" x14ac:dyDescent="0.25">
      <c r="A37" s="27">
        <v>44104</v>
      </c>
      <c r="B37" s="18" t="s">
        <v>13</v>
      </c>
      <c r="C37" s="65" t="s">
        <v>117</v>
      </c>
      <c r="D37" s="17">
        <f>-37463.1+1902.1</f>
        <v>-35561</v>
      </c>
      <c r="E37" s="5">
        <f>37463.1-1902.1-35561</f>
        <v>0</v>
      </c>
      <c r="F37" s="17"/>
      <c r="G37" s="11">
        <v>-35561</v>
      </c>
      <c r="H37" s="62">
        <f t="shared" si="0"/>
        <v>0</v>
      </c>
      <c r="I37" s="3"/>
      <c r="J37" s="1"/>
    </row>
    <row r="38" spans="1:10" s="9" customFormat="1" ht="13.9" hidden="1" customHeight="1" x14ac:dyDescent="0.25">
      <c r="A38" s="27">
        <v>44104</v>
      </c>
      <c r="B38" s="18" t="s">
        <v>13</v>
      </c>
      <c r="C38" s="65" t="s">
        <v>118</v>
      </c>
      <c r="D38" s="17">
        <f>-11819.68+600.12</f>
        <v>-11219.56</v>
      </c>
      <c r="E38" s="5">
        <f>11819.68-600.12-11219.56</f>
        <v>0</v>
      </c>
      <c r="F38" s="17"/>
      <c r="G38" s="11">
        <v>-11219.56</v>
      </c>
      <c r="H38" s="62">
        <f t="shared" si="0"/>
        <v>0</v>
      </c>
      <c r="I38" s="3"/>
      <c r="J38" s="1"/>
    </row>
    <row r="39" spans="1:10" s="9" customFormat="1" ht="13.9" hidden="1" customHeight="1" x14ac:dyDescent="0.25">
      <c r="A39" s="27">
        <v>44104</v>
      </c>
      <c r="B39" s="18" t="s">
        <v>13</v>
      </c>
      <c r="C39" s="65" t="s">
        <v>119</v>
      </c>
      <c r="D39" s="17">
        <v>20528.650000000001</v>
      </c>
      <c r="E39" s="5"/>
      <c r="F39" s="17">
        <f>-20528.65+20528.65</f>
        <v>0</v>
      </c>
      <c r="G39" s="11">
        <v>20528.650000000001</v>
      </c>
      <c r="H39" s="62">
        <f t="shared" si="0"/>
        <v>0</v>
      </c>
      <c r="I39" s="3"/>
      <c r="J39" s="1"/>
    </row>
    <row r="40" spans="1:10" s="9" customFormat="1" ht="13.9" hidden="1" customHeight="1" x14ac:dyDescent="0.25">
      <c r="A40" s="27">
        <v>44104</v>
      </c>
      <c r="B40" s="18" t="s">
        <v>13</v>
      </c>
      <c r="C40" s="65" t="s">
        <v>121</v>
      </c>
      <c r="D40" s="17">
        <v>37867.089999999997</v>
      </c>
      <c r="E40" s="5"/>
      <c r="F40" s="17"/>
      <c r="G40" s="11">
        <v>37867.089999999997</v>
      </c>
      <c r="H40" s="62">
        <f t="shared" si="0"/>
        <v>0</v>
      </c>
      <c r="I40" s="3"/>
      <c r="J40" s="1"/>
    </row>
    <row r="41" spans="1:10" s="9" customFormat="1" ht="13.9" hidden="1" customHeight="1" x14ac:dyDescent="0.25">
      <c r="A41" s="27">
        <v>44104</v>
      </c>
      <c r="B41" s="9" t="s">
        <v>13</v>
      </c>
      <c r="C41" s="35" t="s">
        <v>127</v>
      </c>
      <c r="D41" s="17">
        <v>-2000.02</v>
      </c>
      <c r="E41" s="5"/>
      <c r="F41" s="17"/>
      <c r="G41" s="11">
        <v>-2000.02</v>
      </c>
      <c r="H41" s="62">
        <f t="shared" si="0"/>
        <v>0</v>
      </c>
      <c r="I41" s="3"/>
      <c r="J41" s="1"/>
    </row>
    <row r="42" spans="1:10" s="9" customFormat="1" ht="13.9" hidden="1" customHeight="1" x14ac:dyDescent="0.25">
      <c r="A42" s="27">
        <v>44104</v>
      </c>
      <c r="B42" s="9" t="s">
        <v>13</v>
      </c>
      <c r="C42" s="35" t="s">
        <v>128</v>
      </c>
      <c r="D42" s="17">
        <v>-14372.82</v>
      </c>
      <c r="E42" s="5"/>
      <c r="F42" s="17"/>
      <c r="G42" s="11">
        <v>-14372.82</v>
      </c>
      <c r="H42" s="62">
        <f>D42-G42</f>
        <v>0</v>
      </c>
      <c r="I42" s="3"/>
      <c r="J42" s="1"/>
    </row>
    <row r="43" spans="1:10" s="9" customFormat="1" ht="13.9" hidden="1" customHeight="1" x14ac:dyDescent="0.25">
      <c r="A43" s="27">
        <v>44104</v>
      </c>
      <c r="B43" s="9" t="s">
        <v>13</v>
      </c>
      <c r="C43" s="35" t="s">
        <v>129</v>
      </c>
      <c r="D43" s="17">
        <v>-47238.51</v>
      </c>
      <c r="E43" s="5"/>
      <c r="F43" s="17"/>
      <c r="G43" s="11">
        <v>-47238.51</v>
      </c>
      <c r="H43" s="62">
        <f t="shared" si="0"/>
        <v>0</v>
      </c>
      <c r="I43" s="3"/>
      <c r="J43" s="1"/>
    </row>
    <row r="44" spans="1:10" s="9" customFormat="1" ht="13.9" hidden="1" customHeight="1" x14ac:dyDescent="0.25">
      <c r="A44" s="27">
        <v>44135</v>
      </c>
      <c r="B44" s="9" t="s">
        <v>18</v>
      </c>
      <c r="C44" s="35" t="s">
        <v>124</v>
      </c>
      <c r="D44" s="17">
        <f>64170.88+1365.58</f>
        <v>65536.459999999992</v>
      </c>
      <c r="E44" s="5"/>
      <c r="F44" s="17">
        <f>-64170.88-1365.58+65536.46</f>
        <v>0</v>
      </c>
      <c r="G44" s="11">
        <v>65536.459999999992</v>
      </c>
      <c r="H44" s="62">
        <f t="shared" si="0"/>
        <v>0</v>
      </c>
      <c r="I44" s="3"/>
      <c r="J44" s="1"/>
    </row>
    <row r="45" spans="1:10" s="9" customFormat="1" ht="13.9" customHeight="1" x14ac:dyDescent="0.25">
      <c r="A45" s="27">
        <v>44135</v>
      </c>
      <c r="B45" s="9" t="s">
        <v>18</v>
      </c>
      <c r="C45" s="35" t="s">
        <v>125</v>
      </c>
      <c r="D45" s="17">
        <f>-33917.68-1172.07</f>
        <v>-35089.75</v>
      </c>
      <c r="E45" s="5">
        <f>33917.68+1172.07-35089.75</f>
        <v>0</v>
      </c>
      <c r="F45" s="17"/>
      <c r="G45" s="11">
        <f>-33917.68-1172.07</f>
        <v>-35089.75</v>
      </c>
      <c r="H45" s="62">
        <f t="shared" si="0"/>
        <v>0</v>
      </c>
      <c r="I45" s="3"/>
      <c r="J45" s="1"/>
    </row>
    <row r="46" spans="1:10" s="9" customFormat="1" ht="13.9" hidden="1" customHeight="1" x14ac:dyDescent="0.25">
      <c r="A46" s="27">
        <v>44135</v>
      </c>
      <c r="B46" s="9" t="s">
        <v>18</v>
      </c>
      <c r="C46" s="35" t="s">
        <v>126</v>
      </c>
      <c r="D46" s="17">
        <f>10587.87+44.55</f>
        <v>10632.42</v>
      </c>
      <c r="E46" s="5"/>
      <c r="F46" s="17">
        <f>-10587.87-44.55+10632.42</f>
        <v>0</v>
      </c>
      <c r="G46" s="11">
        <v>10632.42</v>
      </c>
      <c r="H46" s="62">
        <f t="shared" si="0"/>
        <v>0</v>
      </c>
      <c r="I46" s="3"/>
      <c r="J46" s="1"/>
    </row>
    <row r="47" spans="1:10" s="9" customFormat="1" ht="13.9" hidden="1" customHeight="1" x14ac:dyDescent="0.25">
      <c r="A47" s="27">
        <v>44135</v>
      </c>
      <c r="B47" s="9" t="s">
        <v>18</v>
      </c>
      <c r="C47" s="35" t="s">
        <v>122</v>
      </c>
      <c r="D47" s="17">
        <v>300.42</v>
      </c>
      <c r="E47" s="5"/>
      <c r="F47" s="17"/>
      <c r="G47" s="11">
        <v>300.42</v>
      </c>
      <c r="H47" s="62">
        <f t="shared" si="0"/>
        <v>0</v>
      </c>
      <c r="I47" s="3"/>
      <c r="J47" s="1"/>
    </row>
    <row r="48" spans="1:10" s="9" customFormat="1" ht="13.9" hidden="1" customHeight="1" x14ac:dyDescent="0.25">
      <c r="A48" s="27">
        <v>44135</v>
      </c>
      <c r="B48" s="9" t="s">
        <v>18</v>
      </c>
      <c r="C48" s="35" t="s">
        <v>123</v>
      </c>
      <c r="D48" s="17">
        <v>47238.51</v>
      </c>
      <c r="E48" s="5"/>
      <c r="F48" s="17"/>
      <c r="G48" s="11">
        <v>47238.51</v>
      </c>
      <c r="H48" s="62">
        <f t="shared" si="0"/>
        <v>0</v>
      </c>
      <c r="I48" s="3"/>
      <c r="J48" s="1"/>
    </row>
    <row r="49" spans="1:10" s="9" customFormat="1" ht="13.9" hidden="1" customHeight="1" x14ac:dyDescent="0.25">
      <c r="A49" s="27">
        <v>44135</v>
      </c>
      <c r="B49" s="9" t="s">
        <v>18</v>
      </c>
      <c r="C49" s="35" t="s">
        <v>39</v>
      </c>
      <c r="D49" s="17">
        <v>-2041.72</v>
      </c>
      <c r="E49" s="5"/>
      <c r="F49" s="17"/>
      <c r="G49" s="11">
        <v>-2041.72</v>
      </c>
      <c r="H49" s="62">
        <f t="shared" si="0"/>
        <v>0</v>
      </c>
      <c r="I49" s="3"/>
      <c r="J49" s="1"/>
    </row>
    <row r="50" spans="1:10" s="9" customFormat="1" ht="13.9" hidden="1" customHeight="1" x14ac:dyDescent="0.25">
      <c r="A50" s="27">
        <v>44135</v>
      </c>
      <c r="B50" s="9" t="s">
        <v>18</v>
      </c>
      <c r="C50" s="35" t="s">
        <v>34</v>
      </c>
      <c r="D50" s="17">
        <v>-152373.14000000001</v>
      </c>
      <c r="E50" s="5"/>
      <c r="F50" s="17"/>
      <c r="G50" s="11">
        <v>-152373.14000000001</v>
      </c>
      <c r="H50" s="62">
        <f t="shared" si="0"/>
        <v>0</v>
      </c>
      <c r="I50" s="3"/>
      <c r="J50" s="1"/>
    </row>
    <row r="51" spans="1:10" s="9" customFormat="1" ht="13.9" hidden="1" customHeight="1" x14ac:dyDescent="0.25">
      <c r="A51" s="27">
        <v>44135</v>
      </c>
      <c r="B51" s="9" t="s">
        <v>18</v>
      </c>
      <c r="C51" s="35" t="s">
        <v>35</v>
      </c>
      <c r="D51" s="17">
        <v>-25801.4</v>
      </c>
      <c r="E51" s="5"/>
      <c r="F51" s="17"/>
      <c r="G51" s="11">
        <v>-25801.4</v>
      </c>
      <c r="H51" s="62">
        <f t="shared" si="0"/>
        <v>0</v>
      </c>
      <c r="I51" s="3"/>
      <c r="J51" s="1"/>
    </row>
    <row r="52" spans="1:10" s="9" customFormat="1" ht="13.9" customHeight="1" x14ac:dyDescent="0.25">
      <c r="A52" s="27">
        <v>44165</v>
      </c>
      <c r="B52" s="9" t="s">
        <v>18</v>
      </c>
      <c r="C52" s="35" t="s">
        <v>131</v>
      </c>
      <c r="D52" s="17">
        <f>-79402.45-127.71</f>
        <v>-79530.16</v>
      </c>
      <c r="E52" s="5">
        <f>127.71+79402.45-79530.16</f>
        <v>0</v>
      </c>
      <c r="F52" s="17"/>
      <c r="G52" s="11">
        <f>-79402.45-127.71</f>
        <v>-79530.16</v>
      </c>
      <c r="H52" s="62">
        <f t="shared" si="0"/>
        <v>0</v>
      </c>
      <c r="I52" s="3"/>
      <c r="J52" s="1"/>
    </row>
    <row r="53" spans="1:10" s="9" customFormat="1" ht="13.9" customHeight="1" x14ac:dyDescent="0.25">
      <c r="A53" s="27">
        <v>44165</v>
      </c>
      <c r="B53" s="9" t="s">
        <v>18</v>
      </c>
      <c r="C53" s="35" t="s">
        <v>132</v>
      </c>
      <c r="D53" s="17">
        <f>-80066.48-128.77</f>
        <v>-80195.25</v>
      </c>
      <c r="E53" s="5">
        <f>80066.48+128.77-80195.25</f>
        <v>0</v>
      </c>
      <c r="F53" s="17"/>
      <c r="G53" s="11">
        <f>-80066.48-128.77</f>
        <v>-80195.25</v>
      </c>
      <c r="H53" s="62">
        <f t="shared" si="0"/>
        <v>0</v>
      </c>
      <c r="I53" s="3"/>
      <c r="J53" s="1"/>
    </row>
    <row r="54" spans="1:10" s="9" customFormat="1" ht="13.9" customHeight="1" x14ac:dyDescent="0.25">
      <c r="A54" s="27">
        <v>44165</v>
      </c>
      <c r="B54" s="9" t="s">
        <v>18</v>
      </c>
      <c r="C54" s="35" t="s">
        <v>133</v>
      </c>
      <c r="D54" s="17">
        <f>23388.88+0.6</f>
        <v>23389.48</v>
      </c>
      <c r="E54" s="5"/>
      <c r="F54" s="17">
        <f>-23388.88-0.6+23389.48</f>
        <v>0</v>
      </c>
      <c r="G54" s="11">
        <f>23388.88+0.6</f>
        <v>23389.48</v>
      </c>
      <c r="H54" s="62">
        <f t="shared" si="0"/>
        <v>0</v>
      </c>
      <c r="I54" s="3"/>
      <c r="J54" s="1"/>
    </row>
    <row r="55" spans="1:10" s="9" customFormat="1" ht="13.9" hidden="1" customHeight="1" x14ac:dyDescent="0.25">
      <c r="A55" s="27">
        <v>44165</v>
      </c>
      <c r="B55" s="9" t="s">
        <v>18</v>
      </c>
      <c r="C55" s="35" t="s">
        <v>134</v>
      </c>
      <c r="D55" s="17">
        <v>25801.4</v>
      </c>
      <c r="E55" s="5"/>
      <c r="F55" s="17"/>
      <c r="G55" s="11">
        <v>25801.4</v>
      </c>
      <c r="H55" s="62">
        <f t="shared" si="0"/>
        <v>0</v>
      </c>
      <c r="I55" s="3"/>
      <c r="J55" s="1"/>
    </row>
    <row r="56" spans="1:10" s="9" customFormat="1" ht="13.9" hidden="1" customHeight="1" x14ac:dyDescent="0.25">
      <c r="A56" s="27">
        <v>44165</v>
      </c>
      <c r="B56" s="9" t="s">
        <v>18</v>
      </c>
      <c r="C56" s="35" t="s">
        <v>39</v>
      </c>
      <c r="D56" s="17">
        <v>-2166.69</v>
      </c>
      <c r="E56" s="5"/>
      <c r="F56" s="17"/>
      <c r="G56" s="11">
        <v>-2166.69</v>
      </c>
      <c r="H56" s="62">
        <f t="shared" si="0"/>
        <v>0</v>
      </c>
      <c r="I56" s="3"/>
      <c r="J56" s="1"/>
    </row>
    <row r="57" spans="1:10" s="9" customFormat="1" ht="13.9" hidden="1" customHeight="1" x14ac:dyDescent="0.25">
      <c r="A57" s="27">
        <v>44165</v>
      </c>
      <c r="B57" s="9" t="s">
        <v>18</v>
      </c>
      <c r="C57" s="35" t="s">
        <v>34</v>
      </c>
      <c r="D57" s="17">
        <v>73988.95</v>
      </c>
      <c r="E57" s="5"/>
      <c r="F57" s="17"/>
      <c r="G57" s="11">
        <v>73988.95</v>
      </c>
      <c r="H57" s="62">
        <f t="shared" si="0"/>
        <v>0</v>
      </c>
      <c r="I57" s="3"/>
      <c r="J57" s="1"/>
    </row>
    <row r="58" spans="1:10" s="9" customFormat="1" ht="13.9" customHeight="1" x14ac:dyDescent="0.25">
      <c r="A58" s="27">
        <v>44165</v>
      </c>
      <c r="B58" s="9" t="s">
        <v>18</v>
      </c>
      <c r="C58" s="35" t="s">
        <v>35</v>
      </c>
      <c r="D58" s="17">
        <f>-53621.76+300</f>
        <v>-53321.760000000002</v>
      </c>
      <c r="E58" s="5"/>
      <c r="F58" s="17"/>
      <c r="G58" s="11">
        <f>-53621.76+300</f>
        <v>-53321.760000000002</v>
      </c>
      <c r="H58" s="62">
        <f t="shared" si="0"/>
        <v>0</v>
      </c>
      <c r="I58" s="3"/>
      <c r="J58" s="1"/>
    </row>
    <row r="59" spans="1:10" s="9" customFormat="1" ht="13.9" hidden="1" customHeight="1" x14ac:dyDescent="0.25">
      <c r="A59" s="27">
        <v>44165</v>
      </c>
      <c r="B59" s="9" t="s">
        <v>18</v>
      </c>
      <c r="C59" s="35" t="s">
        <v>76</v>
      </c>
      <c r="D59" s="17">
        <v>0</v>
      </c>
      <c r="E59" s="5"/>
      <c r="F59" s="17"/>
      <c r="G59" s="38"/>
      <c r="H59" s="62">
        <f t="shared" si="0"/>
        <v>0</v>
      </c>
      <c r="I59" s="3"/>
      <c r="J59" s="1"/>
    </row>
    <row r="60" spans="1:10" s="9" customFormat="1" ht="13.9" customHeight="1" x14ac:dyDescent="0.25">
      <c r="A60" s="27">
        <v>44196</v>
      </c>
      <c r="B60" s="9" t="s">
        <v>18</v>
      </c>
      <c r="C60" s="35" t="s">
        <v>135</v>
      </c>
      <c r="D60" s="17">
        <f>102485.65+1508.75</f>
        <v>103994.4</v>
      </c>
      <c r="E60" s="5"/>
      <c r="F60" s="17">
        <f>-102485.65-1508.75+103994.4</f>
        <v>0</v>
      </c>
      <c r="G60" s="25">
        <v>103994.4</v>
      </c>
      <c r="H60" s="62">
        <f t="shared" si="0"/>
        <v>0</v>
      </c>
      <c r="I60" s="3"/>
      <c r="J60" s="1"/>
    </row>
    <row r="61" spans="1:10" s="9" customFormat="1" ht="13.9" customHeight="1" x14ac:dyDescent="0.25">
      <c r="A61" s="27">
        <v>44196</v>
      </c>
      <c r="B61" s="9" t="s">
        <v>18</v>
      </c>
      <c r="C61" s="35" t="s">
        <v>136</v>
      </c>
      <c r="D61" s="17">
        <f>20128.19+10.1</f>
        <v>20138.289999999997</v>
      </c>
      <c r="E61" s="5"/>
      <c r="F61" s="17">
        <f>-20128.19-10.1+20138.29</f>
        <v>0</v>
      </c>
      <c r="G61" s="25">
        <v>20138.289999999997</v>
      </c>
      <c r="H61" s="62">
        <f t="shared" si="0"/>
        <v>0</v>
      </c>
      <c r="I61" s="3"/>
      <c r="J61" s="1"/>
    </row>
    <row r="62" spans="1:10" s="9" customFormat="1" ht="13.9" customHeight="1" x14ac:dyDescent="0.25">
      <c r="A62" s="27">
        <v>44196</v>
      </c>
      <c r="B62" s="9" t="s">
        <v>18</v>
      </c>
      <c r="C62" s="35" t="s">
        <v>137</v>
      </c>
      <c r="D62" s="17">
        <f>-71825.21-8153.61</f>
        <v>-79978.820000000007</v>
      </c>
      <c r="E62" s="5">
        <f>71825.21+8153.61-79978.82</f>
        <v>0</v>
      </c>
      <c r="F62" s="17"/>
      <c r="G62" s="25">
        <v>-79978.820000000007</v>
      </c>
      <c r="H62" s="62">
        <f t="shared" si="0"/>
        <v>0</v>
      </c>
      <c r="I62" s="3"/>
      <c r="J62" s="1"/>
    </row>
    <row r="63" spans="1:10" s="9" customFormat="1" ht="13.9" customHeight="1" x14ac:dyDescent="0.25">
      <c r="A63" s="27">
        <v>44196</v>
      </c>
      <c r="B63" s="9" t="s">
        <v>18</v>
      </c>
      <c r="C63" s="35" t="s">
        <v>138</v>
      </c>
      <c r="D63" s="17">
        <v>53321.760000000002</v>
      </c>
      <c r="E63" s="5"/>
      <c r="F63" s="17"/>
      <c r="G63" s="25">
        <v>53321.760000000002</v>
      </c>
      <c r="H63" s="62">
        <f t="shared" si="0"/>
        <v>0</v>
      </c>
      <c r="I63" s="3"/>
      <c r="J63" s="1"/>
    </row>
    <row r="64" spans="1:10" s="9" customFormat="1" ht="13.9" customHeight="1" x14ac:dyDescent="0.25">
      <c r="A64" s="27">
        <v>44196</v>
      </c>
      <c r="B64" s="9" t="s">
        <v>18</v>
      </c>
      <c r="C64" s="35" t="s">
        <v>39</v>
      </c>
      <c r="D64" s="17">
        <v>-2791.69</v>
      </c>
      <c r="E64" s="5"/>
      <c r="F64" s="17"/>
      <c r="G64" s="25">
        <v>-2791.69</v>
      </c>
      <c r="H64" s="62">
        <f t="shared" si="0"/>
        <v>0</v>
      </c>
      <c r="I64" s="3"/>
      <c r="J64" s="1"/>
    </row>
    <row r="65" spans="1:10" s="9" customFormat="1" ht="13.9" customHeight="1" x14ac:dyDescent="0.25">
      <c r="A65" s="27">
        <v>44196</v>
      </c>
      <c r="B65" s="9" t="s">
        <v>18</v>
      </c>
      <c r="C65" s="35" t="s">
        <v>34</v>
      </c>
      <c r="D65" s="17">
        <f>-1923.93+7011.57+180</f>
        <v>5267.6399999999994</v>
      </c>
      <c r="E65" s="5"/>
      <c r="F65" s="17"/>
      <c r="G65" s="25">
        <v>5267.6399999999994</v>
      </c>
      <c r="H65" s="62">
        <f t="shared" si="0"/>
        <v>0</v>
      </c>
      <c r="I65" s="3"/>
      <c r="J65" s="1"/>
    </row>
    <row r="66" spans="1:10" s="9" customFormat="1" ht="13.9" customHeight="1" x14ac:dyDescent="0.25">
      <c r="A66" s="27">
        <v>44196</v>
      </c>
      <c r="B66" s="9" t="s">
        <v>18</v>
      </c>
      <c r="C66" s="35" t="s">
        <v>35</v>
      </c>
      <c r="D66" s="17">
        <v>-74388.570000000007</v>
      </c>
      <c r="E66" s="5"/>
      <c r="F66" s="17"/>
      <c r="G66" s="25">
        <v>-74388.570000000007</v>
      </c>
      <c r="H66" s="62">
        <f t="shared" si="0"/>
        <v>0</v>
      </c>
      <c r="I66" s="3"/>
      <c r="J66" s="1"/>
    </row>
    <row r="67" spans="1:10" s="9" customFormat="1" ht="13.9" customHeight="1" x14ac:dyDescent="0.25">
      <c r="A67" s="27">
        <v>44227</v>
      </c>
      <c r="B67" s="9" t="s">
        <v>9</v>
      </c>
      <c r="C67" s="35" t="s">
        <v>144</v>
      </c>
      <c r="D67" s="17">
        <v>1302.08</v>
      </c>
      <c r="E67" s="5"/>
      <c r="F67" s="17"/>
      <c r="G67" s="25">
        <v>1302.08</v>
      </c>
      <c r="H67" s="62">
        <f t="shared" si="0"/>
        <v>0</v>
      </c>
      <c r="I67" s="3"/>
      <c r="J67" s="1"/>
    </row>
    <row r="68" spans="1:10" s="9" customFormat="1" ht="13.9" customHeight="1" x14ac:dyDescent="0.25">
      <c r="A68" s="27">
        <v>44227</v>
      </c>
      <c r="B68" s="9" t="s">
        <v>9</v>
      </c>
      <c r="C68" s="35" t="s">
        <v>140</v>
      </c>
      <c r="D68" s="17">
        <f>361443.6+53107.39</f>
        <v>414550.99</v>
      </c>
      <c r="E68" s="5"/>
      <c r="F68" s="17">
        <f>-361443.6-53107.39+414550.99</f>
        <v>0</v>
      </c>
      <c r="G68" s="25">
        <v>414550.99</v>
      </c>
      <c r="H68" s="62">
        <f t="shared" si="0"/>
        <v>0</v>
      </c>
      <c r="I68" s="3"/>
      <c r="J68" s="1"/>
    </row>
    <row r="69" spans="1:10" s="9" customFormat="1" ht="13.9" customHeight="1" x14ac:dyDescent="0.25">
      <c r="A69" s="27">
        <v>44227</v>
      </c>
      <c r="B69" s="9" t="s">
        <v>9</v>
      </c>
      <c r="C69" s="35" t="s">
        <v>141</v>
      </c>
      <c r="D69" s="17">
        <f>-99869.3+66423.59</f>
        <v>-33445.710000000006</v>
      </c>
      <c r="E69" s="5">
        <f>99869.3-66423.59-33445.71</f>
        <v>0</v>
      </c>
      <c r="F69" s="17"/>
      <c r="G69" s="25">
        <v>-33445.710000000006</v>
      </c>
      <c r="H69" s="62">
        <f t="shared" si="0"/>
        <v>0</v>
      </c>
      <c r="I69" s="3"/>
      <c r="J69" s="1"/>
    </row>
    <row r="70" spans="1:10" s="9" customFormat="1" ht="13.9" customHeight="1" x14ac:dyDescent="0.25">
      <c r="A70" s="27">
        <v>44227</v>
      </c>
      <c r="B70" s="9" t="s">
        <v>9</v>
      </c>
      <c r="C70" s="35" t="s">
        <v>142</v>
      </c>
      <c r="D70" s="17">
        <f>-127977.09-22406.86</f>
        <v>-150383.95000000001</v>
      </c>
      <c r="E70" s="5">
        <f>127977.09+22406.86-150383.95</f>
        <v>0</v>
      </c>
      <c r="F70" s="17"/>
      <c r="G70" s="25">
        <v>-150383.95000000001</v>
      </c>
      <c r="H70" s="62">
        <f t="shared" si="0"/>
        <v>0</v>
      </c>
      <c r="I70" s="3"/>
      <c r="J70" s="1"/>
    </row>
    <row r="71" spans="1:10" s="9" customFormat="1" ht="13.9" customHeight="1" x14ac:dyDescent="0.25">
      <c r="A71" s="27">
        <v>44227</v>
      </c>
      <c r="B71" s="9" t="s">
        <v>9</v>
      </c>
      <c r="C71" s="35" t="s">
        <v>143</v>
      </c>
      <c r="D71" s="17">
        <v>74388.570000000007</v>
      </c>
      <c r="E71" s="5"/>
      <c r="F71" s="17"/>
      <c r="G71" s="25">
        <v>74388.570000000007</v>
      </c>
      <c r="H71" s="62">
        <f t="shared" si="0"/>
        <v>0</v>
      </c>
      <c r="I71" s="3"/>
      <c r="J71" s="1"/>
    </row>
    <row r="72" spans="1:10" s="9" customFormat="1" ht="13.9" customHeight="1" x14ac:dyDescent="0.25">
      <c r="A72" s="27">
        <v>44227</v>
      </c>
      <c r="B72" s="9" t="s">
        <v>9</v>
      </c>
      <c r="C72" s="35" t="s">
        <v>127</v>
      </c>
      <c r="D72" s="17">
        <v>-3000.02</v>
      </c>
      <c r="E72" s="5"/>
      <c r="F72" s="17"/>
      <c r="G72" s="25">
        <v>-3000.02</v>
      </c>
      <c r="H72" s="62">
        <f t="shared" si="0"/>
        <v>0</v>
      </c>
      <c r="I72" s="3"/>
      <c r="J72" s="1"/>
    </row>
    <row r="73" spans="1:10" s="9" customFormat="1" ht="13.9" customHeight="1" x14ac:dyDescent="0.25">
      <c r="A73" s="27">
        <v>44227</v>
      </c>
      <c r="B73" s="9" t="s">
        <v>9</v>
      </c>
      <c r="C73" s="35" t="s">
        <v>128</v>
      </c>
      <c r="D73" s="17">
        <f>-178477.07+23944.61</f>
        <v>-154532.46000000002</v>
      </c>
      <c r="E73" s="5"/>
      <c r="F73" s="17"/>
      <c r="G73" s="25">
        <v>-154532.46000000002</v>
      </c>
      <c r="H73" s="62">
        <f t="shared" si="0"/>
        <v>0</v>
      </c>
      <c r="I73" s="3"/>
      <c r="J73" s="1"/>
    </row>
    <row r="74" spans="1:10" s="9" customFormat="1" ht="13.9" customHeight="1" x14ac:dyDescent="0.25">
      <c r="A74" s="27">
        <v>44227</v>
      </c>
      <c r="B74" s="9" t="s">
        <v>9</v>
      </c>
      <c r="C74" s="35" t="s">
        <v>129</v>
      </c>
      <c r="D74" s="17">
        <v>-42165.79</v>
      </c>
      <c r="E74" s="5"/>
      <c r="F74" s="17"/>
      <c r="G74" s="25">
        <v>-42165.79</v>
      </c>
      <c r="H74" s="62">
        <f t="shared" si="0"/>
        <v>0</v>
      </c>
      <c r="I74" s="3"/>
      <c r="J74" s="1"/>
    </row>
    <row r="75" spans="1:10" s="9" customFormat="1" ht="13.9" customHeight="1" x14ac:dyDescent="0.25">
      <c r="A75" s="27">
        <v>44255</v>
      </c>
      <c r="B75" s="9" t="s">
        <v>9</v>
      </c>
      <c r="C75" s="35" t="s">
        <v>144</v>
      </c>
      <c r="D75" s="17">
        <v>1302.08</v>
      </c>
      <c r="E75" s="5"/>
      <c r="F75" s="17"/>
      <c r="G75" s="25">
        <v>1302.08</v>
      </c>
      <c r="H75" s="62">
        <f t="shared" si="0"/>
        <v>0</v>
      </c>
      <c r="I75" s="3"/>
      <c r="J75" s="1"/>
    </row>
    <row r="76" spans="1:10" s="9" customFormat="1" ht="13.9" customHeight="1" x14ac:dyDescent="0.25">
      <c r="A76" s="27">
        <v>44255</v>
      </c>
      <c r="B76" s="9" t="s">
        <v>9</v>
      </c>
      <c r="C76" s="35" t="s">
        <v>148</v>
      </c>
      <c r="D76" s="17">
        <v>42165.79</v>
      </c>
      <c r="E76" s="5"/>
      <c r="F76" s="17"/>
      <c r="G76" s="25">
        <v>42165.79</v>
      </c>
      <c r="H76" s="62">
        <f t="shared" si="0"/>
        <v>0</v>
      </c>
      <c r="I76" s="3"/>
      <c r="J76" s="1"/>
    </row>
    <row r="77" spans="1:10" s="9" customFormat="1" ht="13.9" customHeight="1" x14ac:dyDescent="0.25">
      <c r="A77" s="27">
        <v>44255</v>
      </c>
      <c r="B77" s="9" t="s">
        <v>9</v>
      </c>
      <c r="C77" s="35" t="s">
        <v>151</v>
      </c>
      <c r="D77" s="17">
        <f>-411154.26+24063.88</f>
        <v>-387090.38</v>
      </c>
      <c r="E77" s="5">
        <f>411154.26-24063.88-387090.38</f>
        <v>0</v>
      </c>
      <c r="F77" s="17"/>
      <c r="G77" s="25">
        <v>-387090.38</v>
      </c>
      <c r="H77" s="62">
        <f t="shared" si="0"/>
        <v>0</v>
      </c>
      <c r="I77" s="3"/>
      <c r="J77" s="1"/>
    </row>
    <row r="78" spans="1:10" s="9" customFormat="1" ht="13.9" customHeight="1" x14ac:dyDescent="0.25">
      <c r="A78" s="27">
        <v>44255</v>
      </c>
      <c r="B78" s="9" t="s">
        <v>9</v>
      </c>
      <c r="C78" s="35" t="s">
        <v>154</v>
      </c>
      <c r="D78" s="17">
        <f>83000+18631.04</f>
        <v>101631.04000000001</v>
      </c>
      <c r="E78" s="5"/>
      <c r="F78" s="17">
        <f>-83000-18631.04+101631.04</f>
        <v>0</v>
      </c>
      <c r="G78" s="25">
        <v>101631.04000000001</v>
      </c>
      <c r="H78" s="62">
        <f t="shared" si="0"/>
        <v>0</v>
      </c>
      <c r="I78" s="3"/>
      <c r="J78" s="1"/>
    </row>
    <row r="79" spans="1:10" s="9" customFormat="1" ht="13.9" customHeight="1" x14ac:dyDescent="0.25">
      <c r="A79" s="27">
        <v>44255</v>
      </c>
      <c r="B79" s="9" t="s">
        <v>9</v>
      </c>
      <c r="C79" s="35" t="s">
        <v>152</v>
      </c>
      <c r="D79" s="17">
        <f>-14380.2+856.44</f>
        <v>-13523.76</v>
      </c>
      <c r="E79" s="5">
        <f>14380.2-856.44-13523.76</f>
        <v>0</v>
      </c>
      <c r="F79" s="17"/>
      <c r="G79" s="25">
        <v>-14380.2</v>
      </c>
      <c r="H79" s="62">
        <f t="shared" si="0"/>
        <v>856.44000000000051</v>
      </c>
      <c r="I79" s="3"/>
      <c r="J79" s="1"/>
    </row>
    <row r="80" spans="1:10" s="9" customFormat="1" ht="13.9" customHeight="1" x14ac:dyDescent="0.25">
      <c r="A80" s="27">
        <v>44255</v>
      </c>
      <c r="B80" s="9" t="s">
        <v>9</v>
      </c>
      <c r="C80" s="35" t="s">
        <v>153</v>
      </c>
      <c r="D80" s="17">
        <v>-33060.54</v>
      </c>
      <c r="E80" s="54">
        <v>33060.54</v>
      </c>
      <c r="F80" s="17"/>
      <c r="G80" s="25">
        <v>-33060.54</v>
      </c>
      <c r="H80" s="62">
        <f t="shared" si="0"/>
        <v>0</v>
      </c>
      <c r="I80" s="3"/>
      <c r="J80" s="1"/>
    </row>
    <row r="81" spans="1:10" s="9" customFormat="1" ht="13.9" customHeight="1" x14ac:dyDescent="0.25">
      <c r="A81" s="27">
        <v>44255</v>
      </c>
      <c r="B81" s="9" t="s">
        <v>9</v>
      </c>
      <c r="C81" s="35" t="s">
        <v>159</v>
      </c>
      <c r="D81" s="17">
        <v>-101864.83</v>
      </c>
      <c r="E81" s="5"/>
      <c r="F81" s="17"/>
      <c r="G81" s="25">
        <v>-101864.83</v>
      </c>
      <c r="H81" s="62">
        <f t="shared" si="0"/>
        <v>0</v>
      </c>
      <c r="I81" s="3"/>
      <c r="J81" s="1"/>
    </row>
    <row r="82" spans="1:10" s="9" customFormat="1" ht="13.9" customHeight="1" x14ac:dyDescent="0.25">
      <c r="A82" s="27">
        <v>44255</v>
      </c>
      <c r="B82" s="9" t="s">
        <v>9</v>
      </c>
      <c r="C82" s="35" t="s">
        <v>39</v>
      </c>
      <c r="D82" s="17">
        <v>-2166.69</v>
      </c>
      <c r="E82" s="5"/>
      <c r="F82" s="17"/>
      <c r="G82" s="25">
        <v>-2166.69</v>
      </c>
      <c r="H82" s="62">
        <f t="shared" si="0"/>
        <v>0</v>
      </c>
      <c r="I82" s="3"/>
      <c r="J82" s="1"/>
    </row>
    <row r="83" spans="1:10" s="9" customFormat="1" ht="13.9" customHeight="1" x14ac:dyDescent="0.25">
      <c r="A83" s="27">
        <v>44255</v>
      </c>
      <c r="B83" s="9" t="s">
        <v>9</v>
      </c>
      <c r="C83" s="35" t="s">
        <v>34</v>
      </c>
      <c r="D83" s="17">
        <v>273826.5</v>
      </c>
      <c r="E83" s="5"/>
      <c r="F83" s="17"/>
      <c r="G83" s="25">
        <v>273826.5</v>
      </c>
      <c r="H83" s="62">
        <f t="shared" si="0"/>
        <v>0</v>
      </c>
      <c r="I83" s="3"/>
      <c r="J83" s="1"/>
    </row>
    <row r="84" spans="1:10" s="9" customFormat="1" ht="13.9" customHeight="1" x14ac:dyDescent="0.25">
      <c r="A84" s="27">
        <v>44255</v>
      </c>
      <c r="B84" s="9" t="s">
        <v>9</v>
      </c>
      <c r="C84" s="35" t="s">
        <v>35</v>
      </c>
      <c r="D84" s="17">
        <v>-44307.71</v>
      </c>
      <c r="E84" s="5"/>
      <c r="F84" s="17"/>
      <c r="G84" s="25">
        <v>-44307.71</v>
      </c>
      <c r="H84" s="62">
        <f t="shared" si="0"/>
        <v>0</v>
      </c>
      <c r="I84" s="3"/>
      <c r="J84" s="1"/>
    </row>
    <row r="85" spans="1:10" s="9" customFormat="1" ht="13.9" customHeight="1" x14ac:dyDescent="0.25">
      <c r="A85" s="27">
        <v>44286</v>
      </c>
      <c r="B85" s="9" t="s">
        <v>9</v>
      </c>
      <c r="C85" s="35" t="s">
        <v>155</v>
      </c>
      <c r="D85" s="17">
        <v>44307.71</v>
      </c>
      <c r="E85" s="5"/>
      <c r="F85" s="17"/>
      <c r="G85" s="25">
        <v>44307.71</v>
      </c>
      <c r="H85" s="62">
        <f t="shared" si="0"/>
        <v>0</v>
      </c>
      <c r="I85" s="3"/>
      <c r="J85" s="1"/>
    </row>
    <row r="86" spans="1:10" s="9" customFormat="1" ht="13.9" customHeight="1" x14ac:dyDescent="0.25">
      <c r="A86" s="27">
        <v>44286</v>
      </c>
      <c r="B86" s="9" t="s">
        <v>9</v>
      </c>
      <c r="C86" s="35" t="s">
        <v>144</v>
      </c>
      <c r="D86" s="17">
        <v>1302.08</v>
      </c>
      <c r="E86" s="5"/>
      <c r="F86" s="17"/>
      <c r="G86" s="25">
        <v>1302.08</v>
      </c>
      <c r="H86" s="62">
        <f t="shared" si="0"/>
        <v>0</v>
      </c>
      <c r="I86" s="3"/>
      <c r="J86" s="1"/>
    </row>
    <row r="87" spans="1:10" s="9" customFormat="1" ht="13.9" customHeight="1" x14ac:dyDescent="0.25">
      <c r="A87" s="27">
        <v>44286</v>
      </c>
      <c r="B87" s="9" t="s">
        <v>9</v>
      </c>
      <c r="C87" s="35" t="s">
        <v>156</v>
      </c>
      <c r="D87" s="17">
        <f>-347595.01+220070.8</f>
        <v>-127524.21000000002</v>
      </c>
      <c r="E87" s="5">
        <f>347595.01-220070.8-127524.21</f>
        <v>0</v>
      </c>
      <c r="F87" s="17"/>
      <c r="G87" s="25">
        <v>-347595.01</v>
      </c>
      <c r="H87" s="62">
        <f t="shared" si="0"/>
        <v>220070.8</v>
      </c>
      <c r="I87" s="3"/>
      <c r="J87" s="1"/>
    </row>
    <row r="88" spans="1:10" s="9" customFormat="1" ht="13.9" customHeight="1" x14ac:dyDescent="0.25">
      <c r="A88" s="27">
        <v>44286</v>
      </c>
      <c r="B88" s="9" t="s">
        <v>9</v>
      </c>
      <c r="C88" s="35" t="s">
        <v>157</v>
      </c>
      <c r="D88" s="17">
        <v>-58083.5</v>
      </c>
      <c r="E88" s="5">
        <f>58083.5-58083.5</f>
        <v>0</v>
      </c>
      <c r="F88" s="17"/>
      <c r="G88" s="25">
        <v>-58083.5</v>
      </c>
      <c r="H88" s="62">
        <f t="shared" si="0"/>
        <v>0</v>
      </c>
      <c r="I88" s="3"/>
      <c r="J88" s="1"/>
    </row>
    <row r="89" spans="1:10" s="9" customFormat="1" ht="13.9" customHeight="1" x14ac:dyDescent="0.25">
      <c r="A89" s="27">
        <v>44286</v>
      </c>
      <c r="B89" s="9" t="s">
        <v>9</v>
      </c>
      <c r="C89" s="35" t="s">
        <v>158</v>
      </c>
      <c r="D89" s="17">
        <f>7729.12+0.31</f>
        <v>7729.43</v>
      </c>
      <c r="E89" s="5"/>
      <c r="F89" s="17">
        <f>-7729.12-0.31+7729.43</f>
        <v>0</v>
      </c>
      <c r="G89" s="25">
        <v>7729.12</v>
      </c>
      <c r="H89" s="62">
        <f t="shared" si="0"/>
        <v>0.31000000000040018</v>
      </c>
      <c r="I89" s="3"/>
      <c r="J89" s="1"/>
    </row>
    <row r="90" spans="1:10" s="9" customFormat="1" ht="13.9" customHeight="1" x14ac:dyDescent="0.25">
      <c r="A90" s="27">
        <v>44286</v>
      </c>
      <c r="B90" s="9" t="s">
        <v>9</v>
      </c>
      <c r="C90" s="35" t="s">
        <v>159</v>
      </c>
      <c r="D90" s="17">
        <v>2821.97</v>
      </c>
      <c r="E90" s="5"/>
      <c r="F90" s="17"/>
      <c r="G90" s="25">
        <v>2821.97</v>
      </c>
      <c r="H90" s="62">
        <f t="shared" si="0"/>
        <v>0</v>
      </c>
      <c r="I90" s="3"/>
      <c r="J90" s="1"/>
    </row>
    <row r="91" spans="1:10" s="9" customFormat="1" ht="13.9" customHeight="1" x14ac:dyDescent="0.25">
      <c r="A91" s="27">
        <v>44286</v>
      </c>
      <c r="B91" s="9" t="s">
        <v>9</v>
      </c>
      <c r="C91" s="35" t="s">
        <v>39</v>
      </c>
      <c r="D91" s="17">
        <v>-2750.0200000000004</v>
      </c>
      <c r="E91" s="5"/>
      <c r="F91" s="17"/>
      <c r="G91" s="25">
        <v>-2750.0200000000004</v>
      </c>
      <c r="H91" s="62">
        <f t="shared" si="0"/>
        <v>0</v>
      </c>
      <c r="I91" s="3"/>
      <c r="J91" s="1"/>
    </row>
    <row r="92" spans="1:10" s="9" customFormat="1" ht="13.9" customHeight="1" x14ac:dyDescent="0.25">
      <c r="A92" s="27">
        <v>44286</v>
      </c>
      <c r="B92" s="9" t="s">
        <v>9</v>
      </c>
      <c r="C92" s="35" t="s">
        <v>34</v>
      </c>
      <c r="D92" s="17">
        <f>136248.52-16861.37</f>
        <v>119387.15</v>
      </c>
      <c r="E92" s="5"/>
      <c r="F92" s="17"/>
      <c r="G92" s="25">
        <v>136248.52000000005</v>
      </c>
      <c r="H92" s="62">
        <f t="shared" si="0"/>
        <v>-16861.370000000054</v>
      </c>
      <c r="I92" s="3"/>
      <c r="J92" s="1"/>
    </row>
    <row r="93" spans="1:10" s="9" customFormat="1" ht="13.9" customHeight="1" x14ac:dyDescent="0.25">
      <c r="A93" s="27">
        <v>44286</v>
      </c>
      <c r="B93" s="9" t="s">
        <v>9</v>
      </c>
      <c r="C93" s="35" t="s">
        <v>35</v>
      </c>
      <c r="D93" s="17">
        <v>-14663.53</v>
      </c>
      <c r="E93" s="5"/>
      <c r="F93" s="17"/>
      <c r="G93" s="25">
        <v>-14663.53</v>
      </c>
      <c r="H93" s="62">
        <f t="shared" si="0"/>
        <v>0</v>
      </c>
      <c r="I93" s="3"/>
      <c r="J93" s="1"/>
    </row>
    <row r="94" spans="1:10" s="9" customFormat="1" ht="13.9" customHeight="1" x14ac:dyDescent="0.25">
      <c r="A94" s="27">
        <v>44316</v>
      </c>
      <c r="B94" s="9" t="s">
        <v>10</v>
      </c>
      <c r="C94" s="35" t="s">
        <v>163</v>
      </c>
      <c r="D94" s="17">
        <v>14663.53</v>
      </c>
      <c r="E94" s="5"/>
      <c r="F94" s="17"/>
      <c r="G94" s="38"/>
      <c r="H94" s="62">
        <f t="shared" si="0"/>
        <v>14663.53</v>
      </c>
      <c r="I94" s="3"/>
      <c r="J94" s="1"/>
    </row>
    <row r="95" spans="1:10" s="9" customFormat="1" ht="13.9" customHeight="1" x14ac:dyDescent="0.25">
      <c r="A95" s="27">
        <v>44316</v>
      </c>
      <c r="B95" s="9" t="s">
        <v>10</v>
      </c>
      <c r="C95" s="35" t="s">
        <v>144</v>
      </c>
      <c r="D95" s="17">
        <v>1302.08</v>
      </c>
      <c r="E95" s="5"/>
      <c r="F95" s="17"/>
      <c r="G95" s="38"/>
      <c r="H95" s="62">
        <f t="shared" si="0"/>
        <v>1302.08</v>
      </c>
      <c r="I95" s="3"/>
      <c r="J95" s="1"/>
    </row>
    <row r="96" spans="1:10" s="9" customFormat="1" ht="13.9" customHeight="1" x14ac:dyDescent="0.25">
      <c r="A96" s="27">
        <v>44316</v>
      </c>
      <c r="B96" s="9" t="s">
        <v>10</v>
      </c>
      <c r="C96" s="35" t="s">
        <v>160</v>
      </c>
      <c r="D96" s="17">
        <f>51294.87-546.91</f>
        <v>50747.96</v>
      </c>
      <c r="E96" s="5"/>
      <c r="F96" s="81">
        <f>-51294.87+546.91</f>
        <v>-50747.96</v>
      </c>
      <c r="G96" s="38"/>
      <c r="H96" s="62">
        <f t="shared" si="0"/>
        <v>50747.96</v>
      </c>
      <c r="I96" s="3"/>
      <c r="J96" s="1"/>
    </row>
    <row r="97" spans="1:10" s="9" customFormat="1" ht="13.9" customHeight="1" x14ac:dyDescent="0.25">
      <c r="A97" s="27">
        <v>44316</v>
      </c>
      <c r="B97" s="9" t="s">
        <v>10</v>
      </c>
      <c r="C97" s="35" t="s">
        <v>161</v>
      </c>
      <c r="D97" s="17">
        <f>-116256.56-802.69</f>
        <v>-117059.25</v>
      </c>
      <c r="E97" s="5">
        <f>116256.56+802.69-117059.25</f>
        <v>0</v>
      </c>
      <c r="F97" s="17"/>
      <c r="G97" s="38"/>
      <c r="H97" s="62">
        <f t="shared" si="0"/>
        <v>-117059.25</v>
      </c>
      <c r="I97" s="3"/>
      <c r="J97" s="1"/>
    </row>
    <row r="98" spans="1:10" s="9" customFormat="1" ht="13.9" customHeight="1" x14ac:dyDescent="0.25">
      <c r="A98" s="27">
        <v>44316</v>
      </c>
      <c r="B98" s="9" t="s">
        <v>10</v>
      </c>
      <c r="C98" s="35" t="s">
        <v>162</v>
      </c>
      <c r="D98" s="17">
        <f>-112001.41-27926.96</f>
        <v>-139928.37</v>
      </c>
      <c r="E98" s="5">
        <f>112001.41+27926.96-139928.37</f>
        <v>0</v>
      </c>
      <c r="F98" s="17"/>
      <c r="G98" s="38"/>
      <c r="H98" s="62">
        <f t="shared" si="0"/>
        <v>-139928.37</v>
      </c>
      <c r="I98" s="3"/>
      <c r="J98" s="1"/>
    </row>
    <row r="99" spans="1:10" s="9" customFormat="1" ht="13.9" customHeight="1" x14ac:dyDescent="0.25">
      <c r="A99" s="27">
        <v>44316</v>
      </c>
      <c r="B99" s="9" t="s">
        <v>10</v>
      </c>
      <c r="C99" s="35" t="s">
        <v>41</v>
      </c>
      <c r="D99" s="17">
        <v>-2750.02</v>
      </c>
      <c r="E99" s="5"/>
      <c r="F99" s="17"/>
      <c r="G99" s="38"/>
      <c r="H99" s="62">
        <f t="shared" si="0"/>
        <v>-2750.02</v>
      </c>
      <c r="I99" s="3"/>
      <c r="J99" s="1"/>
    </row>
    <row r="100" spans="1:10" s="9" customFormat="1" ht="13.9" customHeight="1" x14ac:dyDescent="0.25">
      <c r="A100" s="27">
        <v>44316</v>
      </c>
      <c r="B100" s="9" t="s">
        <v>10</v>
      </c>
      <c r="C100" s="35" t="s">
        <v>42</v>
      </c>
      <c r="D100" s="17">
        <v>119838.63</v>
      </c>
      <c r="E100" s="5"/>
      <c r="F100" s="17"/>
      <c r="G100" s="38"/>
      <c r="H100" s="62">
        <f t="shared" si="0"/>
        <v>119838.63</v>
      </c>
      <c r="I100" s="3"/>
      <c r="J100" s="1"/>
    </row>
    <row r="101" spans="1:10" s="9" customFormat="1" ht="13.9" customHeight="1" x14ac:dyDescent="0.25">
      <c r="A101" s="27">
        <v>44316</v>
      </c>
      <c r="B101" s="9" t="s">
        <v>10</v>
      </c>
      <c r="C101" s="35" t="s">
        <v>43</v>
      </c>
      <c r="D101" s="17">
        <v>-27582.58</v>
      </c>
      <c r="E101" s="5"/>
      <c r="F101" s="17"/>
      <c r="G101" s="38"/>
      <c r="H101" s="62">
        <f t="shared" si="0"/>
        <v>-27582.58</v>
      </c>
      <c r="I101" s="3"/>
      <c r="J101" s="1"/>
    </row>
    <row r="102" spans="1:10" s="9" customFormat="1" ht="13.9" customHeight="1" x14ac:dyDescent="0.25">
      <c r="A102" s="27">
        <v>44347</v>
      </c>
      <c r="B102" s="9" t="s">
        <v>10</v>
      </c>
      <c r="C102" s="35" t="s">
        <v>173</v>
      </c>
      <c r="D102" s="17">
        <v>27582.58</v>
      </c>
      <c r="E102" s="5"/>
      <c r="F102" s="17"/>
      <c r="G102" s="38"/>
      <c r="H102" s="62">
        <f t="shared" si="0"/>
        <v>27582.58</v>
      </c>
      <c r="I102" s="3"/>
      <c r="J102" s="1"/>
    </row>
    <row r="103" spans="1:10" s="9" customFormat="1" ht="13.9" customHeight="1" x14ac:dyDescent="0.25">
      <c r="A103" s="27">
        <v>44347</v>
      </c>
      <c r="B103" s="9" t="s">
        <v>10</v>
      </c>
      <c r="C103" s="35" t="s">
        <v>144</v>
      </c>
      <c r="D103" s="17">
        <v>1302.08</v>
      </c>
      <c r="E103" s="5"/>
      <c r="F103" s="17"/>
      <c r="G103" s="38"/>
      <c r="H103" s="62">
        <f t="shared" si="0"/>
        <v>1302.08</v>
      </c>
      <c r="I103" s="3"/>
      <c r="J103" s="1"/>
    </row>
    <row r="104" spans="1:10" s="9" customFormat="1" ht="13.9" customHeight="1" x14ac:dyDescent="0.25">
      <c r="A104" s="27">
        <v>44347</v>
      </c>
      <c r="B104" s="9" t="s">
        <v>10</v>
      </c>
      <c r="C104" s="35" t="s">
        <v>169</v>
      </c>
      <c r="D104" s="17">
        <v>32913.07</v>
      </c>
      <c r="E104" s="5"/>
      <c r="F104" s="81">
        <v>-32913.07</v>
      </c>
      <c r="G104" s="38"/>
      <c r="H104" s="62">
        <f t="shared" si="0"/>
        <v>32913.07</v>
      </c>
      <c r="I104" s="3"/>
      <c r="J104" s="1"/>
    </row>
    <row r="105" spans="1:10" s="9" customFormat="1" ht="13.9" customHeight="1" x14ac:dyDescent="0.25">
      <c r="A105" s="27">
        <v>44347</v>
      </c>
      <c r="B105" s="9" t="s">
        <v>10</v>
      </c>
      <c r="C105" s="35" t="s">
        <v>170</v>
      </c>
      <c r="D105" s="17">
        <v>-51385.5</v>
      </c>
      <c r="E105" s="56">
        <v>51385.5</v>
      </c>
      <c r="F105" s="17"/>
      <c r="G105" s="38"/>
      <c r="H105" s="62">
        <f t="shared" si="0"/>
        <v>-51385.5</v>
      </c>
      <c r="I105" s="3"/>
      <c r="J105" s="1"/>
    </row>
    <row r="106" spans="1:10" s="9" customFormat="1" ht="13.9" customHeight="1" x14ac:dyDescent="0.25">
      <c r="A106" s="27">
        <v>44347</v>
      </c>
      <c r="B106" s="9" t="s">
        <v>10</v>
      </c>
      <c r="C106" s="35" t="s">
        <v>171</v>
      </c>
      <c r="D106" s="17">
        <v>-102615.53</v>
      </c>
      <c r="E106" s="54">
        <v>102615.53</v>
      </c>
      <c r="F106" s="17"/>
      <c r="G106" s="38"/>
      <c r="H106" s="62">
        <f t="shared" si="0"/>
        <v>-102615.53</v>
      </c>
      <c r="I106" s="3"/>
      <c r="J106" s="1"/>
    </row>
    <row r="107" spans="1:10" s="9" customFormat="1" ht="13.9" customHeight="1" x14ac:dyDescent="0.25">
      <c r="A107" s="44">
        <v>44347</v>
      </c>
      <c r="B107" s="24" t="s">
        <v>10</v>
      </c>
      <c r="C107" s="26" t="s">
        <v>46</v>
      </c>
      <c r="D107" s="33">
        <v>141366.20000000001</v>
      </c>
      <c r="E107" s="5"/>
      <c r="F107" s="17"/>
      <c r="G107" s="38"/>
      <c r="H107" s="62">
        <f t="shared" si="0"/>
        <v>141366.20000000001</v>
      </c>
      <c r="I107" s="3"/>
      <c r="J107" s="1"/>
    </row>
    <row r="108" spans="1:10" s="9" customFormat="1" ht="13.9" customHeight="1" x14ac:dyDescent="0.25">
      <c r="A108" s="44">
        <v>44347</v>
      </c>
      <c r="B108" s="24" t="s">
        <v>10</v>
      </c>
      <c r="C108" s="26" t="s">
        <v>41</v>
      </c>
      <c r="D108" s="33">
        <v>-2333.35</v>
      </c>
      <c r="E108" s="5"/>
      <c r="F108" s="17"/>
      <c r="G108" s="38"/>
      <c r="H108" s="62">
        <f t="shared" si="0"/>
        <v>-2333.35</v>
      </c>
      <c r="I108" s="3"/>
      <c r="J108" s="1"/>
    </row>
    <row r="109" spans="1:10" s="9" customFormat="1" ht="13.9" customHeight="1" x14ac:dyDescent="0.25">
      <c r="A109" s="44">
        <v>44347</v>
      </c>
      <c r="B109" s="24" t="s">
        <v>10</v>
      </c>
      <c r="C109" s="26" t="s">
        <v>42</v>
      </c>
      <c r="D109" s="33">
        <v>111752.93</v>
      </c>
      <c r="E109" s="5"/>
      <c r="F109" s="17"/>
      <c r="G109" s="38"/>
      <c r="H109" s="62">
        <f t="shared" si="0"/>
        <v>111752.93</v>
      </c>
      <c r="I109" s="3"/>
      <c r="J109" s="1"/>
    </row>
    <row r="110" spans="1:10" s="9" customFormat="1" ht="13.9" customHeight="1" x14ac:dyDescent="0.25">
      <c r="A110" s="44">
        <v>44347</v>
      </c>
      <c r="B110" s="24" t="s">
        <v>10</v>
      </c>
      <c r="C110" s="26" t="s">
        <v>43</v>
      </c>
      <c r="D110" s="33">
        <v>-13309.03</v>
      </c>
      <c r="E110" s="5"/>
      <c r="F110" s="17"/>
      <c r="G110" s="38"/>
      <c r="H110" s="62">
        <f t="shared" si="0"/>
        <v>-13309.03</v>
      </c>
      <c r="I110" s="3"/>
      <c r="J110" s="1"/>
    </row>
    <row r="111" spans="1:10" s="9" customFormat="1" x14ac:dyDescent="0.25">
      <c r="A111" s="63"/>
      <c r="B111" s="46"/>
      <c r="C111" s="64"/>
      <c r="D111" s="22"/>
      <c r="E111" s="21"/>
      <c r="F111" s="22"/>
      <c r="G111" s="21"/>
      <c r="H111" s="62">
        <f t="shared" si="0"/>
        <v>0</v>
      </c>
      <c r="J111" s="1"/>
    </row>
    <row r="112" spans="1:10" x14ac:dyDescent="0.25">
      <c r="B112" s="9"/>
      <c r="C112" s="9"/>
      <c r="D112" s="45">
        <f>SUM(D8:D111)</f>
        <v>-636409.66999999993</v>
      </c>
      <c r="E112" s="45">
        <f>SUM(E8:E111)</f>
        <v>187061.57</v>
      </c>
      <c r="F112" s="45">
        <f>SUM(F8:F111)</f>
        <v>-83661.03</v>
      </c>
      <c r="G112" s="45">
        <f>SUM(G6:G111)</f>
        <v>-731830.41</v>
      </c>
      <c r="H112" s="45">
        <f>SUM(H6:H111)</f>
        <v>266154.56999999989</v>
      </c>
      <c r="J112" s="1"/>
    </row>
    <row r="113" spans="2:10" x14ac:dyDescent="0.25">
      <c r="B113" s="9"/>
      <c r="C113" s="9"/>
      <c r="D113" s="2"/>
      <c r="E113" s="2"/>
      <c r="F113" s="2"/>
      <c r="G113" s="1">
        <f>G112*-1</f>
        <v>731830.41</v>
      </c>
      <c r="H113" s="2"/>
    </row>
    <row r="114" spans="2:10" ht="45" x14ac:dyDescent="0.25">
      <c r="B114" s="9"/>
      <c r="C114" s="9" t="s">
        <v>6</v>
      </c>
      <c r="D114" s="11"/>
      <c r="E114" s="68">
        <v>187061.57</v>
      </c>
      <c r="F114" s="8">
        <v>-83661.03</v>
      </c>
      <c r="G114" s="9"/>
      <c r="H114" s="8">
        <f>124788.37+141366.2</f>
        <v>266154.57</v>
      </c>
      <c r="I114" s="85" t="s">
        <v>174</v>
      </c>
      <c r="J114" s="1" t="s">
        <v>120</v>
      </c>
    </row>
    <row r="115" spans="2:10" x14ac:dyDescent="0.25">
      <c r="B115" s="9"/>
      <c r="C115" s="9" t="s">
        <v>28</v>
      </c>
      <c r="D115" s="10"/>
      <c r="E115" s="10">
        <f>E112-E114</f>
        <v>0</v>
      </c>
      <c r="F115" s="10">
        <f>F112-F114</f>
        <v>0</v>
      </c>
      <c r="G115" s="10"/>
      <c r="H115" s="10">
        <f>H112-H114</f>
        <v>0</v>
      </c>
      <c r="J115" s="1"/>
    </row>
    <row r="116" spans="2:10" x14ac:dyDescent="0.25">
      <c r="B116" s="9"/>
      <c r="C116" s="9"/>
      <c r="D116" s="9"/>
      <c r="E116" s="9"/>
      <c r="F116" s="4"/>
      <c r="G116" s="20"/>
      <c r="H116" s="1"/>
    </row>
    <row r="117" spans="2:10" x14ac:dyDescent="0.25">
      <c r="B117" s="9"/>
      <c r="C117" s="106" t="s">
        <v>30</v>
      </c>
      <c r="D117" s="107"/>
      <c r="E117" s="10"/>
      <c r="F117" s="12"/>
      <c r="G117" s="93"/>
      <c r="H117" s="19"/>
      <c r="J117" s="1"/>
    </row>
    <row r="118" spans="2:10" x14ac:dyDescent="0.25">
      <c r="B118" s="9"/>
      <c r="C118" s="28" t="s">
        <v>150</v>
      </c>
      <c r="D118" s="61">
        <f>F78</f>
        <v>0</v>
      </c>
      <c r="E118" s="9"/>
      <c r="F118" s="93"/>
      <c r="G118" s="93"/>
      <c r="H118" s="19"/>
      <c r="J118" s="1"/>
    </row>
    <row r="119" spans="2:10" x14ac:dyDescent="0.25">
      <c r="B119" s="9"/>
      <c r="C119" s="29" t="s">
        <v>27</v>
      </c>
      <c r="D119" s="42">
        <f>E80+E98+E106</f>
        <v>135676.07</v>
      </c>
      <c r="E119" s="9"/>
      <c r="F119" s="93"/>
      <c r="G119" s="93"/>
      <c r="H119" s="19"/>
      <c r="J119" s="1"/>
    </row>
    <row r="120" spans="2:10" x14ac:dyDescent="0.25">
      <c r="B120" s="9"/>
      <c r="C120" s="29" t="s">
        <v>33</v>
      </c>
      <c r="D120" s="55">
        <f>E97+E105</f>
        <v>51385.5</v>
      </c>
      <c r="E120" s="59"/>
      <c r="F120" s="93"/>
      <c r="G120" s="93" t="s">
        <v>25</v>
      </c>
      <c r="H120" s="19"/>
      <c r="J120" s="1"/>
    </row>
    <row r="121" spans="2:10" ht="15.75" thickBot="1" x14ac:dyDescent="0.3">
      <c r="C121" s="30" t="s">
        <v>38</v>
      </c>
      <c r="D121" s="80">
        <f>F68+F96+E87+F104</f>
        <v>-83661.03</v>
      </c>
      <c r="F121" s="93"/>
      <c r="G121" s="93"/>
      <c r="H121" s="43"/>
      <c r="J121" s="1"/>
    </row>
    <row r="122" spans="2:10" x14ac:dyDescent="0.25">
      <c r="C122" s="31"/>
      <c r="D122" s="32">
        <f>SUM(D118:D121)</f>
        <v>103400.54000000001</v>
      </c>
      <c r="F122" s="12"/>
      <c r="G122" s="93"/>
      <c r="H122" s="43"/>
    </row>
    <row r="123" spans="2:10" x14ac:dyDescent="0.25">
      <c r="C123" s="18"/>
      <c r="D123" s="19"/>
      <c r="F123" s="12"/>
      <c r="G123" s="93"/>
      <c r="H123" s="43"/>
    </row>
    <row r="124" spans="2:10" x14ac:dyDescent="0.25">
      <c r="C124" s="92" t="s">
        <v>165</v>
      </c>
      <c r="D124" s="19">
        <f>(E114+F114)-D122</f>
        <v>0</v>
      </c>
      <c r="F124" s="18"/>
      <c r="G124" s="93"/>
      <c r="H124" s="43"/>
    </row>
    <row r="125" spans="2:10" x14ac:dyDescent="0.25">
      <c r="C125" s="18"/>
      <c r="D125" s="19"/>
      <c r="F125" s="18"/>
      <c r="G125" s="93"/>
      <c r="H125" s="43"/>
    </row>
    <row r="126" spans="2:10" x14ac:dyDescent="0.25">
      <c r="F126" s="18"/>
      <c r="G126" s="93"/>
      <c r="H126" s="43"/>
    </row>
    <row r="127" spans="2:10" x14ac:dyDescent="0.25">
      <c r="F127" s="18"/>
      <c r="G127" s="93"/>
      <c r="H127" s="43"/>
    </row>
    <row r="128" spans="2:10" x14ac:dyDescent="0.25">
      <c r="F128" s="18"/>
      <c r="G128" s="93"/>
      <c r="H128" s="43"/>
    </row>
    <row r="129" spans="6:8" x14ac:dyDescent="0.25">
      <c r="F129" s="18"/>
      <c r="G129" s="93"/>
      <c r="H129" s="43"/>
    </row>
    <row r="130" spans="6:8" x14ac:dyDescent="0.25">
      <c r="F130" s="18"/>
      <c r="G130" s="18"/>
      <c r="H130" s="18"/>
    </row>
  </sheetData>
  <sheetProtection sheet="1" objects="1" scenarios="1" selectLockedCells="1" selectUnlockedCells="1"/>
  <autoFilter ref="A5:K122">
    <filterColumn colId="0" showButton="0"/>
  </autoFilter>
  <mergeCells count="4">
    <mergeCell ref="A5:B5"/>
    <mergeCell ref="A6:B6"/>
    <mergeCell ref="A7:B7"/>
    <mergeCell ref="C117:D117"/>
  </mergeCells>
  <pageMargins left="0.7" right="0.7" top="0.5" bottom="0.5" header="0.3" footer="0.3"/>
  <pageSetup scale="54" fitToHeight="0" orientation="portrait" r:id="rId1"/>
  <headerFooter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opLeftCell="C1" zoomScaleNormal="100" workbookViewId="0">
      <pane ySplit="5" topLeftCell="A94" activePane="bottomLeft" state="frozen"/>
      <selection activeCell="C1" sqref="C1"/>
      <selection pane="bottomLeft" activeCell="A99" sqref="A99:XFD99"/>
    </sheetView>
  </sheetViews>
  <sheetFormatPr defaultColWidth="9.140625" defaultRowHeight="15" x14ac:dyDescent="0.25"/>
  <cols>
    <col min="1" max="1" width="13.85546875" style="7" customWidth="1"/>
    <col min="2" max="2" width="8.7109375" style="7" customWidth="1"/>
    <col min="3" max="3" width="57" style="7" customWidth="1"/>
    <col min="4" max="4" width="16.28515625" style="7" customWidth="1"/>
    <col min="5" max="5" width="17.7109375" style="7" customWidth="1"/>
    <col min="6" max="6" width="17.28515625" style="7" customWidth="1"/>
    <col min="7" max="7" width="21.7109375" style="7" bestFit="1" customWidth="1"/>
    <col min="8" max="8" width="15.7109375" style="7" customWidth="1"/>
    <col min="9" max="9" width="11.28515625" style="7" customWidth="1"/>
    <col min="10" max="10" width="43.140625" style="7" customWidth="1"/>
    <col min="11" max="11" width="26" style="7" customWidth="1"/>
    <col min="12" max="16384" width="9.140625" style="7"/>
  </cols>
  <sheetData>
    <row r="1" spans="1:10" ht="21" x14ac:dyDescent="0.35">
      <c r="A1" s="58" t="s">
        <v>22</v>
      </c>
    </row>
    <row r="2" spans="1:10" ht="21" x14ac:dyDescent="0.35">
      <c r="A2" s="60" t="s">
        <v>167</v>
      </c>
      <c r="E2" s="14"/>
      <c r="F2" s="14"/>
    </row>
    <row r="3" spans="1:10" ht="21" x14ac:dyDescent="0.35">
      <c r="A3" s="58" t="s">
        <v>11</v>
      </c>
      <c r="B3" s="9"/>
      <c r="D3" s="1"/>
      <c r="E3" s="9"/>
      <c r="F3" s="9"/>
      <c r="G3" s="9"/>
      <c r="H3" s="9"/>
    </row>
    <row r="4" spans="1:10" ht="30.6" customHeight="1" x14ac:dyDescent="0.25">
      <c r="A4" s="50"/>
      <c r="B4" s="18"/>
      <c r="C4" s="51"/>
      <c r="D4" s="47" t="s">
        <v>1</v>
      </c>
      <c r="E4" s="57" t="s">
        <v>32</v>
      </c>
      <c r="F4" s="57" t="s">
        <v>31</v>
      </c>
      <c r="G4" s="52" t="s">
        <v>36</v>
      </c>
      <c r="H4" s="47" t="s">
        <v>2</v>
      </c>
    </row>
    <row r="5" spans="1:10" ht="15.75" thickBot="1" x14ac:dyDescent="0.3">
      <c r="A5" s="104" t="s">
        <v>29</v>
      </c>
      <c r="B5" s="104"/>
      <c r="C5" s="49" t="s">
        <v>3</v>
      </c>
      <c r="D5" s="48" t="s">
        <v>4</v>
      </c>
      <c r="E5" s="48" t="s">
        <v>5</v>
      </c>
      <c r="F5" s="48" t="s">
        <v>5</v>
      </c>
      <c r="G5" s="53" t="s">
        <v>146</v>
      </c>
      <c r="H5" s="48" t="s">
        <v>4</v>
      </c>
    </row>
    <row r="6" spans="1:10" x14ac:dyDescent="0.25">
      <c r="A6" s="105" t="s">
        <v>15</v>
      </c>
      <c r="B6" s="105"/>
      <c r="C6" s="23" t="s">
        <v>145</v>
      </c>
      <c r="D6" s="17">
        <f>1148.11+7643.37+1151.59+7639.89+1155.09+7636.39+1158.59+7632.89</f>
        <v>35165.919999999998</v>
      </c>
      <c r="E6" s="47"/>
      <c r="F6" s="34"/>
      <c r="G6" s="74"/>
      <c r="H6" s="12">
        <f>D6-G6</f>
        <v>35165.919999999998</v>
      </c>
      <c r="I6" s="6"/>
    </row>
    <row r="7" spans="1:10" x14ac:dyDescent="0.25">
      <c r="A7" s="105" t="s">
        <v>15</v>
      </c>
      <c r="B7" s="105"/>
      <c r="C7" s="23" t="s">
        <v>78</v>
      </c>
      <c r="D7" s="17">
        <f>11199.33+11199.33+11199.33+11199.33+11199.33+11199.33+11199.33+11199.33+11199.33+1906.78+6492.72+1141.18+7650.3+1144.64+7646.84</f>
        <v>126776.43</v>
      </c>
      <c r="E7" s="47"/>
      <c r="F7" s="34"/>
      <c r="G7" s="74">
        <f>55996.65+61988.3</f>
        <v>117984.95000000001</v>
      </c>
      <c r="H7" s="12">
        <f>D7-G7</f>
        <v>8791.4799999999814</v>
      </c>
      <c r="I7" s="6"/>
    </row>
    <row r="8" spans="1:10" s="9" customFormat="1" ht="13.9" hidden="1" customHeight="1" x14ac:dyDescent="0.25">
      <c r="A8" s="27">
        <v>43982</v>
      </c>
      <c r="B8" s="9" t="s">
        <v>10</v>
      </c>
      <c r="C8" s="35" t="s">
        <v>101</v>
      </c>
      <c r="D8" s="17">
        <f>6657.07-246.45</f>
        <v>6410.62</v>
      </c>
      <c r="E8" s="5"/>
      <c r="F8" s="17">
        <f>-6657.07+246.45+6410.62</f>
        <v>0</v>
      </c>
      <c r="G8" s="11">
        <f>6657.07-246.45</f>
        <v>6410.62</v>
      </c>
      <c r="H8" s="62">
        <f t="shared" ref="H8:H103" si="0">D8-G8</f>
        <v>0</v>
      </c>
      <c r="I8" s="3"/>
      <c r="J8" s="1"/>
    </row>
    <row r="9" spans="1:10" s="9" customFormat="1" ht="13.9" hidden="1" customHeight="1" x14ac:dyDescent="0.25">
      <c r="A9" s="27">
        <v>43982</v>
      </c>
      <c r="B9" s="9" t="s">
        <v>10</v>
      </c>
      <c r="C9" s="35" t="s">
        <v>102</v>
      </c>
      <c r="D9" s="17">
        <f>-39806.95+23.74</f>
        <v>-39783.21</v>
      </c>
      <c r="E9" s="5">
        <f>39806.95-23.74-39783.21</f>
        <v>0</v>
      </c>
      <c r="F9" s="17"/>
      <c r="G9" s="11">
        <f>-39806.95+23.74</f>
        <v>-39783.21</v>
      </c>
      <c r="H9" s="62">
        <f t="shared" si="0"/>
        <v>0</v>
      </c>
      <c r="I9" s="3"/>
      <c r="J9" s="1"/>
    </row>
    <row r="10" spans="1:10" s="9" customFormat="1" ht="13.9" hidden="1" customHeight="1" x14ac:dyDescent="0.25">
      <c r="A10" s="27">
        <v>43982</v>
      </c>
      <c r="B10" s="9" t="s">
        <v>10</v>
      </c>
      <c r="C10" s="35" t="s">
        <v>103</v>
      </c>
      <c r="D10" s="17">
        <f>-27747.51-275.24</f>
        <v>-28022.75</v>
      </c>
      <c r="E10" s="5">
        <f>27747.51+275.24-28022.75</f>
        <v>0</v>
      </c>
      <c r="F10" s="17"/>
      <c r="G10" s="11">
        <f>-27747.51-275.24</f>
        <v>-28022.75</v>
      </c>
      <c r="H10" s="62">
        <f t="shared" si="0"/>
        <v>0</v>
      </c>
      <c r="I10" s="3"/>
      <c r="J10" s="1"/>
    </row>
    <row r="11" spans="1:10" s="9" customFormat="1" ht="13.9" hidden="1" customHeight="1" x14ac:dyDescent="0.25">
      <c r="A11" s="27">
        <v>43982</v>
      </c>
      <c r="B11" s="9" t="s">
        <v>10</v>
      </c>
      <c r="C11" s="35" t="s">
        <v>34</v>
      </c>
      <c r="D11" s="17">
        <f>-25900.51-29.59</f>
        <v>-25930.1</v>
      </c>
      <c r="E11" s="5"/>
      <c r="F11" s="17"/>
      <c r="G11" s="11">
        <f>-25900.51-29.59</f>
        <v>-25930.1</v>
      </c>
      <c r="H11" s="62">
        <f t="shared" si="0"/>
        <v>0</v>
      </c>
      <c r="I11" s="3"/>
      <c r="J11" s="1"/>
    </row>
    <row r="12" spans="1:10" s="9" customFormat="1" ht="13.9" hidden="1" customHeight="1" x14ac:dyDescent="0.25">
      <c r="A12" s="27">
        <v>43982</v>
      </c>
      <c r="B12" s="9" t="s">
        <v>10</v>
      </c>
      <c r="C12" s="35" t="s">
        <v>35</v>
      </c>
      <c r="D12" s="17">
        <f>-33642.7+9266.09</f>
        <v>-24376.609999999997</v>
      </c>
      <c r="E12" s="5"/>
      <c r="F12" s="17"/>
      <c r="G12" s="11">
        <f>-33642.7+9266.09</f>
        <v>-24376.609999999997</v>
      </c>
      <c r="H12" s="62">
        <f t="shared" si="0"/>
        <v>0</v>
      </c>
      <c r="I12" s="3"/>
      <c r="J12" s="1"/>
    </row>
    <row r="13" spans="1:10" s="9" customFormat="1" ht="13.9" hidden="1" customHeight="1" x14ac:dyDescent="0.25">
      <c r="A13" s="27">
        <v>44012</v>
      </c>
      <c r="B13" s="9" t="s">
        <v>10</v>
      </c>
      <c r="C13" s="35" t="s">
        <v>105</v>
      </c>
      <c r="D13" s="17">
        <f>-6884.15+353.43</f>
        <v>-6530.7199999999993</v>
      </c>
      <c r="E13" s="5">
        <f>6884.15-353.43-6530.72</f>
        <v>0</v>
      </c>
      <c r="F13" s="17"/>
      <c r="G13" s="11">
        <v>-6530.7199999999993</v>
      </c>
      <c r="H13" s="62">
        <f t="shared" si="0"/>
        <v>0</v>
      </c>
      <c r="I13" s="3"/>
      <c r="J13" s="1"/>
    </row>
    <row r="14" spans="1:10" s="9" customFormat="1" ht="13.9" hidden="1" customHeight="1" x14ac:dyDescent="0.25">
      <c r="A14" s="27">
        <v>44012</v>
      </c>
      <c r="B14" s="9" t="s">
        <v>10</v>
      </c>
      <c r="C14" s="35" t="s">
        <v>106</v>
      </c>
      <c r="D14" s="17">
        <f>-30007.16+38.79</f>
        <v>-29968.37</v>
      </c>
      <c r="E14" s="5">
        <f>30007.16-38.79-29968.37</f>
        <v>0</v>
      </c>
      <c r="F14" s="17"/>
      <c r="G14" s="11">
        <v>-29968.37</v>
      </c>
      <c r="H14" s="62">
        <f t="shared" si="0"/>
        <v>0</v>
      </c>
      <c r="I14" s="3"/>
      <c r="J14" s="1"/>
    </row>
    <row r="15" spans="1:10" s="9" customFormat="1" ht="13.9" hidden="1" customHeight="1" x14ac:dyDescent="0.25">
      <c r="A15" s="27">
        <v>44012</v>
      </c>
      <c r="B15" s="9" t="s">
        <v>10</v>
      </c>
      <c r="C15" s="35" t="s">
        <v>107</v>
      </c>
      <c r="D15" s="17">
        <f>-45333.66-2312.7</f>
        <v>-47646.36</v>
      </c>
      <c r="E15" s="5">
        <f>45333.66+2312.7-47646.36</f>
        <v>0</v>
      </c>
      <c r="F15" s="17"/>
      <c r="G15" s="11">
        <v>-47646.36</v>
      </c>
      <c r="H15" s="62">
        <f t="shared" si="0"/>
        <v>0</v>
      </c>
      <c r="I15" s="3"/>
      <c r="J15" s="1"/>
    </row>
    <row r="16" spans="1:10" s="9" customFormat="1" ht="13.9" hidden="1" customHeight="1" x14ac:dyDescent="0.25">
      <c r="A16" s="27">
        <v>44012</v>
      </c>
      <c r="B16" s="9" t="s">
        <v>10</v>
      </c>
      <c r="C16" s="35" t="s">
        <v>104</v>
      </c>
      <c r="D16" s="17">
        <v>24376.61</v>
      </c>
      <c r="E16" s="5"/>
      <c r="F16" s="17"/>
      <c r="G16" s="11">
        <v>24376.61</v>
      </c>
      <c r="H16" s="62">
        <f t="shared" si="0"/>
        <v>0</v>
      </c>
      <c r="I16" s="3"/>
      <c r="J16" s="1"/>
    </row>
    <row r="17" spans="1:10" s="9" customFormat="1" ht="13.9" hidden="1" customHeight="1" x14ac:dyDescent="0.25">
      <c r="A17" s="27">
        <v>44012</v>
      </c>
      <c r="B17" s="9" t="s">
        <v>10</v>
      </c>
      <c r="C17" s="35" t="s">
        <v>39</v>
      </c>
      <c r="D17" s="17">
        <v>-2833.36</v>
      </c>
      <c r="E17" s="5"/>
      <c r="F17" s="17"/>
      <c r="G17" s="11">
        <v>-2833.36</v>
      </c>
      <c r="H17" s="62">
        <f t="shared" si="0"/>
        <v>0</v>
      </c>
      <c r="I17" s="3"/>
      <c r="J17" s="1"/>
    </row>
    <row r="18" spans="1:10" s="9" customFormat="1" ht="13.9" hidden="1" customHeight="1" x14ac:dyDescent="0.25">
      <c r="A18" s="27">
        <v>44012</v>
      </c>
      <c r="B18" s="9" t="s">
        <v>10</v>
      </c>
      <c r="C18" s="35" t="s">
        <v>34</v>
      </c>
      <c r="D18" s="17">
        <f>382.03-0.01</f>
        <v>382.02</v>
      </c>
      <c r="E18" s="5"/>
      <c r="F18" s="17"/>
      <c r="G18" s="11">
        <v>382.02</v>
      </c>
      <c r="H18" s="62">
        <f t="shared" si="0"/>
        <v>0</v>
      </c>
      <c r="I18" s="3"/>
      <c r="J18" s="1"/>
    </row>
    <row r="19" spans="1:10" s="9" customFormat="1" ht="13.9" hidden="1" customHeight="1" x14ac:dyDescent="0.25">
      <c r="A19" s="27">
        <v>44012</v>
      </c>
      <c r="B19" s="9" t="s">
        <v>10</v>
      </c>
      <c r="C19" s="35" t="s">
        <v>35</v>
      </c>
      <c r="D19" s="17">
        <v>-33642.699999999997</v>
      </c>
      <c r="E19" s="5"/>
      <c r="F19" s="17"/>
      <c r="G19" s="11">
        <v>-33642.699999999997</v>
      </c>
      <c r="H19" s="62">
        <f t="shared" si="0"/>
        <v>0</v>
      </c>
      <c r="I19" s="3"/>
      <c r="J19" s="1"/>
    </row>
    <row r="20" spans="1:10" s="9" customFormat="1" ht="13.9" hidden="1" customHeight="1" x14ac:dyDescent="0.25">
      <c r="A20" s="27">
        <v>44043</v>
      </c>
      <c r="B20" s="9" t="s">
        <v>13</v>
      </c>
      <c r="C20" s="35" t="s">
        <v>108</v>
      </c>
      <c r="D20" s="17">
        <f>-83244.29-875.23</f>
        <v>-84119.51999999999</v>
      </c>
      <c r="E20" s="5">
        <f>83244.29+875.23-84119.52</f>
        <v>0</v>
      </c>
      <c r="F20" s="17"/>
      <c r="G20" s="11">
        <v>-84119.51999999999</v>
      </c>
      <c r="H20" s="62">
        <f t="shared" si="0"/>
        <v>0</v>
      </c>
      <c r="I20" s="3"/>
      <c r="J20" s="1"/>
    </row>
    <row r="21" spans="1:10" s="9" customFormat="1" ht="13.9" hidden="1" customHeight="1" x14ac:dyDescent="0.25">
      <c r="A21" s="27">
        <v>44043</v>
      </c>
      <c r="B21" s="9" t="s">
        <v>13</v>
      </c>
      <c r="C21" s="35" t="s">
        <v>109</v>
      </c>
      <c r="D21" s="17">
        <f>-25846.06-271.75</f>
        <v>-26117.81</v>
      </c>
      <c r="E21" s="5">
        <f>25846.06+271.75-26117.81</f>
        <v>0</v>
      </c>
      <c r="F21" s="17"/>
      <c r="G21" s="11">
        <v>-26117.81</v>
      </c>
      <c r="H21" s="62">
        <f t="shared" si="0"/>
        <v>0</v>
      </c>
      <c r="I21" s="3"/>
      <c r="J21" s="1"/>
    </row>
    <row r="22" spans="1:10" s="9" customFormat="1" ht="13.9" hidden="1" customHeight="1" x14ac:dyDescent="0.25">
      <c r="A22" s="27">
        <v>44043</v>
      </c>
      <c r="B22" s="9" t="s">
        <v>13</v>
      </c>
      <c r="C22" s="35" t="s">
        <v>110</v>
      </c>
      <c r="D22" s="17">
        <f>4826.49+671.36</f>
        <v>5497.8499999999995</v>
      </c>
      <c r="E22" s="5"/>
      <c r="F22" s="17">
        <f>-4826.49-671.36+5497.85</f>
        <v>0</v>
      </c>
      <c r="G22" s="11">
        <v>5497.8499999999995</v>
      </c>
      <c r="H22" s="62">
        <f t="shared" si="0"/>
        <v>0</v>
      </c>
      <c r="I22" s="3"/>
      <c r="J22" s="1"/>
    </row>
    <row r="23" spans="1:10" s="9" customFormat="1" ht="13.9" hidden="1" customHeight="1" x14ac:dyDescent="0.25">
      <c r="A23" s="27">
        <v>44043</v>
      </c>
      <c r="B23" s="9" t="s">
        <v>13</v>
      </c>
      <c r="C23" s="35" t="s">
        <v>37</v>
      </c>
      <c r="D23" s="17">
        <v>0</v>
      </c>
      <c r="E23" s="5"/>
      <c r="F23" s="17"/>
      <c r="G23" s="11">
        <v>0</v>
      </c>
      <c r="H23" s="62">
        <f t="shared" si="0"/>
        <v>0</v>
      </c>
      <c r="I23" s="3"/>
      <c r="J23" s="1"/>
    </row>
    <row r="24" spans="1:10" s="9" customFormat="1" ht="13.9" hidden="1" customHeight="1" x14ac:dyDescent="0.25">
      <c r="A24" s="27">
        <v>44043</v>
      </c>
      <c r="B24" s="9" t="s">
        <v>13</v>
      </c>
      <c r="C24" s="35" t="s">
        <v>111</v>
      </c>
      <c r="D24" s="17">
        <v>33642.699999999997</v>
      </c>
      <c r="E24" s="5"/>
      <c r="F24" s="17"/>
      <c r="G24" s="11">
        <v>33642.699999999997</v>
      </c>
      <c r="H24" s="62">
        <f t="shared" si="0"/>
        <v>0</v>
      </c>
      <c r="I24" s="3"/>
      <c r="J24" s="1"/>
    </row>
    <row r="25" spans="1:10" s="9" customFormat="1" ht="13.9" hidden="1" customHeight="1" x14ac:dyDescent="0.25">
      <c r="A25" s="27">
        <v>44043</v>
      </c>
      <c r="B25" s="9" t="s">
        <v>13</v>
      </c>
      <c r="C25" s="35" t="s">
        <v>39</v>
      </c>
      <c r="D25" s="17">
        <f>-2041.69+3208.37</f>
        <v>1166.6799999999998</v>
      </c>
      <c r="E25" s="5"/>
      <c r="F25" s="17"/>
      <c r="G25" s="11">
        <v>1166.6799999999998</v>
      </c>
      <c r="H25" s="62">
        <f t="shared" si="0"/>
        <v>0</v>
      </c>
      <c r="I25" s="3"/>
      <c r="J25" s="1"/>
    </row>
    <row r="26" spans="1:10" s="9" customFormat="1" ht="13.9" hidden="1" customHeight="1" x14ac:dyDescent="0.25">
      <c r="A26" s="27">
        <v>44043</v>
      </c>
      <c r="B26" s="9" t="s">
        <v>13</v>
      </c>
      <c r="C26" s="35" t="s">
        <v>34</v>
      </c>
      <c r="D26" s="17">
        <f>33893.09+757.05</f>
        <v>34650.14</v>
      </c>
      <c r="E26" s="5"/>
      <c r="F26" s="17"/>
      <c r="G26" s="11">
        <v>34650.14</v>
      </c>
      <c r="H26" s="62">
        <f t="shared" si="0"/>
        <v>0</v>
      </c>
      <c r="I26" s="3"/>
      <c r="J26" s="1"/>
    </row>
    <row r="27" spans="1:10" s="9" customFormat="1" ht="13.9" hidden="1" customHeight="1" x14ac:dyDescent="0.25">
      <c r="A27" s="27">
        <v>44043</v>
      </c>
      <c r="B27" s="9" t="s">
        <v>13</v>
      </c>
      <c r="C27" s="35" t="s">
        <v>35</v>
      </c>
      <c r="D27" s="17">
        <v>-40947.879999999997</v>
      </c>
      <c r="E27" s="5"/>
      <c r="F27" s="17"/>
      <c r="G27" s="11">
        <v>-40947.879999999997</v>
      </c>
      <c r="H27" s="62">
        <f t="shared" si="0"/>
        <v>0</v>
      </c>
      <c r="I27" s="3"/>
      <c r="J27" s="1"/>
    </row>
    <row r="28" spans="1:10" s="9" customFormat="1" ht="13.9" hidden="1" customHeight="1" x14ac:dyDescent="0.25">
      <c r="A28" s="27">
        <v>44074</v>
      </c>
      <c r="B28" s="18" t="s">
        <v>13</v>
      </c>
      <c r="C28" s="65" t="s">
        <v>112</v>
      </c>
      <c r="D28" s="17">
        <f>-108715.97+13701.77</f>
        <v>-95014.2</v>
      </c>
      <c r="E28" s="5">
        <f>108715.97-13701.77-95014.2</f>
        <v>0</v>
      </c>
      <c r="F28" s="17"/>
      <c r="G28" s="11">
        <v>-95014.2</v>
      </c>
      <c r="H28" s="62">
        <f t="shared" si="0"/>
        <v>0</v>
      </c>
      <c r="I28" s="3"/>
      <c r="J28" s="1"/>
    </row>
    <row r="29" spans="1:10" s="9" customFormat="1" ht="13.9" hidden="1" customHeight="1" x14ac:dyDescent="0.25">
      <c r="A29" s="27">
        <v>44074</v>
      </c>
      <c r="B29" s="18" t="s">
        <v>13</v>
      </c>
      <c r="C29" s="65" t="s">
        <v>113</v>
      </c>
      <c r="D29" s="17">
        <f>-52697.04+39912.35</f>
        <v>-12784.690000000002</v>
      </c>
      <c r="E29" s="5">
        <f>52697.04-39912.35-12784.69</f>
        <v>0</v>
      </c>
      <c r="F29" s="17"/>
      <c r="G29" s="11">
        <v>-12784.690000000002</v>
      </c>
      <c r="H29" s="62">
        <f t="shared" si="0"/>
        <v>0</v>
      </c>
      <c r="I29" s="3"/>
      <c r="J29" s="1"/>
    </row>
    <row r="30" spans="1:10" s="9" customFormat="1" ht="13.9" hidden="1" customHeight="1" x14ac:dyDescent="0.25">
      <c r="A30" s="27">
        <v>44074</v>
      </c>
      <c r="B30" s="18" t="s">
        <v>13</v>
      </c>
      <c r="C30" s="65" t="s">
        <v>114</v>
      </c>
      <c r="D30" s="17">
        <f>4362.1-1.63</f>
        <v>4360.47</v>
      </c>
      <c r="E30" s="5"/>
      <c r="F30" s="17">
        <f>-4362.1+1.63+4360.47</f>
        <v>0</v>
      </c>
      <c r="G30" s="11">
        <v>4360.47</v>
      </c>
      <c r="H30" s="62">
        <f t="shared" si="0"/>
        <v>0</v>
      </c>
      <c r="I30" s="3"/>
      <c r="J30" s="1"/>
    </row>
    <row r="31" spans="1:10" s="9" customFormat="1" ht="13.9" hidden="1" customHeight="1" x14ac:dyDescent="0.25">
      <c r="A31" s="27">
        <v>44074</v>
      </c>
      <c r="B31" s="18" t="s">
        <v>13</v>
      </c>
      <c r="C31" s="65" t="s">
        <v>37</v>
      </c>
      <c r="D31" s="17">
        <v>0</v>
      </c>
      <c r="E31" s="5"/>
      <c r="F31" s="17"/>
      <c r="G31" s="11">
        <v>0</v>
      </c>
      <c r="H31" s="62">
        <f t="shared" si="0"/>
        <v>0</v>
      </c>
      <c r="I31" s="3"/>
      <c r="J31" s="1"/>
    </row>
    <row r="32" spans="1:10" s="9" customFormat="1" ht="13.9" hidden="1" customHeight="1" x14ac:dyDescent="0.25">
      <c r="A32" s="27">
        <v>44074</v>
      </c>
      <c r="B32" s="18" t="s">
        <v>13</v>
      </c>
      <c r="C32" s="65" t="s">
        <v>115</v>
      </c>
      <c r="D32" s="17">
        <v>40947.879999999997</v>
      </c>
      <c r="E32" s="5"/>
      <c r="F32" s="17"/>
      <c r="G32" s="11">
        <v>40947.879999999997</v>
      </c>
      <c r="H32" s="62">
        <f t="shared" si="0"/>
        <v>0</v>
      </c>
      <c r="I32" s="3"/>
      <c r="J32" s="1"/>
    </row>
    <row r="33" spans="1:10" s="9" customFormat="1" ht="13.9" hidden="1" customHeight="1" x14ac:dyDescent="0.25">
      <c r="A33" s="27">
        <v>44074</v>
      </c>
      <c r="B33" s="18" t="s">
        <v>13</v>
      </c>
      <c r="C33" s="65" t="s">
        <v>127</v>
      </c>
      <c r="D33" s="17">
        <v>-1958.35</v>
      </c>
      <c r="E33" s="5"/>
      <c r="F33" s="17"/>
      <c r="G33" s="11">
        <v>-1958.35</v>
      </c>
      <c r="H33" s="62">
        <f t="shared" si="0"/>
        <v>0</v>
      </c>
      <c r="I33" s="3"/>
      <c r="J33" s="1"/>
    </row>
    <row r="34" spans="1:10" s="9" customFormat="1" ht="13.9" hidden="1" customHeight="1" x14ac:dyDescent="0.25">
      <c r="A34" s="27">
        <v>44074</v>
      </c>
      <c r="B34" s="18" t="s">
        <v>13</v>
      </c>
      <c r="C34" s="65" t="s">
        <v>128</v>
      </c>
      <c r="D34" s="17">
        <f>-14987.39+14229.62</f>
        <v>-757.76999999999862</v>
      </c>
      <c r="E34" s="5"/>
      <c r="F34" s="17"/>
      <c r="G34" s="11">
        <v>-757.76999999999862</v>
      </c>
      <c r="H34" s="62">
        <f t="shared" si="0"/>
        <v>0</v>
      </c>
      <c r="I34" s="3"/>
      <c r="J34" s="1"/>
    </row>
    <row r="35" spans="1:10" s="9" customFormat="1" ht="13.9" hidden="1" customHeight="1" x14ac:dyDescent="0.25">
      <c r="A35" s="27">
        <v>44074</v>
      </c>
      <c r="B35" s="18" t="s">
        <v>13</v>
      </c>
      <c r="C35" s="65" t="s">
        <v>129</v>
      </c>
      <c r="D35" s="17">
        <f>-37867.09</f>
        <v>-37867.089999999997</v>
      </c>
      <c r="E35" s="5"/>
      <c r="F35" s="17"/>
      <c r="G35" s="11">
        <v>-37867.089999999997</v>
      </c>
      <c r="H35" s="62">
        <f t="shared" si="0"/>
        <v>0</v>
      </c>
      <c r="I35" s="3"/>
      <c r="J35" s="1"/>
    </row>
    <row r="36" spans="1:10" s="9" customFormat="1" ht="13.9" hidden="1" customHeight="1" x14ac:dyDescent="0.25">
      <c r="A36" s="27">
        <v>44074</v>
      </c>
      <c r="B36" s="18" t="s">
        <v>13</v>
      </c>
      <c r="C36" s="65" t="s">
        <v>130</v>
      </c>
      <c r="D36" s="17">
        <v>-135.47999999999999</v>
      </c>
      <c r="E36" s="5"/>
      <c r="F36" s="17"/>
      <c r="G36" s="11">
        <v>-135.47999999999999</v>
      </c>
      <c r="H36" s="62">
        <f t="shared" si="0"/>
        <v>0</v>
      </c>
      <c r="I36" s="3"/>
      <c r="J36" s="1"/>
    </row>
    <row r="37" spans="1:10" s="9" customFormat="1" ht="13.9" hidden="1" customHeight="1" x14ac:dyDescent="0.25">
      <c r="A37" s="27">
        <v>44104</v>
      </c>
      <c r="B37" s="18" t="s">
        <v>13</v>
      </c>
      <c r="C37" s="65" t="s">
        <v>117</v>
      </c>
      <c r="D37" s="17">
        <f>-37463.1+1902.1</f>
        <v>-35561</v>
      </c>
      <c r="E37" s="5">
        <f>37463.1-1902.1-35561</f>
        <v>0</v>
      </c>
      <c r="F37" s="17"/>
      <c r="G37" s="11">
        <v>-35561</v>
      </c>
      <c r="H37" s="62">
        <f t="shared" si="0"/>
        <v>0</v>
      </c>
      <c r="I37" s="3"/>
      <c r="J37" s="1"/>
    </row>
    <row r="38" spans="1:10" s="9" customFormat="1" ht="13.9" hidden="1" customHeight="1" x14ac:dyDescent="0.25">
      <c r="A38" s="27">
        <v>44104</v>
      </c>
      <c r="B38" s="18" t="s">
        <v>13</v>
      </c>
      <c r="C38" s="65" t="s">
        <v>118</v>
      </c>
      <c r="D38" s="17">
        <f>-11819.68+600.12</f>
        <v>-11219.56</v>
      </c>
      <c r="E38" s="5">
        <f>11819.68-600.12-11219.56</f>
        <v>0</v>
      </c>
      <c r="F38" s="17"/>
      <c r="G38" s="11">
        <v>-11219.56</v>
      </c>
      <c r="H38" s="62">
        <f t="shared" si="0"/>
        <v>0</v>
      </c>
      <c r="I38" s="3"/>
      <c r="J38" s="1"/>
    </row>
    <row r="39" spans="1:10" s="9" customFormat="1" ht="13.9" hidden="1" customHeight="1" x14ac:dyDescent="0.25">
      <c r="A39" s="27">
        <v>44104</v>
      </c>
      <c r="B39" s="18" t="s">
        <v>13</v>
      </c>
      <c r="C39" s="65" t="s">
        <v>119</v>
      </c>
      <c r="D39" s="17">
        <v>20528.650000000001</v>
      </c>
      <c r="E39" s="5"/>
      <c r="F39" s="17">
        <f>-20528.65+20528.65</f>
        <v>0</v>
      </c>
      <c r="G39" s="11">
        <v>20528.650000000001</v>
      </c>
      <c r="H39" s="62">
        <f t="shared" si="0"/>
        <v>0</v>
      </c>
      <c r="I39" s="3"/>
      <c r="J39" s="1"/>
    </row>
    <row r="40" spans="1:10" s="9" customFormat="1" ht="13.9" hidden="1" customHeight="1" x14ac:dyDescent="0.25">
      <c r="A40" s="27">
        <v>44104</v>
      </c>
      <c r="B40" s="18" t="s">
        <v>13</v>
      </c>
      <c r="C40" s="65" t="s">
        <v>121</v>
      </c>
      <c r="D40" s="17">
        <v>37867.089999999997</v>
      </c>
      <c r="E40" s="5"/>
      <c r="F40" s="17"/>
      <c r="G40" s="11">
        <v>37867.089999999997</v>
      </c>
      <c r="H40" s="62">
        <f t="shared" si="0"/>
        <v>0</v>
      </c>
      <c r="I40" s="3"/>
      <c r="J40" s="1"/>
    </row>
    <row r="41" spans="1:10" s="9" customFormat="1" ht="13.9" hidden="1" customHeight="1" x14ac:dyDescent="0.25">
      <c r="A41" s="27">
        <v>44104</v>
      </c>
      <c r="B41" s="9" t="s">
        <v>13</v>
      </c>
      <c r="C41" s="35" t="s">
        <v>127</v>
      </c>
      <c r="D41" s="17">
        <v>-2000.02</v>
      </c>
      <c r="E41" s="5"/>
      <c r="F41" s="17"/>
      <c r="G41" s="11">
        <v>-2000.02</v>
      </c>
      <c r="H41" s="62">
        <f t="shared" si="0"/>
        <v>0</v>
      </c>
      <c r="I41" s="3"/>
      <c r="J41" s="1"/>
    </row>
    <row r="42" spans="1:10" s="9" customFormat="1" ht="13.9" hidden="1" customHeight="1" x14ac:dyDescent="0.25">
      <c r="A42" s="27">
        <v>44104</v>
      </c>
      <c r="B42" s="9" t="s">
        <v>13</v>
      </c>
      <c r="C42" s="35" t="s">
        <v>128</v>
      </c>
      <c r="D42" s="17">
        <v>-14372.82</v>
      </c>
      <c r="E42" s="5"/>
      <c r="F42" s="17"/>
      <c r="G42" s="11">
        <v>-14372.82</v>
      </c>
      <c r="H42" s="62">
        <f>D42-G42</f>
        <v>0</v>
      </c>
      <c r="I42" s="3"/>
      <c r="J42" s="1"/>
    </row>
    <row r="43" spans="1:10" s="9" customFormat="1" ht="13.9" hidden="1" customHeight="1" x14ac:dyDescent="0.25">
      <c r="A43" s="27">
        <v>44104</v>
      </c>
      <c r="B43" s="9" t="s">
        <v>13</v>
      </c>
      <c r="C43" s="35" t="s">
        <v>129</v>
      </c>
      <c r="D43" s="17">
        <v>-47238.51</v>
      </c>
      <c r="E43" s="5"/>
      <c r="F43" s="17"/>
      <c r="G43" s="11">
        <v>-47238.51</v>
      </c>
      <c r="H43" s="62">
        <f t="shared" si="0"/>
        <v>0</v>
      </c>
      <c r="I43" s="3"/>
      <c r="J43" s="1"/>
    </row>
    <row r="44" spans="1:10" s="9" customFormat="1" ht="13.9" hidden="1" customHeight="1" x14ac:dyDescent="0.25">
      <c r="A44" s="27">
        <v>44135</v>
      </c>
      <c r="B44" s="9" t="s">
        <v>18</v>
      </c>
      <c r="C44" s="35" t="s">
        <v>124</v>
      </c>
      <c r="D44" s="17">
        <f>64170.88+1365.58</f>
        <v>65536.459999999992</v>
      </c>
      <c r="E44" s="5"/>
      <c r="F44" s="17">
        <f>-64170.88-1365.58+65536.46</f>
        <v>0</v>
      </c>
      <c r="G44" s="11">
        <v>65536.459999999992</v>
      </c>
      <c r="H44" s="62">
        <f t="shared" si="0"/>
        <v>0</v>
      </c>
      <c r="I44" s="3"/>
      <c r="J44" s="1"/>
    </row>
    <row r="45" spans="1:10" s="9" customFormat="1" ht="13.9" customHeight="1" x14ac:dyDescent="0.25">
      <c r="A45" s="27">
        <v>44135</v>
      </c>
      <c r="B45" s="9" t="s">
        <v>18</v>
      </c>
      <c r="C45" s="35" t="s">
        <v>125</v>
      </c>
      <c r="D45" s="17">
        <f>-33917.68-1172.07</f>
        <v>-35089.75</v>
      </c>
      <c r="E45" s="5">
        <f>33917.68+1172.07-35089.75</f>
        <v>0</v>
      </c>
      <c r="F45" s="17"/>
      <c r="G45" s="11">
        <v>-33917.68</v>
      </c>
      <c r="H45" s="62">
        <f t="shared" si="0"/>
        <v>-1172.0699999999997</v>
      </c>
      <c r="I45" s="3"/>
      <c r="J45" s="1"/>
    </row>
    <row r="46" spans="1:10" s="9" customFormat="1" ht="13.9" hidden="1" customHeight="1" x14ac:dyDescent="0.25">
      <c r="A46" s="27">
        <v>44135</v>
      </c>
      <c r="B46" s="9" t="s">
        <v>18</v>
      </c>
      <c r="C46" s="35" t="s">
        <v>126</v>
      </c>
      <c r="D46" s="17">
        <f>10587.87+44.55</f>
        <v>10632.42</v>
      </c>
      <c r="E46" s="5"/>
      <c r="F46" s="17">
        <f>-10587.87-44.55+10632.42</f>
        <v>0</v>
      </c>
      <c r="G46" s="11">
        <v>10632.42</v>
      </c>
      <c r="H46" s="62">
        <f t="shared" si="0"/>
        <v>0</v>
      </c>
      <c r="I46" s="3"/>
      <c r="J46" s="1"/>
    </row>
    <row r="47" spans="1:10" s="9" customFormat="1" ht="13.9" hidden="1" customHeight="1" x14ac:dyDescent="0.25">
      <c r="A47" s="27">
        <v>44135</v>
      </c>
      <c r="B47" s="9" t="s">
        <v>18</v>
      </c>
      <c r="C47" s="35" t="s">
        <v>122</v>
      </c>
      <c r="D47" s="17">
        <v>300.42</v>
      </c>
      <c r="E47" s="5"/>
      <c r="F47" s="17"/>
      <c r="G47" s="11">
        <v>300.42</v>
      </c>
      <c r="H47" s="62">
        <f t="shared" si="0"/>
        <v>0</v>
      </c>
      <c r="I47" s="3"/>
      <c r="J47" s="1"/>
    </row>
    <row r="48" spans="1:10" s="9" customFormat="1" ht="13.9" hidden="1" customHeight="1" x14ac:dyDescent="0.25">
      <c r="A48" s="27">
        <v>44135</v>
      </c>
      <c r="B48" s="9" t="s">
        <v>18</v>
      </c>
      <c r="C48" s="35" t="s">
        <v>123</v>
      </c>
      <c r="D48" s="17">
        <v>47238.51</v>
      </c>
      <c r="E48" s="5"/>
      <c r="F48" s="17"/>
      <c r="G48" s="11">
        <v>47238.51</v>
      </c>
      <c r="H48" s="62">
        <f t="shared" si="0"/>
        <v>0</v>
      </c>
      <c r="I48" s="3"/>
      <c r="J48" s="1"/>
    </row>
    <row r="49" spans="1:10" s="9" customFormat="1" ht="13.9" hidden="1" customHeight="1" x14ac:dyDescent="0.25">
      <c r="A49" s="27">
        <v>44135</v>
      </c>
      <c r="B49" s="9" t="s">
        <v>18</v>
      </c>
      <c r="C49" s="35" t="s">
        <v>39</v>
      </c>
      <c r="D49" s="17">
        <v>-2041.72</v>
      </c>
      <c r="E49" s="5"/>
      <c r="F49" s="17"/>
      <c r="G49" s="11">
        <v>-2041.72</v>
      </c>
      <c r="H49" s="62">
        <f t="shared" si="0"/>
        <v>0</v>
      </c>
      <c r="I49" s="3"/>
      <c r="J49" s="1"/>
    </row>
    <row r="50" spans="1:10" s="9" customFormat="1" ht="13.9" hidden="1" customHeight="1" x14ac:dyDescent="0.25">
      <c r="A50" s="27">
        <v>44135</v>
      </c>
      <c r="B50" s="9" t="s">
        <v>18</v>
      </c>
      <c r="C50" s="35" t="s">
        <v>34</v>
      </c>
      <c r="D50" s="17">
        <v>-152373.14000000001</v>
      </c>
      <c r="E50" s="5"/>
      <c r="F50" s="17"/>
      <c r="G50" s="11">
        <v>-152373.14000000001</v>
      </c>
      <c r="H50" s="62">
        <f t="shared" si="0"/>
        <v>0</v>
      </c>
      <c r="I50" s="3"/>
      <c r="J50" s="1"/>
    </row>
    <row r="51" spans="1:10" s="9" customFormat="1" ht="13.9" hidden="1" customHeight="1" x14ac:dyDescent="0.25">
      <c r="A51" s="27">
        <v>44135</v>
      </c>
      <c r="B51" s="9" t="s">
        <v>18</v>
      </c>
      <c r="C51" s="35" t="s">
        <v>35</v>
      </c>
      <c r="D51" s="17">
        <v>-25801.4</v>
      </c>
      <c r="E51" s="5"/>
      <c r="F51" s="17"/>
      <c r="G51" s="11">
        <v>-25801.4</v>
      </c>
      <c r="H51" s="62">
        <f t="shared" si="0"/>
        <v>0</v>
      </c>
      <c r="I51" s="3"/>
      <c r="J51" s="1"/>
    </row>
    <row r="52" spans="1:10" s="9" customFormat="1" ht="13.9" customHeight="1" x14ac:dyDescent="0.25">
      <c r="A52" s="27">
        <v>44165</v>
      </c>
      <c r="B52" s="9" t="s">
        <v>18</v>
      </c>
      <c r="C52" s="35" t="s">
        <v>131</v>
      </c>
      <c r="D52" s="17">
        <f>-79402.45-127.71</f>
        <v>-79530.16</v>
      </c>
      <c r="E52" s="5">
        <f>127.71+79402.45-79530.16</f>
        <v>0</v>
      </c>
      <c r="F52" s="17"/>
      <c r="G52" s="11">
        <v>-79402.45</v>
      </c>
      <c r="H52" s="62">
        <f t="shared" si="0"/>
        <v>-127.7100000000064</v>
      </c>
      <c r="I52" s="3"/>
      <c r="J52" s="1"/>
    </row>
    <row r="53" spans="1:10" s="9" customFormat="1" ht="13.9" customHeight="1" x14ac:dyDescent="0.25">
      <c r="A53" s="27">
        <v>44165</v>
      </c>
      <c r="B53" s="9" t="s">
        <v>18</v>
      </c>
      <c r="C53" s="35" t="s">
        <v>132</v>
      </c>
      <c r="D53" s="17">
        <f>-80066.48-128.77</f>
        <v>-80195.25</v>
      </c>
      <c r="E53" s="5">
        <f>80066.48+128.77-80195.25</f>
        <v>0</v>
      </c>
      <c r="F53" s="17"/>
      <c r="G53" s="11">
        <v>-80066.48</v>
      </c>
      <c r="H53" s="62">
        <f t="shared" si="0"/>
        <v>-128.77000000000407</v>
      </c>
      <c r="I53" s="3"/>
      <c r="J53" s="1"/>
    </row>
    <row r="54" spans="1:10" s="9" customFormat="1" ht="13.9" customHeight="1" x14ac:dyDescent="0.25">
      <c r="A54" s="27">
        <v>44165</v>
      </c>
      <c r="B54" s="9" t="s">
        <v>18</v>
      </c>
      <c r="C54" s="35" t="s">
        <v>133</v>
      </c>
      <c r="D54" s="17">
        <f>23388.88+0.6</f>
        <v>23389.48</v>
      </c>
      <c r="E54" s="5"/>
      <c r="F54" s="17">
        <f>-23388.88-0.6+23389.48</f>
        <v>0</v>
      </c>
      <c r="G54" s="11">
        <v>23388.880000000001</v>
      </c>
      <c r="H54" s="62">
        <f t="shared" si="0"/>
        <v>0.59999999999854481</v>
      </c>
      <c r="I54" s="3"/>
      <c r="J54" s="1"/>
    </row>
    <row r="55" spans="1:10" s="9" customFormat="1" ht="13.9" hidden="1" customHeight="1" x14ac:dyDescent="0.25">
      <c r="A55" s="27">
        <v>44165</v>
      </c>
      <c r="B55" s="9" t="s">
        <v>18</v>
      </c>
      <c r="C55" s="35" t="s">
        <v>134</v>
      </c>
      <c r="D55" s="17">
        <v>25801.4</v>
      </c>
      <c r="E55" s="5"/>
      <c r="F55" s="17"/>
      <c r="G55" s="11">
        <v>25801.4</v>
      </c>
      <c r="H55" s="62">
        <f t="shared" si="0"/>
        <v>0</v>
      </c>
      <c r="I55" s="3"/>
      <c r="J55" s="1"/>
    </row>
    <row r="56" spans="1:10" s="9" customFormat="1" ht="13.9" hidden="1" customHeight="1" x14ac:dyDescent="0.25">
      <c r="A56" s="27">
        <v>44165</v>
      </c>
      <c r="B56" s="9" t="s">
        <v>18</v>
      </c>
      <c r="C56" s="35" t="s">
        <v>39</v>
      </c>
      <c r="D56" s="17">
        <v>-2166.69</v>
      </c>
      <c r="E56" s="5"/>
      <c r="F56" s="17"/>
      <c r="G56" s="11">
        <v>-2166.69</v>
      </c>
      <c r="H56" s="62">
        <f t="shared" si="0"/>
        <v>0</v>
      </c>
      <c r="I56" s="3"/>
      <c r="J56" s="1"/>
    </row>
    <row r="57" spans="1:10" s="9" customFormat="1" ht="13.9" hidden="1" customHeight="1" x14ac:dyDescent="0.25">
      <c r="A57" s="27">
        <v>44165</v>
      </c>
      <c r="B57" s="9" t="s">
        <v>18</v>
      </c>
      <c r="C57" s="35" t="s">
        <v>34</v>
      </c>
      <c r="D57" s="17">
        <v>73988.95</v>
      </c>
      <c r="E57" s="5"/>
      <c r="F57" s="17"/>
      <c r="G57" s="11">
        <v>73988.95</v>
      </c>
      <c r="H57" s="62">
        <f t="shared" si="0"/>
        <v>0</v>
      </c>
      <c r="I57" s="3"/>
      <c r="J57" s="1"/>
    </row>
    <row r="58" spans="1:10" s="9" customFormat="1" ht="13.9" customHeight="1" x14ac:dyDescent="0.25">
      <c r="A58" s="27">
        <v>44165</v>
      </c>
      <c r="B58" s="9" t="s">
        <v>18</v>
      </c>
      <c r="C58" s="35" t="s">
        <v>35</v>
      </c>
      <c r="D58" s="17">
        <f>-53621.76+300</f>
        <v>-53321.760000000002</v>
      </c>
      <c r="E58" s="5"/>
      <c r="F58" s="17"/>
      <c r="G58" s="11">
        <v>-53621.760000000002</v>
      </c>
      <c r="H58" s="62">
        <f t="shared" si="0"/>
        <v>300</v>
      </c>
      <c r="I58" s="3"/>
      <c r="J58" s="1"/>
    </row>
    <row r="59" spans="1:10" s="9" customFormat="1" ht="13.9" hidden="1" customHeight="1" x14ac:dyDescent="0.25">
      <c r="A59" s="27">
        <v>44165</v>
      </c>
      <c r="B59" s="9" t="s">
        <v>18</v>
      </c>
      <c r="C59" s="35" t="s">
        <v>76</v>
      </c>
      <c r="D59" s="17">
        <v>0</v>
      </c>
      <c r="E59" s="5"/>
      <c r="F59" s="17"/>
      <c r="G59" s="38"/>
      <c r="H59" s="62">
        <f t="shared" si="0"/>
        <v>0</v>
      </c>
      <c r="I59" s="3"/>
      <c r="J59" s="1"/>
    </row>
    <row r="60" spans="1:10" s="9" customFormat="1" ht="13.9" customHeight="1" x14ac:dyDescent="0.25">
      <c r="A60" s="27">
        <v>44196</v>
      </c>
      <c r="B60" s="9" t="s">
        <v>18</v>
      </c>
      <c r="C60" s="35" t="s">
        <v>135</v>
      </c>
      <c r="D60" s="17">
        <f>102485.65+1508.75</f>
        <v>103994.4</v>
      </c>
      <c r="E60" s="5"/>
      <c r="F60" s="17">
        <f>-102485.65-1508.75+103994.4</f>
        <v>0</v>
      </c>
      <c r="G60" s="38"/>
      <c r="H60" s="62">
        <f t="shared" si="0"/>
        <v>103994.4</v>
      </c>
      <c r="I60" s="3"/>
      <c r="J60" s="1"/>
    </row>
    <row r="61" spans="1:10" s="9" customFormat="1" ht="13.9" customHeight="1" x14ac:dyDescent="0.25">
      <c r="A61" s="27">
        <v>44196</v>
      </c>
      <c r="B61" s="9" t="s">
        <v>18</v>
      </c>
      <c r="C61" s="35" t="s">
        <v>136</v>
      </c>
      <c r="D61" s="17">
        <f>20128.19+10.1</f>
        <v>20138.289999999997</v>
      </c>
      <c r="E61" s="5"/>
      <c r="F61" s="17">
        <f>-20128.19-10.1+20138.29</f>
        <v>0</v>
      </c>
      <c r="G61" s="38"/>
      <c r="H61" s="62">
        <f t="shared" si="0"/>
        <v>20138.289999999997</v>
      </c>
      <c r="I61" s="3"/>
      <c r="J61" s="1"/>
    </row>
    <row r="62" spans="1:10" s="9" customFormat="1" ht="13.9" customHeight="1" x14ac:dyDescent="0.25">
      <c r="A62" s="27">
        <v>44196</v>
      </c>
      <c r="B62" s="9" t="s">
        <v>18</v>
      </c>
      <c r="C62" s="35" t="s">
        <v>137</v>
      </c>
      <c r="D62" s="17">
        <f>-71825.21-8153.61</f>
        <v>-79978.820000000007</v>
      </c>
      <c r="E62" s="5">
        <f>71825.21+8153.61-79978.82</f>
        <v>0</v>
      </c>
      <c r="F62" s="17"/>
      <c r="G62" s="38"/>
      <c r="H62" s="62">
        <f t="shared" si="0"/>
        <v>-79978.820000000007</v>
      </c>
      <c r="I62" s="3"/>
      <c r="J62" s="1"/>
    </row>
    <row r="63" spans="1:10" s="9" customFormat="1" ht="13.9" customHeight="1" x14ac:dyDescent="0.25">
      <c r="A63" s="27">
        <v>44196</v>
      </c>
      <c r="B63" s="9" t="s">
        <v>18</v>
      </c>
      <c r="C63" s="35" t="s">
        <v>138</v>
      </c>
      <c r="D63" s="17">
        <v>53321.760000000002</v>
      </c>
      <c r="E63" s="5"/>
      <c r="F63" s="17"/>
      <c r="G63" s="38"/>
      <c r="H63" s="62">
        <f t="shared" si="0"/>
        <v>53321.760000000002</v>
      </c>
      <c r="I63" s="3"/>
      <c r="J63" s="1"/>
    </row>
    <row r="64" spans="1:10" s="9" customFormat="1" ht="13.9" customHeight="1" x14ac:dyDescent="0.25">
      <c r="A64" s="27">
        <v>44196</v>
      </c>
      <c r="B64" s="9" t="s">
        <v>18</v>
      </c>
      <c r="C64" s="35" t="s">
        <v>39</v>
      </c>
      <c r="D64" s="17">
        <v>-2791.69</v>
      </c>
      <c r="E64" s="5"/>
      <c r="F64" s="17"/>
      <c r="G64" s="38"/>
      <c r="H64" s="62">
        <f t="shared" si="0"/>
        <v>-2791.69</v>
      </c>
      <c r="I64" s="3"/>
      <c r="J64" s="1"/>
    </row>
    <row r="65" spans="1:10" s="9" customFormat="1" ht="13.9" customHeight="1" x14ac:dyDescent="0.25">
      <c r="A65" s="27">
        <v>44196</v>
      </c>
      <c r="B65" s="9" t="s">
        <v>18</v>
      </c>
      <c r="C65" s="35" t="s">
        <v>34</v>
      </c>
      <c r="D65" s="17">
        <f>-1923.93+7011.57+180</f>
        <v>5267.6399999999994</v>
      </c>
      <c r="E65" s="5"/>
      <c r="F65" s="17"/>
      <c r="G65" s="38"/>
      <c r="H65" s="62">
        <f t="shared" si="0"/>
        <v>5267.6399999999994</v>
      </c>
      <c r="I65" s="3"/>
      <c r="J65" s="1"/>
    </row>
    <row r="66" spans="1:10" s="9" customFormat="1" ht="13.9" customHeight="1" x14ac:dyDescent="0.25">
      <c r="A66" s="27">
        <v>44196</v>
      </c>
      <c r="B66" s="9" t="s">
        <v>18</v>
      </c>
      <c r="C66" s="35" t="s">
        <v>35</v>
      </c>
      <c r="D66" s="17">
        <v>-74388.570000000007</v>
      </c>
      <c r="E66" s="5"/>
      <c r="F66" s="17"/>
      <c r="G66" s="38"/>
      <c r="H66" s="62">
        <f t="shared" si="0"/>
        <v>-74388.570000000007</v>
      </c>
      <c r="I66" s="3"/>
      <c r="J66" s="1"/>
    </row>
    <row r="67" spans="1:10" s="9" customFormat="1" ht="13.9" customHeight="1" x14ac:dyDescent="0.25">
      <c r="A67" s="27">
        <v>44227</v>
      </c>
      <c r="B67" s="9" t="s">
        <v>9</v>
      </c>
      <c r="C67" s="35" t="s">
        <v>144</v>
      </c>
      <c r="D67" s="17">
        <v>1302.08</v>
      </c>
      <c r="E67" s="5"/>
      <c r="F67" s="17"/>
      <c r="G67" s="38"/>
      <c r="H67" s="62">
        <f t="shared" si="0"/>
        <v>1302.08</v>
      </c>
      <c r="I67" s="3"/>
      <c r="J67" s="1"/>
    </row>
    <row r="68" spans="1:10" s="9" customFormat="1" ht="13.9" customHeight="1" x14ac:dyDescent="0.25">
      <c r="A68" s="27">
        <v>44227</v>
      </c>
      <c r="B68" s="9" t="s">
        <v>9</v>
      </c>
      <c r="C68" s="35" t="s">
        <v>140</v>
      </c>
      <c r="D68" s="17">
        <f>361443.6+53107.39</f>
        <v>414550.99</v>
      </c>
      <c r="E68" s="5"/>
      <c r="F68" s="17">
        <f>-361443.6-53107.39+414550.99</f>
        <v>0</v>
      </c>
      <c r="G68" s="38"/>
      <c r="H68" s="62">
        <f t="shared" si="0"/>
        <v>414550.99</v>
      </c>
      <c r="I68" s="3"/>
      <c r="J68" s="1"/>
    </row>
    <row r="69" spans="1:10" s="9" customFormat="1" ht="13.9" customHeight="1" x14ac:dyDescent="0.25">
      <c r="A69" s="27">
        <v>44227</v>
      </c>
      <c r="B69" s="9" t="s">
        <v>9</v>
      </c>
      <c r="C69" s="35" t="s">
        <v>141</v>
      </c>
      <c r="D69" s="17">
        <f>-99869.3+66423.59</f>
        <v>-33445.710000000006</v>
      </c>
      <c r="E69" s="5">
        <f>99869.3-66423.59-33445.71</f>
        <v>0</v>
      </c>
      <c r="F69" s="17"/>
      <c r="G69" s="38"/>
      <c r="H69" s="62">
        <f t="shared" si="0"/>
        <v>-33445.710000000006</v>
      </c>
      <c r="I69" s="3"/>
      <c r="J69" s="1"/>
    </row>
    <row r="70" spans="1:10" s="9" customFormat="1" ht="13.9" customHeight="1" x14ac:dyDescent="0.25">
      <c r="A70" s="27">
        <v>44227</v>
      </c>
      <c r="B70" s="9" t="s">
        <v>9</v>
      </c>
      <c r="C70" s="35" t="s">
        <v>142</v>
      </c>
      <c r="D70" s="17">
        <f>-127977.09-22406.86</f>
        <v>-150383.95000000001</v>
      </c>
      <c r="E70" s="5">
        <f>127977.09+22406.86-150383.95</f>
        <v>0</v>
      </c>
      <c r="F70" s="17"/>
      <c r="G70" s="38"/>
      <c r="H70" s="62">
        <f t="shared" si="0"/>
        <v>-150383.95000000001</v>
      </c>
      <c r="I70" s="3"/>
      <c r="J70" s="1"/>
    </row>
    <row r="71" spans="1:10" s="9" customFormat="1" ht="13.9" customHeight="1" x14ac:dyDescent="0.25">
      <c r="A71" s="27">
        <v>44227</v>
      </c>
      <c r="B71" s="9" t="s">
        <v>9</v>
      </c>
      <c r="C71" s="35" t="s">
        <v>143</v>
      </c>
      <c r="D71" s="17">
        <v>74388.570000000007</v>
      </c>
      <c r="E71" s="5"/>
      <c r="F71" s="17"/>
      <c r="G71" s="38"/>
      <c r="H71" s="62">
        <f t="shared" si="0"/>
        <v>74388.570000000007</v>
      </c>
      <c r="I71" s="3"/>
      <c r="J71" s="1"/>
    </row>
    <row r="72" spans="1:10" s="9" customFormat="1" ht="13.9" customHeight="1" x14ac:dyDescent="0.25">
      <c r="A72" s="27">
        <v>44227</v>
      </c>
      <c r="B72" s="9" t="s">
        <v>9</v>
      </c>
      <c r="C72" s="35" t="s">
        <v>127</v>
      </c>
      <c r="D72" s="17">
        <v>-3000.02</v>
      </c>
      <c r="E72" s="5"/>
      <c r="F72" s="17"/>
      <c r="G72" s="38"/>
      <c r="H72" s="62">
        <f t="shared" si="0"/>
        <v>-3000.02</v>
      </c>
      <c r="I72" s="3"/>
      <c r="J72" s="1"/>
    </row>
    <row r="73" spans="1:10" s="9" customFormat="1" ht="13.9" customHeight="1" x14ac:dyDescent="0.25">
      <c r="A73" s="27">
        <v>44227</v>
      </c>
      <c r="B73" s="9" t="s">
        <v>9</v>
      </c>
      <c r="C73" s="35" t="s">
        <v>128</v>
      </c>
      <c r="D73" s="17">
        <f>-178477.07+23944.61</f>
        <v>-154532.46000000002</v>
      </c>
      <c r="E73" s="5"/>
      <c r="F73" s="17"/>
      <c r="G73" s="38"/>
      <c r="H73" s="62">
        <f t="shared" si="0"/>
        <v>-154532.46000000002</v>
      </c>
      <c r="I73" s="3"/>
      <c r="J73" s="1"/>
    </row>
    <row r="74" spans="1:10" s="9" customFormat="1" ht="13.9" customHeight="1" x14ac:dyDescent="0.25">
      <c r="A74" s="27">
        <v>44227</v>
      </c>
      <c r="B74" s="9" t="s">
        <v>9</v>
      </c>
      <c r="C74" s="35" t="s">
        <v>129</v>
      </c>
      <c r="D74" s="17">
        <v>-42165.79</v>
      </c>
      <c r="E74" s="5"/>
      <c r="F74" s="17"/>
      <c r="G74" s="38"/>
      <c r="H74" s="62">
        <f t="shared" si="0"/>
        <v>-42165.79</v>
      </c>
      <c r="I74" s="3"/>
      <c r="J74" s="1"/>
    </row>
    <row r="75" spans="1:10" s="9" customFormat="1" ht="13.9" customHeight="1" x14ac:dyDescent="0.25">
      <c r="A75" s="27">
        <v>44255</v>
      </c>
      <c r="B75" s="9" t="s">
        <v>9</v>
      </c>
      <c r="C75" s="35" t="s">
        <v>144</v>
      </c>
      <c r="D75" s="17">
        <v>1302.08</v>
      </c>
      <c r="E75" s="5"/>
      <c r="F75" s="17"/>
      <c r="G75" s="38"/>
      <c r="H75" s="62">
        <f t="shared" si="0"/>
        <v>1302.08</v>
      </c>
      <c r="I75" s="3"/>
      <c r="J75" s="1"/>
    </row>
    <row r="76" spans="1:10" s="9" customFormat="1" ht="13.9" customHeight="1" x14ac:dyDescent="0.25">
      <c r="A76" s="27">
        <v>44255</v>
      </c>
      <c r="B76" s="9" t="s">
        <v>9</v>
      </c>
      <c r="C76" s="35" t="s">
        <v>148</v>
      </c>
      <c r="D76" s="17">
        <v>42165.79</v>
      </c>
      <c r="E76" s="5"/>
      <c r="F76" s="17"/>
      <c r="G76" s="38"/>
      <c r="H76" s="62">
        <f t="shared" si="0"/>
        <v>42165.79</v>
      </c>
      <c r="I76" s="3"/>
      <c r="J76" s="1"/>
    </row>
    <row r="77" spans="1:10" s="9" customFormat="1" ht="13.9" customHeight="1" x14ac:dyDescent="0.25">
      <c r="A77" s="27">
        <v>44255</v>
      </c>
      <c r="B77" s="9" t="s">
        <v>9</v>
      </c>
      <c r="C77" s="35" t="s">
        <v>151</v>
      </c>
      <c r="D77" s="17">
        <f>-411154.26+24063.88</f>
        <v>-387090.38</v>
      </c>
      <c r="E77" s="5">
        <f>411154.26-24063.88-387090.38</f>
        <v>0</v>
      </c>
      <c r="F77" s="17"/>
      <c r="G77" s="38"/>
      <c r="H77" s="62">
        <f t="shared" si="0"/>
        <v>-387090.38</v>
      </c>
      <c r="I77" s="3"/>
      <c r="J77" s="1"/>
    </row>
    <row r="78" spans="1:10" s="9" customFormat="1" ht="13.9" customHeight="1" x14ac:dyDescent="0.25">
      <c r="A78" s="27">
        <v>44255</v>
      </c>
      <c r="B78" s="9" t="s">
        <v>9</v>
      </c>
      <c r="C78" s="35" t="s">
        <v>154</v>
      </c>
      <c r="D78" s="17">
        <f>83000+18631.04</f>
        <v>101631.04000000001</v>
      </c>
      <c r="E78" s="5"/>
      <c r="F78" s="17">
        <f>-83000-18631.04+101631.04</f>
        <v>0</v>
      </c>
      <c r="G78" s="38"/>
      <c r="H78" s="62">
        <f t="shared" si="0"/>
        <v>101631.04000000001</v>
      </c>
      <c r="I78" s="3"/>
      <c r="J78" s="1"/>
    </row>
    <row r="79" spans="1:10" s="9" customFormat="1" ht="13.9" customHeight="1" x14ac:dyDescent="0.25">
      <c r="A79" s="27">
        <v>44255</v>
      </c>
      <c r="B79" s="9" t="s">
        <v>9</v>
      </c>
      <c r="C79" s="35" t="s">
        <v>152</v>
      </c>
      <c r="D79" s="17">
        <f>-14380.2+856.44</f>
        <v>-13523.76</v>
      </c>
      <c r="E79" s="5">
        <f>14380.2-856.44-13523.76</f>
        <v>0</v>
      </c>
      <c r="F79" s="17"/>
      <c r="G79" s="38"/>
      <c r="H79" s="62">
        <f t="shared" si="0"/>
        <v>-13523.76</v>
      </c>
      <c r="I79" s="3"/>
      <c r="J79" s="1"/>
    </row>
    <row r="80" spans="1:10" s="9" customFormat="1" ht="13.9" customHeight="1" x14ac:dyDescent="0.25">
      <c r="A80" s="27">
        <v>44255</v>
      </c>
      <c r="B80" s="9" t="s">
        <v>9</v>
      </c>
      <c r="C80" s="35" t="s">
        <v>153</v>
      </c>
      <c r="D80" s="17">
        <v>-33060.54</v>
      </c>
      <c r="E80" s="54">
        <v>33060.54</v>
      </c>
      <c r="F80" s="17"/>
      <c r="G80" s="38"/>
      <c r="H80" s="62">
        <f t="shared" si="0"/>
        <v>-33060.54</v>
      </c>
      <c r="I80" s="3"/>
      <c r="J80" s="1"/>
    </row>
    <row r="81" spans="1:10" s="9" customFormat="1" ht="13.9" customHeight="1" x14ac:dyDescent="0.25">
      <c r="A81" s="27">
        <v>44255</v>
      </c>
      <c r="B81" s="9" t="s">
        <v>9</v>
      </c>
      <c r="C81" s="35" t="s">
        <v>159</v>
      </c>
      <c r="D81" s="17">
        <v>-101864.83</v>
      </c>
      <c r="E81" s="5"/>
      <c r="F81" s="17"/>
      <c r="G81" s="38"/>
      <c r="H81" s="62">
        <f t="shared" si="0"/>
        <v>-101864.83</v>
      </c>
      <c r="I81" s="3"/>
      <c r="J81" s="1"/>
    </row>
    <row r="82" spans="1:10" s="9" customFormat="1" ht="13.9" customHeight="1" x14ac:dyDescent="0.25">
      <c r="A82" s="27">
        <v>44255</v>
      </c>
      <c r="B82" s="9" t="s">
        <v>9</v>
      </c>
      <c r="C82" s="35" t="s">
        <v>39</v>
      </c>
      <c r="D82" s="17">
        <v>-2166.69</v>
      </c>
      <c r="E82" s="5"/>
      <c r="F82" s="17"/>
      <c r="G82" s="38"/>
      <c r="H82" s="62">
        <f t="shared" si="0"/>
        <v>-2166.69</v>
      </c>
      <c r="I82" s="3"/>
      <c r="J82" s="1"/>
    </row>
    <row r="83" spans="1:10" s="9" customFormat="1" ht="13.9" customHeight="1" x14ac:dyDescent="0.25">
      <c r="A83" s="27">
        <v>44255</v>
      </c>
      <c r="B83" s="9" t="s">
        <v>9</v>
      </c>
      <c r="C83" s="35" t="s">
        <v>34</v>
      </c>
      <c r="D83" s="17">
        <v>273826.5</v>
      </c>
      <c r="E83" s="5"/>
      <c r="F83" s="17"/>
      <c r="G83" s="38"/>
      <c r="H83" s="62">
        <f t="shared" si="0"/>
        <v>273826.5</v>
      </c>
      <c r="I83" s="3"/>
      <c r="J83" s="1"/>
    </row>
    <row r="84" spans="1:10" s="9" customFormat="1" ht="13.9" customHeight="1" x14ac:dyDescent="0.25">
      <c r="A84" s="27">
        <v>44255</v>
      </c>
      <c r="B84" s="9" t="s">
        <v>9</v>
      </c>
      <c r="C84" s="35" t="s">
        <v>35</v>
      </c>
      <c r="D84" s="17">
        <v>-44307.71</v>
      </c>
      <c r="E84" s="5"/>
      <c r="F84" s="17"/>
      <c r="G84" s="38"/>
      <c r="H84" s="62">
        <f t="shared" si="0"/>
        <v>-44307.71</v>
      </c>
      <c r="I84" s="3"/>
      <c r="J84" s="1"/>
    </row>
    <row r="85" spans="1:10" s="9" customFormat="1" ht="13.9" customHeight="1" x14ac:dyDescent="0.25">
      <c r="A85" s="27">
        <v>44286</v>
      </c>
      <c r="B85" s="9" t="s">
        <v>9</v>
      </c>
      <c r="C85" s="35" t="s">
        <v>155</v>
      </c>
      <c r="D85" s="17">
        <v>44307.71</v>
      </c>
      <c r="E85" s="5"/>
      <c r="F85" s="17"/>
      <c r="G85" s="38"/>
      <c r="H85" s="62">
        <f t="shared" si="0"/>
        <v>44307.71</v>
      </c>
      <c r="I85" s="3"/>
      <c r="J85" s="1"/>
    </row>
    <row r="86" spans="1:10" s="9" customFormat="1" ht="13.9" customHeight="1" x14ac:dyDescent="0.25">
      <c r="A86" s="27">
        <v>44286</v>
      </c>
      <c r="B86" s="9" t="s">
        <v>9</v>
      </c>
      <c r="C86" s="35" t="s">
        <v>144</v>
      </c>
      <c r="D86" s="17">
        <v>1302.08</v>
      </c>
      <c r="E86" s="5"/>
      <c r="F86" s="17"/>
      <c r="G86" s="38"/>
      <c r="H86" s="62">
        <f t="shared" si="0"/>
        <v>1302.08</v>
      </c>
      <c r="I86" s="3"/>
      <c r="J86" s="1"/>
    </row>
    <row r="87" spans="1:10" s="9" customFormat="1" ht="13.9" customHeight="1" x14ac:dyDescent="0.25">
      <c r="A87" s="27">
        <v>44286</v>
      </c>
      <c r="B87" s="9" t="s">
        <v>9</v>
      </c>
      <c r="C87" s="35" t="s">
        <v>156</v>
      </c>
      <c r="D87" s="17">
        <f>-347595.01+220070.8</f>
        <v>-127524.21000000002</v>
      </c>
      <c r="E87" s="79">
        <f>347595.01-220070.8</f>
        <v>127524.21000000002</v>
      </c>
      <c r="F87" s="17"/>
      <c r="G87" s="38"/>
      <c r="H87" s="62">
        <f t="shared" si="0"/>
        <v>-127524.21000000002</v>
      </c>
      <c r="I87" s="3"/>
      <c r="J87" s="1"/>
    </row>
    <row r="88" spans="1:10" s="9" customFormat="1" ht="13.9" customHeight="1" x14ac:dyDescent="0.25">
      <c r="A88" s="27">
        <v>44286</v>
      </c>
      <c r="B88" s="9" t="s">
        <v>9</v>
      </c>
      <c r="C88" s="35" t="s">
        <v>157</v>
      </c>
      <c r="D88" s="17">
        <v>-58083.5</v>
      </c>
      <c r="E88" s="5">
        <f>58083.5-58083.5</f>
        <v>0</v>
      </c>
      <c r="F88" s="17"/>
      <c r="G88" s="38"/>
      <c r="H88" s="62">
        <f t="shared" si="0"/>
        <v>-58083.5</v>
      </c>
      <c r="I88" s="3"/>
      <c r="J88" s="1"/>
    </row>
    <row r="89" spans="1:10" s="9" customFormat="1" ht="13.9" customHeight="1" x14ac:dyDescent="0.25">
      <c r="A89" s="27">
        <v>44286</v>
      </c>
      <c r="B89" s="9" t="s">
        <v>9</v>
      </c>
      <c r="C89" s="35" t="s">
        <v>158</v>
      </c>
      <c r="D89" s="17">
        <f>7729.12+0.31</f>
        <v>7729.43</v>
      </c>
      <c r="E89" s="5"/>
      <c r="F89" s="17">
        <f>-7729.12-0.31+7729.43</f>
        <v>0</v>
      </c>
      <c r="G89" s="38"/>
      <c r="H89" s="62">
        <f t="shared" si="0"/>
        <v>7729.43</v>
      </c>
      <c r="I89" s="3"/>
      <c r="J89" s="1"/>
    </row>
    <row r="90" spans="1:10" s="9" customFormat="1" ht="13.9" customHeight="1" x14ac:dyDescent="0.25">
      <c r="A90" s="27">
        <v>44286</v>
      </c>
      <c r="B90" s="9" t="s">
        <v>9</v>
      </c>
      <c r="C90" s="35" t="s">
        <v>159</v>
      </c>
      <c r="D90" s="17">
        <v>2821.97</v>
      </c>
      <c r="E90" s="5"/>
      <c r="F90" s="17"/>
      <c r="G90" s="38"/>
      <c r="H90" s="62">
        <f t="shared" si="0"/>
        <v>2821.97</v>
      </c>
      <c r="I90" s="3"/>
      <c r="J90" s="1"/>
    </row>
    <row r="91" spans="1:10" s="9" customFormat="1" ht="13.9" customHeight="1" x14ac:dyDescent="0.25">
      <c r="A91" s="27">
        <v>44286</v>
      </c>
      <c r="B91" s="9" t="s">
        <v>9</v>
      </c>
      <c r="C91" s="35" t="s">
        <v>39</v>
      </c>
      <c r="D91" s="17">
        <v>-2750.0200000000004</v>
      </c>
      <c r="E91" s="5"/>
      <c r="F91" s="17"/>
      <c r="G91" s="38"/>
      <c r="H91" s="62">
        <f t="shared" si="0"/>
        <v>-2750.0200000000004</v>
      </c>
      <c r="I91" s="3"/>
      <c r="J91" s="1"/>
    </row>
    <row r="92" spans="1:10" s="9" customFormat="1" ht="13.9" customHeight="1" x14ac:dyDescent="0.25">
      <c r="A92" s="27">
        <v>44286</v>
      </c>
      <c r="B92" s="9" t="s">
        <v>9</v>
      </c>
      <c r="C92" s="35" t="s">
        <v>34</v>
      </c>
      <c r="D92" s="17">
        <f>136248.52-16861.37</f>
        <v>119387.15</v>
      </c>
      <c r="E92" s="5"/>
      <c r="F92" s="17"/>
      <c r="G92" s="38"/>
      <c r="H92" s="62">
        <f t="shared" si="0"/>
        <v>119387.15</v>
      </c>
      <c r="I92" s="3"/>
      <c r="J92" s="1"/>
    </row>
    <row r="93" spans="1:10" s="9" customFormat="1" ht="13.9" customHeight="1" x14ac:dyDescent="0.25">
      <c r="A93" s="27">
        <v>44286</v>
      </c>
      <c r="B93" s="9" t="s">
        <v>9</v>
      </c>
      <c r="C93" s="35" t="s">
        <v>35</v>
      </c>
      <c r="D93" s="17">
        <v>-14663.53</v>
      </c>
      <c r="E93" s="5"/>
      <c r="F93" s="17"/>
      <c r="G93" s="38"/>
      <c r="H93" s="62">
        <f t="shared" si="0"/>
        <v>-14663.53</v>
      </c>
      <c r="I93" s="3"/>
      <c r="J93" s="1"/>
    </row>
    <row r="94" spans="1:10" s="9" customFormat="1" ht="13.9" customHeight="1" x14ac:dyDescent="0.25">
      <c r="A94" s="27">
        <v>44316</v>
      </c>
      <c r="B94" s="9" t="s">
        <v>10</v>
      </c>
      <c r="C94" s="35" t="s">
        <v>163</v>
      </c>
      <c r="D94" s="17">
        <v>14663.53</v>
      </c>
      <c r="E94" s="5"/>
      <c r="F94" s="17"/>
      <c r="G94" s="38"/>
      <c r="H94" s="62">
        <f t="shared" si="0"/>
        <v>14663.53</v>
      </c>
      <c r="I94" s="3"/>
      <c r="J94" s="1"/>
    </row>
    <row r="95" spans="1:10" s="9" customFormat="1" ht="13.9" customHeight="1" x14ac:dyDescent="0.25">
      <c r="A95" s="27">
        <v>44316</v>
      </c>
      <c r="B95" s="9" t="s">
        <v>10</v>
      </c>
      <c r="C95" s="35" t="s">
        <v>144</v>
      </c>
      <c r="D95" s="17">
        <v>1302.08</v>
      </c>
      <c r="E95" s="5"/>
      <c r="F95" s="17"/>
      <c r="G95" s="38"/>
      <c r="H95" s="62">
        <f t="shared" si="0"/>
        <v>1302.08</v>
      </c>
      <c r="I95" s="3"/>
      <c r="J95" s="1"/>
    </row>
    <row r="96" spans="1:10" s="9" customFormat="1" ht="13.9" customHeight="1" x14ac:dyDescent="0.25">
      <c r="A96" s="27">
        <v>44316</v>
      </c>
      <c r="B96" s="9" t="s">
        <v>10</v>
      </c>
      <c r="C96" s="35" t="s">
        <v>160</v>
      </c>
      <c r="D96" s="17">
        <v>51294.87</v>
      </c>
      <c r="E96" s="5"/>
      <c r="F96" s="81">
        <v>-51294.87</v>
      </c>
      <c r="G96" s="38"/>
      <c r="H96" s="62">
        <f t="shared" si="0"/>
        <v>51294.87</v>
      </c>
      <c r="I96" s="3"/>
      <c r="J96" s="1"/>
    </row>
    <row r="97" spans="1:10" s="9" customFormat="1" ht="13.9" customHeight="1" x14ac:dyDescent="0.25">
      <c r="A97" s="27">
        <v>44316</v>
      </c>
      <c r="B97" s="9" t="s">
        <v>10</v>
      </c>
      <c r="C97" s="35" t="s">
        <v>161</v>
      </c>
      <c r="D97" s="17">
        <v>-116256.56</v>
      </c>
      <c r="E97" s="56">
        <v>116256.56</v>
      </c>
      <c r="F97" s="17"/>
      <c r="G97" s="38"/>
      <c r="H97" s="62">
        <f t="shared" si="0"/>
        <v>-116256.56</v>
      </c>
      <c r="I97" s="3"/>
      <c r="J97" s="1"/>
    </row>
    <row r="98" spans="1:10" s="9" customFormat="1" ht="13.9" customHeight="1" x14ac:dyDescent="0.25">
      <c r="A98" s="27">
        <v>44316</v>
      </c>
      <c r="B98" s="9" t="s">
        <v>10</v>
      </c>
      <c r="C98" s="35" t="s">
        <v>162</v>
      </c>
      <c r="D98" s="17">
        <v>-112001.41</v>
      </c>
      <c r="E98" s="54">
        <v>112001.41</v>
      </c>
      <c r="F98" s="17"/>
      <c r="G98" s="38"/>
      <c r="H98" s="62">
        <f t="shared" si="0"/>
        <v>-112001.41</v>
      </c>
      <c r="I98" s="3"/>
      <c r="J98" s="1"/>
    </row>
    <row r="99" spans="1:10" s="9" customFormat="1" ht="13.9" customHeight="1" x14ac:dyDescent="0.25">
      <c r="A99" s="44">
        <v>44316</v>
      </c>
      <c r="B99" s="24" t="s">
        <v>10</v>
      </c>
      <c r="C99" s="26" t="s">
        <v>164</v>
      </c>
      <c r="D99" s="33">
        <v>228312.90999999997</v>
      </c>
      <c r="E99" s="5"/>
      <c r="F99" s="17"/>
      <c r="G99" s="38"/>
      <c r="H99" s="62">
        <f t="shared" si="0"/>
        <v>228312.90999999997</v>
      </c>
      <c r="I99" s="3"/>
      <c r="J99" s="1"/>
    </row>
    <row r="100" spans="1:10" s="9" customFormat="1" ht="13.9" customHeight="1" x14ac:dyDescent="0.25">
      <c r="A100" s="44">
        <v>44316</v>
      </c>
      <c r="B100" s="24" t="s">
        <v>10</v>
      </c>
      <c r="C100" s="26" t="s">
        <v>41</v>
      </c>
      <c r="D100" s="33">
        <v>-2750.02</v>
      </c>
      <c r="E100" s="5"/>
      <c r="F100" s="17"/>
      <c r="G100" s="38"/>
      <c r="H100" s="62">
        <f t="shared" si="0"/>
        <v>-2750.02</v>
      </c>
      <c r="I100" s="3"/>
      <c r="J100" s="1"/>
    </row>
    <row r="101" spans="1:10" s="9" customFormat="1" ht="13.9" customHeight="1" x14ac:dyDescent="0.25">
      <c r="A101" s="44">
        <v>44316</v>
      </c>
      <c r="B101" s="24" t="s">
        <v>10</v>
      </c>
      <c r="C101" s="26" t="s">
        <v>42</v>
      </c>
      <c r="D101" s="33">
        <v>119838.63</v>
      </c>
      <c r="E101" s="5"/>
      <c r="F101" s="17"/>
      <c r="G101" s="38"/>
      <c r="H101" s="62">
        <f t="shared" si="0"/>
        <v>119838.63</v>
      </c>
      <c r="I101" s="3"/>
      <c r="J101" s="1"/>
    </row>
    <row r="102" spans="1:10" s="9" customFormat="1" ht="13.9" customHeight="1" x14ac:dyDescent="0.25">
      <c r="A102" s="44">
        <v>44316</v>
      </c>
      <c r="B102" s="24" t="s">
        <v>10</v>
      </c>
      <c r="C102" s="26" t="s">
        <v>43</v>
      </c>
      <c r="D102" s="33">
        <v>-27582.58</v>
      </c>
      <c r="E102" s="5"/>
      <c r="F102" s="17"/>
      <c r="G102" s="38"/>
      <c r="H102" s="62">
        <f t="shared" si="0"/>
        <v>-27582.58</v>
      </c>
      <c r="I102" s="3"/>
      <c r="J102" s="1"/>
    </row>
    <row r="103" spans="1:10" s="9" customFormat="1" x14ac:dyDescent="0.25">
      <c r="A103" s="63"/>
      <c r="B103" s="46"/>
      <c r="C103" s="64"/>
      <c r="D103" s="22"/>
      <c r="E103" s="21"/>
      <c r="F103" s="22"/>
      <c r="G103" s="21"/>
      <c r="H103" s="62">
        <f t="shared" si="0"/>
        <v>0</v>
      </c>
      <c r="J103" s="1"/>
    </row>
    <row r="104" spans="1:10" x14ac:dyDescent="0.25">
      <c r="B104" s="9"/>
      <c r="C104" s="9"/>
      <c r="D104" s="45">
        <f>SUM(D8:D103)</f>
        <v>-524093.64999999997</v>
      </c>
      <c r="E104" s="45">
        <f>SUM(E8:E103)</f>
        <v>388842.72000000009</v>
      </c>
      <c r="F104" s="45">
        <f>SUM(F8:F103)</f>
        <v>-51294.87</v>
      </c>
      <c r="G104" s="45">
        <f>SUM(G6:G103)</f>
        <v>-503517.5</v>
      </c>
      <c r="H104" s="45">
        <f>SUM(H6:H103)</f>
        <v>141366.19999999984</v>
      </c>
      <c r="J104" s="1"/>
    </row>
    <row r="105" spans="1:10" x14ac:dyDescent="0.25">
      <c r="B105" s="9"/>
      <c r="C105" s="9"/>
      <c r="D105" s="2"/>
      <c r="E105" s="2"/>
      <c r="F105" s="2"/>
      <c r="G105" s="1">
        <f>G104*-1</f>
        <v>503517.5</v>
      </c>
      <c r="H105" s="2"/>
      <c r="J105" s="85" t="s">
        <v>147</v>
      </c>
    </row>
    <row r="106" spans="1:10" x14ac:dyDescent="0.25">
      <c r="B106" s="9"/>
      <c r="C106" s="9" t="s">
        <v>6</v>
      </c>
      <c r="D106" s="11"/>
      <c r="E106" s="68">
        <v>388842.72</v>
      </c>
      <c r="F106" s="8">
        <v>-51294.87</v>
      </c>
      <c r="G106" s="9"/>
      <c r="H106" s="8">
        <v>141366.20000000001</v>
      </c>
      <c r="J106" s="1" t="s">
        <v>120</v>
      </c>
    </row>
    <row r="107" spans="1:10" x14ac:dyDescent="0.25">
      <c r="B107" s="9"/>
      <c r="C107" s="9" t="s">
        <v>28</v>
      </c>
      <c r="D107" s="10"/>
      <c r="E107" s="10">
        <f>E104-E106</f>
        <v>0</v>
      </c>
      <c r="F107" s="10">
        <f>F104-F106</f>
        <v>0</v>
      </c>
      <c r="G107" s="10"/>
      <c r="H107" s="10">
        <f>H104-H106</f>
        <v>0</v>
      </c>
      <c r="J107" s="1"/>
    </row>
    <row r="108" spans="1:10" x14ac:dyDescent="0.25">
      <c r="B108" s="9"/>
      <c r="C108" s="9"/>
      <c r="D108" s="9"/>
      <c r="E108" s="9"/>
      <c r="F108" s="4"/>
      <c r="G108" s="20"/>
      <c r="H108" s="1" t="s">
        <v>166</v>
      </c>
    </row>
    <row r="109" spans="1:10" x14ac:dyDescent="0.25">
      <c r="B109" s="9"/>
      <c r="C109" s="106" t="s">
        <v>30</v>
      </c>
      <c r="D109" s="107"/>
      <c r="E109" s="10"/>
      <c r="F109" s="12"/>
      <c r="G109" s="90"/>
      <c r="H109" s="19"/>
      <c r="J109" s="1"/>
    </row>
    <row r="110" spans="1:10" x14ac:dyDescent="0.25">
      <c r="B110" s="9"/>
      <c r="C110" s="28" t="s">
        <v>150</v>
      </c>
      <c r="D110" s="61">
        <f>F78</f>
        <v>0</v>
      </c>
      <c r="E110" s="9"/>
      <c r="F110" s="90"/>
      <c r="G110" s="90"/>
      <c r="H110" s="19"/>
      <c r="J110" s="1"/>
    </row>
    <row r="111" spans="1:10" x14ac:dyDescent="0.25">
      <c r="B111" s="9"/>
      <c r="C111" s="29" t="s">
        <v>27</v>
      </c>
      <c r="D111" s="42">
        <f>E80+E98</f>
        <v>145061.95000000001</v>
      </c>
      <c r="E111" s="9"/>
      <c r="F111" s="90"/>
      <c r="G111" s="90"/>
      <c r="H111" s="19"/>
      <c r="J111" s="1"/>
    </row>
    <row r="112" spans="1:10" x14ac:dyDescent="0.25">
      <c r="B112" s="9"/>
      <c r="C112" s="29" t="s">
        <v>33</v>
      </c>
      <c r="D112" s="55">
        <f>E97</f>
        <v>116256.56</v>
      </c>
      <c r="E112" s="59"/>
      <c r="F112" s="90"/>
      <c r="G112" s="90" t="s">
        <v>25</v>
      </c>
      <c r="H112" s="19"/>
      <c r="J112" s="1"/>
    </row>
    <row r="113" spans="3:10" ht="15.75" thickBot="1" x14ac:dyDescent="0.3">
      <c r="C113" s="30" t="s">
        <v>38</v>
      </c>
      <c r="D113" s="80">
        <f>F68+F96+E87</f>
        <v>76229.340000000026</v>
      </c>
      <c r="F113" s="90"/>
      <c r="G113" s="90"/>
      <c r="H113" s="43"/>
      <c r="J113" s="1"/>
    </row>
    <row r="114" spans="3:10" x14ac:dyDescent="0.25">
      <c r="C114" s="31"/>
      <c r="D114" s="32">
        <f>SUM(D110:D113)</f>
        <v>337547.85000000003</v>
      </c>
      <c r="F114" s="12"/>
      <c r="G114" s="90"/>
      <c r="H114" s="43"/>
    </row>
    <row r="115" spans="3:10" x14ac:dyDescent="0.25">
      <c r="C115" s="18"/>
      <c r="D115" s="19"/>
      <c r="F115" s="12"/>
      <c r="G115" s="90"/>
      <c r="H115" s="43"/>
    </row>
    <row r="116" spans="3:10" x14ac:dyDescent="0.25">
      <c r="C116" s="92" t="s">
        <v>165</v>
      </c>
      <c r="D116" s="19">
        <f>(E106+F106)-D114</f>
        <v>0</v>
      </c>
      <c r="F116" s="18"/>
      <c r="G116" s="90"/>
      <c r="H116" s="43"/>
    </row>
    <row r="117" spans="3:10" x14ac:dyDescent="0.25">
      <c r="C117" s="18"/>
      <c r="D117" s="19"/>
      <c r="F117" s="18"/>
      <c r="G117" s="90"/>
      <c r="H117" s="43"/>
    </row>
    <row r="118" spans="3:10" x14ac:dyDescent="0.25">
      <c r="F118" s="18"/>
      <c r="G118" s="90"/>
      <c r="H118" s="43"/>
    </row>
    <row r="119" spans="3:10" x14ac:dyDescent="0.25">
      <c r="F119" s="18"/>
      <c r="G119" s="90"/>
      <c r="H119" s="43"/>
    </row>
    <row r="120" spans="3:10" x14ac:dyDescent="0.25">
      <c r="F120" s="18"/>
      <c r="G120" s="90"/>
      <c r="H120" s="43"/>
    </row>
    <row r="121" spans="3:10" x14ac:dyDescent="0.25">
      <c r="F121" s="18"/>
      <c r="G121" s="90"/>
      <c r="H121" s="43"/>
    </row>
    <row r="122" spans="3:10" x14ac:dyDescent="0.25">
      <c r="F122" s="18"/>
      <c r="G122" s="18"/>
      <c r="H122" s="18"/>
    </row>
  </sheetData>
  <autoFilter ref="A5:K114">
    <filterColumn colId="0" showButton="0"/>
  </autoFilter>
  <mergeCells count="4">
    <mergeCell ref="A5:B5"/>
    <mergeCell ref="A6:B6"/>
    <mergeCell ref="A7:B7"/>
    <mergeCell ref="C109:D109"/>
  </mergeCells>
  <pageMargins left="0.7" right="0.7" top="0.5" bottom="0.5" header="0.3" footer="0.3"/>
  <pageSetup scale="54" fitToHeight="0" orientation="portrait" r:id="rId1"/>
  <headerFooter>
    <oddFooter>&amp;L&amp;Z&amp;F</oddFoot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 A C T I V E ! 1 5 6 5 1 9 7 3 . 1 < / d o c u m e n t i d >  
     < s e n d e r i d > K E A B E T < / s e n d e r i d >  
     < s e n d e r e m a i l > B K E A T I N G @ G U N S T E R . C O M < / s e n d e r e m a i l >  
     < l a s t m o d i f i e d > 2 0 2 2 - 0 6 - 2 1 T 1 7 : 0 6 : 4 3 . 0 0 0 0 0 0 0 - 0 4 : 0 0 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12-2021</vt:lpstr>
      <vt:lpstr>11-2021</vt:lpstr>
      <vt:lpstr>10-2021</vt:lpstr>
      <vt:lpstr>09-2021</vt:lpstr>
      <vt:lpstr>08-2021</vt:lpstr>
      <vt:lpstr>07-2021</vt:lpstr>
      <vt:lpstr>06-2021</vt:lpstr>
      <vt:lpstr>05-2021</vt:lpstr>
      <vt:lpstr>04-2021</vt:lpstr>
      <vt:lpstr>03-2021</vt:lpstr>
      <vt:lpstr>02-2021</vt:lpstr>
      <vt:lpstr>01-2021</vt:lpstr>
      <vt:lpstr>12-2020</vt:lpstr>
      <vt:lpstr>'01-2021'!Print_Area</vt:lpstr>
      <vt:lpstr>'02-2021'!Print_Area</vt:lpstr>
      <vt:lpstr>'03-2021'!Print_Area</vt:lpstr>
      <vt:lpstr>'04-2021'!Print_Area</vt:lpstr>
      <vt:lpstr>'05-2021'!Print_Area</vt:lpstr>
      <vt:lpstr>'06-2021'!Print_Area</vt:lpstr>
      <vt:lpstr>'07-2021'!Print_Area</vt:lpstr>
      <vt:lpstr>'08-2021'!Print_Area</vt:lpstr>
      <vt:lpstr>'09-2021'!Print_Area</vt:lpstr>
      <vt:lpstr>'10-2021'!Print_Area</vt:lpstr>
      <vt:lpstr>'11-2021'!Print_Area</vt:lpstr>
      <vt:lpstr>'12-2020'!Print_Area</vt:lpstr>
      <vt:lpstr>'12-2021'!Print_Area</vt:lpstr>
    </vt:vector>
  </TitlesOfParts>
  <Company>Chesapeake Utilities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jspence</dc:creator>
  <cp:lastModifiedBy>Onsomu, Philip</cp:lastModifiedBy>
  <cp:lastPrinted>2022-01-07T22:09:04Z</cp:lastPrinted>
  <dcterms:created xsi:type="dcterms:W3CDTF">2013-04-05T16:14:08Z</dcterms:created>
  <dcterms:modified xsi:type="dcterms:W3CDTF">2022-06-21T21:06:43Z</dcterms:modified>
</cp:coreProperties>
</file>