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triumeconcom.sharepoint.com/sites/0567-FPUCGasRateCase/Shared Documents/General/Discovery/"/>
    </mc:Choice>
  </mc:AlternateContent>
  <xr:revisionPtr revIDLastSave="1645" documentId="8_{940A46E1-6EEB-4CCA-BBCA-0DAA34A27937}" xr6:coauthVersionLast="47" xr6:coauthVersionMax="47" xr10:uidLastSave="{BF3A52AC-6791-4FB5-8BDD-62352A43D4C1}"/>
  <bookViews>
    <workbookView xWindow="-120" yWindow="-120" windowWidth="29040" windowHeight="15720" xr2:uid="{4DE1A28D-CC60-4794-8566-B6398F9A3714}"/>
  </bookViews>
  <sheets>
    <sheet name="TOC" sheetId="142" r:id="rId1"/>
    <sheet name="Forecast" sheetId="124" r:id="rId2"/>
    <sheet name="Report_Regression" sheetId="126" r:id="rId3"/>
    <sheet name="WP_Regression Summary" sheetId="114" r:id="rId4"/>
    <sheet name="WP_Regression_RES Cust Count" sheetId="116" r:id="rId5"/>
    <sheet name="WP_Regression_RES UPC" sheetId="117" r:id="rId6"/>
    <sheet name="WP_Regreession_COM Cust Count" sheetId="120" r:id="rId7"/>
    <sheet name="WP_Regression_COM UPC" sheetId="121" r:id="rId8"/>
    <sheet name="Input Sheets -&gt;" sheetId="91" r:id="rId9"/>
    <sheet name="Input_2018CUST-YTD" sheetId="149" r:id="rId10"/>
    <sheet name="Input_2018VOL-YTD" sheetId="148" r:id="rId11"/>
    <sheet name="Input_2019CUST-YTD" sheetId="108" r:id="rId12"/>
    <sheet name="Input_2019VOL-YTD" sheetId="107" r:id="rId13"/>
    <sheet name="Input_2020CUST-YTD" sheetId="81" r:id="rId14"/>
    <sheet name="Input_2020VOL-YTD" sheetId="80" r:id="rId15"/>
    <sheet name="Input_2021CUST-YTD" sheetId="111" r:id="rId16"/>
    <sheet name="Input_2021VOL-YTD" sheetId="110" r:id="rId17"/>
    <sheet name="Input_2021MARG-YTD" sheetId="127" r:id="rId18"/>
    <sheet name="Input_Fcst Inputs" sheetId="14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123Graph_X" hidden="1">'[1]BUDGET CASH 2002'!#REF!</definedName>
    <definedName name="__FDS_HYPERLINK_TOGGLE_STATE__" hidden="1">"ON"</definedName>
    <definedName name="_1D_9">[2]Template!$A$1:$R$48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1" hidden="1">[3]FxdChg!#REF!</definedName>
    <definedName name="_Fill" localSheetId="12" hidden="1">[3]FxdChg!#REF!</definedName>
    <definedName name="_Fill" localSheetId="13" hidden="1">[3]FxdChg!#REF!</definedName>
    <definedName name="_Fill" localSheetId="17" hidden="1">[3]FxdChg!#REF!</definedName>
    <definedName name="_Fill" hidden="1">[3]FxdChg!#REF!</definedName>
    <definedName name="_xlnm._FilterDatabase" localSheetId="1" hidden="1">Forecast!$A$1:$AI$67</definedName>
    <definedName name="_xlnm._FilterDatabase" localSheetId="10" hidden="1">'Input_2018VOL-YTD'!$A$1:$Q$227</definedName>
    <definedName name="_xlnm._FilterDatabase" localSheetId="12" hidden="1">'Input_2019VOL-YTD'!$A$1:$Q$227</definedName>
    <definedName name="_xlnm._FilterDatabase" localSheetId="14" hidden="1">'Input_2020VOL-YTD'!$A$1:$T$226</definedName>
    <definedName name="_xlnm._FilterDatabase" localSheetId="17" hidden="1">'Input_2021MARG-YTD'!$E$3:$AU$181</definedName>
    <definedName name="_xlnm._FilterDatabase" localSheetId="5" hidden="1">'WP_Regression_RES UPC'!$A$1:$AC$66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hidden="1">#REF!</definedName>
    <definedName name="Alloc_Factor_Name">'[4]Input-Allocators'!$B$27:$B$82</definedName>
    <definedName name="AllTables">{2}</definedName>
    <definedName name="AS2DocOpenMode" hidden="1">"AS2DocumentEdit"</definedName>
    <definedName name="bb">[5]Main!$H$8:$S$56,[5]Main!$H$16:$S$132</definedName>
    <definedName name="Cap" localSheetId="9">'[6]2002'!$A$1:$O$101</definedName>
    <definedName name="Cap" localSheetId="10">'[6]2002'!$A$1:$O$101</definedName>
    <definedName name="Cap">'[7]2002'!$A$1:$O$101</definedName>
    <definedName name="CIQWBGuid" hidden="1">"Management Deck Worksheet Q3 2012.xlsx"</definedName>
    <definedName name="Class_Factor_Names">'[4]Input-Allocators'!$B$19:$B$24</definedName>
    <definedName name="commissionrate">'[8]Cost Savings Detail'!$F$144</definedName>
    <definedName name="Corp_Inis">'[9]Corporate Model'!$A$190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a">[14]Inputs!$B$2</definedName>
    <definedName name="Data">[15]Data!$A$1:$DY$75</definedName>
    <definedName name="DEPRBYDIST" localSheetId="9">[16]DeprCoDetail:DeprSum!$A$1:$G$36</definedName>
    <definedName name="DEPRBYDIST" localSheetId="10">[16]DeprCoDetail:DeprSum!$A$1:$G$36</definedName>
    <definedName name="DEPRBYDIST">[17]DeprCoDetail:DeprSum!$A$1:$G$36</definedName>
    <definedName name="dfdfdf" localSheetId="17" hidden="1">[3]FxdChg!#REF!</definedName>
    <definedName name="dfdfdf" hidden="1">[3]FxdChg!#REF!</definedName>
    <definedName name="ebsens">'[18]Trans Assump'!$G$56</definedName>
    <definedName name="equity">'[19]LBO Analysis'!$AB$23</definedName>
    <definedName name="euro">[20]BRKT!$C$11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hangerate">[10]DCEInputs!$I$8</definedName>
    <definedName name="fds">'[21]FRCT INPUT-CFG'!$D$41:$H$41</definedName>
    <definedName name="FileName">[22]Sheet1!$D$2</definedName>
    <definedName name="financialcase">[8]Model!$D$8</definedName>
    <definedName name="fixedmargin">[8]Model!$AA$178</definedName>
    <definedName name="Func_Factor_Name">'[4]Input-Allocators'!$B$9:$B$16</definedName>
    <definedName name="GMJanMay">'[23]FRCT INPUT-FE'!$D$41:$H$41</definedName>
    <definedName name="goodwill">[8]Model!$D$11</definedName>
    <definedName name="growth">[10]DCEInputs!$I$24</definedName>
    <definedName name="HedgeType">'[24]Financing Assumptions'!$N$12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nflation">'[8]Cost Savings Detail'!$F$143</definedName>
    <definedName name="Intref">'[19]LBO FINS'!$E$216</definedName>
    <definedName name="Intsub">'[19]LBO Analysis'!$J$10</definedName>
    <definedName name="ipocase">[8]Model!$D$41</definedName>
    <definedName name="ipoyear">[8]Model!$D$49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RM_Inis">'[9]JRM Model'!$A$191</definedName>
    <definedName name="KKR_Deal_Fee">[25]Triggers!$E$23</definedName>
    <definedName name="lbo">[26]LBOSourceUse!$D$7</definedName>
    <definedName name="LBO_MODEL">[27]TRANS!$D$10</definedName>
    <definedName name="Lcash">[28]Inputs!$P$27</definedName>
    <definedName name="Lfdshares">[28]Inputs!$P$24</definedName>
    <definedName name="Lmin">[28]Inputs!$P$29</definedName>
    <definedName name="Long_Term_Debt">[11]Inputs!$B$8</definedName>
    <definedName name="Lpref">[28]Inputs!$P$30</definedName>
    <definedName name="LTM_EBITDA">[11]Inputs!$B$21</definedName>
    <definedName name="LTM_EBITDAR">[11]Inputs!$B$20</definedName>
    <definedName name="LTM_REVENUES">[11]Inputs!$B$19</definedName>
    <definedName name="Ltotdebt">[28]Inputs!$P$28</definedName>
    <definedName name="Macro4">[29]!Macro4</definedName>
    <definedName name="mapping">[30]mapping!$A$2:$H$1143</definedName>
    <definedName name="margin">[8]Model!$AA$180</definedName>
    <definedName name="master">[31]conrol!$B$11</definedName>
    <definedName name="MaxChange">'[4]General Inputs'!$D$32</definedName>
    <definedName name="MEWarning" hidden="1">1</definedName>
    <definedName name="Mill">[32]MODEL!$L$22</definedName>
    <definedName name="MODEL_TYPE">[27]TRANS!$D$14</definedName>
    <definedName name="N12M_EPS">[11]Inputs!$B$14</definedName>
    <definedName name="NAME">[33]INPUT!$A$13:$B$30</definedName>
    <definedName name="newcutoff">'[13]Summary History'!$C$3</definedName>
    <definedName name="offer">'[26]Sources &amp; Uses'!$D$7</definedName>
    <definedName name="OFFER_PRICE">[34]Transinputs!$U$7</definedName>
    <definedName name="ownership">[8]Model!$C$22</definedName>
    <definedName name="PAGE4">[34]Calcs:tainted!$B$57:$L$73</definedName>
    <definedName name="pdate">[10]DCEInputs!$I$6</definedName>
    <definedName name="PIKK">'[35]Trans Assump'!$U$18</definedName>
    <definedName name="PIPELINE_INPUT" localSheetId="9">'[36]FPL Interconnect Actual'!$E$7:$P$53</definedName>
    <definedName name="PIPELINE_INPUT" localSheetId="10">'[36]FPL Interconnect Actual'!$E$7:$P$53</definedName>
    <definedName name="PIPELINE_INPUT">'[37]FPL Interconnect Actual'!$E$7:$P$53</definedName>
    <definedName name="pjname">{"Client Name or Project Name"}</definedName>
    <definedName name="pprice">[25]Triggers!$E$13</definedName>
    <definedName name="Preferred_Stock">[11]Inputs!$B$7</definedName>
    <definedName name="premium">[34]Transinputs!$U$13</definedName>
    <definedName name="pricecase">[28]Buildup!$Z$374</definedName>
    <definedName name="_xlnm.Print_Area" localSheetId="9">'Input_2018CUST-YTD'!$A$1:$Q$244</definedName>
    <definedName name="_xlnm.Print_Area" localSheetId="10">'Input_2018VOL-YTD'!$A$3:$Q$218</definedName>
    <definedName name="Print_HardRock">[38]!Print_HardRock</definedName>
    <definedName name="Print_Valmax">[39]!Print_Valmax</definedName>
    <definedName name="project">[26]Inputs!$D$5</definedName>
    <definedName name="Project_Name">[11]Inputs!$E$1</definedName>
    <definedName name="ProjectName">{"Client Name or Project Name"}</definedName>
    <definedName name="PROJNAME">'[40]Transaction Inputs'!$E$15</definedName>
    <definedName name="pur">[14]Snow_recap!$R$9</definedName>
    <definedName name="RAS" localSheetId="17" hidden="1">[41]FxdChg!#REF!</definedName>
    <definedName name="RAS" hidden="1">[42]FxdChg!#REF!</definedName>
    <definedName name="relever">[43]Controls!$E$8</definedName>
    <definedName name="rhtprice">[44]Overview!$D$8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'[4]General Inputs'!$D$19</definedName>
    <definedName name="secondary1">[8]Model!$D$56</definedName>
    <definedName name="secondary2">[8]Model!$D$59</definedName>
    <definedName name="secondary3">[8]Model!$D$62</definedName>
    <definedName name="secondarydiscount">[8]Model!$D$50</definedName>
    <definedName name="secondarymultiple">[8]Model!$D$51</definedName>
    <definedName name="secondarytiming">[8]Model!$D$45</definedName>
    <definedName name="sellerfinancerate">[8]Model!$I$8</definedName>
    <definedName name="SENSEPOOL">[34]Calcs:Summary!$M$34:$AI$122</definedName>
    <definedName name="shares">[45]DCEInputs!$M$13</definedName>
    <definedName name="Shares_Outstanding">[11]Inputs!$B$5</definedName>
    <definedName name="Short_Term_Debt">[11]Inputs!$B$9</definedName>
    <definedName name="srecap">[25]Triggers!$E$21</definedName>
    <definedName name="Summ" localSheetId="9">'[46]DEL-updated'!$A$11:$T$372</definedName>
    <definedName name="Summ" localSheetId="10">'[46]DEL-updated'!$A$11:$T$372</definedName>
    <definedName name="Summ">'[47]DEL-updated'!$A$11:$T$372</definedName>
    <definedName name="switch">[14]conrol!$B$16</definedName>
    <definedName name="t1book">'[40]Target 1'!$W$26</definedName>
    <definedName name="t1cash">'[40]Target 1'!$W$8</definedName>
    <definedName name="t1debt">'[40]Target 1'!$W$22</definedName>
    <definedName name="t1ebitda">'[40]Target 1'!$G$25</definedName>
    <definedName name="T1RENTS">'[40]Target 1'!$G$23</definedName>
    <definedName name="t1revs">'[40]Target 1'!$G$20</definedName>
    <definedName name="t1shares">'[40]Share Calculations'!$K$29</definedName>
    <definedName name="targ1fy97">'[40]Target 1'!$E$11</definedName>
    <definedName name="targ1fy98">'[40]Target 1'!$E$11</definedName>
    <definedName name="targ1price">'[40]Transaction Calculations'!$I$22</definedName>
    <definedName name="targ1shares">'[40]Transaction Calculations'!$I$29</definedName>
    <definedName name="Targ52High">[48]Input!$K$63</definedName>
    <definedName name="Targ52Low">[48]Input!$K$64</definedName>
    <definedName name="TargCalEPS1">[48]Input!$K$68</definedName>
    <definedName name="TargCalEPS2">[48]Input!$K$69</definedName>
    <definedName name="TargCalEPS3">[48]Input!$K$70</definedName>
    <definedName name="TargEBITDA">[48]Input!$K$47</definedName>
    <definedName name="Target1">'[40]Transaction Inputs'!$E$19</definedName>
    <definedName name="TargetDebt">[48]Input!$K$54</definedName>
    <definedName name="tbl">{2}</definedName>
    <definedName name="ticker">'[10]SumComp-Nortel'!$D$1</definedName>
    <definedName name="timepeiece">[48]Input!$E$9</definedName>
    <definedName name="Title">[49]Cases!$A$4</definedName>
    <definedName name="TOTAL_ACQ">'[50]Units Sold Data'!$B$123:$J$123</definedName>
    <definedName name="TOTAL_AUS">'[50]Units Sold Data'!$B$69:$J$69</definedName>
    <definedName name="TOTAL_CAN">'[50]Units Sold Data'!$B$87:$J$87</definedName>
    <definedName name="TOTAL_FM">'[51]Total Products - FM'!$B$17:$J$17</definedName>
    <definedName name="TOTAL_NAT_L">'[50]Units Sold Data'!$B$105:$J$105</definedName>
    <definedName name="TOTAL_UK">'[50]Units Sold Data'!$B$51:$J$51</definedName>
    <definedName name="TOTAL_US">'[50]Units Sold Data'!$B$33:$J$33</definedName>
    <definedName name="TOTALCustomerSheets">OFFSET('[4]Required Sheets'!$I$24:$I$35,,,12-COUNTBLANK('[4]Required Sheets'!$I$24:$I$35))</definedName>
    <definedName name="TOTALDemandSheets">OFFSET('[4]Required Sheets'!$G$24:$G$35,,,12-COUNTBLANK('[4]Required Sheets'!$G$24:$G$35))</definedName>
    <definedName name="TOTALECSheets">OFFSET('[4]Required Sheets'!$H$24:$H$35,,,12-COUNTBLANK('[4]Required Sheets'!$H$24:$H$35))</definedName>
    <definedName name="units">[31]conrol!$C$8</definedName>
    <definedName name="Useful_Life_of_Depreciable_PP_E">"PPElife"</definedName>
    <definedName name="usprice">[10]DCEInputs!$I$5</definedName>
    <definedName name="wrn.IPO._.Valuation." localSheetId="11" hidden="1">{"assumptions",#N/A,FALSE,"Scenario 1";"valuation",#N/A,FALSE,"Scenario 1"}</definedName>
    <definedName name="wrn.IPO._.Valuation." localSheetId="12" hidden="1">{"assumptions",#N/A,FALSE,"Scenario 1";"valuation",#N/A,FALSE,"Scenario 1"}</definedName>
    <definedName name="wrn.IPO._.Valuation." localSheetId="13" hidden="1">{"assumptions",#N/A,FALSE,"Scenario 1";"valuation",#N/A,FALSE,"Scenario 1"}</definedName>
    <definedName name="wrn.IPO._.Valuation." localSheetId="17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11" hidden="1">{"LBO Summary",#N/A,FALSE,"Summary"}</definedName>
    <definedName name="wrn.LBO._.Summary." localSheetId="12" hidden="1">{"LBO Summary",#N/A,FALSE,"Summary"}</definedName>
    <definedName name="wrn.LBO._.Summary." localSheetId="13" hidden="1">{"LBO Summary",#N/A,FALSE,"Summary"}</definedName>
    <definedName name="wrn.LBO._.Summary." localSheetId="17" hidden="1">{"LBO Summary",#N/A,FALSE,"Summary"}</definedName>
    <definedName name="wrn.LBO._.Summary." hidden="1">{"LBO Summary",#N/A,FALSE,"Summary"}</definedName>
    <definedName name="wrn.Print._.All._.Pages." localSheetId="1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Printarea">[5]Main!$H$8:$S$56,[5]Main!$H$16:$S$132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124" l="1"/>
  <c r="AB2" i="124"/>
  <c r="S2" i="124"/>
  <c r="AH2" i="124"/>
  <c r="N2" i="124"/>
  <c r="AE2" i="124"/>
  <c r="V7" i="124"/>
  <c r="A2" i="114"/>
  <c r="AK149" i="127" l="1"/>
  <c r="Y253" i="127" l="1"/>
  <c r="Z253" i="127"/>
  <c r="AA253" i="127"/>
  <c r="AB253" i="127"/>
  <c r="AC253" i="127"/>
  <c r="AD253" i="127"/>
  <c r="AE253" i="127"/>
  <c r="AF253" i="127"/>
  <c r="AG253" i="127"/>
  <c r="AH253" i="127"/>
  <c r="AI253" i="127"/>
  <c r="AJ253" i="127"/>
  <c r="AK253" i="127"/>
  <c r="Y254" i="127"/>
  <c r="Z254" i="127"/>
  <c r="AA254" i="127"/>
  <c r="AB254" i="127"/>
  <c r="AC254" i="127"/>
  <c r="AD254" i="127"/>
  <c r="AE254" i="127"/>
  <c r="AF254" i="127"/>
  <c r="AG254" i="127"/>
  <c r="AH254" i="127"/>
  <c r="AI254" i="127"/>
  <c r="AJ254" i="127"/>
  <c r="AK254" i="127"/>
  <c r="Y249" i="127"/>
  <c r="Z249" i="127"/>
  <c r="AA249" i="127"/>
  <c r="AB249" i="127"/>
  <c r="AC249" i="127"/>
  <c r="AD249" i="127"/>
  <c r="AE249" i="127"/>
  <c r="AF249" i="127"/>
  <c r="AG249" i="127"/>
  <c r="AH249" i="127"/>
  <c r="AI249" i="127"/>
  <c r="AJ249" i="127"/>
  <c r="AK249" i="127"/>
  <c r="Y250" i="127"/>
  <c r="Z250" i="127"/>
  <c r="AA250" i="127"/>
  <c r="AA255" i="127" s="1"/>
  <c r="AB250" i="127"/>
  <c r="AC250" i="127"/>
  <c r="AD250" i="127"/>
  <c r="AE250" i="127"/>
  <c r="AF250" i="127"/>
  <c r="AG250" i="127"/>
  <c r="AH250" i="127"/>
  <c r="AI250" i="127"/>
  <c r="AJ250" i="127"/>
  <c r="AK250" i="127"/>
  <c r="Y251" i="127"/>
  <c r="Z251" i="127"/>
  <c r="AA251" i="127"/>
  <c r="AB251" i="127"/>
  <c r="AC251" i="127"/>
  <c r="AD251" i="127"/>
  <c r="AE251" i="127"/>
  <c r="AF251" i="127"/>
  <c r="AG251" i="127"/>
  <c r="AH251" i="127"/>
  <c r="AI251" i="127"/>
  <c r="AJ251" i="127"/>
  <c r="AK251" i="127"/>
  <c r="Y252" i="127"/>
  <c r="Z252" i="127"/>
  <c r="AA252" i="127"/>
  <c r="AB252" i="127"/>
  <c r="AC252" i="127"/>
  <c r="AD252" i="127"/>
  <c r="AE252" i="127"/>
  <c r="AF252" i="127"/>
  <c r="AG252" i="127"/>
  <c r="AH252" i="127"/>
  <c r="AI252" i="127"/>
  <c r="AJ252" i="127"/>
  <c r="AK252" i="127"/>
  <c r="Z248" i="127"/>
  <c r="AA248" i="127"/>
  <c r="AB248" i="127"/>
  <c r="AC248" i="127"/>
  <c r="AD248" i="127"/>
  <c r="AE248" i="127"/>
  <c r="AF248" i="127"/>
  <c r="AG248" i="127"/>
  <c r="AH248" i="127"/>
  <c r="AI248" i="127"/>
  <c r="AJ248" i="127"/>
  <c r="Y248" i="127"/>
  <c r="F255" i="127"/>
  <c r="CW254" i="127"/>
  <c r="CW255" i="127" s="1"/>
  <c r="CV254" i="127"/>
  <c r="CV255" i="127" s="1"/>
  <c r="CU254" i="127"/>
  <c r="CS254" i="127"/>
  <c r="CS255" i="127" s="1"/>
  <c r="CR254" i="127"/>
  <c r="CR255" i="127" s="1"/>
  <c r="CQ254" i="127"/>
  <c r="CP254" i="127"/>
  <c r="CO254" i="127"/>
  <c r="CN254" i="127"/>
  <c r="CM254" i="127"/>
  <c r="CL254" i="127"/>
  <c r="CK254" i="127"/>
  <c r="CJ254" i="127"/>
  <c r="CD254" i="127"/>
  <c r="CD255" i="127" s="1"/>
  <c r="CC254" i="127"/>
  <c r="CC255" i="127" s="1"/>
  <c r="CB254" i="127"/>
  <c r="BY254" i="127"/>
  <c r="BY255" i="127" s="1"/>
  <c r="BX254" i="127"/>
  <c r="BX255" i="127" s="1"/>
  <c r="BW254" i="127"/>
  <c r="BW255" i="127" s="1"/>
  <c r="BV254" i="127"/>
  <c r="BV255" i="127" s="1"/>
  <c r="BU254" i="127"/>
  <c r="BU255" i="127" s="1"/>
  <c r="BT254" i="127"/>
  <c r="BS254" i="127"/>
  <c r="BS255" i="127" s="1"/>
  <c r="BR254" i="127"/>
  <c r="BR255" i="127" s="1"/>
  <c r="BQ254" i="127"/>
  <c r="BQ255" i="127" s="1"/>
  <c r="BP254" i="127"/>
  <c r="BP255" i="127" s="1"/>
  <c r="BO254" i="127"/>
  <c r="BO255" i="127" s="1"/>
  <c r="BN254" i="127"/>
  <c r="BN255" i="127" s="1"/>
  <c r="BL254" i="127"/>
  <c r="BL255" i="127" s="1"/>
  <c r="BK254" i="127"/>
  <c r="BJ254" i="127"/>
  <c r="BJ255" i="127" s="1"/>
  <c r="BG254" i="127"/>
  <c r="BG255" i="127" s="1"/>
  <c r="BF254" i="127"/>
  <c r="BF255" i="127" s="1"/>
  <c r="BE254" i="127"/>
  <c r="BE255" i="127" s="1"/>
  <c r="BD254" i="127"/>
  <c r="BD255" i="127" s="1"/>
  <c r="BC254" i="127"/>
  <c r="BB254" i="127"/>
  <c r="BB255" i="127" s="1"/>
  <c r="BA254" i="127"/>
  <c r="BA255" i="127" s="1"/>
  <c r="AZ254" i="127"/>
  <c r="AZ255" i="127" s="1"/>
  <c r="AY254" i="127"/>
  <c r="AY255" i="127" s="1"/>
  <c r="AX254" i="127"/>
  <c r="AX255" i="127" s="1"/>
  <c r="AW254" i="127"/>
  <c r="AW255" i="127" s="1"/>
  <c r="AV254" i="127"/>
  <c r="AV255" i="127" s="1"/>
  <c r="AT254" i="127"/>
  <c r="AS254" i="127"/>
  <c r="AR254" i="127"/>
  <c r="AB255" i="127"/>
  <c r="W254" i="127"/>
  <c r="W255" i="127" s="1"/>
  <c r="V254" i="127"/>
  <c r="V255" i="127" s="1"/>
  <c r="U254" i="127"/>
  <c r="U255" i="127" s="1"/>
  <c r="R254" i="127"/>
  <c r="Q254" i="127"/>
  <c r="P254" i="127"/>
  <c r="O254" i="127"/>
  <c r="N254" i="127"/>
  <c r="M254" i="127"/>
  <c r="L254" i="127"/>
  <c r="K254" i="127"/>
  <c r="J254" i="127"/>
  <c r="I254" i="127"/>
  <c r="H254" i="127"/>
  <c r="G254" i="127"/>
  <c r="F254" i="127"/>
  <c r="CW253" i="127"/>
  <c r="CV253" i="127"/>
  <c r="CS253" i="127"/>
  <c r="CR253" i="127"/>
  <c r="CD253" i="127"/>
  <c r="CC253" i="127"/>
  <c r="CB253" i="127"/>
  <c r="BY253" i="127"/>
  <c r="BX253" i="127"/>
  <c r="BW253" i="127"/>
  <c r="BV253" i="127"/>
  <c r="BU253" i="127"/>
  <c r="BT253" i="127"/>
  <c r="BS253" i="127"/>
  <c r="BR253" i="127"/>
  <c r="BQ253" i="127"/>
  <c r="BP253" i="127"/>
  <c r="BO253" i="127"/>
  <c r="BN253" i="127"/>
  <c r="BL253" i="127"/>
  <c r="BK253" i="127"/>
  <c r="BJ253" i="127"/>
  <c r="BG253" i="127"/>
  <c r="BF253" i="127"/>
  <c r="BE253" i="127"/>
  <c r="BD253" i="127"/>
  <c r="BC253" i="127"/>
  <c r="BB253" i="127"/>
  <c r="BA253" i="127"/>
  <c r="AZ253" i="127"/>
  <c r="AY253" i="127"/>
  <c r="AX253" i="127"/>
  <c r="AW253" i="127"/>
  <c r="AV253" i="127"/>
  <c r="AS253" i="127"/>
  <c r="AR253" i="127"/>
  <c r="W253" i="127"/>
  <c r="V253" i="127"/>
  <c r="U253" i="127"/>
  <c r="R253" i="127"/>
  <c r="Q253" i="127"/>
  <c r="P253" i="127"/>
  <c r="O253" i="127"/>
  <c r="N253" i="127"/>
  <c r="M253" i="127"/>
  <c r="L253" i="127"/>
  <c r="K253" i="127"/>
  <c r="J253" i="127"/>
  <c r="I253" i="127"/>
  <c r="H253" i="127"/>
  <c r="G253" i="127"/>
  <c r="F253" i="127"/>
  <c r="CW252" i="127"/>
  <c r="CV252" i="127"/>
  <c r="CU252" i="127"/>
  <c r="CS252" i="127"/>
  <c r="CR252" i="127"/>
  <c r="CQ252" i="127"/>
  <c r="CP252" i="127"/>
  <c r="CO252" i="127"/>
  <c r="CN252" i="127"/>
  <c r="CM252" i="127"/>
  <c r="CL252" i="127"/>
  <c r="CK252" i="127"/>
  <c r="CJ252" i="127"/>
  <c r="CD252" i="127"/>
  <c r="CC252" i="127"/>
  <c r="CB252" i="127"/>
  <c r="CB255" i="127" s="1"/>
  <c r="BY252" i="127"/>
  <c r="BX252" i="127"/>
  <c r="BW252" i="127"/>
  <c r="BV252" i="127"/>
  <c r="BU252" i="127"/>
  <c r="BT252" i="127"/>
  <c r="BT255" i="127" s="1"/>
  <c r="BS252" i="127"/>
  <c r="BR252" i="127"/>
  <c r="BQ252" i="127"/>
  <c r="BP252" i="127"/>
  <c r="BO252" i="127"/>
  <c r="BN252" i="127"/>
  <c r="BL252" i="127"/>
  <c r="BK252" i="127"/>
  <c r="BK255" i="127" s="1"/>
  <c r="BJ252" i="127"/>
  <c r="BG252" i="127"/>
  <c r="BF252" i="127"/>
  <c r="BE252" i="127"/>
  <c r="BD252" i="127"/>
  <c r="BC252" i="127"/>
  <c r="BC255" i="127" s="1"/>
  <c r="BB252" i="127"/>
  <c r="BA252" i="127"/>
  <c r="AZ252" i="127"/>
  <c r="AY252" i="127"/>
  <c r="AX252" i="127"/>
  <c r="AW252" i="127"/>
  <c r="AV252" i="127"/>
  <c r="AT252" i="127"/>
  <c r="AS252" i="127"/>
  <c r="AR252" i="127"/>
  <c r="W252" i="127"/>
  <c r="V252" i="127"/>
  <c r="U252" i="127"/>
  <c r="R252" i="127"/>
  <c r="Q252" i="127"/>
  <c r="P252" i="127"/>
  <c r="O252" i="127"/>
  <c r="N252" i="127"/>
  <c r="M252" i="127"/>
  <c r="L252" i="127"/>
  <c r="K252" i="127"/>
  <c r="J252" i="127"/>
  <c r="I252" i="127"/>
  <c r="H252" i="127"/>
  <c r="G252" i="127"/>
  <c r="F252" i="127"/>
  <c r="CW251" i="127"/>
  <c r="CV251" i="127"/>
  <c r="CU251" i="127"/>
  <c r="CS251" i="127"/>
  <c r="CR251" i="127"/>
  <c r="CQ251" i="127"/>
  <c r="CP251" i="127"/>
  <c r="CO251" i="127"/>
  <c r="CN251" i="127"/>
  <c r="CM251" i="127"/>
  <c r="CL251" i="127"/>
  <c r="CK251" i="127"/>
  <c r="CJ251" i="127"/>
  <c r="CD251" i="127"/>
  <c r="CC251" i="127"/>
  <c r="CB251" i="127"/>
  <c r="CA251" i="127"/>
  <c r="BZ251" i="127"/>
  <c r="BY251" i="127"/>
  <c r="BX251" i="127"/>
  <c r="BW251" i="127"/>
  <c r="BV251" i="127"/>
  <c r="BU251" i="127"/>
  <c r="BT251" i="127"/>
  <c r="BS251" i="127"/>
  <c r="BR251" i="127"/>
  <c r="BQ251" i="127"/>
  <c r="BP251" i="127"/>
  <c r="BO251" i="127"/>
  <c r="BN251" i="127"/>
  <c r="BL251" i="127"/>
  <c r="BK251" i="127"/>
  <c r="BJ251" i="127"/>
  <c r="BI251" i="127"/>
  <c r="BH251" i="127"/>
  <c r="BG251" i="127"/>
  <c r="BF251" i="127"/>
  <c r="BE251" i="127"/>
  <c r="BD251" i="127"/>
  <c r="BC251" i="127"/>
  <c r="BB251" i="127"/>
  <c r="BA251" i="127"/>
  <c r="AZ251" i="127"/>
  <c r="AY251" i="127"/>
  <c r="AX251" i="127"/>
  <c r="AW251" i="127"/>
  <c r="AV251" i="127"/>
  <c r="AT251" i="127"/>
  <c r="AS251" i="127"/>
  <c r="AR251" i="127"/>
  <c r="AQ251" i="127"/>
  <c r="W251" i="127"/>
  <c r="V251" i="127"/>
  <c r="U251" i="127"/>
  <c r="T251" i="127"/>
  <c r="S251" i="127"/>
  <c r="R251" i="127"/>
  <c r="Q251" i="127"/>
  <c r="P251" i="127"/>
  <c r="O251" i="127"/>
  <c r="N251" i="127"/>
  <c r="M251" i="127"/>
  <c r="L251" i="127"/>
  <c r="K251" i="127"/>
  <c r="J251" i="127"/>
  <c r="I251" i="127"/>
  <c r="H251" i="127"/>
  <c r="G251" i="127"/>
  <c r="F251" i="127"/>
  <c r="CW250" i="127"/>
  <c r="CV250" i="127"/>
  <c r="CU250" i="127"/>
  <c r="CS250" i="127"/>
  <c r="CR250" i="127"/>
  <c r="CD250" i="127"/>
  <c r="CC250" i="127"/>
  <c r="CB250" i="127"/>
  <c r="BY250" i="127"/>
  <c r="BX250" i="127"/>
  <c r="BW250" i="127"/>
  <c r="BV250" i="127"/>
  <c r="BU250" i="127"/>
  <c r="BT250" i="127"/>
  <c r="BS250" i="127"/>
  <c r="BR250" i="127"/>
  <c r="BQ250" i="127"/>
  <c r="BP250" i="127"/>
  <c r="BO250" i="127"/>
  <c r="BN250" i="127"/>
  <c r="BL250" i="127"/>
  <c r="BK250" i="127"/>
  <c r="BJ250" i="127"/>
  <c r="BG250" i="127"/>
  <c r="BF250" i="127"/>
  <c r="BE250" i="127"/>
  <c r="BD250" i="127"/>
  <c r="BC250" i="127"/>
  <c r="BB250" i="127"/>
  <c r="BA250" i="127"/>
  <c r="AZ250" i="127"/>
  <c r="AY250" i="127"/>
  <c r="AX250" i="127"/>
  <c r="AW250" i="127"/>
  <c r="AV250" i="127"/>
  <c r="AT250" i="127"/>
  <c r="AS250" i="127"/>
  <c r="AQ250" i="127"/>
  <c r="W250" i="127"/>
  <c r="V250" i="127"/>
  <c r="U250" i="127"/>
  <c r="R250" i="127"/>
  <c r="Q250" i="127"/>
  <c r="P250" i="127"/>
  <c r="O250" i="127"/>
  <c r="N250" i="127"/>
  <c r="M250" i="127"/>
  <c r="L250" i="127"/>
  <c r="K250" i="127"/>
  <c r="J250" i="127"/>
  <c r="I250" i="127"/>
  <c r="H250" i="127"/>
  <c r="G250" i="127"/>
  <c r="F250" i="127"/>
  <c r="CW249" i="127"/>
  <c r="CV249" i="127"/>
  <c r="CU249" i="127"/>
  <c r="CS249" i="127"/>
  <c r="CR249" i="127"/>
  <c r="CQ249" i="127"/>
  <c r="CP249" i="127"/>
  <c r="CO249" i="127"/>
  <c r="CN249" i="127"/>
  <c r="CM249" i="127"/>
  <c r="CL249" i="127"/>
  <c r="CK249" i="127"/>
  <c r="CJ249" i="127"/>
  <c r="CD249" i="127"/>
  <c r="CC249" i="127"/>
  <c r="CB249" i="127"/>
  <c r="CA249" i="127"/>
  <c r="BZ249" i="127"/>
  <c r="BY249" i="127"/>
  <c r="BX249" i="127"/>
  <c r="BW249" i="127"/>
  <c r="BV249" i="127"/>
  <c r="BU249" i="127"/>
  <c r="BT249" i="127"/>
  <c r="BS249" i="127"/>
  <c r="BR249" i="127"/>
  <c r="BQ249" i="127"/>
  <c r="BP249" i="127"/>
  <c r="BO249" i="127"/>
  <c r="BN249" i="127"/>
  <c r="BL249" i="127"/>
  <c r="BK249" i="127"/>
  <c r="BJ249" i="127"/>
  <c r="BI249" i="127"/>
  <c r="BH249" i="127"/>
  <c r="BG249" i="127"/>
  <c r="BF249" i="127"/>
  <c r="BE249" i="127"/>
  <c r="BD249" i="127"/>
  <c r="BC249" i="127"/>
  <c r="BB249" i="127"/>
  <c r="BA249" i="127"/>
  <c r="AZ249" i="127"/>
  <c r="AY249" i="127"/>
  <c r="AX249" i="127"/>
  <c r="AW249" i="127"/>
  <c r="AV249" i="127"/>
  <c r="AT249" i="127"/>
  <c r="AS249" i="127"/>
  <c r="AR249" i="127"/>
  <c r="AQ249" i="127"/>
  <c r="W249" i="127"/>
  <c r="V249" i="127"/>
  <c r="U249" i="127"/>
  <c r="T249" i="127"/>
  <c r="S249" i="127"/>
  <c r="R249" i="127"/>
  <c r="Q249" i="127"/>
  <c r="P249" i="127"/>
  <c r="O249" i="127"/>
  <c r="N249" i="127"/>
  <c r="M249" i="127"/>
  <c r="L249" i="127"/>
  <c r="K249" i="127"/>
  <c r="J249" i="127"/>
  <c r="I249" i="127"/>
  <c r="H249" i="127"/>
  <c r="G249" i="127"/>
  <c r="F249" i="127"/>
  <c r="CW248" i="127"/>
  <c r="CV248" i="127"/>
  <c r="CU248" i="127"/>
  <c r="CS248" i="127"/>
  <c r="CR248" i="127"/>
  <c r="CQ248" i="127"/>
  <c r="CP248" i="127"/>
  <c r="CO248" i="127"/>
  <c r="CN248" i="127"/>
  <c r="CM248" i="127"/>
  <c r="CL248" i="127"/>
  <c r="CK248" i="127"/>
  <c r="CD248" i="127"/>
  <c r="CC248" i="127"/>
  <c r="CB248" i="127"/>
  <c r="BY248" i="127"/>
  <c r="BX248" i="127"/>
  <c r="BW248" i="127"/>
  <c r="BV248" i="127"/>
  <c r="BU248" i="127"/>
  <c r="BT248" i="127"/>
  <c r="BS248" i="127"/>
  <c r="BR248" i="127"/>
  <c r="BQ248" i="127"/>
  <c r="BP248" i="127"/>
  <c r="BO248" i="127"/>
  <c r="BN248" i="127"/>
  <c r="BL248" i="127"/>
  <c r="BK248" i="127"/>
  <c r="BJ248" i="127"/>
  <c r="BG248" i="127"/>
  <c r="BF248" i="127"/>
  <c r="BE248" i="127"/>
  <c r="BD248" i="127"/>
  <c r="BC248" i="127"/>
  <c r="BB248" i="127"/>
  <c r="BA248" i="127"/>
  <c r="AZ248" i="127"/>
  <c r="AY248" i="127"/>
  <c r="AX248" i="127"/>
  <c r="AW248" i="127"/>
  <c r="AV248" i="127"/>
  <c r="AT248" i="127"/>
  <c r="AS248" i="127"/>
  <c r="AR248" i="127"/>
  <c r="AQ248" i="127"/>
  <c r="W248" i="127"/>
  <c r="V248" i="127"/>
  <c r="U248" i="127"/>
  <c r="R248" i="127"/>
  <c r="Q248" i="127"/>
  <c r="P248" i="127"/>
  <c r="O248" i="127"/>
  <c r="N248" i="127"/>
  <c r="M248" i="127"/>
  <c r="L248" i="127"/>
  <c r="K248" i="127"/>
  <c r="J248" i="127"/>
  <c r="I248" i="127"/>
  <c r="H248" i="127"/>
  <c r="G248" i="127"/>
  <c r="F248" i="127"/>
  <c r="AM252" i="127"/>
  <c r="R255" i="127" l="1"/>
  <c r="J255" i="127"/>
  <c r="L255" i="127"/>
  <c r="H255" i="127"/>
  <c r="M255" i="127"/>
  <c r="P255" i="127"/>
  <c r="N255" i="127"/>
  <c r="G255" i="127"/>
  <c r="O255" i="127"/>
  <c r="Q255" i="127"/>
  <c r="AS255" i="127"/>
  <c r="I255" i="127"/>
  <c r="K255" i="127"/>
  <c r="AC255" i="127"/>
  <c r="AD255" i="127"/>
  <c r="AI255" i="127"/>
  <c r="AF255" i="127"/>
  <c r="AG255" i="127"/>
  <c r="Z255" i="127"/>
  <c r="AH255" i="127"/>
  <c r="AJ255" i="127"/>
  <c r="AE255" i="127"/>
  <c r="Y255" i="127"/>
  <c r="AD7" i="124" l="1"/>
  <c r="AD8" i="124"/>
  <c r="G65" i="146" l="1"/>
  <c r="F64" i="146"/>
  <c r="G64" i="146" s="1"/>
  <c r="F63" i="146"/>
  <c r="G63" i="146" s="1"/>
  <c r="F61" i="146"/>
  <c r="G61" i="146" s="1"/>
  <c r="F60" i="146"/>
  <c r="G60" i="146" s="1"/>
  <c r="F59" i="146"/>
  <c r="G59" i="146" s="1"/>
  <c r="F58" i="146"/>
  <c r="G58" i="146" s="1"/>
  <c r="F57" i="146"/>
  <c r="G57" i="146" s="1"/>
  <c r="F56" i="146"/>
  <c r="G56" i="146" s="1"/>
  <c r="F55" i="146"/>
  <c r="G55" i="146" s="1"/>
  <c r="F54" i="146"/>
  <c r="G54" i="146" s="1"/>
  <c r="F53" i="146"/>
  <c r="G53" i="146" s="1"/>
  <c r="F52" i="146"/>
  <c r="G52" i="146" s="1"/>
  <c r="F51" i="146"/>
  <c r="G51" i="146" s="1"/>
  <c r="F50" i="146"/>
  <c r="G50" i="146" s="1"/>
  <c r="F49" i="146"/>
  <c r="G49" i="146" s="1"/>
  <c r="F48" i="146"/>
  <c r="G48" i="146" s="1"/>
  <c r="F47" i="146"/>
  <c r="G47" i="146" s="1"/>
  <c r="F46" i="146"/>
  <c r="G46" i="146" s="1"/>
  <c r="F45" i="146"/>
  <c r="G45" i="146" s="1"/>
  <c r="F44" i="146"/>
  <c r="G44" i="146" s="1"/>
  <c r="F43" i="146"/>
  <c r="G43" i="146" s="1"/>
  <c r="F42" i="146"/>
  <c r="G42" i="146" s="1"/>
  <c r="F41" i="146"/>
  <c r="G41" i="146" s="1"/>
  <c r="F40" i="146"/>
  <c r="G40" i="146" s="1"/>
  <c r="F39" i="146"/>
  <c r="G39" i="146" s="1"/>
  <c r="F38" i="146"/>
  <c r="G38" i="146" s="1"/>
  <c r="F37" i="146"/>
  <c r="G37" i="146" s="1"/>
  <c r="F36" i="146"/>
  <c r="G36" i="146" s="1"/>
  <c r="F35" i="146"/>
  <c r="G35" i="146" s="1"/>
  <c r="F34" i="146"/>
  <c r="G34" i="146" s="1"/>
  <c r="F33" i="146"/>
  <c r="G33" i="146" s="1"/>
  <c r="F32" i="146"/>
  <c r="G32" i="146" s="1"/>
  <c r="F31" i="146"/>
  <c r="G31" i="146" s="1"/>
  <c r="F30" i="146"/>
  <c r="G30" i="146" s="1"/>
  <c r="F29" i="146"/>
  <c r="G29" i="146" s="1"/>
  <c r="F28" i="146"/>
  <c r="G28" i="146" s="1"/>
  <c r="F27" i="146"/>
  <c r="G27" i="146" s="1"/>
  <c r="F26" i="146"/>
  <c r="G26" i="146" s="1"/>
  <c r="F25" i="146"/>
  <c r="G25" i="146" s="1"/>
  <c r="F24" i="146"/>
  <c r="G24" i="146" s="1"/>
  <c r="F23" i="146"/>
  <c r="G23" i="146" s="1"/>
  <c r="F22" i="146"/>
  <c r="G22" i="146" s="1"/>
  <c r="F21" i="146"/>
  <c r="G21" i="146" s="1"/>
  <c r="F20" i="146"/>
  <c r="G20" i="146" s="1"/>
  <c r="F19" i="146"/>
  <c r="G19" i="146" s="1"/>
  <c r="F18" i="146"/>
  <c r="G18" i="146" s="1"/>
  <c r="F17" i="146"/>
  <c r="G17" i="146" s="1"/>
  <c r="F16" i="146"/>
  <c r="G16" i="146" s="1"/>
  <c r="F15" i="146"/>
  <c r="G15" i="146" s="1"/>
  <c r="F14" i="146"/>
  <c r="G14" i="146" s="1"/>
  <c r="F13" i="146"/>
  <c r="G13" i="146" s="1"/>
  <c r="F12" i="146"/>
  <c r="G12" i="146" s="1"/>
  <c r="F11" i="146"/>
  <c r="G11" i="146" s="1"/>
  <c r="F10" i="146"/>
  <c r="G10" i="146" s="1"/>
  <c r="F9" i="146"/>
  <c r="G9" i="146" s="1"/>
  <c r="F8" i="146"/>
  <c r="G8" i="146" s="1"/>
  <c r="F7" i="146"/>
  <c r="G7" i="146" s="1"/>
  <c r="F6" i="146"/>
  <c r="G6" i="146" s="1"/>
  <c r="F5" i="146"/>
  <c r="G5" i="146" s="1"/>
  <c r="F4" i="146"/>
  <c r="G4" i="146" s="1"/>
  <c r="F3" i="146"/>
  <c r="G3" i="146" s="1"/>
  <c r="F2" i="146"/>
  <c r="G2" i="146" s="1"/>
  <c r="F229" i="127"/>
  <c r="CV228" i="127"/>
  <c r="CV229" i="127" s="1"/>
  <c r="CS228" i="127"/>
  <c r="CR228" i="127"/>
  <c r="BY228" i="127"/>
  <c r="BX228" i="127"/>
  <c r="BW228" i="127"/>
  <c r="BV228" i="127"/>
  <c r="BU228" i="127"/>
  <c r="BT228" i="127"/>
  <c r="BS228" i="127"/>
  <c r="BR228" i="127"/>
  <c r="BQ228" i="127"/>
  <c r="BP228" i="127"/>
  <c r="BO228" i="127"/>
  <c r="BN228" i="127"/>
  <c r="BG228" i="127"/>
  <c r="BF228" i="127"/>
  <c r="BF229" i="127" s="1"/>
  <c r="BE228" i="127"/>
  <c r="BE229" i="127" s="1"/>
  <c r="BD228" i="127"/>
  <c r="BC228" i="127"/>
  <c r="BB228" i="127"/>
  <c r="BA228" i="127"/>
  <c r="AZ228" i="127"/>
  <c r="AY228" i="127"/>
  <c r="AX228" i="127"/>
  <c r="AX229" i="127" s="1"/>
  <c r="AW228" i="127"/>
  <c r="AW229" i="127" s="1"/>
  <c r="AV228" i="127"/>
  <c r="AJ228" i="127"/>
  <c r="AI228" i="127"/>
  <c r="AH228" i="127"/>
  <c r="AG228" i="127"/>
  <c r="AF228" i="127"/>
  <c r="AE228" i="127"/>
  <c r="AD228" i="127"/>
  <c r="AC228" i="127"/>
  <c r="AB228" i="127"/>
  <c r="AA228" i="127"/>
  <c r="Z228" i="127"/>
  <c r="Y228" i="127"/>
  <c r="R228" i="127"/>
  <c r="Q228" i="127"/>
  <c r="P228" i="127"/>
  <c r="O228" i="127"/>
  <c r="N228" i="127"/>
  <c r="M228" i="127"/>
  <c r="L228" i="127"/>
  <c r="K228" i="127"/>
  <c r="J228" i="127"/>
  <c r="I228" i="127"/>
  <c r="H228" i="127"/>
  <c r="G228" i="127"/>
  <c r="F228" i="127"/>
  <c r="CV227" i="127"/>
  <c r="CS227" i="127"/>
  <c r="CR227" i="127"/>
  <c r="BY227" i="127"/>
  <c r="BX227" i="127"/>
  <c r="BW227" i="127"/>
  <c r="BV227" i="127"/>
  <c r="BU227" i="127"/>
  <c r="BT227" i="127"/>
  <c r="BS227" i="127"/>
  <c r="BR227" i="127"/>
  <c r="BQ227" i="127"/>
  <c r="BP227" i="127"/>
  <c r="BO227" i="127"/>
  <c r="BN227" i="127"/>
  <c r="BG227" i="127"/>
  <c r="BF227" i="127"/>
  <c r="BE227" i="127"/>
  <c r="BD227" i="127"/>
  <c r="BC227" i="127"/>
  <c r="BB227" i="127"/>
  <c r="BA227" i="127"/>
  <c r="AZ227" i="127"/>
  <c r="AY227" i="127"/>
  <c r="AX227" i="127"/>
  <c r="AW227" i="127"/>
  <c r="AV227" i="127"/>
  <c r="AJ227" i="127"/>
  <c r="AI227" i="127"/>
  <c r="AH227" i="127"/>
  <c r="AG227" i="127"/>
  <c r="AF227" i="127"/>
  <c r="AE227" i="127"/>
  <c r="AD227" i="127"/>
  <c r="AC227" i="127"/>
  <c r="AB227" i="127"/>
  <c r="AA227" i="127"/>
  <c r="Z227" i="127"/>
  <c r="Y227" i="127"/>
  <c r="R227" i="127"/>
  <c r="Q227" i="127"/>
  <c r="P227" i="127"/>
  <c r="O227" i="127"/>
  <c r="N227" i="127"/>
  <c r="M227" i="127"/>
  <c r="L227" i="127"/>
  <c r="K227" i="127"/>
  <c r="J227" i="127"/>
  <c r="I227" i="127"/>
  <c r="H227" i="127"/>
  <c r="G227" i="127"/>
  <c r="F227" i="127"/>
  <c r="CW226" i="127"/>
  <c r="CV226" i="127"/>
  <c r="CU226" i="127"/>
  <c r="CS226" i="127"/>
  <c r="CR226" i="127"/>
  <c r="CQ226" i="127"/>
  <c r="CP226" i="127"/>
  <c r="CO226" i="127"/>
  <c r="CN226" i="127"/>
  <c r="CM226" i="127"/>
  <c r="CL226" i="127"/>
  <c r="CK226" i="127"/>
  <c r="CJ226" i="127"/>
  <c r="CD226" i="127"/>
  <c r="CC226" i="127"/>
  <c r="CB226" i="127"/>
  <c r="CA226" i="127"/>
  <c r="BZ226" i="127"/>
  <c r="BY226" i="127"/>
  <c r="BX226" i="127"/>
  <c r="BW226" i="127"/>
  <c r="BV226" i="127"/>
  <c r="BU226" i="127"/>
  <c r="BT226" i="127"/>
  <c r="BS226" i="127"/>
  <c r="BR226" i="127"/>
  <c r="BQ226" i="127"/>
  <c r="BP226" i="127"/>
  <c r="BO226" i="127"/>
  <c r="BN226" i="127"/>
  <c r="BL226" i="127"/>
  <c r="BK226" i="127"/>
  <c r="BJ226" i="127"/>
  <c r="BI226" i="127"/>
  <c r="BH226" i="127"/>
  <c r="BG226" i="127"/>
  <c r="BF226" i="127"/>
  <c r="BE226" i="127"/>
  <c r="BD226" i="127"/>
  <c r="BC226" i="127"/>
  <c r="BB226" i="127"/>
  <c r="BA226" i="127"/>
  <c r="AZ226" i="127"/>
  <c r="AY226" i="127"/>
  <c r="AX226" i="127"/>
  <c r="AW226" i="127"/>
  <c r="AV226" i="127"/>
  <c r="AT226" i="127"/>
  <c r="AS226" i="127"/>
  <c r="AR226" i="127"/>
  <c r="AQ226" i="127"/>
  <c r="AK226" i="127"/>
  <c r="AJ226" i="127"/>
  <c r="AI226" i="127"/>
  <c r="AH226" i="127"/>
  <c r="AG226" i="127"/>
  <c r="AF226" i="127"/>
  <c r="AE226" i="127"/>
  <c r="AD226" i="127"/>
  <c r="AC226" i="127"/>
  <c r="AB226" i="127"/>
  <c r="AA226" i="127"/>
  <c r="Z226" i="127"/>
  <c r="Y226" i="127"/>
  <c r="W226" i="127"/>
  <c r="V226" i="127"/>
  <c r="U226" i="127"/>
  <c r="T226" i="127"/>
  <c r="S226" i="127"/>
  <c r="R226" i="127"/>
  <c r="Q226" i="127"/>
  <c r="P226" i="127"/>
  <c r="O226" i="127"/>
  <c r="N226" i="127"/>
  <c r="M226" i="127"/>
  <c r="L226" i="127"/>
  <c r="K226" i="127"/>
  <c r="J226" i="127"/>
  <c r="I226" i="127"/>
  <c r="H226" i="127"/>
  <c r="G226" i="127"/>
  <c r="F226" i="127"/>
  <c r="CW225" i="127"/>
  <c r="CV225" i="127"/>
  <c r="CU225" i="127"/>
  <c r="CS225" i="127"/>
  <c r="CR225" i="127"/>
  <c r="CQ225" i="127"/>
  <c r="CP225" i="127"/>
  <c r="CO225" i="127"/>
  <c r="CN225" i="127"/>
  <c r="CM225" i="127"/>
  <c r="CL225" i="127"/>
  <c r="CK225" i="127"/>
  <c r="CJ225" i="127"/>
  <c r="CD225" i="127"/>
  <c r="CC225" i="127"/>
  <c r="CB225" i="127"/>
  <c r="CA225" i="127"/>
  <c r="BZ225" i="127"/>
  <c r="BY225" i="127"/>
  <c r="BX225" i="127"/>
  <c r="BW225" i="127"/>
  <c r="BV225" i="127"/>
  <c r="BU225" i="127"/>
  <c r="BT225" i="127"/>
  <c r="BS225" i="127"/>
  <c r="BR225" i="127"/>
  <c r="BQ225" i="127"/>
  <c r="BP225" i="127"/>
  <c r="BO225" i="127"/>
  <c r="BN225" i="127"/>
  <c r="BL225" i="127"/>
  <c r="BK225" i="127"/>
  <c r="BJ225" i="127"/>
  <c r="BI225" i="127"/>
  <c r="BH225" i="127"/>
  <c r="BG225" i="127"/>
  <c r="BF225" i="127"/>
  <c r="BE225" i="127"/>
  <c r="BD225" i="127"/>
  <c r="BC225" i="127"/>
  <c r="BB225" i="127"/>
  <c r="BA225" i="127"/>
  <c r="AZ225" i="127"/>
  <c r="AY225" i="127"/>
  <c r="AX225" i="127"/>
  <c r="AW225" i="127"/>
  <c r="AV225" i="127"/>
  <c r="AT225" i="127"/>
  <c r="AS225" i="127"/>
  <c r="AR225" i="127"/>
  <c r="AQ225" i="127"/>
  <c r="AK225" i="127"/>
  <c r="AJ225" i="127"/>
  <c r="AI225" i="127"/>
  <c r="AH225" i="127"/>
  <c r="AG225" i="127"/>
  <c r="AF225" i="127"/>
  <c r="AE225" i="127"/>
  <c r="AD225" i="127"/>
  <c r="AC225" i="127"/>
  <c r="AB225" i="127"/>
  <c r="AA225" i="127"/>
  <c r="Z225" i="127"/>
  <c r="Y225" i="127"/>
  <c r="W225" i="127"/>
  <c r="V225" i="127"/>
  <c r="U225" i="127"/>
  <c r="T225" i="127"/>
  <c r="S225" i="127"/>
  <c r="R225" i="127"/>
  <c r="Q225" i="127"/>
  <c r="P225" i="127"/>
  <c r="O225" i="127"/>
  <c r="N225" i="127"/>
  <c r="M225" i="127"/>
  <c r="L225" i="127"/>
  <c r="K225" i="127"/>
  <c r="J225" i="127"/>
  <c r="I225" i="127"/>
  <c r="H225" i="127"/>
  <c r="G225" i="127"/>
  <c r="F225" i="127"/>
  <c r="CV224" i="127"/>
  <c r="CS224" i="127"/>
  <c r="CR224" i="127"/>
  <c r="BY224" i="127"/>
  <c r="BX224" i="127"/>
  <c r="BW224" i="127"/>
  <c r="BV224" i="127"/>
  <c r="BU224" i="127"/>
  <c r="BT224" i="127"/>
  <c r="BS224" i="127"/>
  <c r="BR224" i="127"/>
  <c r="BQ224" i="127"/>
  <c r="BP224" i="127"/>
  <c r="BO224" i="127"/>
  <c r="BN224" i="127"/>
  <c r="BG224" i="127"/>
  <c r="BF224" i="127"/>
  <c r="BE224" i="127"/>
  <c r="BD224" i="127"/>
  <c r="BC224" i="127"/>
  <c r="BB224" i="127"/>
  <c r="BA224" i="127"/>
  <c r="AZ224" i="127"/>
  <c r="AY224" i="127"/>
  <c r="AX224" i="127"/>
  <c r="AW224" i="127"/>
  <c r="AV224" i="127"/>
  <c r="AJ224" i="127"/>
  <c r="AI224" i="127"/>
  <c r="AH224" i="127"/>
  <c r="AG224" i="127"/>
  <c r="AF224" i="127"/>
  <c r="AE224" i="127"/>
  <c r="AD224" i="127"/>
  <c r="AC224" i="127"/>
  <c r="AB224" i="127"/>
  <c r="AA224" i="127"/>
  <c r="Z224" i="127"/>
  <c r="Y224" i="127"/>
  <c r="R224" i="127"/>
  <c r="Q224" i="127"/>
  <c r="P224" i="127"/>
  <c r="O224" i="127"/>
  <c r="N224" i="127"/>
  <c r="M224" i="127"/>
  <c r="L224" i="127"/>
  <c r="K224" i="127"/>
  <c r="J224" i="127"/>
  <c r="I224" i="127"/>
  <c r="H224" i="127"/>
  <c r="G224" i="127"/>
  <c r="F224" i="127"/>
  <c r="CW223" i="127"/>
  <c r="CV223" i="127"/>
  <c r="CU223" i="127"/>
  <c r="CS223" i="127"/>
  <c r="CR223" i="127"/>
  <c r="CQ223" i="127"/>
  <c r="CP223" i="127"/>
  <c r="CO223" i="127"/>
  <c r="CN223" i="127"/>
  <c r="CM223" i="127"/>
  <c r="CL223" i="127"/>
  <c r="CK223" i="127"/>
  <c r="CJ223" i="127"/>
  <c r="CD223" i="127"/>
  <c r="CC223" i="127"/>
  <c r="CB223" i="127"/>
  <c r="CA223" i="127"/>
  <c r="BZ223" i="127"/>
  <c r="BY223" i="127"/>
  <c r="BX223" i="127"/>
  <c r="BW223" i="127"/>
  <c r="BV223" i="127"/>
  <c r="BU223" i="127"/>
  <c r="BT223" i="127"/>
  <c r="BS223" i="127"/>
  <c r="BR223" i="127"/>
  <c r="BQ223" i="127"/>
  <c r="BP223" i="127"/>
  <c r="BO223" i="127"/>
  <c r="BN223" i="127"/>
  <c r="BL223" i="127"/>
  <c r="BK223" i="127"/>
  <c r="BJ223" i="127"/>
  <c r="BI223" i="127"/>
  <c r="BH223" i="127"/>
  <c r="BG223" i="127"/>
  <c r="BF223" i="127"/>
  <c r="BE223" i="127"/>
  <c r="BD223" i="127"/>
  <c r="BC223" i="127"/>
  <c r="BB223" i="127"/>
  <c r="BA223" i="127"/>
  <c r="AZ223" i="127"/>
  <c r="AY223" i="127"/>
  <c r="AX223" i="127"/>
  <c r="AW223" i="127"/>
  <c r="AV223" i="127"/>
  <c r="AT223" i="127"/>
  <c r="AS223" i="127"/>
  <c r="AR223" i="127"/>
  <c r="AQ223" i="127"/>
  <c r="AK223" i="127"/>
  <c r="AJ223" i="127"/>
  <c r="AI223" i="127"/>
  <c r="AH223" i="127"/>
  <c r="AG223" i="127"/>
  <c r="AF223" i="127"/>
  <c r="AE223" i="127"/>
  <c r="AD223" i="127"/>
  <c r="AC223" i="127"/>
  <c r="AB223" i="127"/>
  <c r="AA223" i="127"/>
  <c r="Z223" i="127"/>
  <c r="Y223" i="127"/>
  <c r="W223" i="127"/>
  <c r="V223" i="127"/>
  <c r="U223" i="127"/>
  <c r="T223" i="127"/>
  <c r="S223" i="127"/>
  <c r="R223" i="127"/>
  <c r="Q223" i="127"/>
  <c r="P223" i="127"/>
  <c r="O223" i="127"/>
  <c r="N223" i="127"/>
  <c r="M223" i="127"/>
  <c r="L223" i="127"/>
  <c r="K223" i="127"/>
  <c r="J223" i="127"/>
  <c r="I223" i="127"/>
  <c r="H223" i="127"/>
  <c r="G223" i="127"/>
  <c r="F223" i="127"/>
  <c r="CV222" i="127"/>
  <c r="CS222" i="127"/>
  <c r="CR222" i="127"/>
  <c r="BY222" i="127"/>
  <c r="BX222" i="127"/>
  <c r="BW222" i="127"/>
  <c r="BV222" i="127"/>
  <c r="BU222" i="127"/>
  <c r="BT222" i="127"/>
  <c r="BS222" i="127"/>
  <c r="BR222" i="127"/>
  <c r="BQ222" i="127"/>
  <c r="BP222" i="127"/>
  <c r="BO222" i="127"/>
  <c r="BN222" i="127"/>
  <c r="BG222" i="127"/>
  <c r="BF222" i="127"/>
  <c r="BE222" i="127"/>
  <c r="BD222" i="127"/>
  <c r="BC222" i="127"/>
  <c r="BB222" i="127"/>
  <c r="BA222" i="127"/>
  <c r="AZ222" i="127"/>
  <c r="AZ229" i="127" s="1"/>
  <c r="AY222" i="127"/>
  <c r="AX222" i="127"/>
  <c r="AW222" i="127"/>
  <c r="AV222" i="127"/>
  <c r="AJ222" i="127"/>
  <c r="AI222" i="127"/>
  <c r="AH222" i="127"/>
  <c r="AG222" i="127"/>
  <c r="AF222" i="127"/>
  <c r="AE222" i="127"/>
  <c r="AD222" i="127"/>
  <c r="AC222" i="127"/>
  <c r="AB222" i="127"/>
  <c r="AA222" i="127"/>
  <c r="Z222" i="127"/>
  <c r="Y222" i="127"/>
  <c r="R222" i="127"/>
  <c r="Q222" i="127"/>
  <c r="P222" i="127"/>
  <c r="O222" i="127"/>
  <c r="N222" i="127"/>
  <c r="M222" i="127"/>
  <c r="L222" i="127"/>
  <c r="K222" i="127"/>
  <c r="J222" i="127"/>
  <c r="I222" i="127"/>
  <c r="H222" i="127"/>
  <c r="G222" i="127"/>
  <c r="F222" i="127"/>
  <c r="F220" i="127"/>
  <c r="CV219" i="127"/>
  <c r="CS219" i="127"/>
  <c r="CR219" i="127"/>
  <c r="CR220" i="127" s="1"/>
  <c r="BY219" i="127"/>
  <c r="BX219" i="127"/>
  <c r="BW219" i="127"/>
  <c r="BV219" i="127"/>
  <c r="BU219" i="127"/>
  <c r="BT219" i="127"/>
  <c r="BS219" i="127"/>
  <c r="BR219" i="127"/>
  <c r="BQ219" i="127"/>
  <c r="BP219" i="127"/>
  <c r="BO219" i="127"/>
  <c r="BN219" i="127"/>
  <c r="BG219" i="127"/>
  <c r="BF219" i="127"/>
  <c r="BE219" i="127"/>
  <c r="BD219" i="127"/>
  <c r="BD220" i="127" s="1"/>
  <c r="BC219" i="127"/>
  <c r="BB219" i="127"/>
  <c r="BA219" i="127"/>
  <c r="AZ219" i="127"/>
  <c r="AY219" i="127"/>
  <c r="AX219" i="127"/>
  <c r="AW219" i="127"/>
  <c r="AV219" i="127"/>
  <c r="AV220" i="127" s="1"/>
  <c r="AJ219" i="127"/>
  <c r="AI219" i="127"/>
  <c r="AH219" i="127"/>
  <c r="AG219" i="127"/>
  <c r="AF219" i="127"/>
  <c r="AE219" i="127"/>
  <c r="AD219" i="127"/>
  <c r="AC219" i="127"/>
  <c r="AB219" i="127"/>
  <c r="AA219" i="127"/>
  <c r="Z219" i="127"/>
  <c r="Y219" i="127"/>
  <c r="R219" i="127"/>
  <c r="Q219" i="127"/>
  <c r="P219" i="127"/>
  <c r="O219" i="127"/>
  <c r="N219" i="127"/>
  <c r="M219" i="127"/>
  <c r="L219" i="127"/>
  <c r="K219" i="127"/>
  <c r="J219" i="127"/>
  <c r="I219" i="127"/>
  <c r="H219" i="127"/>
  <c r="G219" i="127"/>
  <c r="F219" i="127"/>
  <c r="CV218" i="127"/>
  <c r="CS218" i="127"/>
  <c r="CR218" i="127"/>
  <c r="BY218" i="127"/>
  <c r="BX218" i="127"/>
  <c r="BW218" i="127"/>
  <c r="BV218" i="127"/>
  <c r="BU218" i="127"/>
  <c r="BT218" i="127"/>
  <c r="BS218" i="127"/>
  <c r="BR218" i="127"/>
  <c r="BQ218" i="127"/>
  <c r="BP218" i="127"/>
  <c r="BO218" i="127"/>
  <c r="BN218" i="127"/>
  <c r="BG218" i="127"/>
  <c r="BF218" i="127"/>
  <c r="BE218" i="127"/>
  <c r="BD218" i="127"/>
  <c r="BC218" i="127"/>
  <c r="BB218" i="127"/>
  <c r="BA218" i="127"/>
  <c r="AZ218" i="127"/>
  <c r="AY218" i="127"/>
  <c r="AX218" i="127"/>
  <c r="AW218" i="127"/>
  <c r="AV218" i="127"/>
  <c r="AJ218" i="127"/>
  <c r="AI218" i="127"/>
  <c r="AH218" i="127"/>
  <c r="AG218" i="127"/>
  <c r="AF218" i="127"/>
  <c r="AE218" i="127"/>
  <c r="AD218" i="127"/>
  <c r="AC218" i="127"/>
  <c r="AB218" i="127"/>
  <c r="AA218" i="127"/>
  <c r="Z218" i="127"/>
  <c r="Y218" i="127"/>
  <c r="R218" i="127"/>
  <c r="Q218" i="127"/>
  <c r="P218" i="127"/>
  <c r="O218" i="127"/>
  <c r="N218" i="127"/>
  <c r="M218" i="127"/>
  <c r="L218" i="127"/>
  <c r="K218" i="127"/>
  <c r="J218" i="127"/>
  <c r="I218" i="127"/>
  <c r="H218" i="127"/>
  <c r="G218" i="127"/>
  <c r="F218" i="127"/>
  <c r="CW217" i="127"/>
  <c r="CV217" i="127"/>
  <c r="CU217" i="127"/>
  <c r="CS217" i="127"/>
  <c r="CR217" i="127"/>
  <c r="CQ217" i="127"/>
  <c r="CP217" i="127"/>
  <c r="CO217" i="127"/>
  <c r="CN217" i="127"/>
  <c r="CM217" i="127"/>
  <c r="CL217" i="127"/>
  <c r="CK217" i="127"/>
  <c r="CJ217" i="127"/>
  <c r="CD217" i="127"/>
  <c r="CC217" i="127"/>
  <c r="CB217" i="127"/>
  <c r="CA217" i="127"/>
  <c r="BZ217" i="127"/>
  <c r="BY217" i="127"/>
  <c r="BX217" i="127"/>
  <c r="BW217" i="127"/>
  <c r="BV217" i="127"/>
  <c r="BU217" i="127"/>
  <c r="BT217" i="127"/>
  <c r="BS217" i="127"/>
  <c r="BR217" i="127"/>
  <c r="BQ217" i="127"/>
  <c r="BP217" i="127"/>
  <c r="BO217" i="127"/>
  <c r="BN217" i="127"/>
  <c r="BL217" i="127"/>
  <c r="BK217" i="127"/>
  <c r="BJ217" i="127"/>
  <c r="BI217" i="127"/>
  <c r="BH217" i="127"/>
  <c r="BG217" i="127"/>
  <c r="BF217" i="127"/>
  <c r="BE217" i="127"/>
  <c r="BD217" i="127"/>
  <c r="BC217" i="127"/>
  <c r="BB217" i="127"/>
  <c r="BA217" i="127"/>
  <c r="AZ217" i="127"/>
  <c r="AY217" i="127"/>
  <c r="AX217" i="127"/>
  <c r="AW217" i="127"/>
  <c r="AV217" i="127"/>
  <c r="AT217" i="127"/>
  <c r="AS217" i="127"/>
  <c r="AR217" i="127"/>
  <c r="AQ217" i="127"/>
  <c r="AK217" i="127"/>
  <c r="AJ217" i="127"/>
  <c r="AI217" i="127"/>
  <c r="AH217" i="127"/>
  <c r="AG217" i="127"/>
  <c r="AF217" i="127"/>
  <c r="AE217" i="127"/>
  <c r="AD217" i="127"/>
  <c r="AC217" i="127"/>
  <c r="AB217" i="127"/>
  <c r="AA217" i="127"/>
  <c r="Z217" i="127"/>
  <c r="Y217" i="127"/>
  <c r="W217" i="127"/>
  <c r="V217" i="127"/>
  <c r="U217" i="127"/>
  <c r="T217" i="127"/>
  <c r="S217" i="127"/>
  <c r="R217" i="127"/>
  <c r="Q217" i="127"/>
  <c r="P217" i="127"/>
  <c r="O217" i="127"/>
  <c r="N217" i="127"/>
  <c r="M217" i="127"/>
  <c r="L217" i="127"/>
  <c r="K217" i="127"/>
  <c r="J217" i="127"/>
  <c r="I217" i="127"/>
  <c r="H217" i="127"/>
  <c r="G217" i="127"/>
  <c r="F217" i="127"/>
  <c r="CW216" i="127"/>
  <c r="CV216" i="127"/>
  <c r="CU216" i="127"/>
  <c r="CS216" i="127"/>
  <c r="CR216" i="127"/>
  <c r="CQ216" i="127"/>
  <c r="CP216" i="127"/>
  <c r="CO216" i="127"/>
  <c r="CN216" i="127"/>
  <c r="CM216" i="127"/>
  <c r="CL216" i="127"/>
  <c r="CK216" i="127"/>
  <c r="CJ216" i="127"/>
  <c r="CD216" i="127"/>
  <c r="CC216" i="127"/>
  <c r="CB216" i="127"/>
  <c r="CA216" i="127"/>
  <c r="BZ216" i="127"/>
  <c r="BY216" i="127"/>
  <c r="BX216" i="127"/>
  <c r="BW216" i="127"/>
  <c r="BV216" i="127"/>
  <c r="BU216" i="127"/>
  <c r="BT216" i="127"/>
  <c r="BS216" i="127"/>
  <c r="BR216" i="127"/>
  <c r="BQ216" i="127"/>
  <c r="BP216" i="127"/>
  <c r="BO216" i="127"/>
  <c r="BN216" i="127"/>
  <c r="BL216" i="127"/>
  <c r="BK216" i="127"/>
  <c r="BJ216" i="127"/>
  <c r="BI216" i="127"/>
  <c r="BH216" i="127"/>
  <c r="BG216" i="127"/>
  <c r="BF216" i="127"/>
  <c r="BE216" i="127"/>
  <c r="BD216" i="127"/>
  <c r="BC216" i="127"/>
  <c r="BB216" i="127"/>
  <c r="BA216" i="127"/>
  <c r="AZ216" i="127"/>
  <c r="AY216" i="127"/>
  <c r="AX216" i="127"/>
  <c r="AW216" i="127"/>
  <c r="AV216" i="127"/>
  <c r="AT216" i="127"/>
  <c r="AS216" i="127"/>
  <c r="AR216" i="127"/>
  <c r="AQ216" i="127"/>
  <c r="AK216" i="127"/>
  <c r="AJ216" i="127"/>
  <c r="AI216" i="127"/>
  <c r="AH216" i="127"/>
  <c r="AG216" i="127"/>
  <c r="AF216" i="127"/>
  <c r="AE216" i="127"/>
  <c r="AD216" i="127"/>
  <c r="AC216" i="127"/>
  <c r="AB216" i="127"/>
  <c r="AA216" i="127"/>
  <c r="Z216" i="127"/>
  <c r="Y216" i="127"/>
  <c r="W216" i="127"/>
  <c r="V216" i="127"/>
  <c r="U216" i="127"/>
  <c r="T216" i="127"/>
  <c r="S216" i="127"/>
  <c r="R216" i="127"/>
  <c r="Q216" i="127"/>
  <c r="P216" i="127"/>
  <c r="O216" i="127"/>
  <c r="N216" i="127"/>
  <c r="M216" i="127"/>
  <c r="L216" i="127"/>
  <c r="K216" i="127"/>
  <c r="J216" i="127"/>
  <c r="I216" i="127"/>
  <c r="H216" i="127"/>
  <c r="G216" i="127"/>
  <c r="F216" i="127"/>
  <c r="CV215" i="127"/>
  <c r="CS215" i="127"/>
  <c r="CR215" i="127"/>
  <c r="BY215" i="127"/>
  <c r="BX215" i="127"/>
  <c r="BW215" i="127"/>
  <c r="BV215" i="127"/>
  <c r="BU215" i="127"/>
  <c r="BT215" i="127"/>
  <c r="BS215" i="127"/>
  <c r="BR215" i="127"/>
  <c r="BQ215" i="127"/>
  <c r="BP215" i="127"/>
  <c r="BO215" i="127"/>
  <c r="BN215" i="127"/>
  <c r="BG215" i="127"/>
  <c r="BF215" i="127"/>
  <c r="BE215" i="127"/>
  <c r="BD215" i="127"/>
  <c r="BC215" i="127"/>
  <c r="BB215" i="127"/>
  <c r="BA215" i="127"/>
  <c r="AZ215" i="127"/>
  <c r="AY215" i="127"/>
  <c r="AX215" i="127"/>
  <c r="AW215" i="127"/>
  <c r="AV215" i="127"/>
  <c r="AJ215" i="127"/>
  <c r="AI215" i="127"/>
  <c r="AH215" i="127"/>
  <c r="AG215" i="127"/>
  <c r="AF215" i="127"/>
  <c r="AE215" i="127"/>
  <c r="AD215" i="127"/>
  <c r="AC215" i="127"/>
  <c r="AB215" i="127"/>
  <c r="AA215" i="127"/>
  <c r="Z215" i="127"/>
  <c r="Y215" i="127"/>
  <c r="R215" i="127"/>
  <c r="Q215" i="127"/>
  <c r="P215" i="127"/>
  <c r="O215" i="127"/>
  <c r="N215" i="127"/>
  <c r="M215" i="127"/>
  <c r="L215" i="127"/>
  <c r="K215" i="127"/>
  <c r="J215" i="127"/>
  <c r="I215" i="127"/>
  <c r="H215" i="127"/>
  <c r="G215" i="127"/>
  <c r="F215" i="127"/>
  <c r="CW214" i="127"/>
  <c r="CV214" i="127"/>
  <c r="CU214" i="127"/>
  <c r="CS214" i="127"/>
  <c r="CR214" i="127"/>
  <c r="CQ214" i="127"/>
  <c r="CP214" i="127"/>
  <c r="CO214" i="127"/>
  <c r="CN214" i="127"/>
  <c r="CM214" i="127"/>
  <c r="CL214" i="127"/>
  <c r="CK214" i="127"/>
  <c r="CJ214" i="127"/>
  <c r="CD214" i="127"/>
  <c r="CC214" i="127"/>
  <c r="CB214" i="127"/>
  <c r="CA214" i="127"/>
  <c r="BZ214" i="127"/>
  <c r="BY214" i="127"/>
  <c r="BX214" i="127"/>
  <c r="BW214" i="127"/>
  <c r="BV214" i="127"/>
  <c r="BU214" i="127"/>
  <c r="BT214" i="127"/>
  <c r="BS214" i="127"/>
  <c r="BR214" i="127"/>
  <c r="BQ214" i="127"/>
  <c r="BP214" i="127"/>
  <c r="BO214" i="127"/>
  <c r="BN214" i="127"/>
  <c r="BL214" i="127"/>
  <c r="BK214" i="127"/>
  <c r="BJ214" i="127"/>
  <c r="BI214" i="127"/>
  <c r="BH214" i="127"/>
  <c r="BG214" i="127"/>
  <c r="BF214" i="127"/>
  <c r="BE214" i="127"/>
  <c r="BD214" i="127"/>
  <c r="BC214" i="127"/>
  <c r="BB214" i="127"/>
  <c r="BA214" i="127"/>
  <c r="AZ214" i="127"/>
  <c r="AY214" i="127"/>
  <c r="AX214" i="127"/>
  <c r="AW214" i="127"/>
  <c r="AV214" i="127"/>
  <c r="AT214" i="127"/>
  <c r="AS214" i="127"/>
  <c r="AR214" i="127"/>
  <c r="AQ214" i="127"/>
  <c r="AK214" i="127"/>
  <c r="AJ214" i="127"/>
  <c r="AI214" i="127"/>
  <c r="AH214" i="127"/>
  <c r="AG214" i="127"/>
  <c r="AF214" i="127"/>
  <c r="AE214" i="127"/>
  <c r="AD214" i="127"/>
  <c r="AC214" i="127"/>
  <c r="AB214" i="127"/>
  <c r="AA214" i="127"/>
  <c r="Z214" i="127"/>
  <c r="Y214" i="127"/>
  <c r="W214" i="127"/>
  <c r="V214" i="127"/>
  <c r="U214" i="127"/>
  <c r="T214" i="127"/>
  <c r="S214" i="127"/>
  <c r="R214" i="127"/>
  <c r="Q214" i="127"/>
  <c r="P214" i="127"/>
  <c r="O214" i="127"/>
  <c r="N214" i="127"/>
  <c r="M214" i="127"/>
  <c r="L214" i="127"/>
  <c r="K214" i="127"/>
  <c r="J214" i="127"/>
  <c r="I214" i="127"/>
  <c r="H214" i="127"/>
  <c r="G214" i="127"/>
  <c r="F214" i="127"/>
  <c r="CV213" i="127"/>
  <c r="CS213" i="127"/>
  <c r="CR213" i="127"/>
  <c r="BY213" i="127"/>
  <c r="BX213" i="127"/>
  <c r="BX220" i="127" s="1"/>
  <c r="BW213" i="127"/>
  <c r="BV213" i="127"/>
  <c r="BU213" i="127"/>
  <c r="BT213" i="127"/>
  <c r="BS213" i="127"/>
  <c r="BR213" i="127"/>
  <c r="BQ213" i="127"/>
  <c r="BP213" i="127"/>
  <c r="BP220" i="127" s="1"/>
  <c r="BO213" i="127"/>
  <c r="BN213" i="127"/>
  <c r="BG213" i="127"/>
  <c r="BG220" i="127" s="1"/>
  <c r="BF213" i="127"/>
  <c r="BE213" i="127"/>
  <c r="BD213" i="127"/>
  <c r="BC213" i="127"/>
  <c r="BB213" i="127"/>
  <c r="BA213" i="127"/>
  <c r="AZ213" i="127"/>
  <c r="AY213" i="127"/>
  <c r="AY220" i="127" s="1"/>
  <c r="AX213" i="127"/>
  <c r="AW213" i="127"/>
  <c r="AV213" i="127"/>
  <c r="AJ213" i="127"/>
  <c r="AI213" i="127"/>
  <c r="AH213" i="127"/>
  <c r="AG213" i="127"/>
  <c r="AF213" i="127"/>
  <c r="AE213" i="127"/>
  <c r="AD213" i="127"/>
  <c r="AC213" i="127"/>
  <c r="AB213" i="127"/>
  <c r="AA213" i="127"/>
  <c r="AA220" i="127" s="1"/>
  <c r="Z213" i="127"/>
  <c r="Y213" i="127"/>
  <c r="R213" i="127"/>
  <c r="Q213" i="127"/>
  <c r="P213" i="127"/>
  <c r="O213" i="127"/>
  <c r="N213" i="127"/>
  <c r="M213" i="127"/>
  <c r="L213" i="127"/>
  <c r="K213" i="127"/>
  <c r="J213" i="127"/>
  <c r="I213" i="127"/>
  <c r="H213" i="127"/>
  <c r="G213" i="127"/>
  <c r="F213" i="127"/>
  <c r="F211" i="127"/>
  <c r="CV210" i="127"/>
  <c r="CS210" i="127"/>
  <c r="CR210" i="127"/>
  <c r="BY210" i="127"/>
  <c r="BY211" i="127" s="1"/>
  <c r="BX210" i="127"/>
  <c r="BW210" i="127"/>
  <c r="BV210" i="127"/>
  <c r="BU210" i="127"/>
  <c r="BT210" i="127"/>
  <c r="BS210" i="127"/>
  <c r="BR210" i="127"/>
  <c r="BQ210" i="127"/>
  <c r="BQ211" i="127" s="1"/>
  <c r="BP210" i="127"/>
  <c r="BO210" i="127"/>
  <c r="BN210" i="127"/>
  <c r="BG210" i="127"/>
  <c r="BF210" i="127"/>
  <c r="BE210" i="127"/>
  <c r="BD210" i="127"/>
  <c r="BD211" i="127" s="1"/>
  <c r="BC210" i="127"/>
  <c r="BB210" i="127"/>
  <c r="BA210" i="127"/>
  <c r="AZ210" i="127"/>
  <c r="AY210" i="127"/>
  <c r="AX210" i="127"/>
  <c r="AW210" i="127"/>
  <c r="AV210" i="127"/>
  <c r="AV211" i="127" s="1"/>
  <c r="AJ210" i="127"/>
  <c r="AI210" i="127"/>
  <c r="AH210" i="127"/>
  <c r="AG210" i="127"/>
  <c r="AF210" i="127"/>
  <c r="AE210" i="127"/>
  <c r="AD210" i="127"/>
  <c r="AC210" i="127"/>
  <c r="AB210" i="127"/>
  <c r="AB211" i="127" s="1"/>
  <c r="AA210" i="127"/>
  <c r="Z210" i="127"/>
  <c r="Y210" i="127"/>
  <c r="R210" i="127"/>
  <c r="Q210" i="127"/>
  <c r="P210" i="127"/>
  <c r="O210" i="127"/>
  <c r="N210" i="127"/>
  <c r="M210" i="127"/>
  <c r="L210" i="127"/>
  <c r="K210" i="127"/>
  <c r="J210" i="127"/>
  <c r="I210" i="127"/>
  <c r="H210" i="127"/>
  <c r="G210" i="127"/>
  <c r="F210" i="127"/>
  <c r="CV209" i="127"/>
  <c r="CS209" i="127"/>
  <c r="CR209" i="127"/>
  <c r="BY209" i="127"/>
  <c r="BX209" i="127"/>
  <c r="BW209" i="127"/>
  <c r="BV209" i="127"/>
  <c r="BU209" i="127"/>
  <c r="BT209" i="127"/>
  <c r="BS209" i="127"/>
  <c r="BR209" i="127"/>
  <c r="BQ209" i="127"/>
  <c r="BP209" i="127"/>
  <c r="BO209" i="127"/>
  <c r="BN209" i="127"/>
  <c r="BG209" i="127"/>
  <c r="BF209" i="127"/>
  <c r="BE209" i="127"/>
  <c r="BD209" i="127"/>
  <c r="BC209" i="127"/>
  <c r="BB209" i="127"/>
  <c r="BA209" i="127"/>
  <c r="AZ209" i="127"/>
  <c r="AY209" i="127"/>
  <c r="AX209" i="127"/>
  <c r="AW209" i="127"/>
  <c r="AV209" i="127"/>
  <c r="AJ209" i="127"/>
  <c r="AI209" i="127"/>
  <c r="AG209" i="127"/>
  <c r="AF209" i="127"/>
  <c r="AE209" i="127"/>
  <c r="AD209" i="127"/>
  <c r="AC209" i="127"/>
  <c r="AB209" i="127"/>
  <c r="AA209" i="127"/>
  <c r="Z209" i="127"/>
  <c r="Y209" i="127"/>
  <c r="R209" i="127"/>
  <c r="Q209" i="127"/>
  <c r="P209" i="127"/>
  <c r="O209" i="127"/>
  <c r="N209" i="127"/>
  <c r="M209" i="127"/>
  <c r="L209" i="127"/>
  <c r="K209" i="127"/>
  <c r="J209" i="127"/>
  <c r="I209" i="127"/>
  <c r="H209" i="127"/>
  <c r="G209" i="127"/>
  <c r="F209" i="127"/>
  <c r="CV208" i="127"/>
  <c r="CS208" i="127"/>
  <c r="CR208" i="127"/>
  <c r="BY208" i="127"/>
  <c r="BX208" i="127"/>
  <c r="BW208" i="127"/>
  <c r="BV208" i="127"/>
  <c r="BU208" i="127"/>
  <c r="BT208" i="127"/>
  <c r="BS208" i="127"/>
  <c r="BR208" i="127"/>
  <c r="BQ208" i="127"/>
  <c r="BP208" i="127"/>
  <c r="BO208" i="127"/>
  <c r="BN208" i="127"/>
  <c r="BG208" i="127"/>
  <c r="BF208" i="127"/>
  <c r="BE208" i="127"/>
  <c r="BD208" i="127"/>
  <c r="BC208" i="127"/>
  <c r="BB208" i="127"/>
  <c r="BA208" i="127"/>
  <c r="AZ208" i="127"/>
  <c r="AY208" i="127"/>
  <c r="AX208" i="127"/>
  <c r="AW208" i="127"/>
  <c r="AV208" i="127"/>
  <c r="AJ208" i="127"/>
  <c r="AI208" i="127"/>
  <c r="AE208" i="127"/>
  <c r="AD208" i="127"/>
  <c r="AC208" i="127"/>
  <c r="AB208" i="127"/>
  <c r="AA208" i="127"/>
  <c r="Z208" i="127"/>
  <c r="R208" i="127"/>
  <c r="Q208" i="127"/>
  <c r="P208" i="127"/>
  <c r="O208" i="127"/>
  <c r="N208" i="127"/>
  <c r="M208" i="127"/>
  <c r="L208" i="127"/>
  <c r="K208" i="127"/>
  <c r="J208" i="127"/>
  <c r="I208" i="127"/>
  <c r="H208" i="127"/>
  <c r="G208" i="127"/>
  <c r="F208" i="127"/>
  <c r="CV207" i="127"/>
  <c r="CS207" i="127"/>
  <c r="CR207" i="127"/>
  <c r="BY207" i="127"/>
  <c r="BX207" i="127"/>
  <c r="BW207" i="127"/>
  <c r="BV207" i="127"/>
  <c r="BU207" i="127"/>
  <c r="BT207" i="127"/>
  <c r="BS207" i="127"/>
  <c r="BR207" i="127"/>
  <c r="BQ207" i="127"/>
  <c r="BP207" i="127"/>
  <c r="BO207" i="127"/>
  <c r="BN207" i="127"/>
  <c r="BG207" i="127"/>
  <c r="BF207" i="127"/>
  <c r="BE207" i="127"/>
  <c r="BD207" i="127"/>
  <c r="BC207" i="127"/>
  <c r="BB207" i="127"/>
  <c r="BA207" i="127"/>
  <c r="AZ207" i="127"/>
  <c r="AY207" i="127"/>
  <c r="AX207" i="127"/>
  <c r="AW207" i="127"/>
  <c r="AV207" i="127"/>
  <c r="AJ207" i="127"/>
  <c r="AI207" i="127"/>
  <c r="AH207" i="127"/>
  <c r="AG207" i="127"/>
  <c r="AF207" i="127"/>
  <c r="AE207" i="127"/>
  <c r="AD207" i="127"/>
  <c r="AC207" i="127"/>
  <c r="AB207" i="127"/>
  <c r="AA207" i="127"/>
  <c r="Z207" i="127"/>
  <c r="Y207" i="127"/>
  <c r="R207" i="127"/>
  <c r="Q207" i="127"/>
  <c r="P207" i="127"/>
  <c r="O207" i="127"/>
  <c r="N207" i="127"/>
  <c r="M207" i="127"/>
  <c r="L207" i="127"/>
  <c r="K207" i="127"/>
  <c r="J207" i="127"/>
  <c r="I207" i="127"/>
  <c r="H207" i="127"/>
  <c r="G207" i="127"/>
  <c r="F207" i="127"/>
  <c r="CV206" i="127"/>
  <c r="CS206" i="127"/>
  <c r="CR206" i="127"/>
  <c r="BY206" i="127"/>
  <c r="BX206" i="127"/>
  <c r="BW206" i="127"/>
  <c r="BV206" i="127"/>
  <c r="BU206" i="127"/>
  <c r="BT206" i="127"/>
  <c r="BS206" i="127"/>
  <c r="BR206" i="127"/>
  <c r="BQ206" i="127"/>
  <c r="BP206" i="127"/>
  <c r="BO206" i="127"/>
  <c r="BN206" i="127"/>
  <c r="BG206" i="127"/>
  <c r="BF206" i="127"/>
  <c r="BE206" i="127"/>
  <c r="BD206" i="127"/>
  <c r="BC206" i="127"/>
  <c r="BB206" i="127"/>
  <c r="BA206" i="127"/>
  <c r="AZ206" i="127"/>
  <c r="AY206" i="127"/>
  <c r="AX206" i="127"/>
  <c r="AW206" i="127"/>
  <c r="AV206" i="127"/>
  <c r="AE206" i="127"/>
  <c r="AD206" i="127"/>
  <c r="AC206" i="127"/>
  <c r="AB206" i="127"/>
  <c r="AA206" i="127"/>
  <c r="Z206" i="127"/>
  <c r="Y206" i="127"/>
  <c r="R206" i="127"/>
  <c r="Q206" i="127"/>
  <c r="P206" i="127"/>
  <c r="O206" i="127"/>
  <c r="N206" i="127"/>
  <c r="M206" i="127"/>
  <c r="L206" i="127"/>
  <c r="K206" i="127"/>
  <c r="J206" i="127"/>
  <c r="I206" i="127"/>
  <c r="H206" i="127"/>
  <c r="G206" i="127"/>
  <c r="F206" i="127"/>
  <c r="CV205" i="127"/>
  <c r="CS205" i="127"/>
  <c r="CR205" i="127"/>
  <c r="BY205" i="127"/>
  <c r="BX205" i="127"/>
  <c r="BW205" i="127"/>
  <c r="BV205" i="127"/>
  <c r="BU205" i="127"/>
  <c r="BT205" i="127"/>
  <c r="BS205" i="127"/>
  <c r="BR205" i="127"/>
  <c r="BQ205" i="127"/>
  <c r="BP205" i="127"/>
  <c r="BO205" i="127"/>
  <c r="BN205" i="127"/>
  <c r="BG205" i="127"/>
  <c r="BF205" i="127"/>
  <c r="BE205" i="127"/>
  <c r="BD205" i="127"/>
  <c r="BC205" i="127"/>
  <c r="BB205" i="127"/>
  <c r="BA205" i="127"/>
  <c r="AZ205" i="127"/>
  <c r="AY205" i="127"/>
  <c r="AX205" i="127"/>
  <c r="AW205" i="127"/>
  <c r="AV205" i="127"/>
  <c r="AJ205" i="127"/>
  <c r="AI205" i="127"/>
  <c r="AH205" i="127"/>
  <c r="AG205" i="127"/>
  <c r="AF205" i="127"/>
  <c r="AE205" i="127"/>
  <c r="AD205" i="127"/>
  <c r="AC205" i="127"/>
  <c r="AB205" i="127"/>
  <c r="AA205" i="127"/>
  <c r="Z205" i="127"/>
  <c r="Y205" i="127"/>
  <c r="R205" i="127"/>
  <c r="Q205" i="127"/>
  <c r="P205" i="127"/>
  <c r="O205" i="127"/>
  <c r="N205" i="127"/>
  <c r="M205" i="127"/>
  <c r="L205" i="127"/>
  <c r="K205" i="127"/>
  <c r="J205" i="127"/>
  <c r="I205" i="127"/>
  <c r="H205" i="127"/>
  <c r="G205" i="127"/>
  <c r="F205" i="127"/>
  <c r="CV204" i="127"/>
  <c r="CS204" i="127"/>
  <c r="CR204" i="127"/>
  <c r="BY204" i="127"/>
  <c r="BX204" i="127"/>
  <c r="BW204" i="127"/>
  <c r="BW211" i="127" s="1"/>
  <c r="BV204" i="127"/>
  <c r="BU204" i="127"/>
  <c r="BT204" i="127"/>
  <c r="BS204" i="127"/>
  <c r="BR204" i="127"/>
  <c r="BQ204" i="127"/>
  <c r="BP204" i="127"/>
  <c r="BO204" i="127"/>
  <c r="BO211" i="127" s="1"/>
  <c r="BN204" i="127"/>
  <c r="BG204" i="127"/>
  <c r="BF204" i="127"/>
  <c r="BE204" i="127"/>
  <c r="BD204" i="127"/>
  <c r="BC204" i="127"/>
  <c r="BB204" i="127"/>
  <c r="BA204" i="127"/>
  <c r="AZ204" i="127"/>
  <c r="AY204" i="127"/>
  <c r="AX204" i="127"/>
  <c r="AW204" i="127"/>
  <c r="AV204" i="127"/>
  <c r="AJ204" i="127"/>
  <c r="AI204" i="127"/>
  <c r="AH204" i="127"/>
  <c r="AG204" i="127"/>
  <c r="AF204" i="127"/>
  <c r="AE204" i="127"/>
  <c r="AD204" i="127"/>
  <c r="AC204" i="127"/>
  <c r="AB204" i="127"/>
  <c r="AA204" i="127"/>
  <c r="Z204" i="127"/>
  <c r="Y204" i="127"/>
  <c r="R204" i="127"/>
  <c r="Q204" i="127"/>
  <c r="P204" i="127"/>
  <c r="O204" i="127"/>
  <c r="N204" i="127"/>
  <c r="M204" i="127"/>
  <c r="L204" i="127"/>
  <c r="K204" i="127"/>
  <c r="J204" i="127"/>
  <c r="I204" i="127"/>
  <c r="H204" i="127"/>
  <c r="G204" i="127"/>
  <c r="F204" i="127"/>
  <c r="F202" i="127"/>
  <c r="CV201" i="127"/>
  <c r="CV239" i="127" s="1"/>
  <c r="CS201" i="127"/>
  <c r="CR201" i="127"/>
  <c r="BY201" i="127"/>
  <c r="BY239" i="127" s="1"/>
  <c r="BX201" i="127"/>
  <c r="BX239" i="127" s="1"/>
  <c r="BW201" i="127"/>
  <c r="BW239" i="127" s="1"/>
  <c r="BV201" i="127"/>
  <c r="BV239" i="127" s="1"/>
  <c r="BU201" i="127"/>
  <c r="BU239" i="127" s="1"/>
  <c r="BT201" i="127"/>
  <c r="BT239" i="127" s="1"/>
  <c r="BS201" i="127"/>
  <c r="BR201" i="127"/>
  <c r="BQ201" i="127"/>
  <c r="BQ239" i="127" s="1"/>
  <c r="BP201" i="127"/>
  <c r="BP239" i="127" s="1"/>
  <c r="BO201" i="127"/>
  <c r="BO239" i="127" s="1"/>
  <c r="BN201" i="127"/>
  <c r="BN239" i="127" s="1"/>
  <c r="BG201" i="127"/>
  <c r="BG239" i="127" s="1"/>
  <c r="BF201" i="127"/>
  <c r="BF239" i="127" s="1"/>
  <c r="BE201" i="127"/>
  <c r="BD201" i="127"/>
  <c r="BC201" i="127"/>
  <c r="BC239" i="127" s="1"/>
  <c r="BB201" i="127"/>
  <c r="BB239" i="127" s="1"/>
  <c r="BA201" i="127"/>
  <c r="BA239" i="127" s="1"/>
  <c r="AZ201" i="127"/>
  <c r="AZ239" i="127" s="1"/>
  <c r="AY201" i="127"/>
  <c r="AY239" i="127" s="1"/>
  <c r="AX201" i="127"/>
  <c r="AX239" i="127" s="1"/>
  <c r="AW201" i="127"/>
  <c r="AV201" i="127"/>
  <c r="AJ201" i="127"/>
  <c r="AJ239" i="127" s="1"/>
  <c r="AI201" i="127"/>
  <c r="AI239" i="127" s="1"/>
  <c r="AH201" i="127"/>
  <c r="AG201" i="127"/>
  <c r="AF201" i="127"/>
  <c r="AE201" i="127"/>
  <c r="AE239" i="127" s="1"/>
  <c r="AD201" i="127"/>
  <c r="AC201" i="127"/>
  <c r="AB201" i="127"/>
  <c r="AB239" i="127" s="1"/>
  <c r="AA201" i="127"/>
  <c r="AA239" i="127" s="1"/>
  <c r="Z201" i="127"/>
  <c r="Z239" i="127" s="1"/>
  <c r="Y201" i="127"/>
  <c r="R201" i="127"/>
  <c r="Q201" i="127"/>
  <c r="P201" i="127"/>
  <c r="O201" i="127"/>
  <c r="N201" i="127"/>
  <c r="M201" i="127"/>
  <c r="L201" i="127"/>
  <c r="K201" i="127"/>
  <c r="J201" i="127"/>
  <c r="I201" i="127"/>
  <c r="H201" i="127"/>
  <c r="G201" i="127"/>
  <c r="F201" i="127"/>
  <c r="CV200" i="127"/>
  <c r="CV238" i="127" s="1"/>
  <c r="CS200" i="127"/>
  <c r="CS238" i="127" s="1"/>
  <c r="CR200" i="127"/>
  <c r="CR238" i="127" s="1"/>
  <c r="BY200" i="127"/>
  <c r="BY238" i="127" s="1"/>
  <c r="BX200" i="127"/>
  <c r="BX238" i="127" s="1"/>
  <c r="BW200" i="127"/>
  <c r="BV200" i="127"/>
  <c r="BU200" i="127"/>
  <c r="BU238" i="127" s="1"/>
  <c r="BT200" i="127"/>
  <c r="BT238" i="127" s="1"/>
  <c r="BS200" i="127"/>
  <c r="BS238" i="127" s="1"/>
  <c r="BR200" i="127"/>
  <c r="BR238" i="127" s="1"/>
  <c r="BQ200" i="127"/>
  <c r="BQ238" i="127" s="1"/>
  <c r="BP200" i="127"/>
  <c r="BP238" i="127" s="1"/>
  <c r="BO200" i="127"/>
  <c r="BN200" i="127"/>
  <c r="BG200" i="127"/>
  <c r="BG238" i="127" s="1"/>
  <c r="BF200" i="127"/>
  <c r="BF238" i="127" s="1"/>
  <c r="BE200" i="127"/>
  <c r="BE238" i="127" s="1"/>
  <c r="BD200" i="127"/>
  <c r="BD238" i="127" s="1"/>
  <c r="BC200" i="127"/>
  <c r="BC238" i="127" s="1"/>
  <c r="BB200" i="127"/>
  <c r="BB238" i="127" s="1"/>
  <c r="BA200" i="127"/>
  <c r="AZ200" i="127"/>
  <c r="AY200" i="127"/>
  <c r="AY238" i="127" s="1"/>
  <c r="AX200" i="127"/>
  <c r="AX238" i="127" s="1"/>
  <c r="AW200" i="127"/>
  <c r="AW238" i="127" s="1"/>
  <c r="AV200" i="127"/>
  <c r="AV238" i="127" s="1"/>
  <c r="AJ200" i="127"/>
  <c r="AJ238" i="127" s="1"/>
  <c r="AI200" i="127"/>
  <c r="AI238" i="127" s="1"/>
  <c r="AG200" i="127"/>
  <c r="AF200" i="127"/>
  <c r="AE200" i="127"/>
  <c r="AE238" i="127" s="1"/>
  <c r="AD200" i="127"/>
  <c r="AD238" i="127" s="1"/>
  <c r="AC200" i="127"/>
  <c r="AC238" i="127" s="1"/>
  <c r="AB200" i="127"/>
  <c r="AB238" i="127" s="1"/>
  <c r="AA200" i="127"/>
  <c r="AA238" i="127" s="1"/>
  <c r="Z200" i="127"/>
  <c r="Z238" i="127" s="1"/>
  <c r="Y200" i="127"/>
  <c r="R200" i="127"/>
  <c r="Q200" i="127"/>
  <c r="P200" i="127"/>
  <c r="O200" i="127"/>
  <c r="N200" i="127"/>
  <c r="M200" i="127"/>
  <c r="L200" i="127"/>
  <c r="K200" i="127"/>
  <c r="J200" i="127"/>
  <c r="I200" i="127"/>
  <c r="H200" i="127"/>
  <c r="G200" i="127"/>
  <c r="F200" i="127"/>
  <c r="CV199" i="127"/>
  <c r="CV237" i="127" s="1"/>
  <c r="CS199" i="127"/>
  <c r="CS237" i="127" s="1"/>
  <c r="CR199" i="127"/>
  <c r="CR237" i="127" s="1"/>
  <c r="BY199" i="127"/>
  <c r="BX199" i="127"/>
  <c r="BX237" i="127" s="1"/>
  <c r="BW199" i="127"/>
  <c r="BW237" i="127" s="1"/>
  <c r="BV199" i="127"/>
  <c r="BV237" i="127" s="1"/>
  <c r="BU199" i="127"/>
  <c r="BU237" i="127" s="1"/>
  <c r="BT199" i="127"/>
  <c r="BT237" i="127" s="1"/>
  <c r="BS199" i="127"/>
  <c r="BS237" i="127" s="1"/>
  <c r="BR199" i="127"/>
  <c r="BQ199" i="127"/>
  <c r="BP199" i="127"/>
  <c r="BP237" i="127" s="1"/>
  <c r="BO199" i="127"/>
  <c r="BO237" i="127" s="1"/>
  <c r="BN199" i="127"/>
  <c r="BN237" i="127" s="1"/>
  <c r="BG199" i="127"/>
  <c r="BG237" i="127" s="1"/>
  <c r="BF199" i="127"/>
  <c r="BF237" i="127" s="1"/>
  <c r="BE199" i="127"/>
  <c r="BE237" i="127" s="1"/>
  <c r="BD199" i="127"/>
  <c r="BD237" i="127" s="1"/>
  <c r="BC199" i="127"/>
  <c r="BC237" i="127" s="1"/>
  <c r="BB199" i="127"/>
  <c r="BB237" i="127" s="1"/>
  <c r="BA199" i="127"/>
  <c r="AZ199" i="127"/>
  <c r="AY199" i="127"/>
  <c r="AY237" i="127" s="1"/>
  <c r="AX199" i="127"/>
  <c r="AX237" i="127" s="1"/>
  <c r="AW199" i="127"/>
  <c r="AW237" i="127" s="1"/>
  <c r="AV199" i="127"/>
  <c r="AV237" i="127" s="1"/>
  <c r="AJ199" i="127"/>
  <c r="AJ237" i="127" s="1"/>
  <c r="AI199" i="127"/>
  <c r="AI237" i="127" s="1"/>
  <c r="AH199" i="127"/>
  <c r="AG199" i="127"/>
  <c r="AF199" i="127"/>
  <c r="AE199" i="127"/>
  <c r="AE237" i="127" s="1"/>
  <c r="AD199" i="127"/>
  <c r="AD237" i="127" s="1"/>
  <c r="AC199" i="127"/>
  <c r="AC237" i="127" s="1"/>
  <c r="AB199" i="127"/>
  <c r="AB237" i="127" s="1"/>
  <c r="AA199" i="127"/>
  <c r="AA237" i="127" s="1"/>
  <c r="Z199" i="127"/>
  <c r="Z237" i="127" s="1"/>
  <c r="Y199" i="127"/>
  <c r="R199" i="127"/>
  <c r="Q199" i="127"/>
  <c r="P199" i="127"/>
  <c r="O199" i="127"/>
  <c r="N199" i="127"/>
  <c r="M199" i="127"/>
  <c r="L199" i="127"/>
  <c r="K199" i="127"/>
  <c r="J199" i="127"/>
  <c r="I199" i="127"/>
  <c r="H199" i="127"/>
  <c r="G199" i="127"/>
  <c r="F199" i="127"/>
  <c r="CW198" i="127"/>
  <c r="CV198" i="127"/>
  <c r="CV236" i="127" s="1"/>
  <c r="CU198" i="127"/>
  <c r="CS198" i="127"/>
  <c r="CS236" i="127" s="1"/>
  <c r="CR198" i="127"/>
  <c r="CR236" i="127" s="1"/>
  <c r="CQ198" i="127"/>
  <c r="CP198" i="127"/>
  <c r="CO198" i="127"/>
  <c r="CN198" i="127"/>
  <c r="CM198" i="127"/>
  <c r="CL198" i="127"/>
  <c r="CK198" i="127"/>
  <c r="CJ198" i="127"/>
  <c r="CD198" i="127"/>
  <c r="CD236" i="127" s="1"/>
  <c r="CC198" i="127"/>
  <c r="CC236" i="127" s="1"/>
  <c r="CB198" i="127"/>
  <c r="CA198" i="127"/>
  <c r="BZ198" i="127"/>
  <c r="BZ236" i="127" s="1"/>
  <c r="BY198" i="127"/>
  <c r="BY236" i="127" s="1"/>
  <c r="BX198" i="127"/>
  <c r="BX236" i="127" s="1"/>
  <c r="BW198" i="127"/>
  <c r="BW236" i="127" s="1"/>
  <c r="BV198" i="127"/>
  <c r="BV236" i="127" s="1"/>
  <c r="BU198" i="127"/>
  <c r="BU236" i="127" s="1"/>
  <c r="BT198" i="127"/>
  <c r="BS198" i="127"/>
  <c r="BR198" i="127"/>
  <c r="BR236" i="127" s="1"/>
  <c r="BQ198" i="127"/>
  <c r="BQ236" i="127" s="1"/>
  <c r="BP198" i="127"/>
  <c r="BP236" i="127" s="1"/>
  <c r="BO198" i="127"/>
  <c r="BO236" i="127" s="1"/>
  <c r="BN198" i="127"/>
  <c r="BN236" i="127" s="1"/>
  <c r="BL198" i="127"/>
  <c r="BL236" i="127" s="1"/>
  <c r="BK198" i="127"/>
  <c r="BJ198" i="127"/>
  <c r="BI198" i="127"/>
  <c r="BH198" i="127"/>
  <c r="BH236" i="127" s="1"/>
  <c r="BG198" i="127"/>
  <c r="BG236" i="127" s="1"/>
  <c r="BF198" i="127"/>
  <c r="BF236" i="127" s="1"/>
  <c r="BE198" i="127"/>
  <c r="BE236" i="127" s="1"/>
  <c r="BD198" i="127"/>
  <c r="BD236" i="127" s="1"/>
  <c r="BC198" i="127"/>
  <c r="BB198" i="127"/>
  <c r="BA198" i="127"/>
  <c r="BA236" i="127" s="1"/>
  <c r="AZ198" i="127"/>
  <c r="AZ236" i="127" s="1"/>
  <c r="AY198" i="127"/>
  <c r="AY236" i="127" s="1"/>
  <c r="AX198" i="127"/>
  <c r="AX236" i="127" s="1"/>
  <c r="AW198" i="127"/>
  <c r="AW236" i="127" s="1"/>
  <c r="AV198" i="127"/>
  <c r="AV236" i="127" s="1"/>
  <c r="AT198" i="127"/>
  <c r="AS198" i="127"/>
  <c r="AR198" i="127"/>
  <c r="AQ198" i="127"/>
  <c r="AK198" i="127"/>
  <c r="AJ198" i="127"/>
  <c r="AJ236" i="127" s="1"/>
  <c r="AI198" i="127"/>
  <c r="AI236" i="127" s="1"/>
  <c r="AH198" i="127"/>
  <c r="AG198" i="127"/>
  <c r="AF198" i="127"/>
  <c r="AE198" i="127"/>
  <c r="AE236" i="127" s="1"/>
  <c r="AD198" i="127"/>
  <c r="AD236" i="127" s="1"/>
  <c r="AC198" i="127"/>
  <c r="AC236" i="127" s="1"/>
  <c r="AB198" i="127"/>
  <c r="AB236" i="127" s="1"/>
  <c r="AA198" i="127"/>
  <c r="AA236" i="127" s="1"/>
  <c r="Z198" i="127"/>
  <c r="Z236" i="127" s="1"/>
  <c r="Y198" i="127"/>
  <c r="W198" i="127"/>
  <c r="V198" i="127"/>
  <c r="V236" i="127" s="1"/>
  <c r="U198" i="127"/>
  <c r="U236" i="127" s="1"/>
  <c r="T198" i="127"/>
  <c r="S198" i="127"/>
  <c r="S236" i="127" s="1"/>
  <c r="R198" i="127"/>
  <c r="Q198" i="127"/>
  <c r="P198" i="127"/>
  <c r="O198" i="127"/>
  <c r="N198" i="127"/>
  <c r="M198" i="127"/>
  <c r="L198" i="127"/>
  <c r="K198" i="127"/>
  <c r="J198" i="127"/>
  <c r="I198" i="127"/>
  <c r="H198" i="127"/>
  <c r="G198" i="127"/>
  <c r="F198" i="127"/>
  <c r="CV197" i="127"/>
  <c r="CV235" i="127" s="1"/>
  <c r="CS197" i="127"/>
  <c r="CS235" i="127" s="1"/>
  <c r="CR197" i="127"/>
  <c r="CR235" i="127" s="1"/>
  <c r="BY197" i="127"/>
  <c r="BY235" i="127" s="1"/>
  <c r="BX197" i="127"/>
  <c r="BX235" i="127" s="1"/>
  <c r="BW197" i="127"/>
  <c r="BV197" i="127"/>
  <c r="BU197" i="127"/>
  <c r="BU235" i="127" s="1"/>
  <c r="BT197" i="127"/>
  <c r="BT235" i="127" s="1"/>
  <c r="BS197" i="127"/>
  <c r="BS235" i="127" s="1"/>
  <c r="BR197" i="127"/>
  <c r="BR235" i="127" s="1"/>
  <c r="BQ197" i="127"/>
  <c r="BQ235" i="127" s="1"/>
  <c r="BP197" i="127"/>
  <c r="BP235" i="127" s="1"/>
  <c r="BO197" i="127"/>
  <c r="BN197" i="127"/>
  <c r="BG197" i="127"/>
  <c r="BG235" i="127" s="1"/>
  <c r="BF197" i="127"/>
  <c r="BF235" i="127" s="1"/>
  <c r="BE197" i="127"/>
  <c r="BE235" i="127" s="1"/>
  <c r="BD197" i="127"/>
  <c r="BD235" i="127" s="1"/>
  <c r="BC197" i="127"/>
  <c r="BC235" i="127" s="1"/>
  <c r="BB197" i="127"/>
  <c r="BB235" i="127" s="1"/>
  <c r="BA197" i="127"/>
  <c r="AZ197" i="127"/>
  <c r="AY197" i="127"/>
  <c r="AY235" i="127" s="1"/>
  <c r="AX197" i="127"/>
  <c r="AX235" i="127" s="1"/>
  <c r="AW197" i="127"/>
  <c r="AW235" i="127" s="1"/>
  <c r="AV197" i="127"/>
  <c r="AV235" i="127" s="1"/>
  <c r="AJ197" i="127"/>
  <c r="AJ235" i="127" s="1"/>
  <c r="AI197" i="127"/>
  <c r="AI235" i="127" s="1"/>
  <c r="AH197" i="127"/>
  <c r="AG197" i="127"/>
  <c r="AF197" i="127"/>
  <c r="AE197" i="127"/>
  <c r="AE235" i="127" s="1"/>
  <c r="AD197" i="127"/>
  <c r="AD235" i="127" s="1"/>
  <c r="AC197" i="127"/>
  <c r="AC235" i="127" s="1"/>
  <c r="AB197" i="127"/>
  <c r="AB235" i="127" s="1"/>
  <c r="AA197" i="127"/>
  <c r="AA235" i="127" s="1"/>
  <c r="Z197" i="127"/>
  <c r="Y197" i="127"/>
  <c r="R197" i="127"/>
  <c r="Q197" i="127"/>
  <c r="P197" i="127"/>
  <c r="O197" i="127"/>
  <c r="N197" i="127"/>
  <c r="M197" i="127"/>
  <c r="L197" i="127"/>
  <c r="K197" i="127"/>
  <c r="J197" i="127"/>
  <c r="I197" i="127"/>
  <c r="H197" i="127"/>
  <c r="G197" i="127"/>
  <c r="F197" i="127"/>
  <c r="CW196" i="127"/>
  <c r="CW234" i="127" s="1"/>
  <c r="CV196" i="127"/>
  <c r="CU196" i="127"/>
  <c r="CS196" i="127"/>
  <c r="CS234" i="127" s="1"/>
  <c r="CR196" i="127"/>
  <c r="CR234" i="127" s="1"/>
  <c r="CQ196" i="127"/>
  <c r="CP196" i="127"/>
  <c r="CO196" i="127"/>
  <c r="CN196" i="127"/>
  <c r="CM196" i="127"/>
  <c r="CL196" i="127"/>
  <c r="CK196" i="127"/>
  <c r="CJ196" i="127"/>
  <c r="CD196" i="127"/>
  <c r="CD234" i="127" s="1"/>
  <c r="CC196" i="127"/>
  <c r="CC234" i="127" s="1"/>
  <c r="CB196" i="127"/>
  <c r="CB234" i="127" s="1"/>
  <c r="CA196" i="127"/>
  <c r="BZ196" i="127"/>
  <c r="BY196" i="127"/>
  <c r="BX196" i="127"/>
  <c r="BX234" i="127" s="1"/>
  <c r="BW196" i="127"/>
  <c r="BW234" i="127" s="1"/>
  <c r="BV196" i="127"/>
  <c r="BV234" i="127" s="1"/>
  <c r="BU196" i="127"/>
  <c r="BU234" i="127" s="1"/>
  <c r="BT196" i="127"/>
  <c r="BT234" i="127" s="1"/>
  <c r="BS196" i="127"/>
  <c r="BS234" i="127" s="1"/>
  <c r="BR196" i="127"/>
  <c r="BQ196" i="127"/>
  <c r="BP196" i="127"/>
  <c r="BP234" i="127" s="1"/>
  <c r="BO196" i="127"/>
  <c r="BO234" i="127" s="1"/>
  <c r="BN196" i="127"/>
  <c r="BN234" i="127" s="1"/>
  <c r="BL196" i="127"/>
  <c r="BL234" i="127" s="1"/>
  <c r="BK196" i="127"/>
  <c r="BK234" i="127" s="1"/>
  <c r="BJ196" i="127"/>
  <c r="BJ234" i="127" s="1"/>
  <c r="BI196" i="127"/>
  <c r="BH196" i="127"/>
  <c r="BG196" i="127"/>
  <c r="BG234" i="127" s="1"/>
  <c r="BF196" i="127"/>
  <c r="BF234" i="127" s="1"/>
  <c r="BE196" i="127"/>
  <c r="BE234" i="127" s="1"/>
  <c r="BD196" i="127"/>
  <c r="BD234" i="127" s="1"/>
  <c r="BC196" i="127"/>
  <c r="BC234" i="127" s="1"/>
  <c r="BB196" i="127"/>
  <c r="BB234" i="127" s="1"/>
  <c r="BA196" i="127"/>
  <c r="AZ196" i="127"/>
  <c r="AY196" i="127"/>
  <c r="AY234" i="127" s="1"/>
  <c r="AX196" i="127"/>
  <c r="AX234" i="127" s="1"/>
  <c r="AW196" i="127"/>
  <c r="AW234" i="127" s="1"/>
  <c r="AV196" i="127"/>
  <c r="AV234" i="127" s="1"/>
  <c r="AT196" i="127"/>
  <c r="AS196" i="127"/>
  <c r="AR196" i="127"/>
  <c r="AQ196" i="127"/>
  <c r="AK196" i="127"/>
  <c r="AJ196" i="127"/>
  <c r="AJ234" i="127" s="1"/>
  <c r="AI196" i="127"/>
  <c r="AI234" i="127" s="1"/>
  <c r="AH196" i="127"/>
  <c r="AG196" i="127"/>
  <c r="AF196" i="127"/>
  <c r="AE196" i="127"/>
  <c r="AD196" i="127"/>
  <c r="AC196" i="127"/>
  <c r="AC234" i="127" s="1"/>
  <c r="AB196" i="127"/>
  <c r="AB234" i="127" s="1"/>
  <c r="AA196" i="127"/>
  <c r="AA234" i="127" s="1"/>
  <c r="Z196" i="127"/>
  <c r="Z234" i="127" s="1"/>
  <c r="Y196" i="127"/>
  <c r="W196" i="127"/>
  <c r="W234" i="127" s="1"/>
  <c r="V196" i="127"/>
  <c r="U196" i="127"/>
  <c r="T196" i="127"/>
  <c r="S196" i="127"/>
  <c r="S234" i="127" s="1"/>
  <c r="R196" i="127"/>
  <c r="Q196" i="127"/>
  <c r="P196" i="127"/>
  <c r="O196" i="127"/>
  <c r="N196" i="127"/>
  <c r="M196" i="127"/>
  <c r="L196" i="127"/>
  <c r="K196" i="127"/>
  <c r="J196" i="127"/>
  <c r="I196" i="127"/>
  <c r="H196" i="127"/>
  <c r="G196" i="127"/>
  <c r="F196" i="127"/>
  <c r="CV195" i="127"/>
  <c r="CS195" i="127"/>
  <c r="CS233" i="127" s="1"/>
  <c r="CR195" i="127"/>
  <c r="CR233" i="127" s="1"/>
  <c r="BY195" i="127"/>
  <c r="BY233" i="127" s="1"/>
  <c r="BX195" i="127"/>
  <c r="BX233" i="127" s="1"/>
  <c r="BW195" i="127"/>
  <c r="BW233" i="127" s="1"/>
  <c r="BV195" i="127"/>
  <c r="BV233" i="127" s="1"/>
  <c r="BU195" i="127"/>
  <c r="BT195" i="127"/>
  <c r="BS195" i="127"/>
  <c r="BS233" i="127" s="1"/>
  <c r="BR195" i="127"/>
  <c r="BR233" i="127" s="1"/>
  <c r="BQ195" i="127"/>
  <c r="BQ233" i="127" s="1"/>
  <c r="BP195" i="127"/>
  <c r="BP233" i="127" s="1"/>
  <c r="BO195" i="127"/>
  <c r="BO233" i="127" s="1"/>
  <c r="BN195" i="127"/>
  <c r="BN233" i="127" s="1"/>
  <c r="BG195" i="127"/>
  <c r="BF195" i="127"/>
  <c r="BE195" i="127"/>
  <c r="BE233" i="127" s="1"/>
  <c r="BD195" i="127"/>
  <c r="BD233" i="127" s="1"/>
  <c r="BC195" i="127"/>
  <c r="BC233" i="127" s="1"/>
  <c r="BB195" i="127"/>
  <c r="BB233" i="127" s="1"/>
  <c r="BA195" i="127"/>
  <c r="BA233" i="127" s="1"/>
  <c r="AZ195" i="127"/>
  <c r="AZ233" i="127" s="1"/>
  <c r="AY195" i="127"/>
  <c r="AX195" i="127"/>
  <c r="AW195" i="127"/>
  <c r="AW233" i="127" s="1"/>
  <c r="AV195" i="127"/>
  <c r="AV233" i="127" s="1"/>
  <c r="AJ195" i="127"/>
  <c r="AJ233" i="127" s="1"/>
  <c r="AI195" i="127"/>
  <c r="AI233" i="127" s="1"/>
  <c r="AH195" i="127"/>
  <c r="AG195" i="127"/>
  <c r="AF195" i="127"/>
  <c r="AE195" i="127"/>
  <c r="AD195" i="127"/>
  <c r="AD233" i="127" s="1"/>
  <c r="AC195" i="127"/>
  <c r="AC233" i="127" s="1"/>
  <c r="AB195" i="127"/>
  <c r="AB233" i="127" s="1"/>
  <c r="AA195" i="127"/>
  <c r="AA233" i="127" s="1"/>
  <c r="Z195" i="127"/>
  <c r="Z233" i="127" s="1"/>
  <c r="Y195" i="127"/>
  <c r="R195" i="127"/>
  <c r="Q195" i="127"/>
  <c r="P195" i="127"/>
  <c r="O195" i="127"/>
  <c r="N195" i="127"/>
  <c r="M195" i="127"/>
  <c r="L195" i="127"/>
  <c r="K195" i="127"/>
  <c r="J195" i="127"/>
  <c r="I195" i="127"/>
  <c r="H195" i="127"/>
  <c r="G195" i="127"/>
  <c r="F195" i="127"/>
  <c r="F193" i="127"/>
  <c r="CV192" i="127"/>
  <c r="CS192" i="127"/>
  <c r="CR192" i="127"/>
  <c r="BY192" i="127"/>
  <c r="BX192" i="127"/>
  <c r="BW192" i="127"/>
  <c r="BV192" i="127"/>
  <c r="BU192" i="127"/>
  <c r="BU193" i="127" s="1"/>
  <c r="BT192" i="127"/>
  <c r="BS192" i="127"/>
  <c r="BR192" i="127"/>
  <c r="BQ192" i="127"/>
  <c r="BP192" i="127"/>
  <c r="BO192" i="127"/>
  <c r="BN192" i="127"/>
  <c r="BG192" i="127"/>
  <c r="BG193" i="127" s="1"/>
  <c r="BF192" i="127"/>
  <c r="BE192" i="127"/>
  <c r="BD192" i="127"/>
  <c r="BC192" i="127"/>
  <c r="BB192" i="127"/>
  <c r="BA192" i="127"/>
  <c r="AZ192" i="127"/>
  <c r="AY192" i="127"/>
  <c r="AY193" i="127" s="1"/>
  <c r="AX192" i="127"/>
  <c r="AW192" i="127"/>
  <c r="AV192" i="127"/>
  <c r="AJ192" i="127"/>
  <c r="AI192" i="127"/>
  <c r="AH192" i="127"/>
  <c r="AG192" i="127"/>
  <c r="AF192" i="127"/>
  <c r="AE192" i="127"/>
  <c r="AD192" i="127"/>
  <c r="AC192" i="127"/>
  <c r="AB192" i="127"/>
  <c r="AA192" i="127"/>
  <c r="Z192" i="127"/>
  <c r="Y192" i="127"/>
  <c r="R192" i="127"/>
  <c r="Q192" i="127"/>
  <c r="P192" i="127"/>
  <c r="O192" i="127"/>
  <c r="N192" i="127"/>
  <c r="M192" i="127"/>
  <c r="L192" i="127"/>
  <c r="K192" i="127"/>
  <c r="J192" i="127"/>
  <c r="I192" i="127"/>
  <c r="H192" i="127"/>
  <c r="G192" i="127"/>
  <c r="F192" i="127"/>
  <c r="CV191" i="127"/>
  <c r="CS191" i="127"/>
  <c r="CR191" i="127"/>
  <c r="BY191" i="127"/>
  <c r="BX191" i="127"/>
  <c r="BW191" i="127"/>
  <c r="BV191" i="127"/>
  <c r="BU191" i="127"/>
  <c r="BT191" i="127"/>
  <c r="BS191" i="127"/>
  <c r="BR191" i="127"/>
  <c r="BQ191" i="127"/>
  <c r="BP191" i="127"/>
  <c r="BO191" i="127"/>
  <c r="BN191" i="127"/>
  <c r="BG191" i="127"/>
  <c r="BF191" i="127"/>
  <c r="BE191" i="127"/>
  <c r="BD191" i="127"/>
  <c r="BC191" i="127"/>
  <c r="BB191" i="127"/>
  <c r="BA191" i="127"/>
  <c r="AZ191" i="127"/>
  <c r="AY191" i="127"/>
  <c r="AX191" i="127"/>
  <c r="AW191" i="127"/>
  <c r="AV191" i="127"/>
  <c r="AJ191" i="127"/>
  <c r="AI191" i="127"/>
  <c r="AG191" i="127"/>
  <c r="AF191" i="127"/>
  <c r="AE191" i="127"/>
  <c r="AD191" i="127"/>
  <c r="AC191" i="127"/>
  <c r="AB191" i="127"/>
  <c r="AA191" i="127"/>
  <c r="Z191" i="127"/>
  <c r="Y191" i="127"/>
  <c r="R191" i="127"/>
  <c r="Q191" i="127"/>
  <c r="P191" i="127"/>
  <c r="O191" i="127"/>
  <c r="N191" i="127"/>
  <c r="M191" i="127"/>
  <c r="L191" i="127"/>
  <c r="K191" i="127"/>
  <c r="J191" i="127"/>
  <c r="I191" i="127"/>
  <c r="H191" i="127"/>
  <c r="G191" i="127"/>
  <c r="F191" i="127"/>
  <c r="CV190" i="127"/>
  <c r="CS190" i="127"/>
  <c r="CR190" i="127"/>
  <c r="BY190" i="127"/>
  <c r="BX190" i="127"/>
  <c r="BW190" i="127"/>
  <c r="BV190" i="127"/>
  <c r="BU190" i="127"/>
  <c r="BT190" i="127"/>
  <c r="BS190" i="127"/>
  <c r="BR190" i="127"/>
  <c r="BQ190" i="127"/>
  <c r="BP190" i="127"/>
  <c r="BO190" i="127"/>
  <c r="BN190" i="127"/>
  <c r="BG190" i="127"/>
  <c r="BF190" i="127"/>
  <c r="BE190" i="127"/>
  <c r="BD190" i="127"/>
  <c r="BC190" i="127"/>
  <c r="BB190" i="127"/>
  <c r="BA190" i="127"/>
  <c r="AZ190" i="127"/>
  <c r="AY190" i="127"/>
  <c r="AX190" i="127"/>
  <c r="AW190" i="127"/>
  <c r="AV190" i="127"/>
  <c r="AJ190" i="127"/>
  <c r="AI190" i="127"/>
  <c r="AE190" i="127"/>
  <c r="AD190" i="127"/>
  <c r="AC190" i="127"/>
  <c r="AB190" i="127"/>
  <c r="AA190" i="127"/>
  <c r="Z190" i="127"/>
  <c r="R190" i="127"/>
  <c r="Q190" i="127"/>
  <c r="P190" i="127"/>
  <c r="O190" i="127"/>
  <c r="N190" i="127"/>
  <c r="M190" i="127"/>
  <c r="L190" i="127"/>
  <c r="K190" i="127"/>
  <c r="J190" i="127"/>
  <c r="I190" i="127"/>
  <c r="H190" i="127"/>
  <c r="G190" i="127"/>
  <c r="F190" i="127"/>
  <c r="CV189" i="127"/>
  <c r="CS189" i="127"/>
  <c r="CR189" i="127"/>
  <c r="BY189" i="127"/>
  <c r="BX189" i="127"/>
  <c r="BW189" i="127"/>
  <c r="BV189" i="127"/>
  <c r="BU189" i="127"/>
  <c r="BT189" i="127"/>
  <c r="BS189" i="127"/>
  <c r="BR189" i="127"/>
  <c r="BQ189" i="127"/>
  <c r="BP189" i="127"/>
  <c r="BO189" i="127"/>
  <c r="BN189" i="127"/>
  <c r="BG189" i="127"/>
  <c r="BF189" i="127"/>
  <c r="BE189" i="127"/>
  <c r="BD189" i="127"/>
  <c r="BC189" i="127"/>
  <c r="BB189" i="127"/>
  <c r="BA189" i="127"/>
  <c r="AZ189" i="127"/>
  <c r="AY189" i="127"/>
  <c r="AX189" i="127"/>
  <c r="AW189" i="127"/>
  <c r="AV189" i="127"/>
  <c r="AJ189" i="127"/>
  <c r="AI189" i="127"/>
  <c r="AH189" i="127"/>
  <c r="AG189" i="127"/>
  <c r="AF189" i="127"/>
  <c r="AE189" i="127"/>
  <c r="AD189" i="127"/>
  <c r="AC189" i="127"/>
  <c r="AB189" i="127"/>
  <c r="AA189" i="127"/>
  <c r="Z189" i="127"/>
  <c r="Y189" i="127"/>
  <c r="R189" i="127"/>
  <c r="Q189" i="127"/>
  <c r="P189" i="127"/>
  <c r="O189" i="127"/>
  <c r="N189" i="127"/>
  <c r="M189" i="127"/>
  <c r="L189" i="127"/>
  <c r="K189" i="127"/>
  <c r="J189" i="127"/>
  <c r="I189" i="127"/>
  <c r="H189" i="127"/>
  <c r="G189" i="127"/>
  <c r="F189" i="127"/>
  <c r="CV188" i="127"/>
  <c r="CS188" i="127"/>
  <c r="CR188" i="127"/>
  <c r="BY188" i="127"/>
  <c r="BX188" i="127"/>
  <c r="BW188" i="127"/>
  <c r="BV188" i="127"/>
  <c r="BU188" i="127"/>
  <c r="BT188" i="127"/>
  <c r="BS188" i="127"/>
  <c r="BR188" i="127"/>
  <c r="BQ188" i="127"/>
  <c r="BP188" i="127"/>
  <c r="BO188" i="127"/>
  <c r="BN188" i="127"/>
  <c r="BG188" i="127"/>
  <c r="BF188" i="127"/>
  <c r="BE188" i="127"/>
  <c r="BD188" i="127"/>
  <c r="BC188" i="127"/>
  <c r="BB188" i="127"/>
  <c r="BA188" i="127"/>
  <c r="AZ188" i="127"/>
  <c r="AY188" i="127"/>
  <c r="AX188" i="127"/>
  <c r="AW188" i="127"/>
  <c r="AV188" i="127"/>
  <c r="AE188" i="127"/>
  <c r="AD188" i="127"/>
  <c r="AC188" i="127"/>
  <c r="AB188" i="127"/>
  <c r="AA188" i="127"/>
  <c r="Z188" i="127"/>
  <c r="Y188" i="127"/>
  <c r="R188" i="127"/>
  <c r="Q188" i="127"/>
  <c r="P188" i="127"/>
  <c r="O188" i="127"/>
  <c r="N188" i="127"/>
  <c r="M188" i="127"/>
  <c r="L188" i="127"/>
  <c r="K188" i="127"/>
  <c r="J188" i="127"/>
  <c r="I188" i="127"/>
  <c r="H188" i="127"/>
  <c r="G188" i="127"/>
  <c r="F188" i="127"/>
  <c r="CV187" i="127"/>
  <c r="CS187" i="127"/>
  <c r="CR187" i="127"/>
  <c r="BY187" i="127"/>
  <c r="BX187" i="127"/>
  <c r="BW187" i="127"/>
  <c r="BV187" i="127"/>
  <c r="BU187" i="127"/>
  <c r="BT187" i="127"/>
  <c r="BS187" i="127"/>
  <c r="BR187" i="127"/>
  <c r="BQ187" i="127"/>
  <c r="BP187" i="127"/>
  <c r="BO187" i="127"/>
  <c r="BN187" i="127"/>
  <c r="BG187" i="127"/>
  <c r="BF187" i="127"/>
  <c r="BE187" i="127"/>
  <c r="BD187" i="127"/>
  <c r="BC187" i="127"/>
  <c r="BB187" i="127"/>
  <c r="BA187" i="127"/>
  <c r="AZ187" i="127"/>
  <c r="AY187" i="127"/>
  <c r="AX187" i="127"/>
  <c r="AW187" i="127"/>
  <c r="AV187" i="127"/>
  <c r="AJ187" i="127"/>
  <c r="AI187" i="127"/>
  <c r="AH187" i="127"/>
  <c r="AG187" i="127"/>
  <c r="AF187" i="127"/>
  <c r="AE187" i="127"/>
  <c r="AD187" i="127"/>
  <c r="AC187" i="127"/>
  <c r="AB187" i="127"/>
  <c r="AA187" i="127"/>
  <c r="Z187" i="127"/>
  <c r="Y187" i="127"/>
  <c r="R187" i="127"/>
  <c r="Q187" i="127"/>
  <c r="P187" i="127"/>
  <c r="O187" i="127"/>
  <c r="N187" i="127"/>
  <c r="M187" i="127"/>
  <c r="L187" i="127"/>
  <c r="K187" i="127"/>
  <c r="J187" i="127"/>
  <c r="I187" i="127"/>
  <c r="H187" i="127"/>
  <c r="G187" i="127"/>
  <c r="F187" i="127"/>
  <c r="CV186" i="127"/>
  <c r="CS186" i="127"/>
  <c r="CR186" i="127"/>
  <c r="BY186" i="127"/>
  <c r="BX186" i="127"/>
  <c r="BW186" i="127"/>
  <c r="BV186" i="127"/>
  <c r="BU186" i="127"/>
  <c r="BT186" i="127"/>
  <c r="BS186" i="127"/>
  <c r="BR186" i="127"/>
  <c r="BQ186" i="127"/>
  <c r="BP186" i="127"/>
  <c r="BO186" i="127"/>
  <c r="BN186" i="127"/>
  <c r="BG186" i="127"/>
  <c r="BF186" i="127"/>
  <c r="BE186" i="127"/>
  <c r="BD186" i="127"/>
  <c r="BC186" i="127"/>
  <c r="BB186" i="127"/>
  <c r="BA186" i="127"/>
  <c r="AZ186" i="127"/>
  <c r="AY186" i="127"/>
  <c r="AX186" i="127"/>
  <c r="AW186" i="127"/>
  <c r="AV186" i="127"/>
  <c r="AJ186" i="127"/>
  <c r="AI186" i="127"/>
  <c r="AH186" i="127"/>
  <c r="AG186" i="127"/>
  <c r="AF186" i="127"/>
  <c r="AE186" i="127"/>
  <c r="AD186" i="127"/>
  <c r="AC186" i="127"/>
  <c r="AB186" i="127"/>
  <c r="AA186" i="127"/>
  <c r="Z186" i="127"/>
  <c r="Y186" i="127"/>
  <c r="R186" i="127"/>
  <c r="Q186" i="127"/>
  <c r="P186" i="127"/>
  <c r="O186" i="127"/>
  <c r="N186" i="127"/>
  <c r="M186" i="127"/>
  <c r="L186" i="127"/>
  <c r="K186" i="127"/>
  <c r="J186" i="127"/>
  <c r="I186" i="127"/>
  <c r="H186" i="127"/>
  <c r="G186" i="127"/>
  <c r="F186" i="127"/>
  <c r="CV180" i="127"/>
  <c r="CS180" i="127"/>
  <c r="CR180" i="127"/>
  <c r="BY180" i="127"/>
  <c r="BX180" i="127"/>
  <c r="BW180" i="127"/>
  <c r="BV180" i="127"/>
  <c r="BU180" i="127"/>
  <c r="BT180" i="127"/>
  <c r="BS180" i="127"/>
  <c r="BR180" i="127"/>
  <c r="BQ180" i="127"/>
  <c r="BP180" i="127"/>
  <c r="BO180" i="127"/>
  <c r="BN180" i="127"/>
  <c r="BG180" i="127"/>
  <c r="BF180" i="127"/>
  <c r="BE180" i="127"/>
  <c r="BD180" i="127"/>
  <c r="BC180" i="127"/>
  <c r="BB180" i="127"/>
  <c r="BA180" i="127"/>
  <c r="AZ180" i="127"/>
  <c r="AY180" i="127"/>
  <c r="AX180" i="127"/>
  <c r="AW180" i="127"/>
  <c r="AV180" i="127"/>
  <c r="AJ180" i="127"/>
  <c r="AI180" i="127"/>
  <c r="AH180" i="127"/>
  <c r="AG180" i="127"/>
  <c r="AF180" i="127"/>
  <c r="AE180" i="127"/>
  <c r="AD180" i="127"/>
  <c r="AC180" i="127"/>
  <c r="AB180" i="127"/>
  <c r="AA180" i="127"/>
  <c r="Z180" i="127"/>
  <c r="Y180" i="127"/>
  <c r="R180" i="127"/>
  <c r="Q180" i="127"/>
  <c r="P180" i="127"/>
  <c r="O180" i="127"/>
  <c r="N180" i="127"/>
  <c r="M180" i="127"/>
  <c r="L180" i="127"/>
  <c r="K180" i="127"/>
  <c r="J180" i="127"/>
  <c r="I180" i="127"/>
  <c r="H180" i="127"/>
  <c r="G180" i="127"/>
  <c r="CW179" i="127"/>
  <c r="CW228" i="127" s="1"/>
  <c r="CU179" i="127"/>
  <c r="CU228" i="127" s="1"/>
  <c r="CQ179" i="127"/>
  <c r="CQ228" i="127" s="1"/>
  <c r="CP179" i="127"/>
  <c r="CP228" i="127" s="1"/>
  <c r="CO179" i="127"/>
  <c r="CO228" i="127" s="1"/>
  <c r="CN179" i="127"/>
  <c r="CN228" i="127" s="1"/>
  <c r="CM179" i="127"/>
  <c r="CM228" i="127" s="1"/>
  <c r="CL179" i="127"/>
  <c r="CL228" i="127" s="1"/>
  <c r="CK179" i="127"/>
  <c r="CK228" i="127" s="1"/>
  <c r="CJ179" i="127"/>
  <c r="CJ228" i="127" s="1"/>
  <c r="CD179" i="127"/>
  <c r="CD228" i="127" s="1"/>
  <c r="CC179" i="127"/>
  <c r="CC228" i="127" s="1"/>
  <c r="CB179" i="127"/>
  <c r="CB228" i="127" s="1"/>
  <c r="CA179" i="127"/>
  <c r="CA228" i="127" s="1"/>
  <c r="BZ179" i="127"/>
  <c r="BZ228" i="127" s="1"/>
  <c r="BL179" i="127"/>
  <c r="BL228" i="127" s="1"/>
  <c r="BK179" i="127"/>
  <c r="BK228" i="127" s="1"/>
  <c r="BJ179" i="127"/>
  <c r="BJ228" i="127" s="1"/>
  <c r="BI179" i="127"/>
  <c r="BI228" i="127" s="1"/>
  <c r="BH179" i="127"/>
  <c r="BH228" i="127" s="1"/>
  <c r="AT179" i="127"/>
  <c r="AT228" i="127" s="1"/>
  <c r="AS179" i="127"/>
  <c r="AS228" i="127" s="1"/>
  <c r="AR179" i="127"/>
  <c r="AR228" i="127" s="1"/>
  <c r="AQ179" i="127"/>
  <c r="AQ228" i="127" s="1"/>
  <c r="AK179" i="127"/>
  <c r="AK228" i="127" s="1"/>
  <c r="W179" i="127"/>
  <c r="W228" i="127" s="1"/>
  <c r="V179" i="127"/>
  <c r="V228" i="127" s="1"/>
  <c r="U179" i="127"/>
  <c r="U228" i="127" s="1"/>
  <c r="T179" i="127"/>
  <c r="T228" i="127" s="1"/>
  <c r="S179" i="127"/>
  <c r="S228" i="127" s="1"/>
  <c r="CW178" i="127"/>
  <c r="CW219" i="127" s="1"/>
  <c r="CU178" i="127"/>
  <c r="CU219" i="127" s="1"/>
  <c r="CQ178" i="127"/>
  <c r="CQ219" i="127" s="1"/>
  <c r="CP178" i="127"/>
  <c r="CP219" i="127" s="1"/>
  <c r="CO178" i="127"/>
  <c r="CO219" i="127" s="1"/>
  <c r="CN178" i="127"/>
  <c r="CN219" i="127" s="1"/>
  <c r="CM178" i="127"/>
  <c r="CM219" i="127" s="1"/>
  <c r="CL178" i="127"/>
  <c r="CL219" i="127" s="1"/>
  <c r="CK178" i="127"/>
  <c r="CK219" i="127" s="1"/>
  <c r="CJ178" i="127"/>
  <c r="CJ219" i="127" s="1"/>
  <c r="CD178" i="127"/>
  <c r="CD219" i="127" s="1"/>
  <c r="CC178" i="127"/>
  <c r="CC219" i="127" s="1"/>
  <c r="CB178" i="127"/>
  <c r="CB219" i="127" s="1"/>
  <c r="CA178" i="127"/>
  <c r="CA219" i="127" s="1"/>
  <c r="BZ178" i="127"/>
  <c r="BZ219" i="127" s="1"/>
  <c r="BL178" i="127"/>
  <c r="BL219" i="127" s="1"/>
  <c r="BK178" i="127"/>
  <c r="BK219" i="127" s="1"/>
  <c r="BJ178" i="127"/>
  <c r="BJ219" i="127" s="1"/>
  <c r="BI178" i="127"/>
  <c r="BI219" i="127" s="1"/>
  <c r="BH178" i="127"/>
  <c r="BH219" i="127" s="1"/>
  <c r="AT178" i="127"/>
  <c r="AT219" i="127" s="1"/>
  <c r="AS178" i="127"/>
  <c r="AS219" i="127" s="1"/>
  <c r="AR178" i="127"/>
  <c r="AR219" i="127" s="1"/>
  <c r="AQ178" i="127"/>
  <c r="AQ219" i="127" s="1"/>
  <c r="AK178" i="127"/>
  <c r="AK219" i="127" s="1"/>
  <c r="W178" i="127"/>
  <c r="W219" i="127" s="1"/>
  <c r="V178" i="127"/>
  <c r="V219" i="127" s="1"/>
  <c r="U178" i="127"/>
  <c r="U219" i="127" s="1"/>
  <c r="T178" i="127"/>
  <c r="T219" i="127" s="1"/>
  <c r="S178" i="127"/>
  <c r="S219" i="127" s="1"/>
  <c r="CW177" i="127"/>
  <c r="CW210" i="127" s="1"/>
  <c r="CU177" i="127"/>
  <c r="CU210" i="127" s="1"/>
  <c r="CQ177" i="127"/>
  <c r="CQ210" i="127" s="1"/>
  <c r="CP177" i="127"/>
  <c r="CP210" i="127" s="1"/>
  <c r="CO177" i="127"/>
  <c r="CO210" i="127" s="1"/>
  <c r="CN177" i="127"/>
  <c r="CN210" i="127" s="1"/>
  <c r="CM177" i="127"/>
  <c r="CM210" i="127" s="1"/>
  <c r="CL177" i="127"/>
  <c r="CL210" i="127" s="1"/>
  <c r="CK177" i="127"/>
  <c r="CK210" i="127" s="1"/>
  <c r="CJ177" i="127"/>
  <c r="CJ210" i="127" s="1"/>
  <c r="CD177" i="127"/>
  <c r="CD210" i="127" s="1"/>
  <c r="CC177" i="127"/>
  <c r="CC210" i="127" s="1"/>
  <c r="CB177" i="127"/>
  <c r="CB210" i="127" s="1"/>
  <c r="CA177" i="127"/>
  <c r="CA210" i="127" s="1"/>
  <c r="BZ177" i="127"/>
  <c r="BZ210" i="127" s="1"/>
  <c r="BL177" i="127"/>
  <c r="BL210" i="127" s="1"/>
  <c r="BK177" i="127"/>
  <c r="BK210" i="127" s="1"/>
  <c r="BJ177" i="127"/>
  <c r="BJ210" i="127" s="1"/>
  <c r="BI177" i="127"/>
  <c r="BI210" i="127" s="1"/>
  <c r="BH177" i="127"/>
  <c r="BH210" i="127" s="1"/>
  <c r="AT177" i="127"/>
  <c r="AT210" i="127" s="1"/>
  <c r="AS177" i="127"/>
  <c r="AS210" i="127" s="1"/>
  <c r="AR177" i="127"/>
  <c r="AR210" i="127" s="1"/>
  <c r="AQ177" i="127"/>
  <c r="AQ210" i="127" s="1"/>
  <c r="AK177" i="127"/>
  <c r="AK210" i="127" s="1"/>
  <c r="W177" i="127"/>
  <c r="W210" i="127" s="1"/>
  <c r="V177" i="127"/>
  <c r="V210" i="127" s="1"/>
  <c r="U177" i="127"/>
  <c r="U210" i="127" s="1"/>
  <c r="T177" i="127"/>
  <c r="T210" i="127" s="1"/>
  <c r="S177" i="127"/>
  <c r="S210" i="127" s="1"/>
  <c r="CW176" i="127"/>
  <c r="CW201" i="127" s="1"/>
  <c r="CU176" i="127"/>
  <c r="CU201" i="127" s="1"/>
  <c r="CQ176" i="127"/>
  <c r="CP176" i="127"/>
  <c r="CO176" i="127"/>
  <c r="CN176" i="127"/>
  <c r="CN201" i="127" s="1"/>
  <c r="CM176" i="127"/>
  <c r="CM201" i="127" s="1"/>
  <c r="CL176" i="127"/>
  <c r="CL201" i="127" s="1"/>
  <c r="CK176" i="127"/>
  <c r="CK201" i="127" s="1"/>
  <c r="CJ176" i="127"/>
  <c r="CJ192" i="127" s="1"/>
  <c r="CD176" i="127"/>
  <c r="CC176" i="127"/>
  <c r="CB176" i="127"/>
  <c r="CA176" i="127"/>
  <c r="CA254" i="127" s="1"/>
  <c r="BZ176" i="127"/>
  <c r="BZ254" i="127" s="1"/>
  <c r="BL176" i="127"/>
  <c r="BK176" i="127"/>
  <c r="BK192" i="127" s="1"/>
  <c r="BJ176" i="127"/>
  <c r="BJ192" i="127" s="1"/>
  <c r="BI176" i="127"/>
  <c r="BI254" i="127" s="1"/>
  <c r="BH176" i="127"/>
  <c r="AT176" i="127"/>
  <c r="AT201" i="127" s="1"/>
  <c r="AS176" i="127"/>
  <c r="AR176" i="127"/>
  <c r="AQ176" i="127"/>
  <c r="AK176" i="127"/>
  <c r="W176" i="127"/>
  <c r="W201" i="127" s="1"/>
  <c r="V176" i="127"/>
  <c r="V201" i="127" s="1"/>
  <c r="U176" i="127"/>
  <c r="T176" i="127"/>
  <c r="T254" i="127" s="1"/>
  <c r="S176" i="127"/>
  <c r="S254" i="127" s="1"/>
  <c r="CV173" i="127"/>
  <c r="CS173" i="127"/>
  <c r="CR173" i="127"/>
  <c r="BY173" i="127"/>
  <c r="BX173" i="127"/>
  <c r="BW173" i="127"/>
  <c r="BV173" i="127"/>
  <c r="BU173" i="127"/>
  <c r="BT173" i="127"/>
  <c r="BS173" i="127"/>
  <c r="BR173" i="127"/>
  <c r="BQ173" i="127"/>
  <c r="BP173" i="127"/>
  <c r="BO173" i="127"/>
  <c r="BN173" i="127"/>
  <c r="BG173" i="127"/>
  <c r="BF173" i="127"/>
  <c r="BE173" i="127"/>
  <c r="BD173" i="127"/>
  <c r="BC173" i="127"/>
  <c r="BB173" i="127"/>
  <c r="BA173" i="127"/>
  <c r="AZ173" i="127"/>
  <c r="AY173" i="127"/>
  <c r="AX173" i="127"/>
  <c r="AW173" i="127"/>
  <c r="AV173" i="127"/>
  <c r="AJ173" i="127"/>
  <c r="AI173" i="127"/>
  <c r="AG173" i="127"/>
  <c r="AF173" i="127"/>
  <c r="AE173" i="127"/>
  <c r="AD173" i="127"/>
  <c r="AC173" i="127"/>
  <c r="AB173" i="127"/>
  <c r="AA173" i="127"/>
  <c r="Z173" i="127"/>
  <c r="Y173" i="127"/>
  <c r="R173" i="127"/>
  <c r="Q173" i="127"/>
  <c r="P173" i="127"/>
  <c r="O173" i="127"/>
  <c r="N173" i="127"/>
  <c r="M173" i="127"/>
  <c r="L173" i="127"/>
  <c r="K173" i="127"/>
  <c r="J173" i="127"/>
  <c r="I173" i="127"/>
  <c r="H173" i="127"/>
  <c r="G173" i="127"/>
  <c r="CW172" i="127"/>
  <c r="CU172" i="127"/>
  <c r="CQ172" i="127"/>
  <c r="CP172" i="127"/>
  <c r="CO172" i="127"/>
  <c r="CN172" i="127"/>
  <c r="CM172" i="127"/>
  <c r="CL172" i="127"/>
  <c r="CK172" i="127"/>
  <c r="CJ172" i="127"/>
  <c r="CD172" i="127"/>
  <c r="CC172" i="127"/>
  <c r="CB172" i="127"/>
  <c r="CA172" i="127"/>
  <c r="BZ172" i="127"/>
  <c r="BL172" i="127"/>
  <c r="BK172" i="127"/>
  <c r="BJ172" i="127"/>
  <c r="BI172" i="127"/>
  <c r="BH172" i="127"/>
  <c r="AT172" i="127"/>
  <c r="AS172" i="127"/>
  <c r="AR172" i="127"/>
  <c r="AQ172" i="127"/>
  <c r="AK172" i="127"/>
  <c r="W172" i="127"/>
  <c r="V172" i="127"/>
  <c r="U172" i="127"/>
  <c r="T172" i="127"/>
  <c r="S172" i="127"/>
  <c r="CW171" i="127"/>
  <c r="CU171" i="127"/>
  <c r="CQ171" i="127"/>
  <c r="CP171" i="127"/>
  <c r="CO171" i="127"/>
  <c r="CN171" i="127"/>
  <c r="CM171" i="127"/>
  <c r="CL171" i="127"/>
  <c r="CK171" i="127"/>
  <c r="CJ171" i="127"/>
  <c r="CD171" i="127"/>
  <c r="CC171" i="127"/>
  <c r="CB171" i="127"/>
  <c r="CA171" i="127"/>
  <c r="BZ171" i="127"/>
  <c r="BL171" i="127"/>
  <c r="BK171" i="127"/>
  <c r="BJ171" i="127"/>
  <c r="BI171" i="127"/>
  <c r="BH171" i="127"/>
  <c r="AT171" i="127"/>
  <c r="AS171" i="127"/>
  <c r="AR171" i="127"/>
  <c r="AQ171" i="127"/>
  <c r="AK171" i="127"/>
  <c r="W171" i="127"/>
  <c r="V171" i="127"/>
  <c r="U171" i="127"/>
  <c r="T171" i="127"/>
  <c r="S171" i="127"/>
  <c r="CW170" i="127"/>
  <c r="CU170" i="127"/>
  <c r="CP170" i="127"/>
  <c r="CO170" i="127"/>
  <c r="CN170" i="127"/>
  <c r="CM170" i="127"/>
  <c r="CL170" i="127"/>
  <c r="CK170" i="127"/>
  <c r="CJ170" i="127"/>
  <c r="CD170" i="127"/>
  <c r="CC170" i="127"/>
  <c r="CB170" i="127"/>
  <c r="CA170" i="127"/>
  <c r="BZ170" i="127"/>
  <c r="BL170" i="127"/>
  <c r="BK170" i="127"/>
  <c r="BJ170" i="127"/>
  <c r="BI170" i="127"/>
  <c r="BH170" i="127"/>
  <c r="AS170" i="127"/>
  <c r="AR170" i="127"/>
  <c r="AQ170" i="127"/>
  <c r="AH170" i="127"/>
  <c r="W170" i="127"/>
  <c r="V170" i="127"/>
  <c r="U170" i="127"/>
  <c r="T170" i="127"/>
  <c r="S170" i="127"/>
  <c r="CW169" i="127"/>
  <c r="CU169" i="127"/>
  <c r="CP169" i="127"/>
  <c r="CO169" i="127"/>
  <c r="CN169" i="127"/>
  <c r="CM169" i="127"/>
  <c r="CL169" i="127"/>
  <c r="CK169" i="127"/>
  <c r="CJ169" i="127"/>
  <c r="CD169" i="127"/>
  <c r="CC169" i="127"/>
  <c r="CB169" i="127"/>
  <c r="CA169" i="127"/>
  <c r="BZ169" i="127"/>
  <c r="BL169" i="127"/>
  <c r="BK169" i="127"/>
  <c r="BJ169" i="127"/>
  <c r="BI169" i="127"/>
  <c r="BH169" i="127"/>
  <c r="AS169" i="127"/>
  <c r="AR169" i="127"/>
  <c r="AQ169" i="127"/>
  <c r="AH169" i="127"/>
  <c r="W169" i="127"/>
  <c r="V169" i="127"/>
  <c r="U169" i="127"/>
  <c r="T169" i="127"/>
  <c r="S169" i="127"/>
  <c r="CD168" i="127"/>
  <c r="CC168" i="127"/>
  <c r="CB168" i="127"/>
  <c r="CA168" i="127"/>
  <c r="BZ168" i="127"/>
  <c r="BL168" i="127"/>
  <c r="BK168" i="127"/>
  <c r="BJ168" i="127"/>
  <c r="BI168" i="127"/>
  <c r="BH168" i="127"/>
  <c r="W168" i="127"/>
  <c r="V168" i="127"/>
  <c r="U168" i="127"/>
  <c r="T168" i="127"/>
  <c r="S168" i="127"/>
  <c r="CW167" i="127"/>
  <c r="CU167" i="127"/>
  <c r="CQ167" i="127"/>
  <c r="CP167" i="127"/>
  <c r="CO167" i="127"/>
  <c r="CN167" i="127"/>
  <c r="CM167" i="127"/>
  <c r="CL167" i="127"/>
  <c r="CK167" i="127"/>
  <c r="CJ167" i="127"/>
  <c r="CD167" i="127"/>
  <c r="CC167" i="127"/>
  <c r="CB167" i="127"/>
  <c r="CA167" i="127"/>
  <c r="BZ167" i="127"/>
  <c r="BL167" i="127"/>
  <c r="BK167" i="127"/>
  <c r="BJ167" i="127"/>
  <c r="BI167" i="127"/>
  <c r="BH167" i="127"/>
  <c r="AT167" i="127"/>
  <c r="AS167" i="127"/>
  <c r="AR167" i="127"/>
  <c r="AQ167" i="127"/>
  <c r="AK167" i="127"/>
  <c r="W167" i="127"/>
  <c r="V167" i="127"/>
  <c r="U167" i="127"/>
  <c r="T167" i="127"/>
  <c r="S167" i="127"/>
  <c r="CW166" i="127"/>
  <c r="CU166" i="127"/>
  <c r="CQ166" i="127"/>
  <c r="CP166" i="127"/>
  <c r="CO166" i="127"/>
  <c r="CN166" i="127"/>
  <c r="CM166" i="127"/>
  <c r="CL166" i="127"/>
  <c r="CK166" i="127"/>
  <c r="CJ166" i="127"/>
  <c r="CD166" i="127"/>
  <c r="CC166" i="127"/>
  <c r="CB166" i="127"/>
  <c r="CA166" i="127"/>
  <c r="BZ166" i="127"/>
  <c r="BL166" i="127"/>
  <c r="BK166" i="127"/>
  <c r="BJ166" i="127"/>
  <c r="BI166" i="127"/>
  <c r="BH166" i="127"/>
  <c r="AT166" i="127"/>
  <c r="AS166" i="127"/>
  <c r="AR166" i="127"/>
  <c r="AQ166" i="127"/>
  <c r="AK166" i="127"/>
  <c r="W166" i="127"/>
  <c r="V166" i="127"/>
  <c r="U166" i="127"/>
  <c r="T166" i="127"/>
  <c r="S166" i="127"/>
  <c r="CW165" i="127"/>
  <c r="CU165" i="127"/>
  <c r="CQ165" i="127"/>
  <c r="CP165" i="127"/>
  <c r="CO165" i="127"/>
  <c r="CN165" i="127"/>
  <c r="CM165" i="127"/>
  <c r="CL165" i="127"/>
  <c r="CK165" i="127"/>
  <c r="CJ165" i="127"/>
  <c r="CD165" i="127"/>
  <c r="CC165" i="127"/>
  <c r="CB165" i="127"/>
  <c r="CA165" i="127"/>
  <c r="BZ165" i="127"/>
  <c r="BL165" i="127"/>
  <c r="BK165" i="127"/>
  <c r="BJ165" i="127"/>
  <c r="BI165" i="127"/>
  <c r="BH165" i="127"/>
  <c r="AT165" i="127"/>
  <c r="AS165" i="127"/>
  <c r="AR165" i="127"/>
  <c r="AQ165" i="127"/>
  <c r="AK165" i="127"/>
  <c r="W165" i="127"/>
  <c r="V165" i="127"/>
  <c r="U165" i="127"/>
  <c r="T165" i="127"/>
  <c r="S165" i="127"/>
  <c r="CW164" i="127"/>
  <c r="CU164" i="127"/>
  <c r="CQ164" i="127"/>
  <c r="CP164" i="127"/>
  <c r="CO164" i="127"/>
  <c r="CN164" i="127"/>
  <c r="CM164" i="127"/>
  <c r="CL164" i="127"/>
  <c r="CK164" i="127"/>
  <c r="CJ164" i="127"/>
  <c r="CD164" i="127"/>
  <c r="CC164" i="127"/>
  <c r="CB164" i="127"/>
  <c r="CA164" i="127"/>
  <c r="BZ164" i="127"/>
  <c r="BL164" i="127"/>
  <c r="BK164" i="127"/>
  <c r="BJ164" i="127"/>
  <c r="BI164" i="127"/>
  <c r="BH164" i="127"/>
  <c r="AT164" i="127"/>
  <c r="AS164" i="127"/>
  <c r="AR164" i="127"/>
  <c r="AQ164" i="127"/>
  <c r="AK164" i="127"/>
  <c r="W164" i="127"/>
  <c r="V164" i="127"/>
  <c r="U164" i="127"/>
  <c r="T164" i="127"/>
  <c r="S164" i="127"/>
  <c r="CD163" i="127"/>
  <c r="CC163" i="127"/>
  <c r="CB163" i="127"/>
  <c r="CA163" i="127"/>
  <c r="BZ163" i="127"/>
  <c r="BL163" i="127"/>
  <c r="BK163" i="127"/>
  <c r="BJ163" i="127"/>
  <c r="BI163" i="127"/>
  <c r="BH163" i="127"/>
  <c r="W163" i="127"/>
  <c r="V163" i="127"/>
  <c r="U163" i="127"/>
  <c r="T163" i="127"/>
  <c r="S163" i="127"/>
  <c r="CW162" i="127"/>
  <c r="CU162" i="127"/>
  <c r="CQ162" i="127"/>
  <c r="CP162" i="127"/>
  <c r="CO162" i="127"/>
  <c r="CN162" i="127"/>
  <c r="CM162" i="127"/>
  <c r="CL162" i="127"/>
  <c r="CK162" i="127"/>
  <c r="CJ162" i="127"/>
  <c r="CD162" i="127"/>
  <c r="CC162" i="127"/>
  <c r="CB162" i="127"/>
  <c r="CA162" i="127"/>
  <c r="BZ162" i="127"/>
  <c r="CW161" i="127"/>
  <c r="CU161" i="127"/>
  <c r="CQ161" i="127"/>
  <c r="CP161" i="127"/>
  <c r="CO161" i="127"/>
  <c r="CN161" i="127"/>
  <c r="CM161" i="127"/>
  <c r="CL161" i="127"/>
  <c r="CK161" i="127"/>
  <c r="CJ161" i="127"/>
  <c r="CD161" i="127"/>
  <c r="CC161" i="127"/>
  <c r="CB161" i="127"/>
  <c r="CA161" i="127"/>
  <c r="BZ161" i="127"/>
  <c r="CW160" i="127"/>
  <c r="CU160" i="127"/>
  <c r="CQ160" i="127"/>
  <c r="CP160" i="127"/>
  <c r="CO160" i="127"/>
  <c r="CN160" i="127"/>
  <c r="CM160" i="127"/>
  <c r="CL160" i="127"/>
  <c r="CK160" i="127"/>
  <c r="CJ160" i="127"/>
  <c r="CD160" i="127"/>
  <c r="CC160" i="127"/>
  <c r="CB160" i="127"/>
  <c r="CA160" i="127"/>
  <c r="BZ160" i="127"/>
  <c r="CW159" i="127"/>
  <c r="CU159" i="127"/>
  <c r="CQ159" i="127"/>
  <c r="CQ250" i="127" s="1"/>
  <c r="CP159" i="127"/>
  <c r="CP250" i="127" s="1"/>
  <c r="CO159" i="127"/>
  <c r="CO250" i="127" s="1"/>
  <c r="CN159" i="127"/>
  <c r="CN250" i="127" s="1"/>
  <c r="CM159" i="127"/>
  <c r="CM250" i="127" s="1"/>
  <c r="CL159" i="127"/>
  <c r="CL250" i="127" s="1"/>
  <c r="CK159" i="127"/>
  <c r="CK250" i="127" s="1"/>
  <c r="CJ159" i="127"/>
  <c r="CJ250" i="127" s="1"/>
  <c r="CD159" i="127"/>
  <c r="CC159" i="127"/>
  <c r="CB159" i="127"/>
  <c r="CA159" i="127"/>
  <c r="BZ159" i="127"/>
  <c r="CD158" i="127"/>
  <c r="CC158" i="127"/>
  <c r="CB158" i="127"/>
  <c r="CA158" i="127"/>
  <c r="BZ158" i="127"/>
  <c r="CW157" i="127"/>
  <c r="CU157" i="127"/>
  <c r="CD157" i="127"/>
  <c r="CC157" i="127"/>
  <c r="CB157" i="127"/>
  <c r="CA157" i="127"/>
  <c r="BZ157" i="127"/>
  <c r="BL157" i="127"/>
  <c r="BK157" i="127"/>
  <c r="BJ157" i="127"/>
  <c r="BI157" i="127"/>
  <c r="BH157" i="127"/>
  <c r="AT157" i="127"/>
  <c r="AS157" i="127"/>
  <c r="AR157" i="127"/>
  <c r="AQ157" i="127"/>
  <c r="AK157" i="127"/>
  <c r="W157" i="127"/>
  <c r="V157" i="127"/>
  <c r="U157" i="127"/>
  <c r="T157" i="127"/>
  <c r="S157" i="127"/>
  <c r="CW156" i="127"/>
  <c r="CU156" i="127"/>
  <c r="CD156" i="127"/>
  <c r="CC156" i="127"/>
  <c r="CB156" i="127"/>
  <c r="CA156" i="127"/>
  <c r="BZ156" i="127"/>
  <c r="BL156" i="127"/>
  <c r="BK156" i="127"/>
  <c r="BJ156" i="127"/>
  <c r="BI156" i="127"/>
  <c r="BH156" i="127"/>
  <c r="AT156" i="127"/>
  <c r="AS156" i="127"/>
  <c r="AR156" i="127"/>
  <c r="AQ156" i="127"/>
  <c r="AK156" i="127"/>
  <c r="W156" i="127"/>
  <c r="V156" i="127"/>
  <c r="U156" i="127"/>
  <c r="T156" i="127"/>
  <c r="S156" i="127"/>
  <c r="CW155" i="127"/>
  <c r="CU155" i="127"/>
  <c r="CD155" i="127"/>
  <c r="CC155" i="127"/>
  <c r="CB155" i="127"/>
  <c r="CA155" i="127"/>
  <c r="BZ155" i="127"/>
  <c r="BL155" i="127"/>
  <c r="BK155" i="127"/>
  <c r="BJ155" i="127"/>
  <c r="BI155" i="127"/>
  <c r="BH155" i="127"/>
  <c r="AT155" i="127"/>
  <c r="AS155" i="127"/>
  <c r="AR155" i="127"/>
  <c r="AQ155" i="127"/>
  <c r="AK155" i="127"/>
  <c r="W155" i="127"/>
  <c r="V155" i="127"/>
  <c r="U155" i="127"/>
  <c r="T155" i="127"/>
  <c r="S155" i="127"/>
  <c r="CW154" i="127"/>
  <c r="CU154" i="127"/>
  <c r="CU253" i="127" s="1"/>
  <c r="CU255" i="127" s="1"/>
  <c r="CD154" i="127"/>
  <c r="CC154" i="127"/>
  <c r="CB154" i="127"/>
  <c r="CA154" i="127"/>
  <c r="BZ154" i="127"/>
  <c r="BL154" i="127"/>
  <c r="BK154" i="127"/>
  <c r="BJ154" i="127"/>
  <c r="BI154" i="127"/>
  <c r="BH154" i="127"/>
  <c r="AT154" i="127"/>
  <c r="AS154" i="127"/>
  <c r="AR154" i="127"/>
  <c r="AQ154" i="127"/>
  <c r="AK154" i="127"/>
  <c r="W154" i="127"/>
  <c r="V154" i="127"/>
  <c r="U154" i="127"/>
  <c r="T154" i="127"/>
  <c r="S154" i="127"/>
  <c r="CD153" i="127"/>
  <c r="CC153" i="127"/>
  <c r="CB153" i="127"/>
  <c r="CA153" i="127"/>
  <c r="BZ153" i="127"/>
  <c r="BL153" i="127"/>
  <c r="BK153" i="127"/>
  <c r="BJ153" i="127"/>
  <c r="BI153" i="127"/>
  <c r="BH153" i="127"/>
  <c r="W153" i="127"/>
  <c r="V153" i="127"/>
  <c r="U153" i="127"/>
  <c r="T153" i="127"/>
  <c r="S153" i="127"/>
  <c r="CW152" i="127"/>
  <c r="CU152" i="127"/>
  <c r="CQ152" i="127"/>
  <c r="CP152" i="127"/>
  <c r="CO152" i="127"/>
  <c r="CN152" i="127"/>
  <c r="CM152" i="127"/>
  <c r="CL152" i="127"/>
  <c r="CK152" i="127"/>
  <c r="CJ152" i="127"/>
  <c r="CD152" i="127"/>
  <c r="CC152" i="127"/>
  <c r="CB152" i="127"/>
  <c r="CA152" i="127"/>
  <c r="BZ152" i="127"/>
  <c r="BL152" i="127"/>
  <c r="BK152" i="127"/>
  <c r="BJ152" i="127"/>
  <c r="BI152" i="127"/>
  <c r="BH152" i="127"/>
  <c r="AT152" i="127"/>
  <c r="AS152" i="127"/>
  <c r="AR152" i="127"/>
  <c r="AQ152" i="127"/>
  <c r="AK152" i="127"/>
  <c r="W152" i="127"/>
  <c r="V152" i="127"/>
  <c r="U152" i="127"/>
  <c r="T152" i="127"/>
  <c r="S152" i="127"/>
  <c r="CW151" i="127"/>
  <c r="CU151" i="127"/>
  <c r="CQ151" i="127"/>
  <c r="CP151" i="127"/>
  <c r="CO151" i="127"/>
  <c r="CN151" i="127"/>
  <c r="CM151" i="127"/>
  <c r="CL151" i="127"/>
  <c r="CK151" i="127"/>
  <c r="CJ151" i="127"/>
  <c r="CD151" i="127"/>
  <c r="CC151" i="127"/>
  <c r="CB151" i="127"/>
  <c r="CA151" i="127"/>
  <c r="BZ151" i="127"/>
  <c r="BL151" i="127"/>
  <c r="BK151" i="127"/>
  <c r="BJ151" i="127"/>
  <c r="BI151" i="127"/>
  <c r="BH151" i="127"/>
  <c r="AT151" i="127"/>
  <c r="AS151" i="127"/>
  <c r="AR151" i="127"/>
  <c r="AQ151" i="127"/>
  <c r="AK151" i="127"/>
  <c r="W151" i="127"/>
  <c r="V151" i="127"/>
  <c r="U151" i="127"/>
  <c r="T151" i="127"/>
  <c r="S151" i="127"/>
  <c r="CW150" i="127"/>
  <c r="CU150" i="127"/>
  <c r="CQ150" i="127"/>
  <c r="CP150" i="127"/>
  <c r="CO150" i="127"/>
  <c r="CN150" i="127"/>
  <c r="CM150" i="127"/>
  <c r="CL150" i="127"/>
  <c r="CK150" i="127"/>
  <c r="CJ150" i="127"/>
  <c r="CD150" i="127"/>
  <c r="CC150" i="127"/>
  <c r="CB150" i="127"/>
  <c r="CA150" i="127"/>
  <c r="BZ150" i="127"/>
  <c r="BL150" i="127"/>
  <c r="BK150" i="127"/>
  <c r="BJ150" i="127"/>
  <c r="BI150" i="127"/>
  <c r="BH150" i="127"/>
  <c r="AT150" i="127"/>
  <c r="AS150" i="127"/>
  <c r="AR150" i="127"/>
  <c r="AQ150" i="127"/>
  <c r="AK150" i="127"/>
  <c r="W150" i="127"/>
  <c r="V150" i="127"/>
  <c r="U150" i="127"/>
  <c r="T150" i="127"/>
  <c r="S150" i="127"/>
  <c r="CW149" i="127"/>
  <c r="CU149" i="127"/>
  <c r="CQ149" i="127"/>
  <c r="CP149" i="127"/>
  <c r="CO149" i="127"/>
  <c r="CN149" i="127"/>
  <c r="CM149" i="127"/>
  <c r="CL149" i="127"/>
  <c r="CK149" i="127"/>
  <c r="CJ149" i="127"/>
  <c r="CD149" i="127"/>
  <c r="CC149" i="127"/>
  <c r="CB149" i="127"/>
  <c r="CA149" i="127"/>
  <c r="BZ149" i="127"/>
  <c r="BL149" i="127"/>
  <c r="BK149" i="127"/>
  <c r="BJ149" i="127"/>
  <c r="BI149" i="127"/>
  <c r="BH149" i="127"/>
  <c r="AT149" i="127"/>
  <c r="AS149" i="127"/>
  <c r="AR149" i="127"/>
  <c r="AQ149" i="127"/>
  <c r="W149" i="127"/>
  <c r="V149" i="127"/>
  <c r="U149" i="127"/>
  <c r="T149" i="127"/>
  <c r="S149" i="127"/>
  <c r="CD148" i="127"/>
  <c r="CC148" i="127"/>
  <c r="CB148" i="127"/>
  <c r="CA148" i="127"/>
  <c r="BZ148" i="127"/>
  <c r="BL148" i="127"/>
  <c r="BK148" i="127"/>
  <c r="BJ148" i="127"/>
  <c r="BI148" i="127"/>
  <c r="BH148" i="127"/>
  <c r="W148" i="127"/>
  <c r="V148" i="127"/>
  <c r="U148" i="127"/>
  <c r="T148" i="127"/>
  <c r="S148" i="127"/>
  <c r="CW147" i="127"/>
  <c r="CU147" i="127"/>
  <c r="CQ147" i="127"/>
  <c r="CP147" i="127"/>
  <c r="CO147" i="127"/>
  <c r="CN147" i="127"/>
  <c r="CM147" i="127"/>
  <c r="CL147" i="127"/>
  <c r="CK147" i="127"/>
  <c r="CJ147" i="127"/>
  <c r="CD147" i="127"/>
  <c r="CC147" i="127"/>
  <c r="CB147" i="127"/>
  <c r="CA147" i="127"/>
  <c r="BZ147" i="127"/>
  <c r="BL147" i="127"/>
  <c r="BK147" i="127"/>
  <c r="BJ147" i="127"/>
  <c r="BI147" i="127"/>
  <c r="BH147" i="127"/>
  <c r="AT147" i="127"/>
  <c r="AS147" i="127"/>
  <c r="AR147" i="127"/>
  <c r="AQ147" i="127"/>
  <c r="AK147" i="127"/>
  <c r="W147" i="127"/>
  <c r="V147" i="127"/>
  <c r="U147" i="127"/>
  <c r="T147" i="127"/>
  <c r="S147" i="127"/>
  <c r="CW146" i="127"/>
  <c r="CU146" i="127"/>
  <c r="CQ146" i="127"/>
  <c r="CP146" i="127"/>
  <c r="CO146" i="127"/>
  <c r="CN146" i="127"/>
  <c r="CM146" i="127"/>
  <c r="CL146" i="127"/>
  <c r="CK146" i="127"/>
  <c r="CJ146" i="127"/>
  <c r="CD146" i="127"/>
  <c r="CC146" i="127"/>
  <c r="CB146" i="127"/>
  <c r="CA146" i="127"/>
  <c r="BZ146" i="127"/>
  <c r="BL146" i="127"/>
  <c r="BK146" i="127"/>
  <c r="BJ146" i="127"/>
  <c r="BI146" i="127"/>
  <c r="BH146" i="127"/>
  <c r="AT146" i="127"/>
  <c r="AS146" i="127"/>
  <c r="AR146" i="127"/>
  <c r="AQ146" i="127"/>
  <c r="AK146" i="127"/>
  <c r="W146" i="127"/>
  <c r="V146" i="127"/>
  <c r="U146" i="127"/>
  <c r="T146" i="127"/>
  <c r="S146" i="127"/>
  <c r="CW145" i="127"/>
  <c r="CU145" i="127"/>
  <c r="CQ145" i="127"/>
  <c r="CP145" i="127"/>
  <c r="CO145" i="127"/>
  <c r="CN145" i="127"/>
  <c r="CM145" i="127"/>
  <c r="CL145" i="127"/>
  <c r="CK145" i="127"/>
  <c r="CJ145" i="127"/>
  <c r="CD145" i="127"/>
  <c r="CC145" i="127"/>
  <c r="CB145" i="127"/>
  <c r="CA145" i="127"/>
  <c r="BZ145" i="127"/>
  <c r="BL145" i="127"/>
  <c r="BK145" i="127"/>
  <c r="BJ145" i="127"/>
  <c r="BI145" i="127"/>
  <c r="BH145" i="127"/>
  <c r="AT145" i="127"/>
  <c r="AS145" i="127"/>
  <c r="AR145" i="127"/>
  <c r="AQ145" i="127"/>
  <c r="AK145" i="127"/>
  <c r="W145" i="127"/>
  <c r="V145" i="127"/>
  <c r="U145" i="127"/>
  <c r="T145" i="127"/>
  <c r="S145" i="127"/>
  <c r="CW144" i="127"/>
  <c r="CU144" i="127"/>
  <c r="CQ144" i="127"/>
  <c r="CP144" i="127"/>
  <c r="CO144" i="127"/>
  <c r="CN144" i="127"/>
  <c r="CM144" i="127"/>
  <c r="CL144" i="127"/>
  <c r="CK144" i="127"/>
  <c r="CJ144" i="127"/>
  <c r="CD144" i="127"/>
  <c r="CC144" i="127"/>
  <c r="CB144" i="127"/>
  <c r="CA144" i="127"/>
  <c r="BZ144" i="127"/>
  <c r="BL144" i="127"/>
  <c r="BK144" i="127"/>
  <c r="BJ144" i="127"/>
  <c r="BI144" i="127"/>
  <c r="BH144" i="127"/>
  <c r="AT144" i="127"/>
  <c r="AS144" i="127"/>
  <c r="AR144" i="127"/>
  <c r="AQ144" i="127"/>
  <c r="AK144" i="127"/>
  <c r="W144" i="127"/>
  <c r="V144" i="127"/>
  <c r="U144" i="127"/>
  <c r="T144" i="127"/>
  <c r="S144" i="127"/>
  <c r="CD143" i="127"/>
  <c r="CC143" i="127"/>
  <c r="CB143" i="127"/>
  <c r="CA143" i="127"/>
  <c r="BZ143" i="127"/>
  <c r="BL143" i="127"/>
  <c r="BK143" i="127"/>
  <c r="BJ143" i="127"/>
  <c r="BI143" i="127"/>
  <c r="BH143" i="127"/>
  <c r="W143" i="127"/>
  <c r="V143" i="127"/>
  <c r="U143" i="127"/>
  <c r="T143" i="127"/>
  <c r="S143" i="127"/>
  <c r="CW142" i="127"/>
  <c r="CU142" i="127"/>
  <c r="CQ142" i="127"/>
  <c r="CP142" i="127"/>
  <c r="CO142" i="127"/>
  <c r="CN142" i="127"/>
  <c r="CM142" i="127"/>
  <c r="CL142" i="127"/>
  <c r="CK142" i="127"/>
  <c r="CJ142" i="127"/>
  <c r="CD142" i="127"/>
  <c r="CC142" i="127"/>
  <c r="CB142" i="127"/>
  <c r="CA142" i="127"/>
  <c r="BZ142" i="127"/>
  <c r="BL142" i="127"/>
  <c r="BK142" i="127"/>
  <c r="BJ142" i="127"/>
  <c r="BI142" i="127"/>
  <c r="BH142" i="127"/>
  <c r="AT142" i="127"/>
  <c r="AS142" i="127"/>
  <c r="AR142" i="127"/>
  <c r="AQ142" i="127"/>
  <c r="AK142" i="127"/>
  <c r="W142" i="127"/>
  <c r="V142" i="127"/>
  <c r="U142" i="127"/>
  <c r="T142" i="127"/>
  <c r="S142" i="127"/>
  <c r="CW141" i="127"/>
  <c r="CU141" i="127"/>
  <c r="CQ141" i="127"/>
  <c r="CP141" i="127"/>
  <c r="CO141" i="127"/>
  <c r="CN141" i="127"/>
  <c r="CM141" i="127"/>
  <c r="CL141" i="127"/>
  <c r="CK141" i="127"/>
  <c r="CJ141" i="127"/>
  <c r="CD141" i="127"/>
  <c r="CC141" i="127"/>
  <c r="CB141" i="127"/>
  <c r="CA141" i="127"/>
  <c r="BZ141" i="127"/>
  <c r="BL141" i="127"/>
  <c r="BK141" i="127"/>
  <c r="BJ141" i="127"/>
  <c r="BI141" i="127"/>
  <c r="BH141" i="127"/>
  <c r="AT141" i="127"/>
  <c r="AS141" i="127"/>
  <c r="AR141" i="127"/>
  <c r="AQ141" i="127"/>
  <c r="AK141" i="127"/>
  <c r="W141" i="127"/>
  <c r="V141" i="127"/>
  <c r="U141" i="127"/>
  <c r="T141" i="127"/>
  <c r="S141" i="127"/>
  <c r="CW140" i="127"/>
  <c r="CU140" i="127"/>
  <c r="CQ140" i="127"/>
  <c r="CP140" i="127"/>
  <c r="CO140" i="127"/>
  <c r="CN140" i="127"/>
  <c r="CM140" i="127"/>
  <c r="CL140" i="127"/>
  <c r="CK140" i="127"/>
  <c r="CJ140" i="127"/>
  <c r="CD140" i="127"/>
  <c r="CC140" i="127"/>
  <c r="CB140" i="127"/>
  <c r="CA140" i="127"/>
  <c r="BZ140" i="127"/>
  <c r="BL140" i="127"/>
  <c r="BK140" i="127"/>
  <c r="BJ140" i="127"/>
  <c r="BI140" i="127"/>
  <c r="BH140" i="127"/>
  <c r="AT140" i="127"/>
  <c r="AS140" i="127"/>
  <c r="AR140" i="127"/>
  <c r="AQ140" i="127"/>
  <c r="AK140" i="127"/>
  <c r="W140" i="127"/>
  <c r="V140" i="127"/>
  <c r="U140" i="127"/>
  <c r="T140" i="127"/>
  <c r="S140" i="127"/>
  <c r="CW139" i="127"/>
  <c r="CU139" i="127"/>
  <c r="CQ139" i="127"/>
  <c r="CP139" i="127"/>
  <c r="CO139" i="127"/>
  <c r="CN139" i="127"/>
  <c r="CM139" i="127"/>
  <c r="CL139" i="127"/>
  <c r="CK139" i="127"/>
  <c r="CJ139" i="127"/>
  <c r="CD139" i="127"/>
  <c r="CC139" i="127"/>
  <c r="CB139" i="127"/>
  <c r="CA139" i="127"/>
  <c r="BZ139" i="127"/>
  <c r="BL139" i="127"/>
  <c r="BK139" i="127"/>
  <c r="BJ139" i="127"/>
  <c r="BI139" i="127"/>
  <c r="BH139" i="127"/>
  <c r="AT139" i="127"/>
  <c r="AS139" i="127"/>
  <c r="AR139" i="127"/>
  <c r="AQ139" i="127"/>
  <c r="AK139" i="127"/>
  <c r="W139" i="127"/>
  <c r="V139" i="127"/>
  <c r="U139" i="127"/>
  <c r="T139" i="127"/>
  <c r="S139" i="127"/>
  <c r="CD138" i="127"/>
  <c r="CC138" i="127"/>
  <c r="CB138" i="127"/>
  <c r="CA138" i="127"/>
  <c r="BZ138" i="127"/>
  <c r="BL138" i="127"/>
  <c r="BK138" i="127"/>
  <c r="BJ138" i="127"/>
  <c r="BI138" i="127"/>
  <c r="BH138" i="127"/>
  <c r="W138" i="127"/>
  <c r="V138" i="127"/>
  <c r="U138" i="127"/>
  <c r="T138" i="127"/>
  <c r="S138" i="127"/>
  <c r="CW137" i="127"/>
  <c r="CU137" i="127"/>
  <c r="CQ137" i="127"/>
  <c r="CP137" i="127"/>
  <c r="CO137" i="127"/>
  <c r="CN137" i="127"/>
  <c r="CM137" i="127"/>
  <c r="CL137" i="127"/>
  <c r="CK137" i="127"/>
  <c r="CJ137" i="127"/>
  <c r="CD137" i="127"/>
  <c r="CC137" i="127"/>
  <c r="CB137" i="127"/>
  <c r="CA137" i="127"/>
  <c r="BZ137" i="127"/>
  <c r="BL137" i="127"/>
  <c r="BK137" i="127"/>
  <c r="BJ137" i="127"/>
  <c r="BI137" i="127"/>
  <c r="BH137" i="127"/>
  <c r="AT137" i="127"/>
  <c r="AS137" i="127"/>
  <c r="AR137" i="127"/>
  <c r="AQ137" i="127"/>
  <c r="AK137" i="127"/>
  <c r="W137" i="127"/>
  <c r="V137" i="127"/>
  <c r="U137" i="127"/>
  <c r="T137" i="127"/>
  <c r="S137" i="127"/>
  <c r="CW136" i="127"/>
  <c r="CU136" i="127"/>
  <c r="CQ136" i="127"/>
  <c r="CP136" i="127"/>
  <c r="CO136" i="127"/>
  <c r="CN136" i="127"/>
  <c r="CM136" i="127"/>
  <c r="CL136" i="127"/>
  <c r="CK136" i="127"/>
  <c r="CJ136" i="127"/>
  <c r="CD136" i="127"/>
  <c r="CC136" i="127"/>
  <c r="CB136" i="127"/>
  <c r="CA136" i="127"/>
  <c r="BZ136" i="127"/>
  <c r="BL136" i="127"/>
  <c r="BK136" i="127"/>
  <c r="BJ136" i="127"/>
  <c r="BI136" i="127"/>
  <c r="BH136" i="127"/>
  <c r="AT136" i="127"/>
  <c r="AS136" i="127"/>
  <c r="AR136" i="127"/>
  <c r="AQ136" i="127"/>
  <c r="AK136" i="127"/>
  <c r="W136" i="127"/>
  <c r="V136" i="127"/>
  <c r="U136" i="127"/>
  <c r="U218" i="127" s="1"/>
  <c r="T136" i="127"/>
  <c r="S136" i="127"/>
  <c r="CW135" i="127"/>
  <c r="CU135" i="127"/>
  <c r="CQ135" i="127"/>
  <c r="CP135" i="127"/>
  <c r="CO135" i="127"/>
  <c r="CN135" i="127"/>
  <c r="CM135" i="127"/>
  <c r="CL135" i="127"/>
  <c r="CK135" i="127"/>
  <c r="CJ135" i="127"/>
  <c r="CD135" i="127"/>
  <c r="CC135" i="127"/>
  <c r="CB135" i="127"/>
  <c r="CA135" i="127"/>
  <c r="BZ135" i="127"/>
  <c r="BL135" i="127"/>
  <c r="BK135" i="127"/>
  <c r="BJ135" i="127"/>
  <c r="BI135" i="127"/>
  <c r="BH135" i="127"/>
  <c r="AT135" i="127"/>
  <c r="AS135" i="127"/>
  <c r="AR135" i="127"/>
  <c r="AQ135" i="127"/>
  <c r="AK135" i="127"/>
  <c r="W135" i="127"/>
  <c r="V135" i="127"/>
  <c r="U135" i="127"/>
  <c r="T135" i="127"/>
  <c r="S135" i="127"/>
  <c r="CW134" i="127"/>
  <c r="CU134" i="127"/>
  <c r="CQ134" i="127"/>
  <c r="CP134" i="127"/>
  <c r="CO134" i="127"/>
  <c r="CN134" i="127"/>
  <c r="CM134" i="127"/>
  <c r="CL134" i="127"/>
  <c r="CK134" i="127"/>
  <c r="CJ134" i="127"/>
  <c r="CD134" i="127"/>
  <c r="CC134" i="127"/>
  <c r="CB134" i="127"/>
  <c r="CA134" i="127"/>
  <c r="BZ134" i="127"/>
  <c r="BL134" i="127"/>
  <c r="BK134" i="127"/>
  <c r="BJ134" i="127"/>
  <c r="BI134" i="127"/>
  <c r="BH134" i="127"/>
  <c r="AT134" i="127"/>
  <c r="AS134" i="127"/>
  <c r="AR134" i="127"/>
  <c r="AQ134" i="127"/>
  <c r="AK134" i="127"/>
  <c r="W134" i="127"/>
  <c r="V134" i="127"/>
  <c r="U134" i="127"/>
  <c r="T134" i="127"/>
  <c r="S134" i="127"/>
  <c r="CW129" i="127"/>
  <c r="CV129" i="127"/>
  <c r="CU129" i="127"/>
  <c r="CS129" i="127"/>
  <c r="CR129" i="127"/>
  <c r="CQ129" i="127"/>
  <c r="CP129" i="127"/>
  <c r="CO129" i="127"/>
  <c r="CN129" i="127"/>
  <c r="CM129" i="127"/>
  <c r="CL129" i="127"/>
  <c r="CK129" i="127"/>
  <c r="CJ129" i="127"/>
  <c r="BY129" i="127"/>
  <c r="BX129" i="127"/>
  <c r="BW129" i="127"/>
  <c r="BV129" i="127"/>
  <c r="BU129" i="127"/>
  <c r="BT129" i="127"/>
  <c r="CW124" i="127"/>
  <c r="CV124" i="127"/>
  <c r="CU124" i="127"/>
  <c r="CS124" i="127"/>
  <c r="CR124" i="127"/>
  <c r="CQ124" i="127"/>
  <c r="CP124" i="127"/>
  <c r="CO124" i="127"/>
  <c r="CN124" i="127"/>
  <c r="CM124" i="127"/>
  <c r="CL124" i="127"/>
  <c r="CK124" i="127"/>
  <c r="CJ124" i="127"/>
  <c r="BY124" i="127"/>
  <c r="BX124" i="127"/>
  <c r="BW124" i="127"/>
  <c r="BV124" i="127"/>
  <c r="BU124" i="127"/>
  <c r="BT124" i="127"/>
  <c r="AE115" i="127"/>
  <c r="CW114" i="127"/>
  <c r="CV114" i="127"/>
  <c r="CU114" i="127"/>
  <c r="CS114" i="127"/>
  <c r="CR114" i="127"/>
  <c r="CQ114" i="127"/>
  <c r="CP114" i="127"/>
  <c r="CO114" i="127"/>
  <c r="CN114" i="127"/>
  <c r="CM114" i="127"/>
  <c r="CL114" i="127"/>
  <c r="CK114" i="127"/>
  <c r="CJ114" i="127"/>
  <c r="BY114" i="127"/>
  <c r="BX114" i="127"/>
  <c r="BW114" i="127"/>
  <c r="BV114" i="127"/>
  <c r="BU114" i="127"/>
  <c r="BT114" i="127"/>
  <c r="BS114" i="127"/>
  <c r="BR114" i="127"/>
  <c r="BQ114" i="127"/>
  <c r="BP114" i="127"/>
  <c r="BO114" i="127"/>
  <c r="BN114" i="127"/>
  <c r="BG114" i="127"/>
  <c r="BF114" i="127"/>
  <c r="BE114" i="127"/>
  <c r="BD114" i="127"/>
  <c r="BC114" i="127"/>
  <c r="BC115" i="127" s="1"/>
  <c r="BB114" i="127"/>
  <c r="BB115" i="127" s="1"/>
  <c r="BA114" i="127"/>
  <c r="AZ114" i="127"/>
  <c r="AY114" i="127"/>
  <c r="AX114" i="127"/>
  <c r="AW114" i="127"/>
  <c r="AV114" i="127"/>
  <c r="AJ114" i="127"/>
  <c r="AI114" i="127"/>
  <c r="AH114" i="127"/>
  <c r="AG114" i="127"/>
  <c r="AF114" i="127"/>
  <c r="AE114" i="127"/>
  <c r="AD114" i="127"/>
  <c r="AD115" i="127" s="1"/>
  <c r="AC114" i="127"/>
  <c r="AB114" i="127"/>
  <c r="AA114" i="127"/>
  <c r="Z114" i="127"/>
  <c r="Y114" i="127"/>
  <c r="R114" i="127"/>
  <c r="Q114" i="127"/>
  <c r="P114" i="127"/>
  <c r="O114" i="127"/>
  <c r="N114" i="127"/>
  <c r="M114" i="127"/>
  <c r="L114" i="127"/>
  <c r="K114" i="127"/>
  <c r="J114" i="127"/>
  <c r="I114" i="127"/>
  <c r="H114" i="127"/>
  <c r="G114" i="127"/>
  <c r="CD113" i="127"/>
  <c r="CC113" i="127"/>
  <c r="CB113" i="127"/>
  <c r="CA113" i="127"/>
  <c r="BZ113" i="127"/>
  <c r="BL113" i="127"/>
  <c r="BK113" i="127"/>
  <c r="BJ113" i="127"/>
  <c r="BI113" i="127"/>
  <c r="BH113" i="127"/>
  <c r="AT113" i="127"/>
  <c r="AS113" i="127"/>
  <c r="AR113" i="127"/>
  <c r="AQ113" i="127"/>
  <c r="AK113" i="127"/>
  <c r="W113" i="127"/>
  <c r="V113" i="127"/>
  <c r="U113" i="127"/>
  <c r="T113" i="127"/>
  <c r="S113" i="127"/>
  <c r="CD112" i="127"/>
  <c r="CD114" i="127" s="1"/>
  <c r="CC112" i="127"/>
  <c r="CB112" i="127"/>
  <c r="CA112" i="127"/>
  <c r="BZ112" i="127"/>
  <c r="BL112" i="127"/>
  <c r="BK112" i="127"/>
  <c r="BJ112" i="127"/>
  <c r="BI112" i="127"/>
  <c r="BH112" i="127"/>
  <c r="AT112" i="127"/>
  <c r="AS112" i="127"/>
  <c r="AR112" i="127"/>
  <c r="AQ112" i="127"/>
  <c r="AK112" i="127"/>
  <c r="W112" i="127"/>
  <c r="V112" i="127"/>
  <c r="V114" i="127" s="1"/>
  <c r="U112" i="127"/>
  <c r="T112" i="127"/>
  <c r="S112" i="127"/>
  <c r="CD111" i="127"/>
  <c r="CC111" i="127"/>
  <c r="CB111" i="127"/>
  <c r="CA111" i="127"/>
  <c r="BZ111" i="127"/>
  <c r="BL111" i="127"/>
  <c r="BK111" i="127"/>
  <c r="BJ111" i="127"/>
  <c r="BJ114" i="127" s="1"/>
  <c r="BI111" i="127"/>
  <c r="BH111" i="127"/>
  <c r="AT111" i="127"/>
  <c r="AS111" i="127"/>
  <c r="AR111" i="127"/>
  <c r="AR114" i="127" s="1"/>
  <c r="AQ111" i="127"/>
  <c r="AK111" i="127"/>
  <c r="W111" i="127"/>
  <c r="W114" i="127" s="1"/>
  <c r="V111" i="127"/>
  <c r="U111" i="127"/>
  <c r="T111" i="127"/>
  <c r="S111" i="127"/>
  <c r="CV109" i="127"/>
  <c r="CV115" i="127" s="1"/>
  <c r="CS109" i="127"/>
  <c r="CS115" i="127" s="1"/>
  <c r="CR109" i="127"/>
  <c r="CQ109" i="127"/>
  <c r="CQ115" i="127" s="1"/>
  <c r="BY109" i="127"/>
  <c r="BX109" i="127"/>
  <c r="BW109" i="127"/>
  <c r="BW115" i="127" s="1"/>
  <c r="BV109" i="127"/>
  <c r="BV115" i="127" s="1"/>
  <c r="BU109" i="127"/>
  <c r="BT109" i="127"/>
  <c r="BS109" i="127"/>
  <c r="BR109" i="127"/>
  <c r="BQ109" i="127"/>
  <c r="BP109" i="127"/>
  <c r="BO109" i="127"/>
  <c r="BO115" i="127" s="1"/>
  <c r="BN109" i="127"/>
  <c r="BN115" i="127" s="1"/>
  <c r="BG109" i="127"/>
  <c r="BG115" i="127" s="1"/>
  <c r="BF109" i="127"/>
  <c r="BE109" i="127"/>
  <c r="BD109" i="127"/>
  <c r="BC109" i="127"/>
  <c r="BB109" i="127"/>
  <c r="BA109" i="127"/>
  <c r="BA115" i="127" s="1"/>
  <c r="AZ109" i="127"/>
  <c r="AZ115" i="127" s="1"/>
  <c r="AY109" i="127"/>
  <c r="AY115" i="127" s="1"/>
  <c r="AX109" i="127"/>
  <c r="AW109" i="127"/>
  <c r="AV109" i="127"/>
  <c r="AJ109" i="127"/>
  <c r="AI109" i="127"/>
  <c r="AH109" i="127"/>
  <c r="AH115" i="127" s="1"/>
  <c r="AG109" i="127"/>
  <c r="AG115" i="127" s="1"/>
  <c r="AF109" i="127"/>
  <c r="AF115" i="127" s="1"/>
  <c r="AE109" i="127"/>
  <c r="AD109" i="127"/>
  <c r="AC109" i="127"/>
  <c r="AB109" i="127"/>
  <c r="AA109" i="127"/>
  <c r="Z109" i="127"/>
  <c r="Z115" i="127" s="1"/>
  <c r="Y109" i="127"/>
  <c r="Y115" i="127" s="1"/>
  <c r="R109" i="127"/>
  <c r="R115" i="127" s="1"/>
  <c r="Q109" i="127"/>
  <c r="P109" i="127"/>
  <c r="O109" i="127"/>
  <c r="N109" i="127"/>
  <c r="N115" i="127" s="1"/>
  <c r="M109" i="127"/>
  <c r="M115" i="127" s="1"/>
  <c r="L109" i="127"/>
  <c r="L115" i="127" s="1"/>
  <c r="K109" i="127"/>
  <c r="J109" i="127"/>
  <c r="J115" i="127" s="1"/>
  <c r="I109" i="127"/>
  <c r="H109" i="127"/>
  <c r="G109" i="127"/>
  <c r="CW108" i="127"/>
  <c r="CU108" i="127"/>
  <c r="CQ108" i="127"/>
  <c r="CP108" i="127"/>
  <c r="CO108" i="127"/>
  <c r="CO109" i="127" s="1"/>
  <c r="CO115" i="127" s="1"/>
  <c r="CN108" i="127"/>
  <c r="CM108" i="127"/>
  <c r="CL108" i="127"/>
  <c r="CK108" i="127"/>
  <c r="CJ108" i="127"/>
  <c r="CD108" i="127"/>
  <c r="CC108" i="127"/>
  <c r="CB108" i="127"/>
  <c r="CB109" i="127" s="1"/>
  <c r="CA108" i="127"/>
  <c r="BZ108" i="127"/>
  <c r="BL108" i="127"/>
  <c r="BK108" i="127"/>
  <c r="BJ108" i="127"/>
  <c r="BI108" i="127"/>
  <c r="BH108" i="127"/>
  <c r="AT108" i="127"/>
  <c r="AS108" i="127"/>
  <c r="AR108" i="127"/>
  <c r="AQ108" i="127"/>
  <c r="AK108" i="127"/>
  <c r="W108" i="127"/>
  <c r="V108" i="127"/>
  <c r="U108" i="127"/>
  <c r="T108" i="127"/>
  <c r="S108" i="127"/>
  <c r="CW107" i="127"/>
  <c r="CU107" i="127"/>
  <c r="CQ107" i="127"/>
  <c r="CP107" i="127"/>
  <c r="CO107" i="127"/>
  <c r="CN107" i="127"/>
  <c r="CM107" i="127"/>
  <c r="CL107" i="127"/>
  <c r="CK107" i="127"/>
  <c r="CJ107" i="127"/>
  <c r="CD107" i="127"/>
  <c r="CC107" i="127"/>
  <c r="CB107" i="127"/>
  <c r="CA107" i="127"/>
  <c r="BZ107" i="127"/>
  <c r="BL107" i="127"/>
  <c r="BK107" i="127"/>
  <c r="BJ107" i="127"/>
  <c r="BI107" i="127"/>
  <c r="BH107" i="127"/>
  <c r="AT107" i="127"/>
  <c r="AS107" i="127"/>
  <c r="AR107" i="127"/>
  <c r="AR109" i="127" s="1"/>
  <c r="AQ107" i="127"/>
  <c r="AK107" i="127"/>
  <c r="W107" i="127"/>
  <c r="V107" i="127"/>
  <c r="U107" i="127"/>
  <c r="T107" i="127"/>
  <c r="S107" i="127"/>
  <c r="CW106" i="127"/>
  <c r="CW109" i="127" s="1"/>
  <c r="CW115" i="127" s="1"/>
  <c r="CU106" i="127"/>
  <c r="CQ106" i="127"/>
  <c r="CP106" i="127"/>
  <c r="CO106" i="127"/>
  <c r="CN106" i="127"/>
  <c r="CM106" i="127"/>
  <c r="CL106" i="127"/>
  <c r="CK106" i="127"/>
  <c r="CK109" i="127" s="1"/>
  <c r="CK115" i="127" s="1"/>
  <c r="CJ106" i="127"/>
  <c r="CD106" i="127"/>
  <c r="CD109" i="127" s="1"/>
  <c r="CC106" i="127"/>
  <c r="CB106" i="127"/>
  <c r="CA106" i="127"/>
  <c r="BZ106" i="127"/>
  <c r="BL106" i="127"/>
  <c r="BL109" i="127" s="1"/>
  <c r="BK106" i="127"/>
  <c r="BK109" i="127" s="1"/>
  <c r="BJ106" i="127"/>
  <c r="BI106" i="127"/>
  <c r="BH106" i="127"/>
  <c r="AT106" i="127"/>
  <c r="AS106" i="127"/>
  <c r="AR106" i="127"/>
  <c r="AQ106" i="127"/>
  <c r="AK106" i="127"/>
  <c r="W106" i="127"/>
  <c r="V106" i="127"/>
  <c r="U106" i="127"/>
  <c r="T106" i="127"/>
  <c r="S106" i="127"/>
  <c r="CW103" i="127"/>
  <c r="CV103" i="127"/>
  <c r="CU103" i="127"/>
  <c r="CS103" i="127"/>
  <c r="CR103" i="127"/>
  <c r="CQ103" i="127"/>
  <c r="CP103" i="127"/>
  <c r="CO103" i="127"/>
  <c r="CN103" i="127"/>
  <c r="CM103" i="127"/>
  <c r="CL103" i="127"/>
  <c r="CK103" i="127"/>
  <c r="CJ103" i="127"/>
  <c r="BY103" i="127"/>
  <c r="BX103" i="127"/>
  <c r="BW103" i="127"/>
  <c r="BV103" i="127"/>
  <c r="BU103" i="127"/>
  <c r="BT103" i="127"/>
  <c r="BS103" i="127"/>
  <c r="BR103" i="127"/>
  <c r="BQ103" i="127"/>
  <c r="BP103" i="127"/>
  <c r="BO103" i="127"/>
  <c r="BN103" i="127"/>
  <c r="BG103" i="127"/>
  <c r="BF103" i="127"/>
  <c r="BE103" i="127"/>
  <c r="BD103" i="127"/>
  <c r="BC103" i="127"/>
  <c r="BB103" i="127"/>
  <c r="BA103" i="127"/>
  <c r="AZ103" i="127"/>
  <c r="AY103" i="127"/>
  <c r="AX103" i="127"/>
  <c r="AW103" i="127"/>
  <c r="AV103" i="127"/>
  <c r="AJ103" i="127"/>
  <c r="AI103" i="127"/>
  <c r="AH103" i="127"/>
  <c r="AG103" i="127"/>
  <c r="AF103" i="127"/>
  <c r="AE103" i="127"/>
  <c r="AD103" i="127"/>
  <c r="AC103" i="127"/>
  <c r="AB103" i="127"/>
  <c r="AA103" i="127"/>
  <c r="Z103" i="127"/>
  <c r="Y103" i="127"/>
  <c r="R103" i="127"/>
  <c r="Q103" i="127"/>
  <c r="P103" i="127"/>
  <c r="O103" i="127"/>
  <c r="N103" i="127"/>
  <c r="M103" i="127"/>
  <c r="L103" i="127"/>
  <c r="K103" i="127"/>
  <c r="J103" i="127"/>
  <c r="I103" i="127"/>
  <c r="H103" i="127"/>
  <c r="G103" i="127"/>
  <c r="CD102" i="127"/>
  <c r="CC102" i="127"/>
  <c r="CB102" i="127"/>
  <c r="CA102" i="127"/>
  <c r="BZ102" i="127"/>
  <c r="BL102" i="127"/>
  <c r="BK102" i="127"/>
  <c r="BJ102" i="127"/>
  <c r="BI102" i="127"/>
  <c r="BH102" i="127"/>
  <c r="AT102" i="127"/>
  <c r="AS102" i="127"/>
  <c r="AR102" i="127"/>
  <c r="AQ102" i="127"/>
  <c r="AK102" i="127"/>
  <c r="W102" i="127"/>
  <c r="V102" i="127"/>
  <c r="U102" i="127"/>
  <c r="T102" i="127"/>
  <c r="S102" i="127"/>
  <c r="CD101" i="127"/>
  <c r="CD103" i="127" s="1"/>
  <c r="CC101" i="127"/>
  <c r="CB101" i="127"/>
  <c r="CA101" i="127"/>
  <c r="BZ101" i="127"/>
  <c r="BL101" i="127"/>
  <c r="BL103" i="127" s="1"/>
  <c r="BK101" i="127"/>
  <c r="BK103" i="127" s="1"/>
  <c r="BJ101" i="127"/>
  <c r="BJ103" i="127" s="1"/>
  <c r="BI101" i="127"/>
  <c r="BH101" i="127"/>
  <c r="AT101" i="127"/>
  <c r="AS101" i="127"/>
  <c r="AR101" i="127"/>
  <c r="AQ101" i="127"/>
  <c r="AK101" i="127"/>
  <c r="W101" i="127"/>
  <c r="V101" i="127"/>
  <c r="U101" i="127"/>
  <c r="T101" i="127"/>
  <c r="S101" i="127"/>
  <c r="CV99" i="127"/>
  <c r="CS99" i="127"/>
  <c r="CR99" i="127"/>
  <c r="CQ99" i="127"/>
  <c r="CP99" i="127"/>
  <c r="BY99" i="127"/>
  <c r="BX99" i="127"/>
  <c r="BW99" i="127"/>
  <c r="BV99" i="127"/>
  <c r="BU99" i="127"/>
  <c r="BT99" i="127"/>
  <c r="BS99" i="127"/>
  <c r="BR99" i="127"/>
  <c r="BQ99" i="127"/>
  <c r="BP99" i="127"/>
  <c r="BO99" i="127"/>
  <c r="BN99" i="127"/>
  <c r="BG99" i="127"/>
  <c r="BF99" i="127"/>
  <c r="BE99" i="127"/>
  <c r="BD99" i="127"/>
  <c r="BC99" i="127"/>
  <c r="BB99" i="127"/>
  <c r="BA99" i="127"/>
  <c r="AZ99" i="127"/>
  <c r="AY99" i="127"/>
  <c r="AX99" i="127"/>
  <c r="AW99" i="127"/>
  <c r="AV99" i="127"/>
  <c r="AJ99" i="127"/>
  <c r="AI99" i="127"/>
  <c r="AH99" i="127"/>
  <c r="AG99" i="127"/>
  <c r="AF99" i="127"/>
  <c r="AE99" i="127"/>
  <c r="AD99" i="127"/>
  <c r="AC99" i="127"/>
  <c r="AB99" i="127"/>
  <c r="AA99" i="127"/>
  <c r="Z99" i="127"/>
  <c r="Y99" i="127"/>
  <c r="R99" i="127"/>
  <c r="Q99" i="127"/>
  <c r="P99" i="127"/>
  <c r="O99" i="127"/>
  <c r="N99" i="127"/>
  <c r="M99" i="127"/>
  <c r="L99" i="127"/>
  <c r="K99" i="127"/>
  <c r="J99" i="127"/>
  <c r="I99" i="127"/>
  <c r="H99" i="127"/>
  <c r="G99" i="127"/>
  <c r="CW98" i="127"/>
  <c r="CU98" i="127"/>
  <c r="CQ98" i="127"/>
  <c r="CP98" i="127"/>
  <c r="CO98" i="127"/>
  <c r="CO99" i="127" s="1"/>
  <c r="CN98" i="127"/>
  <c r="CN99" i="127" s="1"/>
  <c r="CM98" i="127"/>
  <c r="CL98" i="127"/>
  <c r="CK98" i="127"/>
  <c r="CJ98" i="127"/>
  <c r="CD98" i="127"/>
  <c r="CC98" i="127"/>
  <c r="CB98" i="127"/>
  <c r="CA98" i="127"/>
  <c r="BZ98" i="127"/>
  <c r="BL98" i="127"/>
  <c r="BK98" i="127"/>
  <c r="BJ98" i="127"/>
  <c r="BI98" i="127"/>
  <c r="BH98" i="127"/>
  <c r="AT98" i="127"/>
  <c r="AS98" i="127"/>
  <c r="AR98" i="127"/>
  <c r="AQ98" i="127"/>
  <c r="AK98" i="127"/>
  <c r="W98" i="127"/>
  <c r="V98" i="127"/>
  <c r="U98" i="127"/>
  <c r="T98" i="127"/>
  <c r="S98" i="127"/>
  <c r="CW97" i="127"/>
  <c r="CU97" i="127"/>
  <c r="CQ97" i="127"/>
  <c r="CP97" i="127"/>
  <c r="CO97" i="127"/>
  <c r="CN97" i="127"/>
  <c r="CM97" i="127"/>
  <c r="CL97" i="127"/>
  <c r="CK97" i="127"/>
  <c r="CJ97" i="127"/>
  <c r="CD97" i="127"/>
  <c r="CC97" i="127"/>
  <c r="CB97" i="127"/>
  <c r="CA97" i="127"/>
  <c r="BZ97" i="127"/>
  <c r="BL97" i="127"/>
  <c r="BK97" i="127"/>
  <c r="BJ97" i="127"/>
  <c r="BI97" i="127"/>
  <c r="BH97" i="127"/>
  <c r="AT97" i="127"/>
  <c r="AS97" i="127"/>
  <c r="AR97" i="127"/>
  <c r="AR99" i="127" s="1"/>
  <c r="AQ97" i="127"/>
  <c r="AK97" i="127"/>
  <c r="W97" i="127"/>
  <c r="V97" i="127"/>
  <c r="U97" i="127"/>
  <c r="T97" i="127"/>
  <c r="S97" i="127"/>
  <c r="CW96" i="127"/>
  <c r="CW99" i="127" s="1"/>
  <c r="CU96" i="127"/>
  <c r="CU99" i="127" s="1"/>
  <c r="CQ96" i="127"/>
  <c r="CP96" i="127"/>
  <c r="CO96" i="127"/>
  <c r="CN96" i="127"/>
  <c r="CM96" i="127"/>
  <c r="CL96" i="127"/>
  <c r="CK96" i="127"/>
  <c r="CK99" i="127" s="1"/>
  <c r="CJ96" i="127"/>
  <c r="CJ99" i="127" s="1"/>
  <c r="CD96" i="127"/>
  <c r="CC96" i="127"/>
  <c r="CB96" i="127"/>
  <c r="CA96" i="127"/>
  <c r="BZ96" i="127"/>
  <c r="BL96" i="127"/>
  <c r="BK96" i="127"/>
  <c r="BK99" i="127" s="1"/>
  <c r="BJ96" i="127"/>
  <c r="BJ99" i="127" s="1"/>
  <c r="BI96" i="127"/>
  <c r="BH96" i="127"/>
  <c r="AT96" i="127"/>
  <c r="AS96" i="127"/>
  <c r="AR96" i="127"/>
  <c r="AQ96" i="127"/>
  <c r="AK96" i="127"/>
  <c r="W96" i="127"/>
  <c r="W99" i="127" s="1"/>
  <c r="V96" i="127"/>
  <c r="U96" i="127"/>
  <c r="T96" i="127"/>
  <c r="S96" i="127"/>
  <c r="CD95" i="127"/>
  <c r="CD99" i="127" s="1"/>
  <c r="CC95" i="127"/>
  <c r="CC99" i="127" s="1"/>
  <c r="CB95" i="127"/>
  <c r="CB99" i="127" s="1"/>
  <c r="CA95" i="127"/>
  <c r="BZ95" i="127"/>
  <c r="AT95" i="127"/>
  <c r="AS95" i="127"/>
  <c r="AR95" i="127"/>
  <c r="AQ95" i="127"/>
  <c r="AK95" i="127"/>
  <c r="CV93" i="127"/>
  <c r="CS93" i="127"/>
  <c r="CR93" i="127"/>
  <c r="BY93" i="127"/>
  <c r="BX93" i="127"/>
  <c r="BW93" i="127"/>
  <c r="BV93" i="127"/>
  <c r="BU93" i="127"/>
  <c r="BT93" i="127"/>
  <c r="BS93" i="127"/>
  <c r="BR93" i="127"/>
  <c r="BQ93" i="127"/>
  <c r="BP93" i="127"/>
  <c r="BO93" i="127"/>
  <c r="BN93" i="127"/>
  <c r="BG93" i="127"/>
  <c r="BF93" i="127"/>
  <c r="BE93" i="127"/>
  <c r="BD93" i="127"/>
  <c r="BC93" i="127"/>
  <c r="BB93" i="127"/>
  <c r="BA93" i="127"/>
  <c r="AZ93" i="127"/>
  <c r="AY93" i="127"/>
  <c r="AX93" i="127"/>
  <c r="AW93" i="127"/>
  <c r="AV93" i="127"/>
  <c r="AJ93" i="127"/>
  <c r="AI93" i="127"/>
  <c r="AE93" i="127"/>
  <c r="AD93" i="127"/>
  <c r="AC93" i="127"/>
  <c r="AB93" i="127"/>
  <c r="AA93" i="127"/>
  <c r="Z93" i="127"/>
  <c r="R93" i="127"/>
  <c r="Q93" i="127"/>
  <c r="P93" i="127"/>
  <c r="O93" i="127"/>
  <c r="N93" i="127"/>
  <c r="M93" i="127"/>
  <c r="L93" i="127"/>
  <c r="K93" i="127"/>
  <c r="J93" i="127"/>
  <c r="I93" i="127"/>
  <c r="H93" i="127"/>
  <c r="G93" i="127"/>
  <c r="CW92" i="127"/>
  <c r="CU92" i="127"/>
  <c r="CQ92" i="127"/>
  <c r="CP92" i="127"/>
  <c r="CO92" i="127"/>
  <c r="CN92" i="127"/>
  <c r="CM92" i="127"/>
  <c r="CL92" i="127"/>
  <c r="CK92" i="127"/>
  <c r="CJ92" i="127"/>
  <c r="CD92" i="127"/>
  <c r="CC92" i="127"/>
  <c r="CB92" i="127"/>
  <c r="CA92" i="127"/>
  <c r="BZ92" i="127"/>
  <c r="BL92" i="127"/>
  <c r="BK92" i="127"/>
  <c r="BJ92" i="127"/>
  <c r="BI92" i="127"/>
  <c r="BH92" i="127"/>
  <c r="AT92" i="127"/>
  <c r="AS92" i="127"/>
  <c r="AR92" i="127"/>
  <c r="AQ92" i="127"/>
  <c r="AK92" i="127"/>
  <c r="W92" i="127"/>
  <c r="V92" i="127"/>
  <c r="U92" i="127"/>
  <c r="T92" i="127"/>
  <c r="S92" i="127"/>
  <c r="CW91" i="127"/>
  <c r="CU91" i="127"/>
  <c r="CQ91" i="127"/>
  <c r="CP91" i="127"/>
  <c r="CO91" i="127"/>
  <c r="CN91" i="127"/>
  <c r="CM91" i="127"/>
  <c r="CL91" i="127"/>
  <c r="CK91" i="127"/>
  <c r="CJ91" i="127"/>
  <c r="CD91" i="127"/>
  <c r="CC91" i="127"/>
  <c r="CB91" i="127"/>
  <c r="CA91" i="127"/>
  <c r="BZ91" i="127"/>
  <c r="BL91" i="127"/>
  <c r="BK91" i="127"/>
  <c r="BJ91" i="127"/>
  <c r="BI91" i="127"/>
  <c r="BH91" i="127"/>
  <c r="AT91" i="127"/>
  <c r="AS91" i="127"/>
  <c r="AR91" i="127"/>
  <c r="AQ91" i="127"/>
  <c r="AK91" i="127"/>
  <c r="W91" i="127"/>
  <c r="V91" i="127"/>
  <c r="U91" i="127"/>
  <c r="T91" i="127"/>
  <c r="S91" i="127"/>
  <c r="CW90" i="127"/>
  <c r="CU90" i="127"/>
  <c r="CQ90" i="127"/>
  <c r="CP90" i="127"/>
  <c r="CO90" i="127"/>
  <c r="CN90" i="127"/>
  <c r="CM90" i="127"/>
  <c r="CL90" i="127"/>
  <c r="CK90" i="127"/>
  <c r="CJ90" i="127"/>
  <c r="CD90" i="127"/>
  <c r="CC90" i="127"/>
  <c r="CB90" i="127"/>
  <c r="CA90" i="127"/>
  <c r="BZ90" i="127"/>
  <c r="BL90" i="127"/>
  <c r="BK90" i="127"/>
  <c r="BJ90" i="127"/>
  <c r="BI90" i="127"/>
  <c r="BH90" i="127"/>
  <c r="AT90" i="127"/>
  <c r="AS90" i="127"/>
  <c r="AR90" i="127"/>
  <c r="AQ90" i="127"/>
  <c r="AK90" i="127"/>
  <c r="W90" i="127"/>
  <c r="V90" i="127"/>
  <c r="U90" i="127"/>
  <c r="T90" i="127"/>
  <c r="S90" i="127"/>
  <c r="CW89" i="127"/>
  <c r="CU89" i="127"/>
  <c r="CQ89" i="127"/>
  <c r="CP89" i="127"/>
  <c r="CO89" i="127"/>
  <c r="CN89" i="127"/>
  <c r="CM89" i="127"/>
  <c r="CL89" i="127"/>
  <c r="CK89" i="127"/>
  <c r="CJ89" i="127"/>
  <c r="CD89" i="127"/>
  <c r="CC89" i="127"/>
  <c r="CB89" i="127"/>
  <c r="CA89" i="127"/>
  <c r="BZ89" i="127"/>
  <c r="BL89" i="127"/>
  <c r="BK89" i="127"/>
  <c r="BJ89" i="127"/>
  <c r="BI89" i="127"/>
  <c r="BH89" i="127"/>
  <c r="AT89" i="127"/>
  <c r="AS89" i="127"/>
  <c r="AR89" i="127"/>
  <c r="AQ89" i="127"/>
  <c r="AK89" i="127"/>
  <c r="W89" i="127"/>
  <c r="V89" i="127"/>
  <c r="U89" i="127"/>
  <c r="T89" i="127"/>
  <c r="S89" i="127"/>
  <c r="CW88" i="127"/>
  <c r="CN88" i="127"/>
  <c r="CM88" i="127"/>
  <c r="CL88" i="127"/>
  <c r="CK88" i="127"/>
  <c r="CJ88" i="127"/>
  <c r="CD88" i="127"/>
  <c r="CC88" i="127"/>
  <c r="CB88" i="127"/>
  <c r="CA88" i="127"/>
  <c r="BZ88" i="127"/>
  <c r="BL88" i="127"/>
  <c r="BK88" i="127"/>
  <c r="BJ88" i="127"/>
  <c r="BI88" i="127"/>
  <c r="BH88" i="127"/>
  <c r="AR88" i="127"/>
  <c r="AH88" i="127"/>
  <c r="AH93" i="127" s="1"/>
  <c r="AG88" i="127"/>
  <c r="AF88" i="127"/>
  <c r="Y88" i="127"/>
  <c r="W88" i="127"/>
  <c r="V88" i="127"/>
  <c r="U88" i="127"/>
  <c r="T88" i="127"/>
  <c r="S88" i="127"/>
  <c r="CW87" i="127"/>
  <c r="CU87" i="127"/>
  <c r="CQ87" i="127"/>
  <c r="CP87" i="127"/>
  <c r="CO87" i="127"/>
  <c r="CN87" i="127"/>
  <c r="CM87" i="127"/>
  <c r="CL87" i="127"/>
  <c r="CK87" i="127"/>
  <c r="CJ87" i="127"/>
  <c r="CD87" i="127"/>
  <c r="CC87" i="127"/>
  <c r="CB87" i="127"/>
  <c r="CA87" i="127"/>
  <c r="BZ87" i="127"/>
  <c r="BL87" i="127"/>
  <c r="BK87" i="127"/>
  <c r="BJ87" i="127"/>
  <c r="BI87" i="127"/>
  <c r="BH87" i="127"/>
  <c r="AT87" i="127"/>
  <c r="AS87" i="127"/>
  <c r="AR87" i="127"/>
  <c r="AQ87" i="127"/>
  <c r="AK87" i="127"/>
  <c r="W87" i="127"/>
  <c r="V87" i="127"/>
  <c r="U87" i="127"/>
  <c r="T87" i="127"/>
  <c r="S87" i="127"/>
  <c r="CW86" i="127"/>
  <c r="CU86" i="127"/>
  <c r="CQ86" i="127"/>
  <c r="CP86" i="127"/>
  <c r="CO86" i="127"/>
  <c r="CN86" i="127"/>
  <c r="CM86" i="127"/>
  <c r="CL86" i="127"/>
  <c r="CK86" i="127"/>
  <c r="CJ86" i="127"/>
  <c r="CD86" i="127"/>
  <c r="CC86" i="127"/>
  <c r="CB86" i="127"/>
  <c r="CA86" i="127"/>
  <c r="BZ86" i="127"/>
  <c r="BL86" i="127"/>
  <c r="BK86" i="127"/>
  <c r="BJ86" i="127"/>
  <c r="BI86" i="127"/>
  <c r="BH86" i="127"/>
  <c r="AT86" i="127"/>
  <c r="AS86" i="127"/>
  <c r="AR86" i="127"/>
  <c r="AQ86" i="127"/>
  <c r="AK86" i="127"/>
  <c r="W86" i="127"/>
  <c r="V86" i="127"/>
  <c r="U86" i="127"/>
  <c r="T86" i="127"/>
  <c r="S86" i="127"/>
  <c r="CW85" i="127"/>
  <c r="CU85" i="127"/>
  <c r="CQ85" i="127"/>
  <c r="CP85" i="127"/>
  <c r="CO85" i="127"/>
  <c r="CN85" i="127"/>
  <c r="CM85" i="127"/>
  <c r="CL85" i="127"/>
  <c r="CK85" i="127"/>
  <c r="CJ85" i="127"/>
  <c r="CD85" i="127"/>
  <c r="CC85" i="127"/>
  <c r="CB85" i="127"/>
  <c r="CA85" i="127"/>
  <c r="BZ85" i="127"/>
  <c r="BL85" i="127"/>
  <c r="BK85" i="127"/>
  <c r="BJ85" i="127"/>
  <c r="BI85" i="127"/>
  <c r="BH85" i="127"/>
  <c r="AT85" i="127"/>
  <c r="AS85" i="127"/>
  <c r="AR85" i="127"/>
  <c r="AQ85" i="127"/>
  <c r="AK85" i="127"/>
  <c r="W85" i="127"/>
  <c r="V85" i="127"/>
  <c r="U85" i="127"/>
  <c r="T85" i="127"/>
  <c r="S85" i="127"/>
  <c r="CW84" i="127"/>
  <c r="CU84" i="127"/>
  <c r="CQ84" i="127"/>
  <c r="CP84" i="127"/>
  <c r="CO84" i="127"/>
  <c r="CN84" i="127"/>
  <c r="CM84" i="127"/>
  <c r="CL84" i="127"/>
  <c r="CK84" i="127"/>
  <c r="CJ84" i="127"/>
  <c r="CD84" i="127"/>
  <c r="CC84" i="127"/>
  <c r="CB84" i="127"/>
  <c r="CA84" i="127"/>
  <c r="BZ84" i="127"/>
  <c r="BL84" i="127"/>
  <c r="BK84" i="127"/>
  <c r="BJ84" i="127"/>
  <c r="BI84" i="127"/>
  <c r="BH84" i="127"/>
  <c r="AT84" i="127"/>
  <c r="AS84" i="127"/>
  <c r="AR84" i="127"/>
  <c r="AQ84" i="127"/>
  <c r="AK84" i="127"/>
  <c r="W84" i="127"/>
  <c r="V84" i="127"/>
  <c r="U84" i="127"/>
  <c r="T84" i="127"/>
  <c r="S84" i="127"/>
  <c r="CW83" i="127"/>
  <c r="CU83" i="127"/>
  <c r="CQ83" i="127"/>
  <c r="CP83" i="127"/>
  <c r="CO83" i="127"/>
  <c r="CN83" i="127"/>
  <c r="CM83" i="127"/>
  <c r="CL83" i="127"/>
  <c r="CK83" i="127"/>
  <c r="CJ83" i="127"/>
  <c r="CD83" i="127"/>
  <c r="CC83" i="127"/>
  <c r="CB83" i="127"/>
  <c r="CA83" i="127"/>
  <c r="BZ83" i="127"/>
  <c r="BL83" i="127"/>
  <c r="BK83" i="127"/>
  <c r="BJ83" i="127"/>
  <c r="BI83" i="127"/>
  <c r="BH83" i="127"/>
  <c r="AT83" i="127"/>
  <c r="AS83" i="127"/>
  <c r="AR83" i="127"/>
  <c r="AQ83" i="127"/>
  <c r="AK83" i="127"/>
  <c r="W83" i="127"/>
  <c r="V83" i="127"/>
  <c r="U83" i="127"/>
  <c r="T83" i="127"/>
  <c r="S83" i="127"/>
  <c r="CW82" i="127"/>
  <c r="CU82" i="127"/>
  <c r="CQ82" i="127"/>
  <c r="CP82" i="127"/>
  <c r="CO82" i="127"/>
  <c r="CN82" i="127"/>
  <c r="CM82" i="127"/>
  <c r="CL82" i="127"/>
  <c r="CK82" i="127"/>
  <c r="CJ82" i="127"/>
  <c r="CD82" i="127"/>
  <c r="CC82" i="127"/>
  <c r="CB82" i="127"/>
  <c r="CA82" i="127"/>
  <c r="BZ82" i="127"/>
  <c r="BL82" i="127"/>
  <c r="BK82" i="127"/>
  <c r="BJ82" i="127"/>
  <c r="BI82" i="127"/>
  <c r="BH82" i="127"/>
  <c r="AT82" i="127"/>
  <c r="AS82" i="127"/>
  <c r="AR82" i="127"/>
  <c r="AQ82" i="127"/>
  <c r="AK82" i="127"/>
  <c r="W82" i="127"/>
  <c r="V82" i="127"/>
  <c r="U82" i="127"/>
  <c r="T82" i="127"/>
  <c r="S82" i="127"/>
  <c r="CW81" i="127"/>
  <c r="CU81" i="127"/>
  <c r="CQ81" i="127"/>
  <c r="CP81" i="127"/>
  <c r="CO81" i="127"/>
  <c r="CN81" i="127"/>
  <c r="CM81" i="127"/>
  <c r="CL81" i="127"/>
  <c r="CK81" i="127"/>
  <c r="CJ81" i="127"/>
  <c r="CD81" i="127"/>
  <c r="CC81" i="127"/>
  <c r="CB81" i="127"/>
  <c r="CA81" i="127"/>
  <c r="BZ81" i="127"/>
  <c r="BL81" i="127"/>
  <c r="BK81" i="127"/>
  <c r="BJ81" i="127"/>
  <c r="BI81" i="127"/>
  <c r="BH81" i="127"/>
  <c r="AT81" i="127"/>
  <c r="AS81" i="127"/>
  <c r="AR81" i="127"/>
  <c r="AQ81" i="127"/>
  <c r="AK81" i="127"/>
  <c r="W81" i="127"/>
  <c r="V81" i="127"/>
  <c r="U81" i="127"/>
  <c r="T81" i="127"/>
  <c r="S81" i="127"/>
  <c r="CW80" i="127"/>
  <c r="CU80" i="127"/>
  <c r="CQ80" i="127"/>
  <c r="CP80" i="127"/>
  <c r="CO80" i="127"/>
  <c r="CN80" i="127"/>
  <c r="CM80" i="127"/>
  <c r="CL80" i="127"/>
  <c r="CK80" i="127"/>
  <c r="CJ80" i="127"/>
  <c r="CD80" i="127"/>
  <c r="CC80" i="127"/>
  <c r="CB80" i="127"/>
  <c r="CA80" i="127"/>
  <c r="BZ80" i="127"/>
  <c r="BL80" i="127"/>
  <c r="BK80" i="127"/>
  <c r="BJ80" i="127"/>
  <c r="BI80" i="127"/>
  <c r="BH80" i="127"/>
  <c r="AT80" i="127"/>
  <c r="AS80" i="127"/>
  <c r="AR80" i="127"/>
  <c r="AQ80" i="127"/>
  <c r="AK80" i="127"/>
  <c r="W80" i="127"/>
  <c r="V80" i="127"/>
  <c r="U80" i="127"/>
  <c r="T80" i="127"/>
  <c r="S80" i="127"/>
  <c r="CW79" i="127"/>
  <c r="CU79" i="127"/>
  <c r="CQ79" i="127"/>
  <c r="CP79" i="127"/>
  <c r="CO79" i="127"/>
  <c r="CN79" i="127"/>
  <c r="CM79" i="127"/>
  <c r="CL79" i="127"/>
  <c r="CK79" i="127"/>
  <c r="CJ79" i="127"/>
  <c r="CD79" i="127"/>
  <c r="CC79" i="127"/>
  <c r="CB79" i="127"/>
  <c r="CA79" i="127"/>
  <c r="BZ79" i="127"/>
  <c r="BL79" i="127"/>
  <c r="BK79" i="127"/>
  <c r="BJ79" i="127"/>
  <c r="BI79" i="127"/>
  <c r="BH79" i="127"/>
  <c r="AT79" i="127"/>
  <c r="AS79" i="127"/>
  <c r="AR79" i="127"/>
  <c r="AQ79" i="127"/>
  <c r="AK79" i="127"/>
  <c r="W79" i="127"/>
  <c r="V79" i="127"/>
  <c r="U79" i="127"/>
  <c r="T79" i="127"/>
  <c r="S79" i="127"/>
  <c r="CW78" i="127"/>
  <c r="CU78" i="127"/>
  <c r="CQ78" i="127"/>
  <c r="CP78" i="127"/>
  <c r="CO78" i="127"/>
  <c r="CN78" i="127"/>
  <c r="CM78" i="127"/>
  <c r="CL78" i="127"/>
  <c r="CK78" i="127"/>
  <c r="CJ78" i="127"/>
  <c r="CD78" i="127"/>
  <c r="CC78" i="127"/>
  <c r="CB78" i="127"/>
  <c r="CA78" i="127"/>
  <c r="BZ78" i="127"/>
  <c r="BL78" i="127"/>
  <c r="BK78" i="127"/>
  <c r="BJ78" i="127"/>
  <c r="BI78" i="127"/>
  <c r="BH78" i="127"/>
  <c r="AT78" i="127"/>
  <c r="AS78" i="127"/>
  <c r="AR78" i="127"/>
  <c r="AQ78" i="127"/>
  <c r="AK78" i="127"/>
  <c r="W78" i="127"/>
  <c r="V78" i="127"/>
  <c r="V93" i="127" s="1"/>
  <c r="U78" i="127"/>
  <c r="T78" i="127"/>
  <c r="S78" i="127"/>
  <c r="CV76" i="127"/>
  <c r="CS76" i="127"/>
  <c r="CR76" i="127"/>
  <c r="BY76" i="127"/>
  <c r="BX76" i="127"/>
  <c r="BW76" i="127"/>
  <c r="BV76" i="127"/>
  <c r="BU76" i="127"/>
  <c r="BT76" i="127"/>
  <c r="BS76" i="127"/>
  <c r="BR76" i="127"/>
  <c r="BQ76" i="127"/>
  <c r="BP76" i="127"/>
  <c r="BO76" i="127"/>
  <c r="BN76" i="127"/>
  <c r="BG76" i="127"/>
  <c r="BF76" i="127"/>
  <c r="BE76" i="127"/>
  <c r="BD76" i="127"/>
  <c r="BC76" i="127"/>
  <c r="BB76" i="127"/>
  <c r="BA76" i="127"/>
  <c r="AZ76" i="127"/>
  <c r="AY76" i="127"/>
  <c r="AX76" i="127"/>
  <c r="AW76" i="127"/>
  <c r="AV76" i="127"/>
  <c r="AJ76" i="127"/>
  <c r="AI76" i="127"/>
  <c r="AH76" i="127"/>
  <c r="AG76" i="127"/>
  <c r="AF76" i="127"/>
  <c r="AE76" i="127"/>
  <c r="AD76" i="127"/>
  <c r="AC76" i="127"/>
  <c r="AB76" i="127"/>
  <c r="AA76" i="127"/>
  <c r="Z76" i="127"/>
  <c r="Y76" i="127"/>
  <c r="R76" i="127"/>
  <c r="Q76" i="127"/>
  <c r="P76" i="127"/>
  <c r="O76" i="127"/>
  <c r="N76" i="127"/>
  <c r="M76" i="127"/>
  <c r="L76" i="127"/>
  <c r="K76" i="127"/>
  <c r="J76" i="127"/>
  <c r="I76" i="127"/>
  <c r="H76" i="127"/>
  <c r="G76" i="127"/>
  <c r="CW75" i="127"/>
  <c r="CU75" i="127"/>
  <c r="CQ75" i="127"/>
  <c r="CP75" i="127"/>
  <c r="CO75" i="127"/>
  <c r="CN75" i="127"/>
  <c r="CM75" i="127"/>
  <c r="CL75" i="127"/>
  <c r="CK75" i="127"/>
  <c r="CJ75" i="127"/>
  <c r="CD75" i="127"/>
  <c r="CC75" i="127"/>
  <c r="CB75" i="127"/>
  <c r="CA75" i="127"/>
  <c r="BZ75" i="127"/>
  <c r="BL75" i="127"/>
  <c r="BK75" i="127"/>
  <c r="BJ75" i="127"/>
  <c r="BI75" i="127"/>
  <c r="BH75" i="127"/>
  <c r="AT75" i="127"/>
  <c r="AS75" i="127"/>
  <c r="AR75" i="127"/>
  <c r="AQ75" i="127"/>
  <c r="AN75" i="127"/>
  <c r="AK75" i="127"/>
  <c r="W75" i="127"/>
  <c r="V75" i="127"/>
  <c r="U75" i="127"/>
  <c r="T75" i="127"/>
  <c r="S75" i="127"/>
  <c r="CW74" i="127"/>
  <c r="CU74" i="127"/>
  <c r="CQ74" i="127"/>
  <c r="CP74" i="127"/>
  <c r="CO74" i="127"/>
  <c r="CN74" i="127"/>
  <c r="CM74" i="127"/>
  <c r="CL74" i="127"/>
  <c r="CK74" i="127"/>
  <c r="CJ74" i="127"/>
  <c r="CD74" i="127"/>
  <c r="CC74" i="127"/>
  <c r="CB74" i="127"/>
  <c r="CA74" i="127"/>
  <c r="BZ74" i="127"/>
  <c r="BL74" i="127"/>
  <c r="BK74" i="127"/>
  <c r="BJ74" i="127"/>
  <c r="BI74" i="127"/>
  <c r="BH74" i="127"/>
  <c r="AT74" i="127"/>
  <c r="AS74" i="127"/>
  <c r="AR74" i="127"/>
  <c r="AQ74" i="127"/>
  <c r="AN74" i="127"/>
  <c r="AK74" i="127"/>
  <c r="W74" i="127"/>
  <c r="V74" i="127"/>
  <c r="U74" i="127"/>
  <c r="T74" i="127"/>
  <c r="S74" i="127"/>
  <c r="CW73" i="127"/>
  <c r="CU73" i="127"/>
  <c r="CQ73" i="127"/>
  <c r="CP73" i="127"/>
  <c r="CO73" i="127"/>
  <c r="CN73" i="127"/>
  <c r="CM73" i="127"/>
  <c r="CL73" i="127"/>
  <c r="CK73" i="127"/>
  <c r="CJ73" i="127"/>
  <c r="CD73" i="127"/>
  <c r="CC73" i="127"/>
  <c r="CB73" i="127"/>
  <c r="CA73" i="127"/>
  <c r="BZ73" i="127"/>
  <c r="BL73" i="127"/>
  <c r="BK73" i="127"/>
  <c r="BJ73" i="127"/>
  <c r="BI73" i="127"/>
  <c r="BH73" i="127"/>
  <c r="AT73" i="127"/>
  <c r="AS73" i="127"/>
  <c r="AR73" i="127"/>
  <c r="AQ73" i="127"/>
  <c r="AN73" i="127"/>
  <c r="AK73" i="127"/>
  <c r="W73" i="127"/>
  <c r="V73" i="127"/>
  <c r="U73" i="127"/>
  <c r="T73" i="127"/>
  <c r="S73" i="127"/>
  <c r="CW72" i="127"/>
  <c r="CU72" i="127"/>
  <c r="CQ72" i="127"/>
  <c r="CP72" i="127"/>
  <c r="CO72" i="127"/>
  <c r="CN72" i="127"/>
  <c r="CM72" i="127"/>
  <c r="CL72" i="127"/>
  <c r="CK72" i="127"/>
  <c r="CJ72" i="127"/>
  <c r="CD72" i="127"/>
  <c r="CC72" i="127"/>
  <c r="CB72" i="127"/>
  <c r="CA72" i="127"/>
  <c r="BZ72" i="127"/>
  <c r="BL72" i="127"/>
  <c r="BK72" i="127"/>
  <c r="BJ72" i="127"/>
  <c r="BI72" i="127"/>
  <c r="BH72" i="127"/>
  <c r="AT72" i="127"/>
  <c r="AS72" i="127"/>
  <c r="AR72" i="127"/>
  <c r="AQ72" i="127"/>
  <c r="AN72" i="127"/>
  <c r="AK72" i="127"/>
  <c r="W72" i="127"/>
  <c r="V72" i="127"/>
  <c r="U72" i="127"/>
  <c r="T72" i="127"/>
  <c r="S72" i="127"/>
  <c r="CW71" i="127"/>
  <c r="CU71" i="127"/>
  <c r="CQ71" i="127"/>
  <c r="CP71" i="127"/>
  <c r="CO71" i="127"/>
  <c r="CN71" i="127"/>
  <c r="CM71" i="127"/>
  <c r="CL71" i="127"/>
  <c r="CK71" i="127"/>
  <c r="CJ71" i="127"/>
  <c r="CD71" i="127"/>
  <c r="CC71" i="127"/>
  <c r="CB71" i="127"/>
  <c r="CA71" i="127"/>
  <c r="BZ71" i="127"/>
  <c r="BL71" i="127"/>
  <c r="BK71" i="127"/>
  <c r="BJ71" i="127"/>
  <c r="BI71" i="127"/>
  <c r="BH71" i="127"/>
  <c r="AT71" i="127"/>
  <c r="AS71" i="127"/>
  <c r="AR71" i="127"/>
  <c r="AQ71" i="127"/>
  <c r="AN71" i="127"/>
  <c r="AK71" i="127"/>
  <c r="W71" i="127"/>
  <c r="V71" i="127"/>
  <c r="U71" i="127"/>
  <c r="T71" i="127"/>
  <c r="S71" i="127"/>
  <c r="CW70" i="127"/>
  <c r="CU70" i="127"/>
  <c r="CQ70" i="127"/>
  <c r="CP70" i="127"/>
  <c r="CO70" i="127"/>
  <c r="CN70" i="127"/>
  <c r="CM70" i="127"/>
  <c r="CL70" i="127"/>
  <c r="CK70" i="127"/>
  <c r="CJ70" i="127"/>
  <c r="CD70" i="127"/>
  <c r="CC70" i="127"/>
  <c r="CB70" i="127"/>
  <c r="CA70" i="127"/>
  <c r="BZ70" i="127"/>
  <c r="BL70" i="127"/>
  <c r="BK70" i="127"/>
  <c r="BJ70" i="127"/>
  <c r="BI70" i="127"/>
  <c r="BH70" i="127"/>
  <c r="AT70" i="127"/>
  <c r="AS70" i="127"/>
  <c r="AR70" i="127"/>
  <c r="AQ70" i="127"/>
  <c r="AN70" i="127"/>
  <c r="AK70" i="127"/>
  <c r="W70" i="127"/>
  <c r="V70" i="127"/>
  <c r="U70" i="127"/>
  <c r="T70" i="127"/>
  <c r="S70" i="127"/>
  <c r="CW69" i="127"/>
  <c r="CU69" i="127"/>
  <c r="CQ69" i="127"/>
  <c r="CP69" i="127"/>
  <c r="CO69" i="127"/>
  <c r="CN69" i="127"/>
  <c r="CM69" i="127"/>
  <c r="CL69" i="127"/>
  <c r="CK69" i="127"/>
  <c r="CJ69" i="127"/>
  <c r="CD69" i="127"/>
  <c r="CC69" i="127"/>
  <c r="CB69" i="127"/>
  <c r="CA69" i="127"/>
  <c r="BZ69" i="127"/>
  <c r="BL69" i="127"/>
  <c r="BK69" i="127"/>
  <c r="BJ69" i="127"/>
  <c r="BI69" i="127"/>
  <c r="BH69" i="127"/>
  <c r="AT69" i="127"/>
  <c r="AS69" i="127"/>
  <c r="AR69" i="127"/>
  <c r="AQ69" i="127"/>
  <c r="AN69" i="127"/>
  <c r="AK69" i="127"/>
  <c r="W69" i="127"/>
  <c r="V69" i="127"/>
  <c r="U69" i="127"/>
  <c r="T69" i="127"/>
  <c r="S69" i="127"/>
  <c r="BY67" i="127"/>
  <c r="BX67" i="127"/>
  <c r="BW67" i="127"/>
  <c r="BV67" i="127"/>
  <c r="BU67" i="127"/>
  <c r="BT67" i="127"/>
  <c r="BS67" i="127"/>
  <c r="BR67" i="127"/>
  <c r="BQ67" i="127"/>
  <c r="BP67" i="127"/>
  <c r="BO67" i="127"/>
  <c r="BN67" i="127"/>
  <c r="BG67" i="127"/>
  <c r="BF67" i="127"/>
  <c r="BE67" i="127"/>
  <c r="BD67" i="127"/>
  <c r="BC67" i="127"/>
  <c r="BB67" i="127"/>
  <c r="BA67" i="127"/>
  <c r="AZ67" i="127"/>
  <c r="AY67" i="127"/>
  <c r="AX67" i="127"/>
  <c r="AW67" i="127"/>
  <c r="AV67" i="127"/>
  <c r="AE67" i="127"/>
  <c r="AD67" i="127"/>
  <c r="AC67" i="127"/>
  <c r="AB67" i="127"/>
  <c r="AA67" i="127"/>
  <c r="Z67" i="127"/>
  <c r="Y67" i="127"/>
  <c r="R67" i="127"/>
  <c r="Q67" i="127"/>
  <c r="P67" i="127"/>
  <c r="O67" i="127"/>
  <c r="N67" i="127"/>
  <c r="M67" i="127"/>
  <c r="L67" i="127"/>
  <c r="K67" i="127"/>
  <c r="J67" i="127"/>
  <c r="I67" i="127"/>
  <c r="H67" i="127"/>
  <c r="G67" i="127"/>
  <c r="CW66" i="127"/>
  <c r="CU66" i="127"/>
  <c r="CQ66" i="127"/>
  <c r="CP66" i="127"/>
  <c r="CO66" i="127"/>
  <c r="CN66" i="127"/>
  <c r="CM66" i="127"/>
  <c r="CL66" i="127"/>
  <c r="CK66" i="127"/>
  <c r="CJ66" i="127"/>
  <c r="CD66" i="127"/>
  <c r="CC66" i="127"/>
  <c r="CB66" i="127"/>
  <c r="CA66" i="127"/>
  <c r="BZ66" i="127"/>
  <c r="BL66" i="127"/>
  <c r="BK66" i="127"/>
  <c r="BJ66" i="127"/>
  <c r="BI66" i="127"/>
  <c r="BH66" i="127"/>
  <c r="AT66" i="127"/>
  <c r="AS66" i="127"/>
  <c r="AR66" i="127"/>
  <c r="AQ66" i="127"/>
  <c r="AN66" i="127"/>
  <c r="AK66" i="127"/>
  <c r="W66" i="127"/>
  <c r="V66" i="127"/>
  <c r="U66" i="127"/>
  <c r="T66" i="127"/>
  <c r="S66" i="127"/>
  <c r="CW65" i="127"/>
  <c r="CU65" i="127"/>
  <c r="CQ65" i="127"/>
  <c r="CP65" i="127"/>
  <c r="CO65" i="127"/>
  <c r="CN65" i="127"/>
  <c r="CM65" i="127"/>
  <c r="CL65" i="127"/>
  <c r="CK65" i="127"/>
  <c r="CJ65" i="127"/>
  <c r="CD65" i="127"/>
  <c r="CC65" i="127"/>
  <c r="CB65" i="127"/>
  <c r="CA65" i="127"/>
  <c r="BZ65" i="127"/>
  <c r="BL65" i="127"/>
  <c r="BK65" i="127"/>
  <c r="BJ65" i="127"/>
  <c r="BI65" i="127"/>
  <c r="BH65" i="127"/>
  <c r="AT65" i="127"/>
  <c r="AS65" i="127"/>
  <c r="AR65" i="127"/>
  <c r="AQ65" i="127"/>
  <c r="AN65" i="127"/>
  <c r="AK65" i="127"/>
  <c r="W65" i="127"/>
  <c r="V65" i="127"/>
  <c r="U65" i="127"/>
  <c r="T65" i="127"/>
  <c r="S65" i="127"/>
  <c r="CW64" i="127"/>
  <c r="CW215" i="127" s="1"/>
  <c r="CU64" i="127"/>
  <c r="CU215" i="127" s="1"/>
  <c r="CQ64" i="127"/>
  <c r="CP64" i="127"/>
  <c r="CO64" i="127"/>
  <c r="CN64" i="127"/>
  <c r="CM64" i="127"/>
  <c r="CL64" i="127"/>
  <c r="CK64" i="127"/>
  <c r="CK215" i="127" s="1"/>
  <c r="CJ64" i="127"/>
  <c r="CJ215" i="127" s="1"/>
  <c r="CD64" i="127"/>
  <c r="CD215" i="127" s="1"/>
  <c r="CC64" i="127"/>
  <c r="CB64" i="127"/>
  <c r="CA64" i="127"/>
  <c r="BZ64" i="127"/>
  <c r="BL64" i="127"/>
  <c r="BK64" i="127"/>
  <c r="BK215" i="127" s="1"/>
  <c r="BJ64" i="127"/>
  <c r="BJ215" i="127" s="1"/>
  <c r="BI64" i="127"/>
  <c r="BH64" i="127"/>
  <c r="AT64" i="127"/>
  <c r="AS64" i="127"/>
  <c r="AR64" i="127"/>
  <c r="AQ64" i="127"/>
  <c r="AN64" i="127"/>
  <c r="AK64" i="127"/>
  <c r="AK215" i="127" s="1"/>
  <c r="W64" i="127"/>
  <c r="W215" i="127" s="1"/>
  <c r="V64" i="127"/>
  <c r="U64" i="127"/>
  <c r="T64" i="127"/>
  <c r="S64" i="127"/>
  <c r="CW63" i="127"/>
  <c r="CU63" i="127"/>
  <c r="CQ63" i="127"/>
  <c r="CP63" i="127"/>
  <c r="CO63" i="127"/>
  <c r="CN63" i="127"/>
  <c r="CM63" i="127"/>
  <c r="CL63" i="127"/>
  <c r="CK63" i="127"/>
  <c r="CJ63" i="127"/>
  <c r="CD63" i="127"/>
  <c r="CC63" i="127"/>
  <c r="CB63" i="127"/>
  <c r="CA63" i="127"/>
  <c r="BZ63" i="127"/>
  <c r="BL63" i="127"/>
  <c r="BK63" i="127"/>
  <c r="BJ63" i="127"/>
  <c r="BI63" i="127"/>
  <c r="BH63" i="127"/>
  <c r="AT63" i="127"/>
  <c r="AS63" i="127"/>
  <c r="AR63" i="127"/>
  <c r="AQ63" i="127"/>
  <c r="AK63" i="127"/>
  <c r="W63" i="127"/>
  <c r="V63" i="127"/>
  <c r="U63" i="127"/>
  <c r="T63" i="127"/>
  <c r="S63" i="127"/>
  <c r="CW62" i="127"/>
  <c r="CU62" i="127"/>
  <c r="CQ62" i="127"/>
  <c r="CP62" i="127"/>
  <c r="CO62" i="127"/>
  <c r="CN62" i="127"/>
  <c r="CM62" i="127"/>
  <c r="CL62" i="127"/>
  <c r="CK62" i="127"/>
  <c r="CJ62" i="127"/>
  <c r="CD62" i="127"/>
  <c r="CC62" i="127"/>
  <c r="CB62" i="127"/>
  <c r="CA62" i="127"/>
  <c r="BZ62" i="127"/>
  <c r="BL62" i="127"/>
  <c r="BK62" i="127"/>
  <c r="BJ62" i="127"/>
  <c r="BI62" i="127"/>
  <c r="BH62" i="127"/>
  <c r="AT62" i="127"/>
  <c r="AS62" i="127"/>
  <c r="AR62" i="127"/>
  <c r="AQ62" i="127"/>
  <c r="AK62" i="127"/>
  <c r="W62" i="127"/>
  <c r="V62" i="127"/>
  <c r="U62" i="127"/>
  <c r="T62" i="127"/>
  <c r="S62" i="127"/>
  <c r="CW61" i="127"/>
  <c r="CU61" i="127"/>
  <c r="CQ61" i="127"/>
  <c r="CP61" i="127"/>
  <c r="CO61" i="127"/>
  <c r="CO224" i="127" s="1"/>
  <c r="CN61" i="127"/>
  <c r="CN224" i="127" s="1"/>
  <c r="CM61" i="127"/>
  <c r="CL61" i="127"/>
  <c r="CK61" i="127"/>
  <c r="CJ61" i="127"/>
  <c r="CD61" i="127"/>
  <c r="CC61" i="127"/>
  <c r="CB61" i="127"/>
  <c r="CB224" i="127" s="1"/>
  <c r="CA61" i="127"/>
  <c r="BZ61" i="127"/>
  <c r="BL61" i="127"/>
  <c r="BK61" i="127"/>
  <c r="BJ61" i="127"/>
  <c r="BI61" i="127"/>
  <c r="BH61" i="127"/>
  <c r="AT61" i="127"/>
  <c r="AT224" i="127" s="1"/>
  <c r="AS61" i="127"/>
  <c r="AS224" i="127" s="1"/>
  <c r="AR61" i="127"/>
  <c r="AQ61" i="127"/>
  <c r="AQ224" i="127" s="1"/>
  <c r="AK61" i="127"/>
  <c r="W61" i="127"/>
  <c r="V61" i="127"/>
  <c r="U61" i="127"/>
  <c r="T61" i="127"/>
  <c r="S61" i="127"/>
  <c r="CW60" i="127"/>
  <c r="CU60" i="127"/>
  <c r="CQ60" i="127"/>
  <c r="CP60" i="127"/>
  <c r="CO60" i="127"/>
  <c r="CN60" i="127"/>
  <c r="CM60" i="127"/>
  <c r="CL60" i="127"/>
  <c r="CK60" i="127"/>
  <c r="CJ60" i="127"/>
  <c r="CD60" i="127"/>
  <c r="CC60" i="127"/>
  <c r="CB60" i="127"/>
  <c r="CA60" i="127"/>
  <c r="BZ60" i="127"/>
  <c r="BL60" i="127"/>
  <c r="BK60" i="127"/>
  <c r="BJ60" i="127"/>
  <c r="BI60" i="127"/>
  <c r="BH60" i="127"/>
  <c r="AT60" i="127"/>
  <c r="AS60" i="127"/>
  <c r="AR60" i="127"/>
  <c r="AQ60" i="127"/>
  <c r="AN60" i="127"/>
  <c r="AK60" i="127"/>
  <c r="W60" i="127"/>
  <c r="V60" i="127"/>
  <c r="U60" i="127"/>
  <c r="T60" i="127"/>
  <c r="S60" i="127"/>
  <c r="CW59" i="127"/>
  <c r="CU59" i="127"/>
  <c r="CQ59" i="127"/>
  <c r="CP59" i="127"/>
  <c r="CO59" i="127"/>
  <c r="CN59" i="127"/>
  <c r="CM59" i="127"/>
  <c r="CL59" i="127"/>
  <c r="CK59" i="127"/>
  <c r="CJ59" i="127"/>
  <c r="CD59" i="127"/>
  <c r="CC59" i="127"/>
  <c r="CB59" i="127"/>
  <c r="CA59" i="127"/>
  <c r="BZ59" i="127"/>
  <c r="BL59" i="127"/>
  <c r="BK59" i="127"/>
  <c r="BJ59" i="127"/>
  <c r="BI59" i="127"/>
  <c r="BH59" i="127"/>
  <c r="AT59" i="127"/>
  <c r="AS59" i="127"/>
  <c r="AR59" i="127"/>
  <c r="AQ59" i="127"/>
  <c r="AN59" i="127"/>
  <c r="AK59" i="127"/>
  <c r="W59" i="127"/>
  <c r="V59" i="127"/>
  <c r="U59" i="127"/>
  <c r="T59" i="127"/>
  <c r="S59" i="127"/>
  <c r="CW58" i="127"/>
  <c r="CU58" i="127"/>
  <c r="CQ58" i="127"/>
  <c r="CP58" i="127"/>
  <c r="CO58" i="127"/>
  <c r="CN58" i="127"/>
  <c r="CM58" i="127"/>
  <c r="CL58" i="127"/>
  <c r="CK58" i="127"/>
  <c r="CJ58" i="127"/>
  <c r="CD58" i="127"/>
  <c r="CC58" i="127"/>
  <c r="CB58" i="127"/>
  <c r="CA58" i="127"/>
  <c r="BZ58" i="127"/>
  <c r="BL58" i="127"/>
  <c r="BK58" i="127"/>
  <c r="BJ58" i="127"/>
  <c r="BI58" i="127"/>
  <c r="BH58" i="127"/>
  <c r="AT58" i="127"/>
  <c r="AS58" i="127"/>
  <c r="AR58" i="127"/>
  <c r="AR250" i="127" s="1"/>
  <c r="AR255" i="127" s="1"/>
  <c r="AQ58" i="127"/>
  <c r="AN58" i="127"/>
  <c r="AK58" i="127"/>
  <c r="W58" i="127"/>
  <c r="V58" i="127"/>
  <c r="U58" i="127"/>
  <c r="T58" i="127"/>
  <c r="S58" i="127"/>
  <c r="CW57" i="127"/>
  <c r="CU57" i="127"/>
  <c r="CQ57" i="127"/>
  <c r="CP57" i="127"/>
  <c r="CO57" i="127"/>
  <c r="CN57" i="127"/>
  <c r="CM57" i="127"/>
  <c r="CL57" i="127"/>
  <c r="CK57" i="127"/>
  <c r="CJ57" i="127"/>
  <c r="CD57" i="127"/>
  <c r="CC57" i="127"/>
  <c r="CB57" i="127"/>
  <c r="CA57" i="127"/>
  <c r="BZ57" i="127"/>
  <c r="BL57" i="127"/>
  <c r="BK57" i="127"/>
  <c r="BJ57" i="127"/>
  <c r="BI57" i="127"/>
  <c r="BH57" i="127"/>
  <c r="AT57" i="127"/>
  <c r="AS57" i="127"/>
  <c r="AR57" i="127"/>
  <c r="AQ57" i="127"/>
  <c r="AN57" i="127"/>
  <c r="AK57" i="127"/>
  <c r="W57" i="127"/>
  <c r="V57" i="127"/>
  <c r="U57" i="127"/>
  <c r="T57" i="127"/>
  <c r="S57" i="127"/>
  <c r="CW56" i="127"/>
  <c r="CU56" i="127"/>
  <c r="CQ56" i="127"/>
  <c r="CP56" i="127"/>
  <c r="CO56" i="127"/>
  <c r="CN56" i="127"/>
  <c r="CM56" i="127"/>
  <c r="CL56" i="127"/>
  <c r="CK56" i="127"/>
  <c r="CJ56" i="127"/>
  <c r="CD56" i="127"/>
  <c r="CC56" i="127"/>
  <c r="CB56" i="127"/>
  <c r="CA56" i="127"/>
  <c r="BZ56" i="127"/>
  <c r="BL56" i="127"/>
  <c r="BK56" i="127"/>
  <c r="BJ56" i="127"/>
  <c r="BI56" i="127"/>
  <c r="BH56" i="127"/>
  <c r="AT56" i="127"/>
  <c r="AS56" i="127"/>
  <c r="AR56" i="127"/>
  <c r="AQ56" i="127"/>
  <c r="AN56" i="127"/>
  <c r="AK56" i="127"/>
  <c r="W56" i="127"/>
  <c r="V56" i="127"/>
  <c r="U56" i="127"/>
  <c r="T56" i="127"/>
  <c r="S56" i="127"/>
  <c r="CW55" i="127"/>
  <c r="CU55" i="127"/>
  <c r="CQ55" i="127"/>
  <c r="CP55" i="127"/>
  <c r="CO55" i="127"/>
  <c r="CN55" i="127"/>
  <c r="CM55" i="127"/>
  <c r="CL55" i="127"/>
  <c r="CK55" i="127"/>
  <c r="CJ55" i="127"/>
  <c r="CD55" i="127"/>
  <c r="CC55" i="127"/>
  <c r="CB55" i="127"/>
  <c r="CA55" i="127"/>
  <c r="BZ55" i="127"/>
  <c r="BL55" i="127"/>
  <c r="BK55" i="127"/>
  <c r="BJ55" i="127"/>
  <c r="BI55" i="127"/>
  <c r="BH55" i="127"/>
  <c r="AT55" i="127"/>
  <c r="AS55" i="127"/>
  <c r="AR55" i="127"/>
  <c r="AQ55" i="127"/>
  <c r="AN55" i="127"/>
  <c r="AK55" i="127"/>
  <c r="W55" i="127"/>
  <c r="V55" i="127"/>
  <c r="U55" i="127"/>
  <c r="T55" i="127"/>
  <c r="S55" i="127"/>
  <c r="CW54" i="127"/>
  <c r="CU54" i="127"/>
  <c r="CQ54" i="127"/>
  <c r="CP54" i="127"/>
  <c r="CO54" i="127"/>
  <c r="CN54" i="127"/>
  <c r="CM54" i="127"/>
  <c r="CL54" i="127"/>
  <c r="CK54" i="127"/>
  <c r="CJ54" i="127"/>
  <c r="CD54" i="127"/>
  <c r="CC54" i="127"/>
  <c r="CB54" i="127"/>
  <c r="CA54" i="127"/>
  <c r="BZ54" i="127"/>
  <c r="BL54" i="127"/>
  <c r="BK54" i="127"/>
  <c r="BJ54" i="127"/>
  <c r="BI54" i="127"/>
  <c r="BH54" i="127"/>
  <c r="AT54" i="127"/>
  <c r="AS54" i="127"/>
  <c r="AR54" i="127"/>
  <c r="AQ54" i="127"/>
  <c r="AN54" i="127"/>
  <c r="AK54" i="127"/>
  <c r="W54" i="127"/>
  <c r="V54" i="127"/>
  <c r="U54" i="127"/>
  <c r="T54" i="127"/>
  <c r="S54" i="127"/>
  <c r="CW53" i="127"/>
  <c r="CU53" i="127"/>
  <c r="CQ53" i="127"/>
  <c r="CP53" i="127"/>
  <c r="CO53" i="127"/>
  <c r="CN53" i="127"/>
  <c r="CM53" i="127"/>
  <c r="CL53" i="127"/>
  <c r="CK53" i="127"/>
  <c r="CJ53" i="127"/>
  <c r="CD53" i="127"/>
  <c r="CC53" i="127"/>
  <c r="CB53" i="127"/>
  <c r="CA53" i="127"/>
  <c r="BZ53" i="127"/>
  <c r="BL53" i="127"/>
  <c r="BK53" i="127"/>
  <c r="BJ53" i="127"/>
  <c r="BI53" i="127"/>
  <c r="BH53" i="127"/>
  <c r="AT53" i="127"/>
  <c r="AS53" i="127"/>
  <c r="AR53" i="127"/>
  <c r="AQ53" i="127"/>
  <c r="AN53" i="127"/>
  <c r="AK53" i="127"/>
  <c r="W53" i="127"/>
  <c r="V53" i="127"/>
  <c r="U53" i="127"/>
  <c r="T53" i="127"/>
  <c r="S53" i="127"/>
  <c r="CW52" i="127"/>
  <c r="CU52" i="127"/>
  <c r="CQ52" i="127"/>
  <c r="CP52" i="127"/>
  <c r="CO52" i="127"/>
  <c r="CN52" i="127"/>
  <c r="CM52" i="127"/>
  <c r="CL52" i="127"/>
  <c r="CK52" i="127"/>
  <c r="CJ52" i="127"/>
  <c r="CD52" i="127"/>
  <c r="CC52" i="127"/>
  <c r="CB52" i="127"/>
  <c r="CA52" i="127"/>
  <c r="BZ52" i="127"/>
  <c r="BL52" i="127"/>
  <c r="BK52" i="127"/>
  <c r="BJ52" i="127"/>
  <c r="BI52" i="127"/>
  <c r="BH52" i="127"/>
  <c r="AT52" i="127"/>
  <c r="AS52" i="127"/>
  <c r="AR52" i="127"/>
  <c r="AQ52" i="127"/>
  <c r="AN52" i="127"/>
  <c r="AK52" i="127"/>
  <c r="W52" i="127"/>
  <c r="V52" i="127"/>
  <c r="U52" i="127"/>
  <c r="T52" i="127"/>
  <c r="S52" i="127"/>
  <c r="CW51" i="127"/>
  <c r="CU51" i="127"/>
  <c r="CQ51" i="127"/>
  <c r="CP51" i="127"/>
  <c r="CO51" i="127"/>
  <c r="CN51" i="127"/>
  <c r="CM51" i="127"/>
  <c r="CL51" i="127"/>
  <c r="CK51" i="127"/>
  <c r="CJ51" i="127"/>
  <c r="CD51" i="127"/>
  <c r="CC51" i="127"/>
  <c r="CB51" i="127"/>
  <c r="CA51" i="127"/>
  <c r="BZ51" i="127"/>
  <c r="BL51" i="127"/>
  <c r="BK51" i="127"/>
  <c r="BJ51" i="127"/>
  <c r="BI51" i="127"/>
  <c r="BH51" i="127"/>
  <c r="AT51" i="127"/>
  <c r="AS51" i="127"/>
  <c r="AR51" i="127"/>
  <c r="AQ51" i="127"/>
  <c r="AN51" i="127"/>
  <c r="AK51" i="127"/>
  <c r="W51" i="127"/>
  <c r="V51" i="127"/>
  <c r="U51" i="127"/>
  <c r="T51" i="127"/>
  <c r="S51" i="127"/>
  <c r="CW50" i="127"/>
  <c r="CU50" i="127"/>
  <c r="CQ50" i="127"/>
  <c r="CP50" i="127"/>
  <c r="CO50" i="127"/>
  <c r="CN50" i="127"/>
  <c r="CM50" i="127"/>
  <c r="CL50" i="127"/>
  <c r="CK50" i="127"/>
  <c r="CJ50" i="127"/>
  <c r="CD50" i="127"/>
  <c r="CC50" i="127"/>
  <c r="CB50" i="127"/>
  <c r="CA50" i="127"/>
  <c r="BZ50" i="127"/>
  <c r="BL50" i="127"/>
  <c r="BK50" i="127"/>
  <c r="BJ50" i="127"/>
  <c r="BI50" i="127"/>
  <c r="BH50" i="127"/>
  <c r="AT50" i="127"/>
  <c r="AS50" i="127"/>
  <c r="AR50" i="127"/>
  <c r="AQ50" i="127"/>
  <c r="AN50" i="127"/>
  <c r="AK50" i="127"/>
  <c r="W50" i="127"/>
  <c r="V50" i="127"/>
  <c r="U50" i="127"/>
  <c r="T50" i="127"/>
  <c r="S50" i="127"/>
  <c r="CW49" i="127"/>
  <c r="CU49" i="127"/>
  <c r="CQ49" i="127"/>
  <c r="CP49" i="127"/>
  <c r="CO49" i="127"/>
  <c r="CN49" i="127"/>
  <c r="CM49" i="127"/>
  <c r="CL49" i="127"/>
  <c r="CK49" i="127"/>
  <c r="CJ49" i="127"/>
  <c r="CD49" i="127"/>
  <c r="CC49" i="127"/>
  <c r="CB49" i="127"/>
  <c r="CA49" i="127"/>
  <c r="BZ49" i="127"/>
  <c r="BL49" i="127"/>
  <c r="BK49" i="127"/>
  <c r="BJ49" i="127"/>
  <c r="BI49" i="127"/>
  <c r="BH49" i="127"/>
  <c r="AT49" i="127"/>
  <c r="AS49" i="127"/>
  <c r="AR49" i="127"/>
  <c r="AQ49" i="127"/>
  <c r="AN49" i="127"/>
  <c r="AK49" i="127"/>
  <c r="W49" i="127"/>
  <c r="V49" i="127"/>
  <c r="U49" i="127"/>
  <c r="T49" i="127"/>
  <c r="S49" i="127"/>
  <c r="CW48" i="127"/>
  <c r="CU48" i="127"/>
  <c r="CQ48" i="127"/>
  <c r="CP48" i="127"/>
  <c r="CO48" i="127"/>
  <c r="CN48" i="127"/>
  <c r="CM48" i="127"/>
  <c r="CL48" i="127"/>
  <c r="CK48" i="127"/>
  <c r="CJ48" i="127"/>
  <c r="CD48" i="127"/>
  <c r="CC48" i="127"/>
  <c r="CB48" i="127"/>
  <c r="CA48" i="127"/>
  <c r="BZ48" i="127"/>
  <c r="BL48" i="127"/>
  <c r="BK48" i="127"/>
  <c r="BJ48" i="127"/>
  <c r="BI48" i="127"/>
  <c r="BH48" i="127"/>
  <c r="AT48" i="127"/>
  <c r="AS48" i="127"/>
  <c r="AR48" i="127"/>
  <c r="AQ48" i="127"/>
  <c r="AN48" i="127"/>
  <c r="AK48" i="127"/>
  <c r="W48" i="127"/>
  <c r="V48" i="127"/>
  <c r="U48" i="127"/>
  <c r="T48" i="127"/>
  <c r="S48" i="127"/>
  <c r="CW47" i="127"/>
  <c r="CU47" i="127"/>
  <c r="CQ47" i="127"/>
  <c r="CP47" i="127"/>
  <c r="CO47" i="127"/>
  <c r="CN47" i="127"/>
  <c r="CM47" i="127"/>
  <c r="CL47" i="127"/>
  <c r="CK47" i="127"/>
  <c r="CJ47" i="127"/>
  <c r="CD47" i="127"/>
  <c r="CC47" i="127"/>
  <c r="CB47" i="127"/>
  <c r="CA47" i="127"/>
  <c r="BZ47" i="127"/>
  <c r="BL47" i="127"/>
  <c r="BK47" i="127"/>
  <c r="BJ47" i="127"/>
  <c r="BI47" i="127"/>
  <c r="BH47" i="127"/>
  <c r="AT47" i="127"/>
  <c r="AS47" i="127"/>
  <c r="AR47" i="127"/>
  <c r="AQ47" i="127"/>
  <c r="AN47" i="127"/>
  <c r="AK47" i="127"/>
  <c r="W47" i="127"/>
  <c r="V47" i="127"/>
  <c r="U47" i="127"/>
  <c r="T47" i="127"/>
  <c r="S47" i="127"/>
  <c r="CW46" i="127"/>
  <c r="CU46" i="127"/>
  <c r="CQ46" i="127"/>
  <c r="CP46" i="127"/>
  <c r="CO46" i="127"/>
  <c r="CN46" i="127"/>
  <c r="CM46" i="127"/>
  <c r="CL46" i="127"/>
  <c r="CK46" i="127"/>
  <c r="CJ46" i="127"/>
  <c r="CD46" i="127"/>
  <c r="CC46" i="127"/>
  <c r="CB46" i="127"/>
  <c r="CA46" i="127"/>
  <c r="BZ46" i="127"/>
  <c r="BL46" i="127"/>
  <c r="BK46" i="127"/>
  <c r="BJ46" i="127"/>
  <c r="BI46" i="127"/>
  <c r="BH46" i="127"/>
  <c r="AT46" i="127"/>
  <c r="AS46" i="127"/>
  <c r="AR46" i="127"/>
  <c r="AQ46" i="127"/>
  <c r="AN46" i="127"/>
  <c r="AK46" i="127"/>
  <c r="W46" i="127"/>
  <c r="V46" i="127"/>
  <c r="U46" i="127"/>
  <c r="T46" i="127"/>
  <c r="S46" i="127"/>
  <c r="CW45" i="127"/>
  <c r="CU45" i="127"/>
  <c r="CQ45" i="127"/>
  <c r="CP45" i="127"/>
  <c r="CO45" i="127"/>
  <c r="CN45" i="127"/>
  <c r="CM45" i="127"/>
  <c r="CL45" i="127"/>
  <c r="CK45" i="127"/>
  <c r="CJ45" i="127"/>
  <c r="CD45" i="127"/>
  <c r="CC45" i="127"/>
  <c r="CB45" i="127"/>
  <c r="CA45" i="127"/>
  <c r="BZ45" i="127"/>
  <c r="BL45" i="127"/>
  <c r="BK45" i="127"/>
  <c r="BJ45" i="127"/>
  <c r="BI45" i="127"/>
  <c r="BH45" i="127"/>
  <c r="AT45" i="127"/>
  <c r="AS45" i="127"/>
  <c r="AR45" i="127"/>
  <c r="AQ45" i="127"/>
  <c r="AN45" i="127"/>
  <c r="AK45" i="127"/>
  <c r="W45" i="127"/>
  <c r="V45" i="127"/>
  <c r="U45" i="127"/>
  <c r="T45" i="127"/>
  <c r="S45" i="127"/>
  <c r="CW44" i="127"/>
  <c r="CU44" i="127"/>
  <c r="CQ44" i="127"/>
  <c r="CN44" i="127"/>
  <c r="CM44" i="127"/>
  <c r="CL44" i="127"/>
  <c r="CK44" i="127"/>
  <c r="CJ44" i="127"/>
  <c r="CD44" i="127"/>
  <c r="CC44" i="127"/>
  <c r="CB44" i="127"/>
  <c r="CA44" i="127"/>
  <c r="BZ44" i="127"/>
  <c r="BL44" i="127"/>
  <c r="BK44" i="127"/>
  <c r="BJ44" i="127"/>
  <c r="BI44" i="127"/>
  <c r="BH44" i="127"/>
  <c r="AR44" i="127"/>
  <c r="AQ44" i="127"/>
  <c r="AN44" i="127"/>
  <c r="AJ44" i="127"/>
  <c r="AI44" i="127"/>
  <c r="AG44" i="127"/>
  <c r="CP44" i="127" s="1"/>
  <c r="AF44" i="127"/>
  <c r="W44" i="127"/>
  <c r="V44" i="127"/>
  <c r="U44" i="127"/>
  <c r="T44" i="127"/>
  <c r="S44" i="127"/>
  <c r="CW43" i="127"/>
  <c r="CU43" i="127"/>
  <c r="CQ43" i="127"/>
  <c r="CP43" i="127"/>
  <c r="CO43" i="127"/>
  <c r="CN43" i="127"/>
  <c r="CM43" i="127"/>
  <c r="CL43" i="127"/>
  <c r="CK43" i="127"/>
  <c r="CJ43" i="127"/>
  <c r="CD43" i="127"/>
  <c r="CC43" i="127"/>
  <c r="CB43" i="127"/>
  <c r="CA43" i="127"/>
  <c r="BZ43" i="127"/>
  <c r="BL43" i="127"/>
  <c r="BK43" i="127"/>
  <c r="BJ43" i="127"/>
  <c r="BI43" i="127"/>
  <c r="BH43" i="127"/>
  <c r="AT43" i="127"/>
  <c r="AS43" i="127"/>
  <c r="AR43" i="127"/>
  <c r="AQ43" i="127"/>
  <c r="AN43" i="127"/>
  <c r="AK43" i="127"/>
  <c r="W43" i="127"/>
  <c r="V43" i="127"/>
  <c r="U43" i="127"/>
  <c r="T43" i="127"/>
  <c r="S43" i="127"/>
  <c r="CW42" i="127"/>
  <c r="CU42" i="127"/>
  <c r="CQ42" i="127"/>
  <c r="CP42" i="127"/>
  <c r="CO42" i="127"/>
  <c r="CN42" i="127"/>
  <c r="CM42" i="127"/>
  <c r="CL42" i="127"/>
  <c r="CK42" i="127"/>
  <c r="CJ42" i="127"/>
  <c r="CD42" i="127"/>
  <c r="CC42" i="127"/>
  <c r="CB42" i="127"/>
  <c r="CA42" i="127"/>
  <c r="BZ42" i="127"/>
  <c r="BL42" i="127"/>
  <c r="BK42" i="127"/>
  <c r="BJ42" i="127"/>
  <c r="BI42" i="127"/>
  <c r="BH42" i="127"/>
  <c r="AT42" i="127"/>
  <c r="AS42" i="127"/>
  <c r="AR42" i="127"/>
  <c r="AQ42" i="127"/>
  <c r="AN42" i="127"/>
  <c r="AK42" i="127"/>
  <c r="W42" i="127"/>
  <c r="V42" i="127"/>
  <c r="U42" i="127"/>
  <c r="T42" i="127"/>
  <c r="S42" i="127"/>
  <c r="CW41" i="127"/>
  <c r="CU41" i="127"/>
  <c r="CQ41" i="127"/>
  <c r="CP41" i="127"/>
  <c r="CO41" i="127"/>
  <c r="CN41" i="127"/>
  <c r="CM41" i="127"/>
  <c r="CL41" i="127"/>
  <c r="CK41" i="127"/>
  <c r="CJ41" i="127"/>
  <c r="CD41" i="127"/>
  <c r="CC41" i="127"/>
  <c r="CB41" i="127"/>
  <c r="CA41" i="127"/>
  <c r="BZ41" i="127"/>
  <c r="BL41" i="127"/>
  <c r="BK41" i="127"/>
  <c r="BJ41" i="127"/>
  <c r="BI41" i="127"/>
  <c r="BH41" i="127"/>
  <c r="AT41" i="127"/>
  <c r="AS41" i="127"/>
  <c r="AR41" i="127"/>
  <c r="AQ41" i="127"/>
  <c r="AN41" i="127"/>
  <c r="AK41" i="127"/>
  <c r="W41" i="127"/>
  <c r="V41" i="127"/>
  <c r="U41" i="127"/>
  <c r="T41" i="127"/>
  <c r="S41" i="127"/>
  <c r="CW40" i="127"/>
  <c r="CU40" i="127"/>
  <c r="CQ40" i="127"/>
  <c r="CP40" i="127"/>
  <c r="CO40" i="127"/>
  <c r="CN40" i="127"/>
  <c r="CM40" i="127"/>
  <c r="CL40" i="127"/>
  <c r="CK40" i="127"/>
  <c r="CJ40" i="127"/>
  <c r="CD40" i="127"/>
  <c r="CC40" i="127"/>
  <c r="CB40" i="127"/>
  <c r="CA40" i="127"/>
  <c r="BZ40" i="127"/>
  <c r="BL40" i="127"/>
  <c r="BK40" i="127"/>
  <c r="BJ40" i="127"/>
  <c r="BI40" i="127"/>
  <c r="BH40" i="127"/>
  <c r="AT40" i="127"/>
  <c r="AS40" i="127"/>
  <c r="AR40" i="127"/>
  <c r="AQ40" i="127"/>
  <c r="AN40" i="127"/>
  <c r="AK40" i="127"/>
  <c r="W40" i="127"/>
  <c r="V40" i="127"/>
  <c r="U40" i="127"/>
  <c r="T40" i="127"/>
  <c r="S40" i="127"/>
  <c r="CW39" i="127"/>
  <c r="CU39" i="127"/>
  <c r="CQ39" i="127"/>
  <c r="CP39" i="127"/>
  <c r="CO39" i="127"/>
  <c r="CN39" i="127"/>
  <c r="CM39" i="127"/>
  <c r="CL39" i="127"/>
  <c r="CK39" i="127"/>
  <c r="CJ39" i="127"/>
  <c r="CD39" i="127"/>
  <c r="CC39" i="127"/>
  <c r="CB39" i="127"/>
  <c r="CA39" i="127"/>
  <c r="BZ39" i="127"/>
  <c r="BL39" i="127"/>
  <c r="BK39" i="127"/>
  <c r="BJ39" i="127"/>
  <c r="BI39" i="127"/>
  <c r="BH39" i="127"/>
  <c r="AT39" i="127"/>
  <c r="AS39" i="127"/>
  <c r="AR39" i="127"/>
  <c r="AQ39" i="127"/>
  <c r="AN39" i="127"/>
  <c r="AK39" i="127"/>
  <c r="W39" i="127"/>
  <c r="V39" i="127"/>
  <c r="U39" i="127"/>
  <c r="T39" i="127"/>
  <c r="S39" i="127"/>
  <c r="CW38" i="127"/>
  <c r="CU38" i="127"/>
  <c r="CQ38" i="127"/>
  <c r="CP38" i="127"/>
  <c r="CO38" i="127"/>
  <c r="CN38" i="127"/>
  <c r="CM38" i="127"/>
  <c r="CL38" i="127"/>
  <c r="CK38" i="127"/>
  <c r="CJ38" i="127"/>
  <c r="CD38" i="127"/>
  <c r="CC38" i="127"/>
  <c r="CB38" i="127"/>
  <c r="CA38" i="127"/>
  <c r="BZ38" i="127"/>
  <c r="BL38" i="127"/>
  <c r="BK38" i="127"/>
  <c r="BJ38" i="127"/>
  <c r="BI38" i="127"/>
  <c r="BH38" i="127"/>
  <c r="AT38" i="127"/>
  <c r="AS38" i="127"/>
  <c r="AR38" i="127"/>
  <c r="AQ38" i="127"/>
  <c r="AN38" i="127"/>
  <c r="AK38" i="127"/>
  <c r="W38" i="127"/>
  <c r="V38" i="127"/>
  <c r="U38" i="127"/>
  <c r="T38" i="127"/>
  <c r="S38" i="127"/>
  <c r="CW37" i="127"/>
  <c r="CU37" i="127"/>
  <c r="CQ37" i="127"/>
  <c r="CO37" i="127"/>
  <c r="CN37" i="127"/>
  <c r="CM37" i="127"/>
  <c r="CL37" i="127"/>
  <c r="CK37" i="127"/>
  <c r="CJ37" i="127"/>
  <c r="CD37" i="127"/>
  <c r="CC37" i="127"/>
  <c r="CB37" i="127"/>
  <c r="CA37" i="127"/>
  <c r="BZ37" i="127"/>
  <c r="BL37" i="127"/>
  <c r="BK37" i="127"/>
  <c r="BJ37" i="127"/>
  <c r="BI37" i="127"/>
  <c r="BH37" i="127"/>
  <c r="AR37" i="127"/>
  <c r="AQ37" i="127"/>
  <c r="AN37" i="127"/>
  <c r="AH37" i="127"/>
  <c r="AT37" i="127" s="1"/>
  <c r="AG37" i="127"/>
  <c r="W37" i="127"/>
  <c r="V37" i="127"/>
  <c r="U37" i="127"/>
  <c r="T37" i="127"/>
  <c r="S37" i="127"/>
  <c r="CW36" i="127"/>
  <c r="CU36" i="127"/>
  <c r="CQ36" i="127"/>
  <c r="CP36" i="127"/>
  <c r="CO36" i="127"/>
  <c r="CN36" i="127"/>
  <c r="CM36" i="127"/>
  <c r="CL36" i="127"/>
  <c r="CK36" i="127"/>
  <c r="CJ36" i="127"/>
  <c r="CD36" i="127"/>
  <c r="CC36" i="127"/>
  <c r="CB36" i="127"/>
  <c r="CA36" i="127"/>
  <c r="BZ36" i="127"/>
  <c r="BL36" i="127"/>
  <c r="BK36" i="127"/>
  <c r="BJ36" i="127"/>
  <c r="BI36" i="127"/>
  <c r="BH36" i="127"/>
  <c r="AT36" i="127"/>
  <c r="AS36" i="127"/>
  <c r="AR36" i="127"/>
  <c r="AQ36" i="127"/>
  <c r="AN36" i="127"/>
  <c r="AK36" i="127"/>
  <c r="W36" i="127"/>
  <c r="V36" i="127"/>
  <c r="U36" i="127"/>
  <c r="T36" i="127"/>
  <c r="S36" i="127"/>
  <c r="CW35" i="127"/>
  <c r="CU35" i="127"/>
  <c r="CQ35" i="127"/>
  <c r="CP35" i="127"/>
  <c r="CO35" i="127"/>
  <c r="CN35" i="127"/>
  <c r="CM35" i="127"/>
  <c r="CL35" i="127"/>
  <c r="CK35" i="127"/>
  <c r="CJ35" i="127"/>
  <c r="CD35" i="127"/>
  <c r="CC35" i="127"/>
  <c r="CB35" i="127"/>
  <c r="CA35" i="127"/>
  <c r="BZ35" i="127"/>
  <c r="BL35" i="127"/>
  <c r="BK35" i="127"/>
  <c r="BJ35" i="127"/>
  <c r="BI35" i="127"/>
  <c r="BH35" i="127"/>
  <c r="AT35" i="127"/>
  <c r="AS35" i="127"/>
  <c r="AR35" i="127"/>
  <c r="AQ35" i="127"/>
  <c r="AN35" i="127"/>
  <c r="AK35" i="127"/>
  <c r="W35" i="127"/>
  <c r="V35" i="127"/>
  <c r="U35" i="127"/>
  <c r="T35" i="127"/>
  <c r="S35" i="127"/>
  <c r="CW34" i="127"/>
  <c r="CU34" i="127"/>
  <c r="CQ34" i="127"/>
  <c r="CP34" i="127"/>
  <c r="CO34" i="127"/>
  <c r="CN34" i="127"/>
  <c r="CM34" i="127"/>
  <c r="CL34" i="127"/>
  <c r="CK34" i="127"/>
  <c r="CJ34" i="127"/>
  <c r="CD34" i="127"/>
  <c r="CC34" i="127"/>
  <c r="CB34" i="127"/>
  <c r="CA34" i="127"/>
  <c r="BZ34" i="127"/>
  <c r="BL34" i="127"/>
  <c r="BK34" i="127"/>
  <c r="BJ34" i="127"/>
  <c r="BI34" i="127"/>
  <c r="BH34" i="127"/>
  <c r="AT34" i="127"/>
  <c r="AS34" i="127"/>
  <c r="AR34" i="127"/>
  <c r="AQ34" i="127"/>
  <c r="AN34" i="127"/>
  <c r="AK34" i="127"/>
  <c r="W34" i="127"/>
  <c r="V34" i="127"/>
  <c r="U34" i="127"/>
  <c r="T34" i="127"/>
  <c r="S34" i="127"/>
  <c r="CW33" i="127"/>
  <c r="CU33" i="127"/>
  <c r="CQ33" i="127"/>
  <c r="CP33" i="127"/>
  <c r="CO33" i="127"/>
  <c r="CN33" i="127"/>
  <c r="CM33" i="127"/>
  <c r="CL33" i="127"/>
  <c r="CK33" i="127"/>
  <c r="CJ33" i="127"/>
  <c r="CD33" i="127"/>
  <c r="CC33" i="127"/>
  <c r="CB33" i="127"/>
  <c r="CA33" i="127"/>
  <c r="BZ33" i="127"/>
  <c r="BL33" i="127"/>
  <c r="BK33" i="127"/>
  <c r="BJ33" i="127"/>
  <c r="BI33" i="127"/>
  <c r="BH33" i="127"/>
  <c r="AT33" i="127"/>
  <c r="AS33" i="127"/>
  <c r="AR33" i="127"/>
  <c r="AQ33" i="127"/>
  <c r="AN33" i="127"/>
  <c r="AK33" i="127"/>
  <c r="W33" i="127"/>
  <c r="V33" i="127"/>
  <c r="U33" i="127"/>
  <c r="T33" i="127"/>
  <c r="S33" i="127"/>
  <c r="CW32" i="127"/>
  <c r="CU32" i="127"/>
  <c r="CQ32" i="127"/>
  <c r="CP32" i="127"/>
  <c r="CO32" i="127"/>
  <c r="CN32" i="127"/>
  <c r="CM32" i="127"/>
  <c r="CL32" i="127"/>
  <c r="CK32" i="127"/>
  <c r="CJ32" i="127"/>
  <c r="CD32" i="127"/>
  <c r="CC32" i="127"/>
  <c r="CB32" i="127"/>
  <c r="CA32" i="127"/>
  <c r="BZ32" i="127"/>
  <c r="BL32" i="127"/>
  <c r="BK32" i="127"/>
  <c r="BJ32" i="127"/>
  <c r="BI32" i="127"/>
  <c r="BH32" i="127"/>
  <c r="AT32" i="127"/>
  <c r="AS32" i="127"/>
  <c r="AR32" i="127"/>
  <c r="AQ32" i="127"/>
  <c r="AN32" i="127"/>
  <c r="AK32" i="127"/>
  <c r="W32" i="127"/>
  <c r="V32" i="127"/>
  <c r="U32" i="127"/>
  <c r="T32" i="127"/>
  <c r="S32" i="127"/>
  <c r="CW31" i="127"/>
  <c r="CU31" i="127"/>
  <c r="CQ31" i="127"/>
  <c r="CP31" i="127"/>
  <c r="CO31" i="127"/>
  <c r="CN31" i="127"/>
  <c r="CM31" i="127"/>
  <c r="CL31" i="127"/>
  <c r="CK31" i="127"/>
  <c r="CJ31" i="127"/>
  <c r="CD31" i="127"/>
  <c r="CC31" i="127"/>
  <c r="CB31" i="127"/>
  <c r="CA31" i="127"/>
  <c r="BZ31" i="127"/>
  <c r="BL31" i="127"/>
  <c r="BK31" i="127"/>
  <c r="BJ31" i="127"/>
  <c r="BI31" i="127"/>
  <c r="BH31" i="127"/>
  <c r="AT31" i="127"/>
  <c r="AS31" i="127"/>
  <c r="AR31" i="127"/>
  <c r="AQ31" i="127"/>
  <c r="AN31" i="127"/>
  <c r="AK31" i="127"/>
  <c r="W31" i="127"/>
  <c r="V31" i="127"/>
  <c r="U31" i="127"/>
  <c r="T31" i="127"/>
  <c r="S31" i="127"/>
  <c r="CW30" i="127"/>
  <c r="CU30" i="127"/>
  <c r="CQ30" i="127"/>
  <c r="CP30" i="127"/>
  <c r="CO30" i="127"/>
  <c r="CN30" i="127"/>
  <c r="CM30" i="127"/>
  <c r="CL30" i="127"/>
  <c r="CK30" i="127"/>
  <c r="CJ30" i="127"/>
  <c r="CD30" i="127"/>
  <c r="CC30" i="127"/>
  <c r="CB30" i="127"/>
  <c r="CA30" i="127"/>
  <c r="BZ30" i="127"/>
  <c r="BL30" i="127"/>
  <c r="BK30" i="127"/>
  <c r="BJ30" i="127"/>
  <c r="BI30" i="127"/>
  <c r="BH30" i="127"/>
  <c r="AT30" i="127"/>
  <c r="AS30" i="127"/>
  <c r="AR30" i="127"/>
  <c r="AQ30" i="127"/>
  <c r="AN30" i="127"/>
  <c r="AK30" i="127"/>
  <c r="W30" i="127"/>
  <c r="V30" i="127"/>
  <c r="U30" i="127"/>
  <c r="T30" i="127"/>
  <c r="S30" i="127"/>
  <c r="CW29" i="127"/>
  <c r="CU29" i="127"/>
  <c r="CQ29" i="127"/>
  <c r="CP29" i="127"/>
  <c r="CO29" i="127"/>
  <c r="CN29" i="127"/>
  <c r="CM29" i="127"/>
  <c r="CL29" i="127"/>
  <c r="CK29" i="127"/>
  <c r="CJ29" i="127"/>
  <c r="CD29" i="127"/>
  <c r="CC29" i="127"/>
  <c r="CB29" i="127"/>
  <c r="CA29" i="127"/>
  <c r="BZ29" i="127"/>
  <c r="BL29" i="127"/>
  <c r="BK29" i="127"/>
  <c r="BJ29" i="127"/>
  <c r="BI29" i="127"/>
  <c r="BH29" i="127"/>
  <c r="AT29" i="127"/>
  <c r="AS29" i="127"/>
  <c r="AR29" i="127"/>
  <c r="AQ29" i="127"/>
  <c r="AN29" i="127"/>
  <c r="AK29" i="127"/>
  <c r="W29" i="127"/>
  <c r="V29" i="127"/>
  <c r="U29" i="127"/>
  <c r="T29" i="127"/>
  <c r="S29" i="127"/>
  <c r="CW28" i="127"/>
  <c r="CU28" i="127"/>
  <c r="CQ28" i="127"/>
  <c r="CP28" i="127"/>
  <c r="CO28" i="127"/>
  <c r="CN28" i="127"/>
  <c r="CM28" i="127"/>
  <c r="CL28" i="127"/>
  <c r="CK28" i="127"/>
  <c r="CJ28" i="127"/>
  <c r="CD28" i="127"/>
  <c r="CC28" i="127"/>
  <c r="CB28" i="127"/>
  <c r="CA28" i="127"/>
  <c r="BZ28" i="127"/>
  <c r="BL28" i="127"/>
  <c r="BK28" i="127"/>
  <c r="BJ28" i="127"/>
  <c r="BI28" i="127"/>
  <c r="BH28" i="127"/>
  <c r="AT28" i="127"/>
  <c r="AS28" i="127"/>
  <c r="AR28" i="127"/>
  <c r="AQ28" i="127"/>
  <c r="AN28" i="127"/>
  <c r="AK28" i="127"/>
  <c r="W28" i="127"/>
  <c r="V28" i="127"/>
  <c r="U28" i="127"/>
  <c r="T28" i="127"/>
  <c r="S28" i="127"/>
  <c r="CV26" i="127"/>
  <c r="CS26" i="127"/>
  <c r="CR26" i="127"/>
  <c r="BY26" i="127"/>
  <c r="BX26" i="127"/>
  <c r="BW26" i="127"/>
  <c r="BV26" i="127"/>
  <c r="BU26" i="127"/>
  <c r="BT26" i="127"/>
  <c r="BS26" i="127"/>
  <c r="BR26" i="127"/>
  <c r="BQ26" i="127"/>
  <c r="BP26" i="127"/>
  <c r="BO26" i="127"/>
  <c r="BN26" i="127"/>
  <c r="BG26" i="127"/>
  <c r="BF26" i="127"/>
  <c r="BE26" i="127"/>
  <c r="BD26" i="127"/>
  <c r="BC26" i="127"/>
  <c r="BB26" i="127"/>
  <c r="BA26" i="127"/>
  <c r="AZ26" i="127"/>
  <c r="AY26" i="127"/>
  <c r="AX26" i="127"/>
  <c r="AW26" i="127"/>
  <c r="AV26" i="127"/>
  <c r="AJ26" i="127"/>
  <c r="AI26" i="127"/>
  <c r="AH26" i="127"/>
  <c r="AG26" i="127"/>
  <c r="AF26" i="127"/>
  <c r="AE26" i="127"/>
  <c r="AD26" i="127"/>
  <c r="AC26" i="127"/>
  <c r="AB26" i="127"/>
  <c r="AA26" i="127"/>
  <c r="Z26" i="127"/>
  <c r="Y26" i="127"/>
  <c r="R26" i="127"/>
  <c r="Q26" i="127"/>
  <c r="P26" i="127"/>
  <c r="O26" i="127"/>
  <c r="N26" i="127"/>
  <c r="M26" i="127"/>
  <c r="L26" i="127"/>
  <c r="K26" i="127"/>
  <c r="J26" i="127"/>
  <c r="I26" i="127"/>
  <c r="H26" i="127"/>
  <c r="G26" i="127"/>
  <c r="CW25" i="127"/>
  <c r="CU25" i="127"/>
  <c r="CQ25" i="127"/>
  <c r="CP25" i="127"/>
  <c r="CO25" i="127"/>
  <c r="CN25" i="127"/>
  <c r="CM25" i="127"/>
  <c r="CL25" i="127"/>
  <c r="CK25" i="127"/>
  <c r="CJ25" i="127"/>
  <c r="CD25" i="127"/>
  <c r="CC25" i="127"/>
  <c r="CB25" i="127"/>
  <c r="CA25" i="127"/>
  <c r="BZ25" i="127"/>
  <c r="BL25" i="127"/>
  <c r="BK25" i="127"/>
  <c r="BJ25" i="127"/>
  <c r="BI25" i="127"/>
  <c r="BH25" i="127"/>
  <c r="AT25" i="127"/>
  <c r="AS25" i="127"/>
  <c r="AR25" i="127"/>
  <c r="AQ25" i="127"/>
  <c r="AN25" i="127"/>
  <c r="AK25" i="127"/>
  <c r="W25" i="127"/>
  <c r="V25" i="127"/>
  <c r="U25" i="127"/>
  <c r="T25" i="127"/>
  <c r="S25" i="127"/>
  <c r="CW24" i="127"/>
  <c r="CU24" i="127"/>
  <c r="CQ24" i="127"/>
  <c r="CP24" i="127"/>
  <c r="CO24" i="127"/>
  <c r="CN24" i="127"/>
  <c r="CM24" i="127"/>
  <c r="CL24" i="127"/>
  <c r="CK24" i="127"/>
  <c r="CJ24" i="127"/>
  <c r="CD24" i="127"/>
  <c r="CC24" i="127"/>
  <c r="CB24" i="127"/>
  <c r="CA24" i="127"/>
  <c r="BZ24" i="127"/>
  <c r="BL24" i="127"/>
  <c r="BK24" i="127"/>
  <c r="BJ24" i="127"/>
  <c r="BI24" i="127"/>
  <c r="BH24" i="127"/>
  <c r="AT24" i="127"/>
  <c r="AS24" i="127"/>
  <c r="AR24" i="127"/>
  <c r="AQ24" i="127"/>
  <c r="AN24" i="127"/>
  <c r="AK24" i="127"/>
  <c r="W24" i="127"/>
  <c r="V24" i="127"/>
  <c r="U24" i="127"/>
  <c r="T24" i="127"/>
  <c r="S24" i="127"/>
  <c r="CW23" i="127"/>
  <c r="CU23" i="127"/>
  <c r="CQ23" i="127"/>
  <c r="CP23" i="127"/>
  <c r="CO23" i="127"/>
  <c r="CN23" i="127"/>
  <c r="CM23" i="127"/>
  <c r="CL23" i="127"/>
  <c r="CK23" i="127"/>
  <c r="CJ23" i="127"/>
  <c r="CD23" i="127"/>
  <c r="CC23" i="127"/>
  <c r="CB23" i="127"/>
  <c r="CA23" i="127"/>
  <c r="BZ23" i="127"/>
  <c r="BL23" i="127"/>
  <c r="BK23" i="127"/>
  <c r="BJ23" i="127"/>
  <c r="BI23" i="127"/>
  <c r="BH23" i="127"/>
  <c r="AT23" i="127"/>
  <c r="AS23" i="127"/>
  <c r="AR23" i="127"/>
  <c r="AQ23" i="127"/>
  <c r="AN23" i="127"/>
  <c r="AK23" i="127"/>
  <c r="W23" i="127"/>
  <c r="V23" i="127"/>
  <c r="U23" i="127"/>
  <c r="T23" i="127"/>
  <c r="S23" i="127"/>
  <c r="CW22" i="127"/>
  <c r="CU22" i="127"/>
  <c r="CQ22" i="127"/>
  <c r="CP22" i="127"/>
  <c r="CO22" i="127"/>
  <c r="CN22" i="127"/>
  <c r="CM22" i="127"/>
  <c r="CL22" i="127"/>
  <c r="CK22" i="127"/>
  <c r="CJ22" i="127"/>
  <c r="CD22" i="127"/>
  <c r="CC22" i="127"/>
  <c r="CB22" i="127"/>
  <c r="CA22" i="127"/>
  <c r="BZ22" i="127"/>
  <c r="BL22" i="127"/>
  <c r="BK22" i="127"/>
  <c r="BJ22" i="127"/>
  <c r="BI22" i="127"/>
  <c r="BH22" i="127"/>
  <c r="AT22" i="127"/>
  <c r="AS22" i="127"/>
  <c r="AR22" i="127"/>
  <c r="AQ22" i="127"/>
  <c r="AN22" i="127"/>
  <c r="AK22" i="127"/>
  <c r="W22" i="127"/>
  <c r="V22" i="127"/>
  <c r="U22" i="127"/>
  <c r="T22" i="127"/>
  <c r="S22" i="127"/>
  <c r="CW21" i="127"/>
  <c r="CU21" i="127"/>
  <c r="CQ21" i="127"/>
  <c r="CP21" i="127"/>
  <c r="CO21" i="127"/>
  <c r="CN21" i="127"/>
  <c r="CM21" i="127"/>
  <c r="CL21" i="127"/>
  <c r="CK21" i="127"/>
  <c r="CJ21" i="127"/>
  <c r="CD21" i="127"/>
  <c r="CC21" i="127"/>
  <c r="CB21" i="127"/>
  <c r="CA21" i="127"/>
  <c r="BZ21" i="127"/>
  <c r="BL21" i="127"/>
  <c r="BK21" i="127"/>
  <c r="BJ21" i="127"/>
  <c r="BI21" i="127"/>
  <c r="BH21" i="127"/>
  <c r="AT21" i="127"/>
  <c r="AS21" i="127"/>
  <c r="AR21" i="127"/>
  <c r="AQ21" i="127"/>
  <c r="AN21" i="127"/>
  <c r="AK21" i="127"/>
  <c r="W21" i="127"/>
  <c r="V21" i="127"/>
  <c r="U21" i="127"/>
  <c r="T21" i="127"/>
  <c r="S21" i="127"/>
  <c r="CW20" i="127"/>
  <c r="CU20" i="127"/>
  <c r="CQ20" i="127"/>
  <c r="CP20" i="127"/>
  <c r="CO20" i="127"/>
  <c r="CN20" i="127"/>
  <c r="CM20" i="127"/>
  <c r="CL20" i="127"/>
  <c r="CK20" i="127"/>
  <c r="CJ20" i="127"/>
  <c r="CD20" i="127"/>
  <c r="CC20" i="127"/>
  <c r="CB20" i="127"/>
  <c r="CA20" i="127"/>
  <c r="BZ20" i="127"/>
  <c r="BL20" i="127"/>
  <c r="BK20" i="127"/>
  <c r="BJ20" i="127"/>
  <c r="BI20" i="127"/>
  <c r="BH20" i="127"/>
  <c r="AT20" i="127"/>
  <c r="AS20" i="127"/>
  <c r="AR20" i="127"/>
  <c r="AQ20" i="127"/>
  <c r="AN20" i="127"/>
  <c r="AK20" i="127"/>
  <c r="W20" i="127"/>
  <c r="V20" i="127"/>
  <c r="U20" i="127"/>
  <c r="T20" i="127"/>
  <c r="S20" i="127"/>
  <c r="CW19" i="127"/>
  <c r="CU19" i="127"/>
  <c r="CQ19" i="127"/>
  <c r="CQ26" i="127" s="1"/>
  <c r="CP19" i="127"/>
  <c r="CO19" i="127"/>
  <c r="CN19" i="127"/>
  <c r="CM19" i="127"/>
  <c r="CL19" i="127"/>
  <c r="CK19" i="127"/>
  <c r="CJ19" i="127"/>
  <c r="CD19" i="127"/>
  <c r="CD26" i="127" s="1"/>
  <c r="CC19" i="127"/>
  <c r="CB19" i="127"/>
  <c r="CA19" i="127"/>
  <c r="BZ19" i="127"/>
  <c r="BL19" i="127"/>
  <c r="BK19" i="127"/>
  <c r="BJ19" i="127"/>
  <c r="BI19" i="127"/>
  <c r="BH19" i="127"/>
  <c r="AT19" i="127"/>
  <c r="AS19" i="127"/>
  <c r="AR19" i="127"/>
  <c r="AQ19" i="127"/>
  <c r="AN19" i="127"/>
  <c r="AK19" i="127"/>
  <c r="W19" i="127"/>
  <c r="V19" i="127"/>
  <c r="U19" i="127"/>
  <c r="T19" i="127"/>
  <c r="S19" i="127"/>
  <c r="CV17" i="127"/>
  <c r="CV130" i="127" s="1"/>
  <c r="CS17" i="127"/>
  <c r="CR17" i="127"/>
  <c r="BY17" i="127"/>
  <c r="BY104" i="127" s="1"/>
  <c r="BX17" i="127"/>
  <c r="BW17" i="127"/>
  <c r="BV17" i="127"/>
  <c r="BU17" i="127"/>
  <c r="BT17" i="127"/>
  <c r="BS17" i="127"/>
  <c r="BR17" i="127"/>
  <c r="BQ17" i="127"/>
  <c r="BQ104" i="127" s="1"/>
  <c r="BP17" i="127"/>
  <c r="BO17" i="127"/>
  <c r="BN17" i="127"/>
  <c r="BG17" i="127"/>
  <c r="BF17" i="127"/>
  <c r="BE17" i="127"/>
  <c r="BD17" i="127"/>
  <c r="BC17" i="127"/>
  <c r="BC130" i="127" s="1"/>
  <c r="BB17" i="127"/>
  <c r="BA17" i="127"/>
  <c r="AZ17" i="127"/>
  <c r="AY17" i="127"/>
  <c r="AX17" i="127"/>
  <c r="AW17" i="127"/>
  <c r="AV17" i="127"/>
  <c r="AJ17" i="127"/>
  <c r="AI17" i="127"/>
  <c r="AH17" i="127"/>
  <c r="AG17" i="127"/>
  <c r="AF17" i="127"/>
  <c r="AE17" i="127"/>
  <c r="AD17" i="127"/>
  <c r="AC17" i="127"/>
  <c r="AB17" i="127"/>
  <c r="AB104" i="127" s="1"/>
  <c r="AA17" i="127"/>
  <c r="AA130" i="127" s="1"/>
  <c r="Z17" i="127"/>
  <c r="Y17" i="127"/>
  <c r="R17" i="127"/>
  <c r="Q17" i="127"/>
  <c r="P17" i="127"/>
  <c r="O17" i="127"/>
  <c r="N17" i="127"/>
  <c r="M17" i="127"/>
  <c r="L17" i="127"/>
  <c r="K17" i="127"/>
  <c r="J17" i="127"/>
  <c r="I17" i="127"/>
  <c r="H17" i="127"/>
  <c r="G17" i="127"/>
  <c r="CW16" i="127"/>
  <c r="CW213" i="127" s="1"/>
  <c r="CU16" i="127"/>
  <c r="CU213" i="127" s="1"/>
  <c r="CQ16" i="127"/>
  <c r="CQ213" i="127" s="1"/>
  <c r="CP16" i="127"/>
  <c r="CP213" i="127" s="1"/>
  <c r="CO16" i="127"/>
  <c r="CO213" i="127" s="1"/>
  <c r="CN16" i="127"/>
  <c r="CN213" i="127" s="1"/>
  <c r="CM16" i="127"/>
  <c r="CM213" i="127" s="1"/>
  <c r="CL16" i="127"/>
  <c r="CL213" i="127" s="1"/>
  <c r="CK16" i="127"/>
  <c r="CK213" i="127" s="1"/>
  <c r="CJ16" i="127"/>
  <c r="CJ213" i="127" s="1"/>
  <c r="CD16" i="127"/>
  <c r="CD213" i="127" s="1"/>
  <c r="CC16" i="127"/>
  <c r="CC213" i="127" s="1"/>
  <c r="CB16" i="127"/>
  <c r="CB213" i="127" s="1"/>
  <c r="CA16" i="127"/>
  <c r="CA213" i="127" s="1"/>
  <c r="BZ16" i="127"/>
  <c r="BZ213" i="127" s="1"/>
  <c r="BL16" i="127"/>
  <c r="BL213" i="127" s="1"/>
  <c r="BK16" i="127"/>
  <c r="BK213" i="127" s="1"/>
  <c r="BJ16" i="127"/>
  <c r="BJ213" i="127" s="1"/>
  <c r="BI16" i="127"/>
  <c r="BI213" i="127" s="1"/>
  <c r="BH16" i="127"/>
  <c r="BH213" i="127" s="1"/>
  <c r="AT16" i="127"/>
  <c r="AT213" i="127" s="1"/>
  <c r="AS16" i="127"/>
  <c r="AS213" i="127" s="1"/>
  <c r="AR16" i="127"/>
  <c r="AR213" i="127" s="1"/>
  <c r="AQ16" i="127"/>
  <c r="AQ213" i="127" s="1"/>
  <c r="AN16" i="127"/>
  <c r="AK16" i="127"/>
  <c r="AK213" i="127" s="1"/>
  <c r="W16" i="127"/>
  <c r="W213" i="127" s="1"/>
  <c r="V16" i="127"/>
  <c r="V213" i="127" s="1"/>
  <c r="U16" i="127"/>
  <c r="U213" i="127" s="1"/>
  <c r="T16" i="127"/>
  <c r="T213" i="127" s="1"/>
  <c r="S16" i="127"/>
  <c r="S213" i="127" s="1"/>
  <c r="CW15" i="127"/>
  <c r="CW222" i="127" s="1"/>
  <c r="CU15" i="127"/>
  <c r="CU222" i="127" s="1"/>
  <c r="CQ15" i="127"/>
  <c r="CQ222" i="127" s="1"/>
  <c r="CP15" i="127"/>
  <c r="CP222" i="127" s="1"/>
  <c r="CO15" i="127"/>
  <c r="CO222" i="127" s="1"/>
  <c r="CN15" i="127"/>
  <c r="CN222" i="127" s="1"/>
  <c r="CM15" i="127"/>
  <c r="CM222" i="127" s="1"/>
  <c r="CL15" i="127"/>
  <c r="CL222" i="127" s="1"/>
  <c r="CK15" i="127"/>
  <c r="CK222" i="127" s="1"/>
  <c r="CJ15" i="127"/>
  <c r="CJ222" i="127" s="1"/>
  <c r="CD15" i="127"/>
  <c r="CD222" i="127" s="1"/>
  <c r="CC15" i="127"/>
  <c r="CC222" i="127" s="1"/>
  <c r="CB15" i="127"/>
  <c r="CB222" i="127" s="1"/>
  <c r="CA15" i="127"/>
  <c r="CA222" i="127" s="1"/>
  <c r="BZ15" i="127"/>
  <c r="BZ222" i="127" s="1"/>
  <c r="BL15" i="127"/>
  <c r="BL222" i="127" s="1"/>
  <c r="BK15" i="127"/>
  <c r="BK222" i="127" s="1"/>
  <c r="BJ15" i="127"/>
  <c r="BJ222" i="127" s="1"/>
  <c r="BI15" i="127"/>
  <c r="BI222" i="127" s="1"/>
  <c r="BH15" i="127"/>
  <c r="BH222" i="127" s="1"/>
  <c r="AT15" i="127"/>
  <c r="AT222" i="127" s="1"/>
  <c r="AS15" i="127"/>
  <c r="AS222" i="127" s="1"/>
  <c r="AR15" i="127"/>
  <c r="AR222" i="127" s="1"/>
  <c r="AQ15" i="127"/>
  <c r="AQ222" i="127" s="1"/>
  <c r="AN15" i="127"/>
  <c r="AK15" i="127"/>
  <c r="W15" i="127"/>
  <c r="W222" i="127" s="1"/>
  <c r="V15" i="127"/>
  <c r="V222" i="127" s="1"/>
  <c r="U15" i="127"/>
  <c r="U222" i="127" s="1"/>
  <c r="T15" i="127"/>
  <c r="T222" i="127" s="1"/>
  <c r="S15" i="127"/>
  <c r="S222" i="127" s="1"/>
  <c r="CW14" i="127"/>
  <c r="CU14" i="127"/>
  <c r="CQ14" i="127"/>
  <c r="CP14" i="127"/>
  <c r="CO14" i="127"/>
  <c r="CN14" i="127"/>
  <c r="CM14" i="127"/>
  <c r="CL14" i="127"/>
  <c r="CK14" i="127"/>
  <c r="CJ14" i="127"/>
  <c r="CD14" i="127"/>
  <c r="CC14" i="127"/>
  <c r="CB14" i="127"/>
  <c r="CA14" i="127"/>
  <c r="BZ14" i="127"/>
  <c r="BL14" i="127"/>
  <c r="BK14" i="127"/>
  <c r="BJ14" i="127"/>
  <c r="BI14" i="127"/>
  <c r="BH14" i="127"/>
  <c r="AT14" i="127"/>
  <c r="AS14" i="127"/>
  <c r="AR14" i="127"/>
  <c r="AQ14" i="127"/>
  <c r="AN14" i="127"/>
  <c r="AK14" i="127"/>
  <c r="W14" i="127"/>
  <c r="V14" i="127"/>
  <c r="U14" i="127"/>
  <c r="T14" i="127"/>
  <c r="S14" i="127"/>
  <c r="CW13" i="127"/>
  <c r="CU13" i="127"/>
  <c r="CQ13" i="127"/>
  <c r="CP13" i="127"/>
  <c r="CO13" i="127"/>
  <c r="CO195" i="127" s="1"/>
  <c r="CN13" i="127"/>
  <c r="CN195" i="127" s="1"/>
  <c r="CM13" i="127"/>
  <c r="CM195" i="127" s="1"/>
  <c r="CL13" i="127"/>
  <c r="CK13" i="127"/>
  <c r="CJ13" i="127"/>
  <c r="CD13" i="127"/>
  <c r="CC13" i="127"/>
  <c r="CB13" i="127"/>
  <c r="CB195" i="127" s="1"/>
  <c r="CB233" i="127" s="1"/>
  <c r="CA13" i="127"/>
  <c r="BZ13" i="127"/>
  <c r="BL13" i="127"/>
  <c r="BK13" i="127"/>
  <c r="BJ13" i="127"/>
  <c r="BI13" i="127"/>
  <c r="BH13" i="127"/>
  <c r="AT13" i="127"/>
  <c r="AT195" i="127" s="1"/>
  <c r="AS13" i="127"/>
  <c r="AS195" i="127" s="1"/>
  <c r="AR13" i="127"/>
  <c r="AR195" i="127" s="1"/>
  <c r="AQ13" i="127"/>
  <c r="AN13" i="127"/>
  <c r="AK13" i="127"/>
  <c r="W13" i="127"/>
  <c r="V13" i="127"/>
  <c r="U13" i="127"/>
  <c r="U195" i="127" s="1"/>
  <c r="U233" i="127" s="1"/>
  <c r="T13" i="127"/>
  <c r="S13" i="127"/>
  <c r="CW12" i="127"/>
  <c r="CU12" i="127"/>
  <c r="CQ12" i="127"/>
  <c r="CP12" i="127"/>
  <c r="CO12" i="127"/>
  <c r="CN12" i="127"/>
  <c r="CM12" i="127"/>
  <c r="CL12" i="127"/>
  <c r="CK12" i="127"/>
  <c r="CJ12" i="127"/>
  <c r="CD12" i="127"/>
  <c r="CC12" i="127"/>
  <c r="CB12" i="127"/>
  <c r="CA12" i="127"/>
  <c r="BZ12" i="127"/>
  <c r="BL12" i="127"/>
  <c r="BK12" i="127"/>
  <c r="BJ12" i="127"/>
  <c r="BI12" i="127"/>
  <c r="BH12" i="127"/>
  <c r="AT12" i="127"/>
  <c r="AS12" i="127"/>
  <c r="AR12" i="127"/>
  <c r="AQ12" i="127"/>
  <c r="AN12" i="127"/>
  <c r="AK12" i="127"/>
  <c r="W12" i="127"/>
  <c r="V12" i="127"/>
  <c r="U12" i="127"/>
  <c r="T12" i="127"/>
  <c r="S12" i="127"/>
  <c r="CW11" i="127"/>
  <c r="CU11" i="127"/>
  <c r="CQ11" i="127"/>
  <c r="CP11" i="127"/>
  <c r="CO11" i="127"/>
  <c r="CN11" i="127"/>
  <c r="CM11" i="127"/>
  <c r="CL11" i="127"/>
  <c r="CK11" i="127"/>
  <c r="CJ11" i="127"/>
  <c r="CD11" i="127"/>
  <c r="CC11" i="127"/>
  <c r="CB11" i="127"/>
  <c r="CA11" i="127"/>
  <c r="BZ11" i="127"/>
  <c r="BL11" i="127"/>
  <c r="BK11" i="127"/>
  <c r="BJ11" i="127"/>
  <c r="BI11" i="127"/>
  <c r="BH11" i="127"/>
  <c r="AT11" i="127"/>
  <c r="AS11" i="127"/>
  <c r="AR11" i="127"/>
  <c r="AQ11" i="127"/>
  <c r="AN11" i="127"/>
  <c r="AK11" i="127"/>
  <c r="W11" i="127"/>
  <c r="V11" i="127"/>
  <c r="U11" i="127"/>
  <c r="T11" i="127"/>
  <c r="S11" i="127"/>
  <c r="CW10" i="127"/>
  <c r="CU10" i="127"/>
  <c r="CQ10" i="127"/>
  <c r="CP10" i="127"/>
  <c r="CO10" i="127"/>
  <c r="CN10" i="127"/>
  <c r="CM10" i="127"/>
  <c r="CL10" i="127"/>
  <c r="CK10" i="127"/>
  <c r="CJ10" i="127"/>
  <c r="CD10" i="127"/>
  <c r="CC10" i="127"/>
  <c r="CB10" i="127"/>
  <c r="CA10" i="127"/>
  <c r="BZ10" i="127"/>
  <c r="BL10" i="127"/>
  <c r="BK10" i="127"/>
  <c r="BJ10" i="127"/>
  <c r="BI10" i="127"/>
  <c r="BH10" i="127"/>
  <c r="AT10" i="127"/>
  <c r="AS10" i="127"/>
  <c r="AR10" i="127"/>
  <c r="AQ10" i="127"/>
  <c r="AN10" i="127"/>
  <c r="AK10" i="127"/>
  <c r="W10" i="127"/>
  <c r="V10" i="127"/>
  <c r="U10" i="127"/>
  <c r="T10" i="127"/>
  <c r="S10" i="127"/>
  <c r="CW9" i="127"/>
  <c r="CU9" i="127"/>
  <c r="CQ9" i="127"/>
  <c r="CP9" i="127"/>
  <c r="CO9" i="127"/>
  <c r="CN9" i="127"/>
  <c r="CM9" i="127"/>
  <c r="CL9" i="127"/>
  <c r="CK9" i="127"/>
  <c r="CJ9" i="127"/>
  <c r="CD9" i="127"/>
  <c r="CC9" i="127"/>
  <c r="CB9" i="127"/>
  <c r="CA9" i="127"/>
  <c r="BZ9" i="127"/>
  <c r="BL9" i="127"/>
  <c r="BK9" i="127"/>
  <c r="BJ9" i="127"/>
  <c r="BI9" i="127"/>
  <c r="BH9" i="127"/>
  <c r="AT9" i="127"/>
  <c r="AS9" i="127"/>
  <c r="AR9" i="127"/>
  <c r="AQ9" i="127"/>
  <c r="AN9" i="127"/>
  <c r="AK9" i="127"/>
  <c r="W9" i="127"/>
  <c r="V9" i="127"/>
  <c r="U9" i="127"/>
  <c r="T9" i="127"/>
  <c r="S9" i="127"/>
  <c r="CW8" i="127"/>
  <c r="CU8" i="127"/>
  <c r="CQ8" i="127"/>
  <c r="CP8" i="127"/>
  <c r="CO8" i="127"/>
  <c r="CN8" i="127"/>
  <c r="CM8" i="127"/>
  <c r="CL8" i="127"/>
  <c r="CK8" i="127"/>
  <c r="CJ8" i="127"/>
  <c r="CD8" i="127"/>
  <c r="CC8" i="127"/>
  <c r="CB8" i="127"/>
  <c r="CA8" i="127"/>
  <c r="BZ8" i="127"/>
  <c r="BL8" i="127"/>
  <c r="BK8" i="127"/>
  <c r="BJ8" i="127"/>
  <c r="BI8" i="127"/>
  <c r="BH8" i="127"/>
  <c r="AT8" i="127"/>
  <c r="AS8" i="127"/>
  <c r="AR8" i="127"/>
  <c r="AQ8" i="127"/>
  <c r="AN8" i="127"/>
  <c r="AK8" i="127"/>
  <c r="W8" i="127"/>
  <c r="V8" i="127"/>
  <c r="U8" i="127"/>
  <c r="T8" i="127"/>
  <c r="S8" i="127"/>
  <c r="CW7" i="127"/>
  <c r="CU7" i="127"/>
  <c r="CQ7" i="127"/>
  <c r="CP7" i="127"/>
  <c r="CO7" i="127"/>
  <c r="CN7" i="127"/>
  <c r="CM7" i="127"/>
  <c r="CL7" i="127"/>
  <c r="CK7" i="127"/>
  <c r="CJ7" i="127"/>
  <c r="CD7" i="127"/>
  <c r="CC7" i="127"/>
  <c r="CB7" i="127"/>
  <c r="CA7" i="127"/>
  <c r="BZ7" i="127"/>
  <c r="BL7" i="127"/>
  <c r="BK7" i="127"/>
  <c r="BJ7" i="127"/>
  <c r="BI7" i="127"/>
  <c r="BH7" i="127"/>
  <c r="AT7" i="127"/>
  <c r="AS7" i="127"/>
  <c r="AR7" i="127"/>
  <c r="AQ7" i="127"/>
  <c r="AN7" i="127"/>
  <c r="AK7" i="127"/>
  <c r="W7" i="127"/>
  <c r="V7" i="127"/>
  <c r="U7" i="127"/>
  <c r="T7" i="127"/>
  <c r="S7" i="127"/>
  <c r="CW6" i="127"/>
  <c r="CU6" i="127"/>
  <c r="CQ6" i="127"/>
  <c r="CP6" i="127"/>
  <c r="CP17" i="127" s="1"/>
  <c r="CO6" i="127"/>
  <c r="CN6" i="127"/>
  <c r="CM6" i="127"/>
  <c r="CL6" i="127"/>
  <c r="CK6" i="127"/>
  <c r="CJ6" i="127"/>
  <c r="CD6" i="127"/>
  <c r="CC6" i="127"/>
  <c r="CC17" i="127" s="1"/>
  <c r="CB6" i="127"/>
  <c r="CA6" i="127"/>
  <c r="BZ6" i="127"/>
  <c r="BL6" i="127"/>
  <c r="BK6" i="127"/>
  <c r="BJ6" i="127"/>
  <c r="BI6" i="127"/>
  <c r="BH6" i="127"/>
  <c r="AT6" i="127"/>
  <c r="AS6" i="127"/>
  <c r="AR6" i="127"/>
  <c r="AQ6" i="127"/>
  <c r="AN6" i="127"/>
  <c r="AK6" i="127"/>
  <c r="W6" i="127"/>
  <c r="V6" i="127"/>
  <c r="V17" i="127" s="1"/>
  <c r="U6" i="127"/>
  <c r="T6" i="127"/>
  <c r="S6" i="127"/>
  <c r="CD5" i="127"/>
  <c r="CC5" i="127"/>
  <c r="CB5" i="127"/>
  <c r="CA5" i="127"/>
  <c r="BZ5" i="127"/>
  <c r="BL5" i="127"/>
  <c r="BK5" i="127"/>
  <c r="BJ5" i="127"/>
  <c r="BI5" i="127"/>
  <c r="BH5" i="127"/>
  <c r="AT5" i="127"/>
  <c r="AS5" i="127"/>
  <c r="AR5" i="127"/>
  <c r="AQ5" i="127"/>
  <c r="AK5" i="127"/>
  <c r="W5" i="127"/>
  <c r="V5" i="127"/>
  <c r="U5" i="127"/>
  <c r="T5" i="127"/>
  <c r="S5" i="127"/>
  <c r="BW4" i="127"/>
  <c r="BT4" i="127"/>
  <c r="BU4" i="127" s="1"/>
  <c r="U140" i="110"/>
  <c r="V140" i="110" s="1"/>
  <c r="U139" i="110"/>
  <c r="V139" i="110" s="1"/>
  <c r="U138" i="110"/>
  <c r="V138" i="110" s="1"/>
  <c r="U137" i="110"/>
  <c r="V137" i="110" s="1"/>
  <c r="U136" i="110"/>
  <c r="V136" i="110" s="1"/>
  <c r="V135" i="110"/>
  <c r="U135" i="110"/>
  <c r="U126" i="110"/>
  <c r="V126" i="110" s="1"/>
  <c r="U125" i="110"/>
  <c r="V125" i="110" s="1"/>
  <c r="U124" i="110"/>
  <c r="V124" i="110" s="1"/>
  <c r="U123" i="110"/>
  <c r="V123" i="110" s="1"/>
  <c r="V122" i="110"/>
  <c r="U122" i="110"/>
  <c r="U121" i="110"/>
  <c r="V121" i="110" s="1"/>
  <c r="U120" i="110"/>
  <c r="V120" i="110" s="1"/>
  <c r="U119" i="110"/>
  <c r="V119" i="110" s="1"/>
  <c r="U118" i="110"/>
  <c r="V118" i="110" s="1"/>
  <c r="V117" i="110"/>
  <c r="U117" i="110"/>
  <c r="U116" i="110"/>
  <c r="V116" i="110" s="1"/>
  <c r="U115" i="110"/>
  <c r="V115" i="110" s="1"/>
  <c r="U114" i="110"/>
  <c r="V114" i="110" s="1"/>
  <c r="U113" i="110"/>
  <c r="V113" i="110" s="1"/>
  <c r="U111" i="110"/>
  <c r="N111" i="110"/>
  <c r="O111" i="110" s="1"/>
  <c r="U110" i="110"/>
  <c r="O110" i="110"/>
  <c r="U109" i="110"/>
  <c r="O109" i="110"/>
  <c r="U108" i="110"/>
  <c r="O108" i="110"/>
  <c r="U107" i="110"/>
  <c r="U106" i="110"/>
  <c r="O106" i="110"/>
  <c r="N106" i="110"/>
  <c r="U105" i="110"/>
  <c r="O105" i="110"/>
  <c r="U104" i="110"/>
  <c r="O104" i="110"/>
  <c r="O103" i="110"/>
  <c r="E101" i="110"/>
  <c r="U100" i="110"/>
  <c r="V100" i="110" s="1"/>
  <c r="O100" i="110"/>
  <c r="U99" i="110"/>
  <c r="V99" i="110" s="1"/>
  <c r="O99" i="110"/>
  <c r="O98" i="110"/>
  <c r="O97" i="110"/>
  <c r="V96" i="110"/>
  <c r="U96" i="110"/>
  <c r="O96" i="110"/>
  <c r="N96" i="110"/>
  <c r="U95" i="110"/>
  <c r="V95" i="110" s="1"/>
  <c r="O95" i="110"/>
  <c r="U94" i="110"/>
  <c r="V94" i="110" s="1"/>
  <c r="O94" i="110"/>
  <c r="V93" i="110"/>
  <c r="U93" i="110"/>
  <c r="O93" i="110"/>
  <c r="O92" i="110"/>
  <c r="O91" i="110"/>
  <c r="N90" i="110"/>
  <c r="O90" i="110" s="1"/>
  <c r="U89" i="110"/>
  <c r="V89" i="110" s="1"/>
  <c r="O89" i="110"/>
  <c r="U88" i="110"/>
  <c r="V88" i="110" s="1"/>
  <c r="O88" i="110"/>
  <c r="U87" i="110"/>
  <c r="V87" i="110" s="1"/>
  <c r="O87" i="110"/>
  <c r="U86" i="110"/>
  <c r="V86" i="110" s="1"/>
  <c r="O86" i="110"/>
  <c r="V85" i="110"/>
  <c r="U85" i="110"/>
  <c r="O85" i="110"/>
  <c r="V84" i="110"/>
  <c r="U84" i="110"/>
  <c r="O84" i="110"/>
  <c r="U83" i="110"/>
  <c r="V83" i="110" s="1"/>
  <c r="O83" i="110"/>
  <c r="U82" i="110"/>
  <c r="V82" i="110" s="1"/>
  <c r="O82" i="110"/>
  <c r="U81" i="110"/>
  <c r="V81" i="110" s="1"/>
  <c r="O81" i="110"/>
  <c r="U80" i="110"/>
  <c r="V80" i="110" s="1"/>
  <c r="O80" i="110"/>
  <c r="U79" i="110"/>
  <c r="V79" i="110" s="1"/>
  <c r="O79" i="110"/>
  <c r="U78" i="110"/>
  <c r="V78" i="110" s="1"/>
  <c r="O78" i="110"/>
  <c r="V77" i="110"/>
  <c r="U77" i="110"/>
  <c r="O77" i="110"/>
  <c r="V76" i="110"/>
  <c r="U76" i="110"/>
  <c r="O76" i="110"/>
  <c r="V75" i="110"/>
  <c r="U75" i="110"/>
  <c r="O75" i="110"/>
  <c r="O74" i="110"/>
  <c r="N73" i="110"/>
  <c r="O73" i="110" s="1"/>
  <c r="U72" i="110"/>
  <c r="V72" i="110" s="1"/>
  <c r="R72" i="110"/>
  <c r="O72" i="110"/>
  <c r="U71" i="110"/>
  <c r="V71" i="110" s="1"/>
  <c r="R71" i="110"/>
  <c r="O71" i="110"/>
  <c r="U70" i="110"/>
  <c r="V70" i="110" s="1"/>
  <c r="R70" i="110"/>
  <c r="O70" i="110"/>
  <c r="V69" i="110"/>
  <c r="U69" i="110"/>
  <c r="R69" i="110"/>
  <c r="O69" i="110"/>
  <c r="U68" i="110"/>
  <c r="V68" i="110" s="1"/>
  <c r="R68" i="110"/>
  <c r="O68" i="110"/>
  <c r="U67" i="110"/>
  <c r="V67" i="110" s="1"/>
  <c r="R67" i="110"/>
  <c r="O67" i="110"/>
  <c r="U66" i="110"/>
  <c r="V66" i="110" s="1"/>
  <c r="R66" i="110"/>
  <c r="O66" i="110"/>
  <c r="O65" i="110"/>
  <c r="N64" i="110"/>
  <c r="O64" i="110" s="1"/>
  <c r="V63" i="110"/>
  <c r="U63" i="110"/>
  <c r="R63" i="110"/>
  <c r="O63" i="110"/>
  <c r="U62" i="110"/>
  <c r="V62" i="110" s="1"/>
  <c r="R62" i="110"/>
  <c r="O62" i="110"/>
  <c r="U61" i="110"/>
  <c r="V61" i="110" s="1"/>
  <c r="R61" i="110"/>
  <c r="O61" i="110"/>
  <c r="U60" i="110"/>
  <c r="V60" i="110" s="1"/>
  <c r="R60" i="110"/>
  <c r="O60" i="110"/>
  <c r="U59" i="110"/>
  <c r="V59" i="110" s="1"/>
  <c r="R59" i="110"/>
  <c r="O59" i="110"/>
  <c r="U58" i="110"/>
  <c r="V58" i="110" s="1"/>
  <c r="R58" i="110"/>
  <c r="O58" i="110"/>
  <c r="V57" i="110"/>
  <c r="U57" i="110"/>
  <c r="R57" i="110"/>
  <c r="O57" i="110"/>
  <c r="U56" i="110"/>
  <c r="V56" i="110" s="1"/>
  <c r="R56" i="110"/>
  <c r="O56" i="110"/>
  <c r="U55" i="110"/>
  <c r="V55" i="110" s="1"/>
  <c r="R55" i="110"/>
  <c r="O55" i="110"/>
  <c r="U54" i="110"/>
  <c r="V54" i="110" s="1"/>
  <c r="R54" i="110"/>
  <c r="O54" i="110"/>
  <c r="V53" i="110"/>
  <c r="U53" i="110"/>
  <c r="R53" i="110"/>
  <c r="O53" i="110"/>
  <c r="U52" i="110"/>
  <c r="V52" i="110" s="1"/>
  <c r="R52" i="110"/>
  <c r="O52" i="110"/>
  <c r="V51" i="110"/>
  <c r="U51" i="110"/>
  <c r="R51" i="110"/>
  <c r="O51" i="110"/>
  <c r="U50" i="110"/>
  <c r="V50" i="110" s="1"/>
  <c r="R50" i="110"/>
  <c r="O50" i="110"/>
  <c r="U49" i="110"/>
  <c r="V49" i="110" s="1"/>
  <c r="R49" i="110"/>
  <c r="O49" i="110"/>
  <c r="U48" i="110"/>
  <c r="V48" i="110" s="1"/>
  <c r="R48" i="110"/>
  <c r="O48" i="110"/>
  <c r="V47" i="110"/>
  <c r="U47" i="110"/>
  <c r="R47" i="110"/>
  <c r="O47" i="110"/>
  <c r="U46" i="110"/>
  <c r="V46" i="110" s="1"/>
  <c r="R46" i="110"/>
  <c r="O46" i="110"/>
  <c r="U45" i="110"/>
  <c r="V45" i="110" s="1"/>
  <c r="R45" i="110"/>
  <c r="O45" i="110"/>
  <c r="U44" i="110"/>
  <c r="V44" i="110" s="1"/>
  <c r="R44" i="110"/>
  <c r="O44" i="110"/>
  <c r="U43" i="110"/>
  <c r="V43" i="110" s="1"/>
  <c r="R43" i="110"/>
  <c r="O43" i="110"/>
  <c r="U42" i="110"/>
  <c r="V42" i="110" s="1"/>
  <c r="R42" i="110"/>
  <c r="O42" i="110"/>
  <c r="V41" i="110"/>
  <c r="U41" i="110"/>
  <c r="R41" i="110"/>
  <c r="O41" i="110"/>
  <c r="U40" i="110"/>
  <c r="V40" i="110" s="1"/>
  <c r="R40" i="110"/>
  <c r="O40" i="110"/>
  <c r="U39" i="110"/>
  <c r="V39" i="110" s="1"/>
  <c r="R39" i="110"/>
  <c r="O39" i="110"/>
  <c r="U38" i="110"/>
  <c r="V38" i="110" s="1"/>
  <c r="R38" i="110"/>
  <c r="O38" i="110"/>
  <c r="U37" i="110"/>
  <c r="V37" i="110" s="1"/>
  <c r="R37" i="110"/>
  <c r="O37" i="110"/>
  <c r="U36" i="110"/>
  <c r="V36" i="110" s="1"/>
  <c r="R36" i="110"/>
  <c r="O36" i="110"/>
  <c r="U35" i="110"/>
  <c r="V35" i="110" s="1"/>
  <c r="R35" i="110"/>
  <c r="O35" i="110"/>
  <c r="U34" i="110"/>
  <c r="V34" i="110" s="1"/>
  <c r="R34" i="110"/>
  <c r="O34" i="110"/>
  <c r="U33" i="110"/>
  <c r="V33" i="110" s="1"/>
  <c r="R33" i="110"/>
  <c r="O33" i="110"/>
  <c r="U32" i="110"/>
  <c r="V32" i="110" s="1"/>
  <c r="R32" i="110"/>
  <c r="O32" i="110"/>
  <c r="V31" i="110"/>
  <c r="U31" i="110"/>
  <c r="R31" i="110"/>
  <c r="O31" i="110"/>
  <c r="U30" i="110"/>
  <c r="V30" i="110" s="1"/>
  <c r="R30" i="110"/>
  <c r="O30" i="110"/>
  <c r="U29" i="110"/>
  <c r="V29" i="110" s="1"/>
  <c r="R29" i="110"/>
  <c r="O29" i="110"/>
  <c r="U28" i="110"/>
  <c r="V28" i="110" s="1"/>
  <c r="R28" i="110"/>
  <c r="O28" i="110"/>
  <c r="U27" i="110"/>
  <c r="V27" i="110" s="1"/>
  <c r="R27" i="110"/>
  <c r="O27" i="110"/>
  <c r="U26" i="110"/>
  <c r="V26" i="110" s="1"/>
  <c r="R26" i="110"/>
  <c r="O26" i="110"/>
  <c r="V25" i="110"/>
  <c r="U25" i="110"/>
  <c r="R25" i="110"/>
  <c r="O25" i="110"/>
  <c r="O24" i="110"/>
  <c r="N23" i="110"/>
  <c r="O23" i="110" s="1"/>
  <c r="V22" i="110"/>
  <c r="U22" i="110"/>
  <c r="R22" i="110"/>
  <c r="O22" i="110"/>
  <c r="V21" i="110"/>
  <c r="U21" i="110"/>
  <c r="R21" i="110"/>
  <c r="O21" i="110"/>
  <c r="V20" i="110"/>
  <c r="U20" i="110"/>
  <c r="R20" i="110"/>
  <c r="O20" i="110"/>
  <c r="V19" i="110"/>
  <c r="U19" i="110"/>
  <c r="R19" i="110"/>
  <c r="O19" i="110"/>
  <c r="V18" i="110"/>
  <c r="U18" i="110"/>
  <c r="R18" i="110"/>
  <c r="O18" i="110"/>
  <c r="V17" i="110"/>
  <c r="U17" i="110"/>
  <c r="R17" i="110"/>
  <c r="O17" i="110"/>
  <c r="V16" i="110"/>
  <c r="U16" i="110"/>
  <c r="R16" i="110"/>
  <c r="O16" i="110"/>
  <c r="O15" i="110"/>
  <c r="N14" i="110"/>
  <c r="M14" i="110"/>
  <c r="M101" i="110" s="1"/>
  <c r="L14" i="110"/>
  <c r="L101" i="110" s="1"/>
  <c r="K14" i="110"/>
  <c r="K101" i="110" s="1"/>
  <c r="J14" i="110"/>
  <c r="J101" i="110" s="1"/>
  <c r="I14" i="110"/>
  <c r="I101" i="110" s="1"/>
  <c r="H14" i="110"/>
  <c r="H101" i="110" s="1"/>
  <c r="G14" i="110"/>
  <c r="G101" i="110" s="1"/>
  <c r="F14" i="110"/>
  <c r="F101" i="110" s="1"/>
  <c r="E14" i="110"/>
  <c r="D14" i="110"/>
  <c r="D101" i="110" s="1"/>
  <c r="C14" i="110"/>
  <c r="C101" i="110" s="1"/>
  <c r="U13" i="110"/>
  <c r="V13" i="110" s="1"/>
  <c r="R13" i="110"/>
  <c r="O13" i="110"/>
  <c r="V12" i="110"/>
  <c r="U12" i="110"/>
  <c r="R12" i="110"/>
  <c r="O12" i="110"/>
  <c r="U11" i="110"/>
  <c r="V11" i="110" s="1"/>
  <c r="R11" i="110"/>
  <c r="O11" i="110"/>
  <c r="U10" i="110"/>
  <c r="V10" i="110" s="1"/>
  <c r="R10" i="110"/>
  <c r="O10" i="110"/>
  <c r="U9" i="110"/>
  <c r="V9" i="110" s="1"/>
  <c r="R9" i="110"/>
  <c r="O9" i="110"/>
  <c r="U8" i="110"/>
  <c r="V8" i="110" s="1"/>
  <c r="R8" i="110"/>
  <c r="O8" i="110"/>
  <c r="U7" i="110"/>
  <c r="V7" i="110" s="1"/>
  <c r="R7" i="110"/>
  <c r="O7" i="110"/>
  <c r="V6" i="110"/>
  <c r="U6" i="110"/>
  <c r="R6" i="110"/>
  <c r="O6" i="110"/>
  <c r="U5" i="110"/>
  <c r="V5" i="110" s="1"/>
  <c r="R5" i="110"/>
  <c r="O5" i="110"/>
  <c r="U4" i="110"/>
  <c r="V4" i="110" s="1"/>
  <c r="R4" i="110"/>
  <c r="O4" i="110"/>
  <c r="U3" i="110"/>
  <c r="V3" i="110" s="1"/>
  <c r="R3" i="110"/>
  <c r="O3" i="110"/>
  <c r="R141" i="111"/>
  <c r="O141" i="111"/>
  <c r="R140" i="111"/>
  <c r="O140" i="111"/>
  <c r="O139" i="111"/>
  <c r="R139" i="111" s="1"/>
  <c r="R138" i="111"/>
  <c r="O138" i="111"/>
  <c r="R137" i="111"/>
  <c r="O137" i="111"/>
  <c r="O136" i="111"/>
  <c r="R136" i="111" s="1"/>
  <c r="B127" i="111"/>
  <c r="N126" i="111"/>
  <c r="R126" i="111" s="1"/>
  <c r="R125" i="111"/>
  <c r="O125" i="111"/>
  <c r="R124" i="111"/>
  <c r="O124" i="111"/>
  <c r="R123" i="111"/>
  <c r="O123" i="111"/>
  <c r="R122" i="111"/>
  <c r="O122" i="111"/>
  <c r="R121" i="111"/>
  <c r="N121" i="111"/>
  <c r="O121" i="111" s="1"/>
  <c r="R120" i="111"/>
  <c r="O120" i="111"/>
  <c r="R119" i="111"/>
  <c r="O119" i="111"/>
  <c r="R118" i="111"/>
  <c r="O118" i="111"/>
  <c r="R117" i="111"/>
  <c r="O117" i="111"/>
  <c r="R116" i="111"/>
  <c r="O116" i="111"/>
  <c r="R115" i="111"/>
  <c r="O115" i="111"/>
  <c r="R114" i="111"/>
  <c r="O114" i="111"/>
  <c r="R113" i="111"/>
  <c r="O113" i="111"/>
  <c r="N111" i="111"/>
  <c r="R110" i="111"/>
  <c r="O110" i="111"/>
  <c r="R109" i="111"/>
  <c r="O109" i="111"/>
  <c r="R108" i="111"/>
  <c r="O108" i="111"/>
  <c r="O107" i="111"/>
  <c r="O106" i="111"/>
  <c r="N106" i="111"/>
  <c r="R105" i="111"/>
  <c r="O105" i="111"/>
  <c r="R104" i="111"/>
  <c r="O104" i="111"/>
  <c r="R103" i="111"/>
  <c r="O103" i="111"/>
  <c r="O102" i="111"/>
  <c r="N100" i="111"/>
  <c r="O100" i="111" s="1"/>
  <c r="R99" i="111"/>
  <c r="O99" i="111"/>
  <c r="O98" i="111"/>
  <c r="O97" i="111"/>
  <c r="R96" i="111"/>
  <c r="O96" i="111"/>
  <c r="N96" i="111"/>
  <c r="R95" i="111"/>
  <c r="O95" i="111"/>
  <c r="R94" i="111"/>
  <c r="O94" i="111"/>
  <c r="R93" i="111"/>
  <c r="O93" i="111"/>
  <c r="O92" i="111"/>
  <c r="O91" i="111"/>
  <c r="N90" i="111"/>
  <c r="O90" i="111" s="1"/>
  <c r="R89" i="111"/>
  <c r="O89" i="111"/>
  <c r="R88" i="111"/>
  <c r="O88" i="111"/>
  <c r="R87" i="111"/>
  <c r="O87" i="111"/>
  <c r="R86" i="111"/>
  <c r="O86" i="111"/>
  <c r="R85" i="111"/>
  <c r="O85" i="111"/>
  <c r="R84" i="111"/>
  <c r="O84" i="111"/>
  <c r="R83" i="111"/>
  <c r="O83" i="111"/>
  <c r="R82" i="111"/>
  <c r="O82" i="111"/>
  <c r="R81" i="111"/>
  <c r="O81" i="111"/>
  <c r="R80" i="111"/>
  <c r="O80" i="111"/>
  <c r="R79" i="111"/>
  <c r="O79" i="111"/>
  <c r="R78" i="111"/>
  <c r="O78" i="111"/>
  <c r="R77" i="111"/>
  <c r="O77" i="111"/>
  <c r="R76" i="111"/>
  <c r="O76" i="111"/>
  <c r="R75" i="111"/>
  <c r="O75" i="111"/>
  <c r="O74" i="111"/>
  <c r="N73" i="111"/>
  <c r="O73" i="111" s="1"/>
  <c r="S72" i="111"/>
  <c r="R72" i="111"/>
  <c r="O72" i="111"/>
  <c r="S71" i="111"/>
  <c r="R71" i="111"/>
  <c r="O71" i="111"/>
  <c r="S70" i="111"/>
  <c r="R70" i="111"/>
  <c r="O70" i="111"/>
  <c r="S69" i="111"/>
  <c r="R69" i="111"/>
  <c r="O69" i="111"/>
  <c r="S68" i="111"/>
  <c r="R68" i="111"/>
  <c r="O68" i="111"/>
  <c r="S67" i="111"/>
  <c r="R67" i="111"/>
  <c r="O67" i="111"/>
  <c r="S66" i="111"/>
  <c r="R66" i="111"/>
  <c r="O66" i="111"/>
  <c r="O65" i="111"/>
  <c r="N64" i="111"/>
  <c r="O64" i="111" s="1"/>
  <c r="S63" i="111"/>
  <c r="R63" i="111"/>
  <c r="O63" i="111"/>
  <c r="S62" i="111"/>
  <c r="R62" i="111"/>
  <c r="O62" i="111"/>
  <c r="S61" i="111"/>
  <c r="R61" i="111"/>
  <c r="O61" i="111"/>
  <c r="S60" i="111"/>
  <c r="R60" i="111"/>
  <c r="O60" i="111"/>
  <c r="S59" i="111"/>
  <c r="R59" i="111"/>
  <c r="O59" i="111"/>
  <c r="S58" i="111"/>
  <c r="R58" i="111"/>
  <c r="T73" i="111" s="1"/>
  <c r="O58" i="111"/>
  <c r="S57" i="111"/>
  <c r="R57" i="111"/>
  <c r="O57" i="111"/>
  <c r="S56" i="111"/>
  <c r="R56" i="111"/>
  <c r="O56" i="111"/>
  <c r="S55" i="111"/>
  <c r="R55" i="111"/>
  <c r="O55" i="111"/>
  <c r="O54" i="111"/>
  <c r="S53" i="111"/>
  <c r="R53" i="111"/>
  <c r="O53" i="111"/>
  <c r="S52" i="111"/>
  <c r="R52" i="111"/>
  <c r="O52" i="111"/>
  <c r="O51" i="111"/>
  <c r="S50" i="111"/>
  <c r="R50" i="111"/>
  <c r="O50" i="111"/>
  <c r="S49" i="111"/>
  <c r="R49" i="111"/>
  <c r="O49" i="111"/>
  <c r="O48" i="111"/>
  <c r="S47" i="111"/>
  <c r="R47" i="111"/>
  <c r="O47" i="111"/>
  <c r="S46" i="111"/>
  <c r="R46" i="111"/>
  <c r="O46" i="111"/>
  <c r="S45" i="111"/>
  <c r="R45" i="111"/>
  <c r="O45" i="111"/>
  <c r="S44" i="111"/>
  <c r="R44" i="111"/>
  <c r="O44" i="111"/>
  <c r="S43" i="111"/>
  <c r="R43" i="111"/>
  <c r="O43" i="111"/>
  <c r="S42" i="111"/>
  <c r="R42" i="111"/>
  <c r="O42" i="111"/>
  <c r="S41" i="111"/>
  <c r="R41" i="111"/>
  <c r="O41" i="111"/>
  <c r="S40" i="111"/>
  <c r="R40" i="111"/>
  <c r="O40" i="111"/>
  <c r="S39" i="111"/>
  <c r="R39" i="111"/>
  <c r="O39" i="111"/>
  <c r="S38" i="111"/>
  <c r="R38" i="111"/>
  <c r="O38" i="111"/>
  <c r="S37" i="111"/>
  <c r="R37" i="111"/>
  <c r="O37" i="111"/>
  <c r="S36" i="111"/>
  <c r="R36" i="111"/>
  <c r="O36" i="111"/>
  <c r="S35" i="111"/>
  <c r="R35" i="111"/>
  <c r="O35" i="111"/>
  <c r="S34" i="111"/>
  <c r="R34" i="111"/>
  <c r="O34" i="111"/>
  <c r="S33" i="111"/>
  <c r="R33" i="111"/>
  <c r="O33" i="111"/>
  <c r="S32" i="111"/>
  <c r="R32" i="111"/>
  <c r="O32" i="111"/>
  <c r="S31" i="111"/>
  <c r="R31" i="111"/>
  <c r="O31" i="111"/>
  <c r="S30" i="111"/>
  <c r="R30" i="111"/>
  <c r="O30" i="111"/>
  <c r="S29" i="111"/>
  <c r="R29" i="111"/>
  <c r="O29" i="111"/>
  <c r="S28" i="111"/>
  <c r="R28" i="111"/>
  <c r="O28" i="111"/>
  <c r="S27" i="111"/>
  <c r="R27" i="111"/>
  <c r="O27" i="111"/>
  <c r="S26" i="111"/>
  <c r="R26" i="111"/>
  <c r="O26" i="111"/>
  <c r="S25" i="111"/>
  <c r="R25" i="111"/>
  <c r="O25" i="111"/>
  <c r="O24" i="111"/>
  <c r="N23" i="111"/>
  <c r="O23" i="111" s="1"/>
  <c r="S22" i="111"/>
  <c r="R22" i="111"/>
  <c r="O22" i="111"/>
  <c r="S21" i="111"/>
  <c r="R21" i="111"/>
  <c r="O21" i="111"/>
  <c r="S20" i="111"/>
  <c r="R20" i="111"/>
  <c r="O20" i="111"/>
  <c r="S19" i="111"/>
  <c r="R19" i="111"/>
  <c r="O19" i="111"/>
  <c r="S18" i="111"/>
  <c r="R18" i="111"/>
  <c r="O18" i="111"/>
  <c r="S17" i="111"/>
  <c r="R17" i="111"/>
  <c r="O17" i="111"/>
  <c r="S16" i="111"/>
  <c r="R16" i="111"/>
  <c r="O16" i="111"/>
  <c r="O15" i="111"/>
  <c r="N14" i="111"/>
  <c r="O14" i="111" s="1"/>
  <c r="S13" i="111"/>
  <c r="R13" i="111"/>
  <c r="O13" i="111"/>
  <c r="S12" i="111"/>
  <c r="R12" i="111"/>
  <c r="O12" i="111"/>
  <c r="S11" i="111"/>
  <c r="R11" i="111"/>
  <c r="O11" i="111"/>
  <c r="S10" i="111"/>
  <c r="R10" i="111"/>
  <c r="O10" i="111"/>
  <c r="S9" i="111"/>
  <c r="R9" i="111"/>
  <c r="O9" i="111"/>
  <c r="S8" i="111"/>
  <c r="R8" i="111"/>
  <c r="O8" i="111"/>
  <c r="S7" i="111"/>
  <c r="R7" i="111"/>
  <c r="O7" i="111"/>
  <c r="S6" i="111"/>
  <c r="R6" i="111"/>
  <c r="O6" i="111"/>
  <c r="S5" i="111"/>
  <c r="R5" i="111"/>
  <c r="O5" i="111"/>
  <c r="S4" i="111"/>
  <c r="R4" i="111"/>
  <c r="O4" i="111"/>
  <c r="S3" i="111"/>
  <c r="R3" i="111"/>
  <c r="O3" i="111"/>
  <c r="U249" i="80"/>
  <c r="V249" i="80" s="1"/>
  <c r="U248" i="80"/>
  <c r="V248" i="80" s="1"/>
  <c r="U247" i="80"/>
  <c r="V247" i="80" s="1"/>
  <c r="U246" i="80"/>
  <c r="V246" i="80" s="1"/>
  <c r="U245" i="80"/>
  <c r="V245" i="80" s="1"/>
  <c r="U244" i="80"/>
  <c r="V244" i="80" s="1"/>
  <c r="O229" i="80"/>
  <c r="O228" i="80"/>
  <c r="L221" i="80"/>
  <c r="I221" i="80"/>
  <c r="N220" i="80"/>
  <c r="M220" i="80"/>
  <c r="L220" i="80"/>
  <c r="K220" i="80"/>
  <c r="J220" i="80"/>
  <c r="J221" i="80" s="1"/>
  <c r="I220" i="80"/>
  <c r="H220" i="80"/>
  <c r="G220" i="80"/>
  <c r="F220" i="80"/>
  <c r="E220" i="80"/>
  <c r="D220" i="80"/>
  <c r="D221" i="80" s="1"/>
  <c r="C220" i="80"/>
  <c r="N219" i="80"/>
  <c r="N221" i="80" s="1"/>
  <c r="M219" i="80"/>
  <c r="M221" i="80" s="1"/>
  <c r="L219" i="80"/>
  <c r="K219" i="80"/>
  <c r="J219" i="80"/>
  <c r="I219" i="80"/>
  <c r="H219" i="80"/>
  <c r="G219" i="80"/>
  <c r="F219" i="80"/>
  <c r="F221" i="80" s="1"/>
  <c r="E219" i="80"/>
  <c r="E221" i="80" s="1"/>
  <c r="D219" i="80"/>
  <c r="C219" i="80"/>
  <c r="E217" i="80"/>
  <c r="D217" i="80"/>
  <c r="D223" i="80" s="1"/>
  <c r="N216" i="80"/>
  <c r="M216" i="80"/>
  <c r="L216" i="80"/>
  <c r="K216" i="80"/>
  <c r="J216" i="80"/>
  <c r="I216" i="80"/>
  <c r="H216" i="80"/>
  <c r="G216" i="80"/>
  <c r="F216" i="80"/>
  <c r="E216" i="80"/>
  <c r="D216" i="80"/>
  <c r="C216" i="80"/>
  <c r="N215" i="80"/>
  <c r="M215" i="80"/>
  <c r="L215" i="80"/>
  <c r="K215" i="80"/>
  <c r="K217" i="80" s="1"/>
  <c r="J215" i="80"/>
  <c r="I215" i="80"/>
  <c r="H215" i="80"/>
  <c r="G215" i="80"/>
  <c r="F215" i="80"/>
  <c r="E215" i="80"/>
  <c r="D215" i="80"/>
  <c r="C215" i="80"/>
  <c r="C217" i="80" s="1"/>
  <c r="N214" i="80"/>
  <c r="N217" i="80" s="1"/>
  <c r="M214" i="80"/>
  <c r="M217" i="80" s="1"/>
  <c r="M223" i="80" s="1"/>
  <c r="L214" i="80"/>
  <c r="L217" i="80" s="1"/>
  <c r="L223" i="80" s="1"/>
  <c r="K214" i="80"/>
  <c r="J214" i="80"/>
  <c r="I214" i="80"/>
  <c r="H214" i="80"/>
  <c r="H217" i="80" s="1"/>
  <c r="G214" i="80"/>
  <c r="G217" i="80" s="1"/>
  <c r="F214" i="80"/>
  <c r="F217" i="80" s="1"/>
  <c r="E214" i="80"/>
  <c r="D214" i="80"/>
  <c r="C214" i="80"/>
  <c r="E210" i="80"/>
  <c r="D210" i="80"/>
  <c r="N209" i="80"/>
  <c r="M209" i="80"/>
  <c r="L209" i="80"/>
  <c r="K209" i="80"/>
  <c r="J209" i="80"/>
  <c r="I209" i="80"/>
  <c r="H209" i="80"/>
  <c r="G209" i="80"/>
  <c r="G210" i="80" s="1"/>
  <c r="F209" i="80"/>
  <c r="E209" i="80"/>
  <c r="D209" i="80"/>
  <c r="C209" i="80"/>
  <c r="N208" i="80"/>
  <c r="M208" i="80"/>
  <c r="M210" i="80" s="1"/>
  <c r="L208" i="80"/>
  <c r="L210" i="80" s="1"/>
  <c r="K208" i="80"/>
  <c r="J208" i="80"/>
  <c r="I208" i="80"/>
  <c r="H208" i="80"/>
  <c r="G208" i="80"/>
  <c r="F208" i="80"/>
  <c r="E208" i="80"/>
  <c r="D208" i="80"/>
  <c r="C208" i="80"/>
  <c r="N205" i="80"/>
  <c r="M205" i="80"/>
  <c r="L205" i="80"/>
  <c r="K205" i="80"/>
  <c r="J205" i="80"/>
  <c r="I205" i="80"/>
  <c r="H205" i="80"/>
  <c r="G205" i="80"/>
  <c r="F205" i="80"/>
  <c r="E205" i="80"/>
  <c r="D205" i="80"/>
  <c r="C205" i="80"/>
  <c r="N204" i="80"/>
  <c r="M204" i="80"/>
  <c r="L204" i="80"/>
  <c r="K204" i="80"/>
  <c r="J204" i="80"/>
  <c r="I204" i="80"/>
  <c r="H204" i="80"/>
  <c r="G204" i="80"/>
  <c r="F204" i="80"/>
  <c r="E204" i="80"/>
  <c r="D204" i="80"/>
  <c r="C204" i="80"/>
  <c r="N203" i="80"/>
  <c r="M203" i="80"/>
  <c r="L203" i="80"/>
  <c r="K203" i="80"/>
  <c r="J203" i="80"/>
  <c r="I203" i="80"/>
  <c r="H203" i="80"/>
  <c r="H206" i="80" s="1"/>
  <c r="G203" i="80"/>
  <c r="F203" i="80"/>
  <c r="E203" i="80"/>
  <c r="D203" i="80"/>
  <c r="C203" i="80"/>
  <c r="N202" i="80"/>
  <c r="M202" i="80"/>
  <c r="L202" i="80"/>
  <c r="L206" i="80" s="1"/>
  <c r="K202" i="80"/>
  <c r="K206" i="80" s="1"/>
  <c r="J202" i="80"/>
  <c r="I202" i="80"/>
  <c r="H202" i="80"/>
  <c r="G202" i="80"/>
  <c r="F202" i="80"/>
  <c r="E202" i="80"/>
  <c r="D202" i="80"/>
  <c r="D206" i="80" s="1"/>
  <c r="C202" i="80"/>
  <c r="C206" i="80" s="1"/>
  <c r="N199" i="80"/>
  <c r="M199" i="80"/>
  <c r="L199" i="80"/>
  <c r="K199" i="80"/>
  <c r="J199" i="80"/>
  <c r="I199" i="80"/>
  <c r="H199" i="80"/>
  <c r="G199" i="80"/>
  <c r="F199" i="80"/>
  <c r="E199" i="80"/>
  <c r="D199" i="80"/>
  <c r="C199" i="80"/>
  <c r="N198" i="80"/>
  <c r="M198" i="80"/>
  <c r="L198" i="80"/>
  <c r="K198" i="80"/>
  <c r="J198" i="80"/>
  <c r="I198" i="80"/>
  <c r="H198" i="80"/>
  <c r="G198" i="80"/>
  <c r="F198" i="80"/>
  <c r="E198" i="80"/>
  <c r="D198" i="80"/>
  <c r="C198" i="80"/>
  <c r="N197" i="80"/>
  <c r="M197" i="80"/>
  <c r="L197" i="80"/>
  <c r="K197" i="80"/>
  <c r="J197" i="80"/>
  <c r="I197" i="80"/>
  <c r="H197" i="80"/>
  <c r="G197" i="80"/>
  <c r="F197" i="80"/>
  <c r="E197" i="80"/>
  <c r="D197" i="80"/>
  <c r="C197" i="80"/>
  <c r="N196" i="80"/>
  <c r="M196" i="80"/>
  <c r="L196" i="80"/>
  <c r="K196" i="80"/>
  <c r="J196" i="80"/>
  <c r="I196" i="80"/>
  <c r="H196" i="80"/>
  <c r="G196" i="80"/>
  <c r="F196" i="80"/>
  <c r="E196" i="80"/>
  <c r="D196" i="80"/>
  <c r="C196" i="80"/>
  <c r="N195" i="80"/>
  <c r="M195" i="80"/>
  <c r="L195" i="80"/>
  <c r="K195" i="80"/>
  <c r="J195" i="80"/>
  <c r="I195" i="80"/>
  <c r="H195" i="80"/>
  <c r="G195" i="80"/>
  <c r="F195" i="80"/>
  <c r="E195" i="80"/>
  <c r="D195" i="80"/>
  <c r="C195" i="80"/>
  <c r="N194" i="80"/>
  <c r="M194" i="80"/>
  <c r="L194" i="80"/>
  <c r="K194" i="80"/>
  <c r="J194" i="80"/>
  <c r="I194" i="80"/>
  <c r="H194" i="80"/>
  <c r="G194" i="80"/>
  <c r="F194" i="80"/>
  <c r="E194" i="80"/>
  <c r="D194" i="80"/>
  <c r="C194" i="80"/>
  <c r="N193" i="80"/>
  <c r="M193" i="80"/>
  <c r="L193" i="80"/>
  <c r="K193" i="80"/>
  <c r="J193" i="80"/>
  <c r="I193" i="80"/>
  <c r="H193" i="80"/>
  <c r="G193" i="80"/>
  <c r="F193" i="80"/>
  <c r="E193" i="80"/>
  <c r="D193" i="80"/>
  <c r="C193" i="80"/>
  <c r="N192" i="80"/>
  <c r="M192" i="80"/>
  <c r="L192" i="80"/>
  <c r="K192" i="80"/>
  <c r="J192" i="80"/>
  <c r="I192" i="80"/>
  <c r="H192" i="80"/>
  <c r="G192" i="80"/>
  <c r="F192" i="80"/>
  <c r="E192" i="80"/>
  <c r="D192" i="80"/>
  <c r="C192" i="80"/>
  <c r="N191" i="80"/>
  <c r="M191" i="80"/>
  <c r="L191" i="80"/>
  <c r="K191" i="80"/>
  <c r="J191" i="80"/>
  <c r="I191" i="80"/>
  <c r="H191" i="80"/>
  <c r="G191" i="80"/>
  <c r="F191" i="80"/>
  <c r="E191" i="80"/>
  <c r="D191" i="80"/>
  <c r="C191" i="80"/>
  <c r="N190" i="80"/>
  <c r="M190" i="80"/>
  <c r="L190" i="80"/>
  <c r="K190" i="80"/>
  <c r="J190" i="80"/>
  <c r="I190" i="80"/>
  <c r="H190" i="80"/>
  <c r="G190" i="80"/>
  <c r="F190" i="80"/>
  <c r="E190" i="80"/>
  <c r="D190" i="80"/>
  <c r="C190" i="80"/>
  <c r="N189" i="80"/>
  <c r="M189" i="80"/>
  <c r="L189" i="80"/>
  <c r="K189" i="80"/>
  <c r="J189" i="80"/>
  <c r="I189" i="80"/>
  <c r="H189" i="80"/>
  <c r="G189" i="80"/>
  <c r="F189" i="80"/>
  <c r="E189" i="80"/>
  <c r="D189" i="80"/>
  <c r="C189" i="80"/>
  <c r="N188" i="80"/>
  <c r="M188" i="80"/>
  <c r="L188" i="80"/>
  <c r="K188" i="80"/>
  <c r="J188" i="80"/>
  <c r="I188" i="80"/>
  <c r="H188" i="80"/>
  <c r="G188" i="80"/>
  <c r="F188" i="80"/>
  <c r="E188" i="80"/>
  <c r="D188" i="80"/>
  <c r="C188" i="80"/>
  <c r="N187" i="80"/>
  <c r="M187" i="80"/>
  <c r="L187" i="80"/>
  <c r="K187" i="80"/>
  <c r="J187" i="80"/>
  <c r="I187" i="80"/>
  <c r="H187" i="80"/>
  <c r="G187" i="80"/>
  <c r="F187" i="80"/>
  <c r="E187" i="80"/>
  <c r="D187" i="80"/>
  <c r="C187" i="80"/>
  <c r="N186" i="80"/>
  <c r="M186" i="80"/>
  <c r="L186" i="80"/>
  <c r="K186" i="80"/>
  <c r="J186" i="80"/>
  <c r="I186" i="80"/>
  <c r="H186" i="80"/>
  <c r="G186" i="80"/>
  <c r="F186" i="80"/>
  <c r="E186" i="80"/>
  <c r="D186" i="80"/>
  <c r="C186" i="80"/>
  <c r="N182" i="80"/>
  <c r="M182" i="80"/>
  <c r="L182" i="80"/>
  <c r="K182" i="80"/>
  <c r="J182" i="80"/>
  <c r="I182" i="80"/>
  <c r="H182" i="80"/>
  <c r="G182" i="80"/>
  <c r="F182" i="80"/>
  <c r="E182" i="80"/>
  <c r="D182" i="80"/>
  <c r="C182" i="80"/>
  <c r="N181" i="80"/>
  <c r="M181" i="80"/>
  <c r="L181" i="80"/>
  <c r="K181" i="80"/>
  <c r="J181" i="80"/>
  <c r="I181" i="80"/>
  <c r="H181" i="80"/>
  <c r="G181" i="80"/>
  <c r="F181" i="80"/>
  <c r="E181" i="80"/>
  <c r="D181" i="80"/>
  <c r="C181" i="80"/>
  <c r="N180" i="80"/>
  <c r="M180" i="80"/>
  <c r="L180" i="80"/>
  <c r="K180" i="80"/>
  <c r="J180" i="80"/>
  <c r="I180" i="80"/>
  <c r="H180" i="80"/>
  <c r="G180" i="80"/>
  <c r="F180" i="80"/>
  <c r="E180" i="80"/>
  <c r="D180" i="80"/>
  <c r="C180" i="80"/>
  <c r="N179" i="80"/>
  <c r="M179" i="80"/>
  <c r="L179" i="80"/>
  <c r="K179" i="80"/>
  <c r="J179" i="80"/>
  <c r="I179" i="80"/>
  <c r="H179" i="80"/>
  <c r="G179" i="80"/>
  <c r="F179" i="80"/>
  <c r="E179" i="80"/>
  <c r="D179" i="80"/>
  <c r="C179" i="80"/>
  <c r="N178" i="80"/>
  <c r="M178" i="80"/>
  <c r="L178" i="80"/>
  <c r="K178" i="80"/>
  <c r="J178" i="80"/>
  <c r="I178" i="80"/>
  <c r="H178" i="80"/>
  <c r="G178" i="80"/>
  <c r="F178" i="80"/>
  <c r="E178" i="80"/>
  <c r="D178" i="80"/>
  <c r="C178" i="80"/>
  <c r="N177" i="80"/>
  <c r="M177" i="80"/>
  <c r="L177" i="80"/>
  <c r="K177" i="80"/>
  <c r="J177" i="80"/>
  <c r="I177" i="80"/>
  <c r="H177" i="80"/>
  <c r="H183" i="80" s="1"/>
  <c r="G177" i="80"/>
  <c r="F177" i="80"/>
  <c r="E177" i="80"/>
  <c r="D177" i="80"/>
  <c r="C177" i="80"/>
  <c r="N176" i="80"/>
  <c r="M176" i="80"/>
  <c r="L176" i="80"/>
  <c r="L183" i="80" s="1"/>
  <c r="K176" i="80"/>
  <c r="J176" i="80"/>
  <c r="I176" i="80"/>
  <c r="H176" i="80"/>
  <c r="G176" i="80"/>
  <c r="F176" i="80"/>
  <c r="E176" i="80"/>
  <c r="D176" i="80"/>
  <c r="C176" i="80"/>
  <c r="N173" i="80"/>
  <c r="M173" i="80"/>
  <c r="L173" i="80"/>
  <c r="K173" i="80"/>
  <c r="J173" i="80"/>
  <c r="I173" i="80"/>
  <c r="H173" i="80"/>
  <c r="G173" i="80"/>
  <c r="F173" i="80"/>
  <c r="E173" i="80"/>
  <c r="D173" i="80"/>
  <c r="C173" i="80"/>
  <c r="N172" i="80"/>
  <c r="M172" i="80"/>
  <c r="L172" i="80"/>
  <c r="K172" i="80"/>
  <c r="J172" i="80"/>
  <c r="I172" i="80"/>
  <c r="H172" i="80"/>
  <c r="G172" i="80"/>
  <c r="F172" i="80"/>
  <c r="E172" i="80"/>
  <c r="D172" i="80"/>
  <c r="C172" i="80"/>
  <c r="N171" i="80"/>
  <c r="M171" i="80"/>
  <c r="L171" i="80"/>
  <c r="K171" i="80"/>
  <c r="J171" i="80"/>
  <c r="I171" i="80"/>
  <c r="H171" i="80"/>
  <c r="G171" i="80"/>
  <c r="F171" i="80"/>
  <c r="E171" i="80"/>
  <c r="D171" i="80"/>
  <c r="C171" i="80"/>
  <c r="N170" i="80"/>
  <c r="M170" i="80"/>
  <c r="L170" i="80"/>
  <c r="K170" i="80"/>
  <c r="J170" i="80"/>
  <c r="I170" i="80"/>
  <c r="H170" i="80"/>
  <c r="G170" i="80"/>
  <c r="F170" i="80"/>
  <c r="E170" i="80"/>
  <c r="D170" i="80"/>
  <c r="C170" i="80"/>
  <c r="N169" i="80"/>
  <c r="M169" i="80"/>
  <c r="L169" i="80"/>
  <c r="K169" i="80"/>
  <c r="J169" i="80"/>
  <c r="I169" i="80"/>
  <c r="H169" i="80"/>
  <c r="G169" i="80"/>
  <c r="F169" i="80"/>
  <c r="E169" i="80"/>
  <c r="D169" i="80"/>
  <c r="C169" i="80"/>
  <c r="N168" i="80"/>
  <c r="M168" i="80"/>
  <c r="L168" i="80"/>
  <c r="K168" i="80"/>
  <c r="J168" i="80"/>
  <c r="I168" i="80"/>
  <c r="H168" i="80"/>
  <c r="G168" i="80"/>
  <c r="F168" i="80"/>
  <c r="E168" i="80"/>
  <c r="D168" i="80"/>
  <c r="C168" i="80"/>
  <c r="N167" i="80"/>
  <c r="M167" i="80"/>
  <c r="L167" i="80"/>
  <c r="K167" i="80"/>
  <c r="J167" i="80"/>
  <c r="I167" i="80"/>
  <c r="H167" i="80"/>
  <c r="G167" i="80"/>
  <c r="F167" i="80"/>
  <c r="E167" i="80"/>
  <c r="D167" i="80"/>
  <c r="C167" i="80"/>
  <c r="N166" i="80"/>
  <c r="M166" i="80"/>
  <c r="L166" i="80"/>
  <c r="K166" i="80"/>
  <c r="J166" i="80"/>
  <c r="I166" i="80"/>
  <c r="H166" i="80"/>
  <c r="G166" i="80"/>
  <c r="F166" i="80"/>
  <c r="E166" i="80"/>
  <c r="D166" i="80"/>
  <c r="C166" i="80"/>
  <c r="N165" i="80"/>
  <c r="M165" i="80"/>
  <c r="L165" i="80"/>
  <c r="K165" i="80"/>
  <c r="J165" i="80"/>
  <c r="I165" i="80"/>
  <c r="H165" i="80"/>
  <c r="G165" i="80"/>
  <c r="F165" i="80"/>
  <c r="E165" i="80"/>
  <c r="D165" i="80"/>
  <c r="C165" i="80"/>
  <c r="N164" i="80"/>
  <c r="M164" i="80"/>
  <c r="L164" i="80"/>
  <c r="K164" i="80"/>
  <c r="J164" i="80"/>
  <c r="I164" i="80"/>
  <c r="H164" i="80"/>
  <c r="G164" i="80"/>
  <c r="F164" i="80"/>
  <c r="E164" i="80"/>
  <c r="D164" i="80"/>
  <c r="C164" i="80"/>
  <c r="N163" i="80"/>
  <c r="M163" i="80"/>
  <c r="L163" i="80"/>
  <c r="K163" i="80"/>
  <c r="J163" i="80"/>
  <c r="I163" i="80"/>
  <c r="H163" i="80"/>
  <c r="G163" i="80"/>
  <c r="F163" i="80"/>
  <c r="E163" i="80"/>
  <c r="D163" i="80"/>
  <c r="C163" i="80"/>
  <c r="N162" i="80"/>
  <c r="M162" i="80"/>
  <c r="L162" i="80"/>
  <c r="K162" i="80"/>
  <c r="J162" i="80"/>
  <c r="I162" i="80"/>
  <c r="H162" i="80"/>
  <c r="G162" i="80"/>
  <c r="F162" i="80"/>
  <c r="E162" i="80"/>
  <c r="D162" i="80"/>
  <c r="C162" i="80"/>
  <c r="N161" i="80"/>
  <c r="M161" i="80"/>
  <c r="L161" i="80"/>
  <c r="K161" i="80"/>
  <c r="J161" i="80"/>
  <c r="I161" i="80"/>
  <c r="H161" i="80"/>
  <c r="G161" i="80"/>
  <c r="F161" i="80"/>
  <c r="E161" i="80"/>
  <c r="D161" i="80"/>
  <c r="C161" i="80"/>
  <c r="N160" i="80"/>
  <c r="M160" i="80"/>
  <c r="L160" i="80"/>
  <c r="K160" i="80"/>
  <c r="J160" i="80"/>
  <c r="I160" i="80"/>
  <c r="H160" i="80"/>
  <c r="G160" i="80"/>
  <c r="F160" i="80"/>
  <c r="E160" i="80"/>
  <c r="D160" i="80"/>
  <c r="C160" i="80"/>
  <c r="N159" i="80"/>
  <c r="M159" i="80"/>
  <c r="L159" i="80"/>
  <c r="K159" i="80"/>
  <c r="J159" i="80"/>
  <c r="I159" i="80"/>
  <c r="H159" i="80"/>
  <c r="G159" i="80"/>
  <c r="F159" i="80"/>
  <c r="E159" i="80"/>
  <c r="D159" i="80"/>
  <c r="C159" i="80"/>
  <c r="N158" i="80"/>
  <c r="M158" i="80"/>
  <c r="L158" i="80"/>
  <c r="K158" i="80"/>
  <c r="J158" i="80"/>
  <c r="I158" i="80"/>
  <c r="H158" i="80"/>
  <c r="G158" i="80"/>
  <c r="F158" i="80"/>
  <c r="E158" i="80"/>
  <c r="D158" i="80"/>
  <c r="C158" i="80"/>
  <c r="N157" i="80"/>
  <c r="M157" i="80"/>
  <c r="L157" i="80"/>
  <c r="K157" i="80"/>
  <c r="J157" i="80"/>
  <c r="I157" i="80"/>
  <c r="H157" i="80"/>
  <c r="G157" i="80"/>
  <c r="F157" i="80"/>
  <c r="O157" i="80" s="1"/>
  <c r="E157" i="80"/>
  <c r="D157" i="80"/>
  <c r="C157" i="80"/>
  <c r="N156" i="80"/>
  <c r="M156" i="80"/>
  <c r="L156" i="80"/>
  <c r="K156" i="80"/>
  <c r="J156" i="80"/>
  <c r="I156" i="80"/>
  <c r="H156" i="80"/>
  <c r="G156" i="80"/>
  <c r="F156" i="80"/>
  <c r="E156" i="80"/>
  <c r="D156" i="80"/>
  <c r="C156" i="80"/>
  <c r="N155" i="80"/>
  <c r="M155" i="80"/>
  <c r="L155" i="80"/>
  <c r="K155" i="80"/>
  <c r="J155" i="80"/>
  <c r="I155" i="80"/>
  <c r="H155" i="80"/>
  <c r="G155" i="80"/>
  <c r="F155" i="80"/>
  <c r="E155" i="80"/>
  <c r="D155" i="80"/>
  <c r="C155" i="80"/>
  <c r="N154" i="80"/>
  <c r="M154" i="80"/>
  <c r="L154" i="80"/>
  <c r="K154" i="80"/>
  <c r="J154" i="80"/>
  <c r="I154" i="80"/>
  <c r="H154" i="80"/>
  <c r="G154" i="80"/>
  <c r="F154" i="80"/>
  <c r="E154" i="80"/>
  <c r="D154" i="80"/>
  <c r="C154" i="80"/>
  <c r="N153" i="80"/>
  <c r="M153" i="80"/>
  <c r="L153" i="80"/>
  <c r="K153" i="80"/>
  <c r="J153" i="80"/>
  <c r="I153" i="80"/>
  <c r="H153" i="80"/>
  <c r="G153" i="80"/>
  <c r="F153" i="80"/>
  <c r="O153" i="80" s="1"/>
  <c r="E153" i="80"/>
  <c r="D153" i="80"/>
  <c r="C153" i="80"/>
  <c r="N152" i="80"/>
  <c r="M152" i="80"/>
  <c r="L152" i="80"/>
  <c r="K152" i="80"/>
  <c r="J152" i="80"/>
  <c r="I152" i="80"/>
  <c r="H152" i="80"/>
  <c r="G152" i="80"/>
  <c r="F152" i="80"/>
  <c r="E152" i="80"/>
  <c r="D152" i="80"/>
  <c r="C152" i="80"/>
  <c r="N151" i="80"/>
  <c r="M151" i="80"/>
  <c r="L151" i="80"/>
  <c r="K151" i="80"/>
  <c r="J151" i="80"/>
  <c r="I151" i="80"/>
  <c r="H151" i="80"/>
  <c r="G151" i="80"/>
  <c r="F151" i="80"/>
  <c r="E151" i="80"/>
  <c r="D151" i="80"/>
  <c r="C151" i="80"/>
  <c r="N150" i="80"/>
  <c r="M150" i="80"/>
  <c r="L150" i="80"/>
  <c r="K150" i="80"/>
  <c r="J150" i="80"/>
  <c r="I150" i="80"/>
  <c r="H150" i="80"/>
  <c r="G150" i="80"/>
  <c r="F150" i="80"/>
  <c r="E150" i="80"/>
  <c r="D150" i="80"/>
  <c r="C150" i="80"/>
  <c r="N149" i="80"/>
  <c r="M149" i="80"/>
  <c r="L149" i="80"/>
  <c r="K149" i="80"/>
  <c r="J149" i="80"/>
  <c r="I149" i="80"/>
  <c r="H149" i="80"/>
  <c r="G149" i="80"/>
  <c r="F149" i="80"/>
  <c r="O149" i="80" s="1"/>
  <c r="E149" i="80"/>
  <c r="D149" i="80"/>
  <c r="C149" i="80"/>
  <c r="N148" i="80"/>
  <c r="M148" i="80"/>
  <c r="L148" i="80"/>
  <c r="K148" i="80"/>
  <c r="J148" i="80"/>
  <c r="I148" i="80"/>
  <c r="H148" i="80"/>
  <c r="G148" i="80"/>
  <c r="F148" i="80"/>
  <c r="E148" i="80"/>
  <c r="D148" i="80"/>
  <c r="C148" i="80"/>
  <c r="N147" i="80"/>
  <c r="M147" i="80"/>
  <c r="L147" i="80"/>
  <c r="K147" i="80"/>
  <c r="J147" i="80"/>
  <c r="I147" i="80"/>
  <c r="H147" i="80"/>
  <c r="G147" i="80"/>
  <c r="F147" i="80"/>
  <c r="E147" i="80"/>
  <c r="D147" i="80"/>
  <c r="C147" i="80"/>
  <c r="N146" i="80"/>
  <c r="M146" i="80"/>
  <c r="L146" i="80"/>
  <c r="K146" i="80"/>
  <c r="J146" i="80"/>
  <c r="I146" i="80"/>
  <c r="H146" i="80"/>
  <c r="G146" i="80"/>
  <c r="F146" i="80"/>
  <c r="E146" i="80"/>
  <c r="D146" i="80"/>
  <c r="C146" i="80"/>
  <c r="N145" i="80"/>
  <c r="M145" i="80"/>
  <c r="L145" i="80"/>
  <c r="K145" i="80"/>
  <c r="J145" i="80"/>
  <c r="I145" i="80"/>
  <c r="H145" i="80"/>
  <c r="G145" i="80"/>
  <c r="F145" i="80"/>
  <c r="O145" i="80" s="1"/>
  <c r="E145" i="80"/>
  <c r="D145" i="80"/>
  <c r="C145" i="80"/>
  <c r="N144" i="80"/>
  <c r="M144" i="80"/>
  <c r="L144" i="80"/>
  <c r="K144" i="80"/>
  <c r="J144" i="80"/>
  <c r="I144" i="80"/>
  <c r="H144" i="80"/>
  <c r="G144" i="80"/>
  <c r="F144" i="80"/>
  <c r="E144" i="80"/>
  <c r="D144" i="80"/>
  <c r="C144" i="80"/>
  <c r="N143" i="80"/>
  <c r="M143" i="80"/>
  <c r="L143" i="80"/>
  <c r="K143" i="80"/>
  <c r="J143" i="80"/>
  <c r="I143" i="80"/>
  <c r="H143" i="80"/>
  <c r="G143" i="80"/>
  <c r="F143" i="80"/>
  <c r="E143" i="80"/>
  <c r="D143" i="80"/>
  <c r="C143" i="80"/>
  <c r="N142" i="80"/>
  <c r="M142" i="80"/>
  <c r="L142" i="80"/>
  <c r="K142" i="80"/>
  <c r="J142" i="80"/>
  <c r="I142" i="80"/>
  <c r="H142" i="80"/>
  <c r="G142" i="80"/>
  <c r="F142" i="80"/>
  <c r="E142" i="80"/>
  <c r="D142" i="80"/>
  <c r="C142" i="80"/>
  <c r="N141" i="80"/>
  <c r="M141" i="80"/>
  <c r="L141" i="80"/>
  <c r="K141" i="80"/>
  <c r="J141" i="80"/>
  <c r="I141" i="80"/>
  <c r="H141" i="80"/>
  <c r="G141" i="80"/>
  <c r="F141" i="80"/>
  <c r="E141" i="80"/>
  <c r="D141" i="80"/>
  <c r="C141" i="80"/>
  <c r="N140" i="80"/>
  <c r="M140" i="80"/>
  <c r="L140" i="80"/>
  <c r="K140" i="80"/>
  <c r="J140" i="80"/>
  <c r="I140" i="80"/>
  <c r="H140" i="80"/>
  <c r="G140" i="80"/>
  <c r="F140" i="80"/>
  <c r="E140" i="80"/>
  <c r="D140" i="80"/>
  <c r="C140" i="80"/>
  <c r="N139" i="80"/>
  <c r="M139" i="80"/>
  <c r="L139" i="80"/>
  <c r="K139" i="80"/>
  <c r="J139" i="80"/>
  <c r="I139" i="80"/>
  <c r="H139" i="80"/>
  <c r="G139" i="80"/>
  <c r="F139" i="80"/>
  <c r="E139" i="80"/>
  <c r="D139" i="80"/>
  <c r="C139" i="80"/>
  <c r="N138" i="80"/>
  <c r="M138" i="80"/>
  <c r="L138" i="80"/>
  <c r="K138" i="80"/>
  <c r="J138" i="80"/>
  <c r="I138" i="80"/>
  <c r="I174" i="80" s="1"/>
  <c r="H138" i="80"/>
  <c r="G138" i="80"/>
  <c r="F138" i="80"/>
  <c r="E138" i="80"/>
  <c r="D138" i="80"/>
  <c r="C138" i="80"/>
  <c r="H136" i="80"/>
  <c r="N135" i="80"/>
  <c r="M135" i="80"/>
  <c r="L135" i="80"/>
  <c r="K135" i="80"/>
  <c r="J135" i="80"/>
  <c r="I135" i="80"/>
  <c r="H135" i="80"/>
  <c r="G135" i="80"/>
  <c r="F135" i="80"/>
  <c r="E135" i="80"/>
  <c r="D135" i="80"/>
  <c r="C135" i="80"/>
  <c r="N134" i="80"/>
  <c r="M134" i="80"/>
  <c r="L134" i="80"/>
  <c r="K134" i="80"/>
  <c r="J134" i="80"/>
  <c r="I134" i="80"/>
  <c r="H134" i="80"/>
  <c r="G134" i="80"/>
  <c r="F134" i="80"/>
  <c r="E134" i="80"/>
  <c r="D134" i="80"/>
  <c r="C134" i="80"/>
  <c r="O134" i="80" s="1"/>
  <c r="N133" i="80"/>
  <c r="M133" i="80"/>
  <c r="L133" i="80"/>
  <c r="K133" i="80"/>
  <c r="J133" i="80"/>
  <c r="I133" i="80"/>
  <c r="H133" i="80"/>
  <c r="G133" i="80"/>
  <c r="F133" i="80"/>
  <c r="E133" i="80"/>
  <c r="D133" i="80"/>
  <c r="C133" i="80"/>
  <c r="N132" i="80"/>
  <c r="M132" i="80"/>
  <c r="L132" i="80"/>
  <c r="K132" i="80"/>
  <c r="J132" i="80"/>
  <c r="I132" i="80"/>
  <c r="H132" i="80"/>
  <c r="G132" i="80"/>
  <c r="F132" i="80"/>
  <c r="E132" i="80"/>
  <c r="D132" i="80"/>
  <c r="C132" i="80"/>
  <c r="N131" i="80"/>
  <c r="M131" i="80"/>
  <c r="L131" i="80"/>
  <c r="K131" i="80"/>
  <c r="J131" i="80"/>
  <c r="I131" i="80"/>
  <c r="H131" i="80"/>
  <c r="G131" i="80"/>
  <c r="F131" i="80"/>
  <c r="E131" i="80"/>
  <c r="D131" i="80"/>
  <c r="C131" i="80"/>
  <c r="N130" i="80"/>
  <c r="M130" i="80"/>
  <c r="L130" i="80"/>
  <c r="K130" i="80"/>
  <c r="J130" i="80"/>
  <c r="I130" i="80"/>
  <c r="H130" i="80"/>
  <c r="G130" i="80"/>
  <c r="F130" i="80"/>
  <c r="E130" i="80"/>
  <c r="D130" i="80"/>
  <c r="C130" i="80"/>
  <c r="N129" i="80"/>
  <c r="M129" i="80"/>
  <c r="L129" i="80"/>
  <c r="K129" i="80"/>
  <c r="J129" i="80"/>
  <c r="I129" i="80"/>
  <c r="H129" i="80"/>
  <c r="G129" i="80"/>
  <c r="F129" i="80"/>
  <c r="E129" i="80"/>
  <c r="D129" i="80"/>
  <c r="C129" i="80"/>
  <c r="N126" i="80"/>
  <c r="M126" i="80"/>
  <c r="L126" i="80"/>
  <c r="K126" i="80"/>
  <c r="J126" i="80"/>
  <c r="I126" i="80"/>
  <c r="H126" i="80"/>
  <c r="G126" i="80"/>
  <c r="F126" i="80"/>
  <c r="E126" i="80"/>
  <c r="D126" i="80"/>
  <c r="C126" i="80"/>
  <c r="N125" i="80"/>
  <c r="M125" i="80"/>
  <c r="L125" i="80"/>
  <c r="K125" i="80"/>
  <c r="J125" i="80"/>
  <c r="I125" i="80"/>
  <c r="H125" i="80"/>
  <c r="G125" i="80"/>
  <c r="F125" i="80"/>
  <c r="E125" i="80"/>
  <c r="D125" i="80"/>
  <c r="C125" i="80"/>
  <c r="N124" i="80"/>
  <c r="M124" i="80"/>
  <c r="L124" i="80"/>
  <c r="K124" i="80"/>
  <c r="J124" i="80"/>
  <c r="I124" i="80"/>
  <c r="H124" i="80"/>
  <c r="G124" i="80"/>
  <c r="F124" i="80"/>
  <c r="E124" i="80"/>
  <c r="D124" i="80"/>
  <c r="C124" i="80"/>
  <c r="O124" i="80" s="1"/>
  <c r="N123" i="80"/>
  <c r="M123" i="80"/>
  <c r="L123" i="80"/>
  <c r="K123" i="80"/>
  <c r="J123" i="80"/>
  <c r="I123" i="80"/>
  <c r="H123" i="80"/>
  <c r="G123" i="80"/>
  <c r="F123" i="80"/>
  <c r="E123" i="80"/>
  <c r="D123" i="80"/>
  <c r="C123" i="80"/>
  <c r="N122" i="80"/>
  <c r="M122" i="80"/>
  <c r="L122" i="80"/>
  <c r="K122" i="80"/>
  <c r="J122" i="80"/>
  <c r="I122" i="80"/>
  <c r="H122" i="80"/>
  <c r="G122" i="80"/>
  <c r="F122" i="80"/>
  <c r="E122" i="80"/>
  <c r="D122" i="80"/>
  <c r="C122" i="80"/>
  <c r="N121" i="80"/>
  <c r="M121" i="80"/>
  <c r="L121" i="80"/>
  <c r="K121" i="80"/>
  <c r="J121" i="80"/>
  <c r="I121" i="80"/>
  <c r="H121" i="80"/>
  <c r="G121" i="80"/>
  <c r="O121" i="80" s="1"/>
  <c r="F121" i="80"/>
  <c r="E121" i="80"/>
  <c r="D121" i="80"/>
  <c r="C121" i="80"/>
  <c r="N120" i="80"/>
  <c r="M120" i="80"/>
  <c r="L120" i="80"/>
  <c r="K120" i="80"/>
  <c r="J120" i="80"/>
  <c r="I120" i="80"/>
  <c r="H120" i="80"/>
  <c r="G120" i="80"/>
  <c r="F120" i="80"/>
  <c r="E120" i="80"/>
  <c r="D120" i="80"/>
  <c r="C120" i="80"/>
  <c r="O120" i="80" s="1"/>
  <c r="N119" i="80"/>
  <c r="M119" i="80"/>
  <c r="L119" i="80"/>
  <c r="K119" i="80"/>
  <c r="J119" i="80"/>
  <c r="I119" i="80"/>
  <c r="H119" i="80"/>
  <c r="G119" i="80"/>
  <c r="F119" i="80"/>
  <c r="E119" i="80"/>
  <c r="D119" i="80"/>
  <c r="C119" i="80"/>
  <c r="N118" i="80"/>
  <c r="M118" i="80"/>
  <c r="L118" i="80"/>
  <c r="K118" i="80"/>
  <c r="J118" i="80"/>
  <c r="I118" i="80"/>
  <c r="H118" i="80"/>
  <c r="G118" i="80"/>
  <c r="F118" i="80"/>
  <c r="E118" i="80"/>
  <c r="D118" i="80"/>
  <c r="C118" i="80"/>
  <c r="N117" i="80"/>
  <c r="M117" i="80"/>
  <c r="L117" i="80"/>
  <c r="K117" i="80"/>
  <c r="J117" i="80"/>
  <c r="I117" i="80"/>
  <c r="H117" i="80"/>
  <c r="G117" i="80"/>
  <c r="F117" i="80"/>
  <c r="E117" i="80"/>
  <c r="D117" i="80"/>
  <c r="C117" i="80"/>
  <c r="N116" i="80"/>
  <c r="M116" i="80"/>
  <c r="M127" i="80" s="1"/>
  <c r="L116" i="80"/>
  <c r="K116" i="80"/>
  <c r="J116" i="80"/>
  <c r="J127" i="80" s="1"/>
  <c r="I116" i="80"/>
  <c r="H116" i="80"/>
  <c r="G116" i="80"/>
  <c r="F116" i="80"/>
  <c r="E116" i="80"/>
  <c r="E127" i="80" s="1"/>
  <c r="D116" i="80"/>
  <c r="C116" i="80"/>
  <c r="F112" i="80"/>
  <c r="C112" i="80"/>
  <c r="N110" i="80"/>
  <c r="N112" i="80" s="1"/>
  <c r="M110" i="80"/>
  <c r="L110" i="80"/>
  <c r="K110" i="80"/>
  <c r="J110" i="80"/>
  <c r="I110" i="80"/>
  <c r="H110" i="80"/>
  <c r="H113" i="80" s="1"/>
  <c r="G110" i="80"/>
  <c r="F110" i="80"/>
  <c r="E110" i="80"/>
  <c r="D110" i="80"/>
  <c r="C110" i="80"/>
  <c r="U109" i="80"/>
  <c r="V109" i="80" s="1"/>
  <c r="O109" i="80"/>
  <c r="V108" i="80"/>
  <c r="U108" i="80"/>
  <c r="O108" i="80"/>
  <c r="N105" i="80"/>
  <c r="M105" i="80"/>
  <c r="L105" i="80"/>
  <c r="K105" i="80"/>
  <c r="K112" i="80" s="1"/>
  <c r="J105" i="80"/>
  <c r="I105" i="80"/>
  <c r="I112" i="80" s="1"/>
  <c r="H105" i="80"/>
  <c r="G105" i="80"/>
  <c r="F105" i="80"/>
  <c r="E105" i="80"/>
  <c r="E112" i="80" s="1"/>
  <c r="D105" i="80"/>
  <c r="C105" i="80"/>
  <c r="U104" i="80"/>
  <c r="V104" i="80" s="1"/>
  <c r="O104" i="80"/>
  <c r="U103" i="80"/>
  <c r="V103" i="80" s="1"/>
  <c r="O103" i="80"/>
  <c r="U102" i="80"/>
  <c r="V102" i="80" s="1"/>
  <c r="O102" i="80"/>
  <c r="N98" i="80"/>
  <c r="M98" i="80"/>
  <c r="L98" i="80"/>
  <c r="K98" i="80"/>
  <c r="J98" i="80"/>
  <c r="I98" i="80"/>
  <c r="H98" i="80"/>
  <c r="G98" i="80"/>
  <c r="F98" i="80"/>
  <c r="E98" i="80"/>
  <c r="D98" i="80"/>
  <c r="C98" i="80"/>
  <c r="V97" i="80"/>
  <c r="U97" i="80"/>
  <c r="O97" i="80"/>
  <c r="U96" i="80"/>
  <c r="V96" i="80" s="1"/>
  <c r="O96" i="80"/>
  <c r="N94" i="80"/>
  <c r="M94" i="80"/>
  <c r="L94" i="80"/>
  <c r="K94" i="80"/>
  <c r="J94" i="80"/>
  <c r="I94" i="80"/>
  <c r="H94" i="80"/>
  <c r="G94" i="80"/>
  <c r="F94" i="80"/>
  <c r="E94" i="80"/>
  <c r="D94" i="80"/>
  <c r="C94" i="80"/>
  <c r="U93" i="80"/>
  <c r="V93" i="80" s="1"/>
  <c r="O93" i="80"/>
  <c r="U92" i="80"/>
  <c r="V92" i="80" s="1"/>
  <c r="O92" i="80"/>
  <c r="U91" i="80"/>
  <c r="V91" i="80" s="1"/>
  <c r="O91" i="80"/>
  <c r="O90" i="80"/>
  <c r="N88" i="80"/>
  <c r="M88" i="80"/>
  <c r="L88" i="80"/>
  <c r="K88" i="80"/>
  <c r="J88" i="80"/>
  <c r="I88" i="80"/>
  <c r="H88" i="80"/>
  <c r="C88" i="80"/>
  <c r="U87" i="80"/>
  <c r="V87" i="80" s="1"/>
  <c r="O87" i="80"/>
  <c r="O199" i="80" s="1"/>
  <c r="V86" i="80"/>
  <c r="U86" i="80"/>
  <c r="O86" i="80"/>
  <c r="U85" i="80"/>
  <c r="V85" i="80" s="1"/>
  <c r="O85" i="80"/>
  <c r="V84" i="80"/>
  <c r="U84" i="80"/>
  <c r="O84" i="80"/>
  <c r="U83" i="80"/>
  <c r="V83" i="80" s="1"/>
  <c r="O83" i="80"/>
  <c r="V82" i="80"/>
  <c r="U82" i="80"/>
  <c r="O82" i="80"/>
  <c r="U81" i="80"/>
  <c r="V81" i="80" s="1"/>
  <c r="O81" i="80"/>
  <c r="U80" i="80"/>
  <c r="V80" i="80" s="1"/>
  <c r="O80" i="80"/>
  <c r="U79" i="80"/>
  <c r="V79" i="80" s="1"/>
  <c r="O79" i="80"/>
  <c r="U78" i="80"/>
  <c r="V78" i="80" s="1"/>
  <c r="O78" i="80"/>
  <c r="U77" i="80"/>
  <c r="V77" i="80" s="1"/>
  <c r="O77" i="80"/>
  <c r="U76" i="80"/>
  <c r="V76" i="80" s="1"/>
  <c r="O76" i="80"/>
  <c r="U75" i="80"/>
  <c r="V75" i="80" s="1"/>
  <c r="O75" i="80"/>
  <c r="U74" i="80"/>
  <c r="V74" i="80" s="1"/>
  <c r="O74" i="80"/>
  <c r="U73" i="80"/>
  <c r="V73" i="80" s="1"/>
  <c r="G73" i="80"/>
  <c r="G88" i="80" s="1"/>
  <c r="G113" i="80" s="1"/>
  <c r="F73" i="80"/>
  <c r="F88" i="80" s="1"/>
  <c r="E73" i="80"/>
  <c r="E88" i="80" s="1"/>
  <c r="D73" i="80"/>
  <c r="C73" i="80"/>
  <c r="N71" i="80"/>
  <c r="M71" i="80"/>
  <c r="L71" i="80"/>
  <c r="K71" i="80"/>
  <c r="J71" i="80"/>
  <c r="I71" i="80"/>
  <c r="H71" i="80"/>
  <c r="G71" i="80"/>
  <c r="F71" i="80"/>
  <c r="E71" i="80"/>
  <c r="D71" i="80"/>
  <c r="C71" i="80"/>
  <c r="U70" i="80"/>
  <c r="V70" i="80" s="1"/>
  <c r="R70" i="80"/>
  <c r="O70" i="80"/>
  <c r="U69" i="80"/>
  <c r="V69" i="80" s="1"/>
  <c r="R69" i="80"/>
  <c r="O69" i="80"/>
  <c r="U68" i="80"/>
  <c r="V68" i="80" s="1"/>
  <c r="R68" i="80"/>
  <c r="O68" i="80"/>
  <c r="U67" i="80"/>
  <c r="V67" i="80" s="1"/>
  <c r="R67" i="80"/>
  <c r="O67" i="80"/>
  <c r="U66" i="80"/>
  <c r="V66" i="80" s="1"/>
  <c r="R66" i="80"/>
  <c r="O66" i="80"/>
  <c r="U65" i="80"/>
  <c r="V65" i="80" s="1"/>
  <c r="R65" i="80"/>
  <c r="O65" i="80"/>
  <c r="U64" i="80"/>
  <c r="V64" i="80" s="1"/>
  <c r="R64" i="80"/>
  <c r="O64" i="80"/>
  <c r="N62" i="80"/>
  <c r="M62" i="80"/>
  <c r="L62" i="80"/>
  <c r="K62" i="80"/>
  <c r="J62" i="80"/>
  <c r="I62" i="80"/>
  <c r="H62" i="80"/>
  <c r="G62" i="80"/>
  <c r="F62" i="80"/>
  <c r="E62" i="80"/>
  <c r="D62" i="80"/>
  <c r="C62" i="80"/>
  <c r="U61" i="80"/>
  <c r="V61" i="80" s="1"/>
  <c r="R61" i="80"/>
  <c r="O61" i="80"/>
  <c r="U60" i="80"/>
  <c r="V60" i="80" s="1"/>
  <c r="R60" i="80"/>
  <c r="O60" i="80"/>
  <c r="V59" i="80"/>
  <c r="U59" i="80"/>
  <c r="R59" i="80"/>
  <c r="O59" i="80"/>
  <c r="V58" i="80"/>
  <c r="U58" i="80"/>
  <c r="R58" i="80"/>
  <c r="O58" i="80"/>
  <c r="V57" i="80"/>
  <c r="U57" i="80"/>
  <c r="R57" i="80"/>
  <c r="O57" i="80"/>
  <c r="V56" i="80"/>
  <c r="U56" i="80"/>
  <c r="R56" i="80"/>
  <c r="O56" i="80"/>
  <c r="U55" i="80"/>
  <c r="V55" i="80" s="1"/>
  <c r="R55" i="80"/>
  <c r="O55" i="80"/>
  <c r="U54" i="80"/>
  <c r="V54" i="80" s="1"/>
  <c r="R54" i="80"/>
  <c r="O54" i="80"/>
  <c r="A54" i="80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A96" i="80" s="1"/>
  <c r="A97" i="80" s="1"/>
  <c r="A98" i="80" s="1"/>
  <c r="A99" i="80" s="1"/>
  <c r="A100" i="80" s="1"/>
  <c r="A101" i="80" s="1"/>
  <c r="A102" i="80" s="1"/>
  <c r="A103" i="80" s="1"/>
  <c r="A104" i="80" s="1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A117" i="80" s="1"/>
  <c r="A118" i="80" s="1"/>
  <c r="A119" i="80" s="1"/>
  <c r="A120" i="80" s="1"/>
  <c r="A121" i="80" s="1"/>
  <c r="A122" i="80" s="1"/>
  <c r="A123" i="80" s="1"/>
  <c r="A124" i="80" s="1"/>
  <c r="A125" i="80" s="1"/>
  <c r="A126" i="80" s="1"/>
  <c r="A127" i="80" s="1"/>
  <c r="A128" i="80" s="1"/>
  <c r="A129" i="80" s="1"/>
  <c r="A130" i="80" s="1"/>
  <c r="A131" i="80" s="1"/>
  <c r="A132" i="80" s="1"/>
  <c r="A133" i="80" s="1"/>
  <c r="A134" i="80" s="1"/>
  <c r="A135" i="80" s="1"/>
  <c r="A136" i="80" s="1"/>
  <c r="A137" i="80" s="1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A155" i="80" s="1"/>
  <c r="A156" i="80" s="1"/>
  <c r="A157" i="80" s="1"/>
  <c r="A158" i="80" s="1"/>
  <c r="A159" i="80" s="1"/>
  <c r="A160" i="80" s="1"/>
  <c r="A161" i="80" s="1"/>
  <c r="A162" i="80" s="1"/>
  <c r="A163" i="80" s="1"/>
  <c r="A164" i="80" s="1"/>
  <c r="A165" i="80" s="1"/>
  <c r="A166" i="80" s="1"/>
  <c r="A167" i="80" s="1"/>
  <c r="A168" i="80" s="1"/>
  <c r="A169" i="80" s="1"/>
  <c r="A170" i="80" s="1"/>
  <c r="A171" i="80" s="1"/>
  <c r="A172" i="80" s="1"/>
  <c r="A173" i="80" s="1"/>
  <c r="A174" i="80" s="1"/>
  <c r="A175" i="80" s="1"/>
  <c r="A176" i="80" s="1"/>
  <c r="A177" i="80" s="1"/>
  <c r="A178" i="80" s="1"/>
  <c r="A179" i="80" s="1"/>
  <c r="A180" i="80" s="1"/>
  <c r="A181" i="80" s="1"/>
  <c r="A182" i="80" s="1"/>
  <c r="A183" i="80" s="1"/>
  <c r="A184" i="80" s="1"/>
  <c r="A185" i="80" s="1"/>
  <c r="A186" i="80" s="1"/>
  <c r="A187" i="80" s="1"/>
  <c r="A188" i="80" s="1"/>
  <c r="A189" i="80" s="1"/>
  <c r="A190" i="80" s="1"/>
  <c r="A191" i="80" s="1"/>
  <c r="A192" i="80" s="1"/>
  <c r="A193" i="80" s="1"/>
  <c r="A194" i="80" s="1"/>
  <c r="A195" i="80" s="1"/>
  <c r="A196" i="80" s="1"/>
  <c r="A197" i="80" s="1"/>
  <c r="A198" i="80" s="1"/>
  <c r="A199" i="80" s="1"/>
  <c r="A200" i="80" s="1"/>
  <c r="A201" i="80" s="1"/>
  <c r="A202" i="80" s="1"/>
  <c r="A203" i="80" s="1"/>
  <c r="A204" i="80" s="1"/>
  <c r="A205" i="80" s="1"/>
  <c r="A206" i="80" s="1"/>
  <c r="A207" i="80" s="1"/>
  <c r="A208" i="80" s="1"/>
  <c r="A209" i="80" s="1"/>
  <c r="A210" i="80" s="1"/>
  <c r="A211" i="80" s="1"/>
  <c r="A212" i="80" s="1"/>
  <c r="A213" i="80" s="1"/>
  <c r="A214" i="80" s="1"/>
  <c r="A215" i="80" s="1"/>
  <c r="A216" i="80" s="1"/>
  <c r="A217" i="80" s="1"/>
  <c r="A218" i="80" s="1"/>
  <c r="A219" i="80" s="1"/>
  <c r="A220" i="80" s="1"/>
  <c r="A221" i="80" s="1"/>
  <c r="A222" i="80" s="1"/>
  <c r="A223" i="80" s="1"/>
  <c r="A224" i="80" s="1"/>
  <c r="A225" i="80" s="1"/>
  <c r="U53" i="80"/>
  <c r="V53" i="80" s="1"/>
  <c r="R53" i="80"/>
  <c r="O53" i="80"/>
  <c r="U52" i="80"/>
  <c r="V52" i="80" s="1"/>
  <c r="R52" i="80"/>
  <c r="O52" i="80"/>
  <c r="V51" i="80"/>
  <c r="U51" i="80"/>
  <c r="R51" i="80"/>
  <c r="O51" i="80"/>
  <c r="U50" i="80"/>
  <c r="V50" i="80" s="1"/>
  <c r="R50" i="80"/>
  <c r="O50" i="80"/>
  <c r="V49" i="80"/>
  <c r="U49" i="80"/>
  <c r="R49" i="80"/>
  <c r="O49" i="80"/>
  <c r="U48" i="80"/>
  <c r="V48" i="80" s="1"/>
  <c r="R48" i="80"/>
  <c r="O48" i="80"/>
  <c r="U47" i="80"/>
  <c r="V47" i="80" s="1"/>
  <c r="R47" i="80"/>
  <c r="O47" i="80"/>
  <c r="U46" i="80"/>
  <c r="V46" i="80" s="1"/>
  <c r="R46" i="80"/>
  <c r="O46" i="80"/>
  <c r="U45" i="80"/>
  <c r="V45" i="80" s="1"/>
  <c r="R45" i="80"/>
  <c r="O45" i="80"/>
  <c r="U44" i="80"/>
  <c r="V44" i="80" s="1"/>
  <c r="R44" i="80"/>
  <c r="O44" i="80"/>
  <c r="U43" i="80"/>
  <c r="V43" i="80" s="1"/>
  <c r="R43" i="80"/>
  <c r="O43" i="80"/>
  <c r="V42" i="80"/>
  <c r="U42" i="80"/>
  <c r="R42" i="80"/>
  <c r="O42" i="80"/>
  <c r="U41" i="80"/>
  <c r="V41" i="80" s="1"/>
  <c r="R41" i="80"/>
  <c r="O41" i="80"/>
  <c r="V40" i="80"/>
  <c r="U40" i="80"/>
  <c r="R40" i="80"/>
  <c r="O40" i="80"/>
  <c r="U39" i="80"/>
  <c r="V39" i="80" s="1"/>
  <c r="R39" i="80"/>
  <c r="O39" i="80"/>
  <c r="U38" i="80"/>
  <c r="V38" i="80" s="1"/>
  <c r="R38" i="80"/>
  <c r="O38" i="80"/>
  <c r="U37" i="80"/>
  <c r="V37" i="80" s="1"/>
  <c r="R37" i="80"/>
  <c r="O37" i="80"/>
  <c r="U36" i="80"/>
  <c r="V36" i="80" s="1"/>
  <c r="R36" i="80"/>
  <c r="O36" i="80"/>
  <c r="V35" i="80"/>
  <c r="U35" i="80"/>
  <c r="R35" i="80"/>
  <c r="O35" i="80"/>
  <c r="U34" i="80"/>
  <c r="V34" i="80" s="1"/>
  <c r="R34" i="80"/>
  <c r="O34" i="80"/>
  <c r="V33" i="80"/>
  <c r="U33" i="80"/>
  <c r="R33" i="80"/>
  <c r="O33" i="80"/>
  <c r="U32" i="80"/>
  <c r="V32" i="80" s="1"/>
  <c r="R32" i="80"/>
  <c r="O32" i="80"/>
  <c r="U31" i="80"/>
  <c r="V31" i="80" s="1"/>
  <c r="R31" i="80"/>
  <c r="O31" i="80"/>
  <c r="U30" i="80"/>
  <c r="V30" i="80" s="1"/>
  <c r="R30" i="80"/>
  <c r="O30" i="80"/>
  <c r="U29" i="80"/>
  <c r="V29" i="80" s="1"/>
  <c r="R29" i="80"/>
  <c r="O29" i="80"/>
  <c r="U28" i="80"/>
  <c r="V28" i="80" s="1"/>
  <c r="R28" i="80"/>
  <c r="O28" i="80"/>
  <c r="U27" i="80"/>
  <c r="V27" i="80" s="1"/>
  <c r="R27" i="80"/>
  <c r="O27" i="80"/>
  <c r="V26" i="80"/>
  <c r="U26" i="80"/>
  <c r="R26" i="80"/>
  <c r="O26" i="80"/>
  <c r="N24" i="80"/>
  <c r="M24" i="80"/>
  <c r="L24" i="80"/>
  <c r="K24" i="80"/>
  <c r="J24" i="80"/>
  <c r="I24" i="80"/>
  <c r="H24" i="80"/>
  <c r="G24" i="80"/>
  <c r="F24" i="80"/>
  <c r="E24" i="80"/>
  <c r="D24" i="80"/>
  <c r="C24" i="80"/>
  <c r="U23" i="80"/>
  <c r="V23" i="80" s="1"/>
  <c r="R23" i="80"/>
  <c r="O23" i="80"/>
  <c r="U22" i="80"/>
  <c r="V22" i="80" s="1"/>
  <c r="R22" i="80"/>
  <c r="O22" i="80"/>
  <c r="U21" i="80"/>
  <c r="V21" i="80" s="1"/>
  <c r="R21" i="80"/>
  <c r="O21" i="80"/>
  <c r="V20" i="80"/>
  <c r="U20" i="80"/>
  <c r="R20" i="80"/>
  <c r="O20" i="80"/>
  <c r="U19" i="80"/>
  <c r="V19" i="80" s="1"/>
  <c r="R19" i="80"/>
  <c r="O19" i="80"/>
  <c r="V18" i="80"/>
  <c r="U18" i="80"/>
  <c r="R18" i="80"/>
  <c r="O18" i="80"/>
  <c r="U17" i="80"/>
  <c r="V17" i="80" s="1"/>
  <c r="R17" i="80"/>
  <c r="O17" i="80"/>
  <c r="N15" i="80"/>
  <c r="N100" i="80" s="1"/>
  <c r="M15" i="80"/>
  <c r="L15" i="80"/>
  <c r="K15" i="80"/>
  <c r="J15" i="80"/>
  <c r="I15" i="80"/>
  <c r="H15" i="80"/>
  <c r="G15" i="80"/>
  <c r="G100" i="80" s="1"/>
  <c r="F15" i="80"/>
  <c r="E15" i="80"/>
  <c r="D15" i="80"/>
  <c r="C15" i="80"/>
  <c r="U14" i="80"/>
  <c r="V14" i="80" s="1"/>
  <c r="R14" i="80"/>
  <c r="O14" i="80"/>
  <c r="V13" i="80"/>
  <c r="U13" i="80"/>
  <c r="R13" i="80"/>
  <c r="O13" i="80"/>
  <c r="U12" i="80"/>
  <c r="V12" i="80" s="1"/>
  <c r="R12" i="80"/>
  <c r="O12" i="80"/>
  <c r="V11" i="80"/>
  <c r="U11" i="80"/>
  <c r="R11" i="80"/>
  <c r="O11" i="80"/>
  <c r="U10" i="80"/>
  <c r="V10" i="80" s="1"/>
  <c r="R10" i="80"/>
  <c r="O10" i="80"/>
  <c r="U9" i="80"/>
  <c r="V9" i="80" s="1"/>
  <c r="R9" i="80"/>
  <c r="O9" i="80"/>
  <c r="U8" i="80"/>
  <c r="V8" i="80" s="1"/>
  <c r="R8" i="80"/>
  <c r="O8" i="80"/>
  <c r="U7" i="80"/>
  <c r="V7" i="80" s="1"/>
  <c r="R7" i="80"/>
  <c r="O7" i="80"/>
  <c r="U6" i="80"/>
  <c r="V6" i="80" s="1"/>
  <c r="R6" i="80"/>
  <c r="O6" i="80"/>
  <c r="U5" i="80"/>
  <c r="V5" i="80" s="1"/>
  <c r="R5" i="80"/>
  <c r="O5" i="80"/>
  <c r="V4" i="80"/>
  <c r="U4" i="80"/>
  <c r="R4" i="80"/>
  <c r="O4" i="80"/>
  <c r="A3" i="80"/>
  <c r="A4" i="80" s="1"/>
  <c r="A5" i="80" s="1"/>
  <c r="A6" i="80" s="1"/>
  <c r="A7" i="80" s="1"/>
  <c r="A8" i="80" s="1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O268" i="81"/>
  <c r="R268" i="81" s="1"/>
  <c r="R267" i="81"/>
  <c r="O267" i="81"/>
  <c r="R266" i="81"/>
  <c r="O266" i="81"/>
  <c r="O265" i="81"/>
  <c r="R265" i="81" s="1"/>
  <c r="O264" i="81"/>
  <c r="R264" i="81" s="1"/>
  <c r="O263" i="81"/>
  <c r="R263" i="81" s="1"/>
  <c r="J253" i="81"/>
  <c r="N252" i="81"/>
  <c r="M252" i="81"/>
  <c r="L252" i="81"/>
  <c r="K252" i="81"/>
  <c r="J252" i="81"/>
  <c r="I252" i="81"/>
  <c r="H252" i="81"/>
  <c r="H253" i="81" s="1"/>
  <c r="G252" i="81"/>
  <c r="F252" i="81"/>
  <c r="E252" i="81"/>
  <c r="D252" i="81"/>
  <c r="C252" i="81"/>
  <c r="N251" i="81"/>
  <c r="N253" i="81" s="1"/>
  <c r="M251" i="81"/>
  <c r="M253" i="81" s="1"/>
  <c r="L251" i="81"/>
  <c r="L253" i="81" s="1"/>
  <c r="K251" i="81"/>
  <c r="J251" i="81"/>
  <c r="I251" i="81"/>
  <c r="H251" i="81"/>
  <c r="G251" i="81"/>
  <c r="F251" i="81"/>
  <c r="F253" i="81" s="1"/>
  <c r="E251" i="81"/>
  <c r="E253" i="81" s="1"/>
  <c r="D251" i="81"/>
  <c r="D253" i="81" s="1"/>
  <c r="C251" i="81"/>
  <c r="N247" i="81"/>
  <c r="M247" i="81"/>
  <c r="L247" i="81"/>
  <c r="K247" i="81"/>
  <c r="J247" i="81"/>
  <c r="I247" i="81"/>
  <c r="H247" i="81"/>
  <c r="G247" i="81"/>
  <c r="F247" i="81"/>
  <c r="E247" i="81"/>
  <c r="D247" i="81"/>
  <c r="C247" i="81"/>
  <c r="N246" i="81"/>
  <c r="M246" i="81"/>
  <c r="L246" i="81"/>
  <c r="K246" i="81"/>
  <c r="J246" i="81"/>
  <c r="I246" i="81"/>
  <c r="H246" i="81"/>
  <c r="G246" i="81"/>
  <c r="F246" i="81"/>
  <c r="E246" i="81"/>
  <c r="D246" i="81"/>
  <c r="C246" i="81"/>
  <c r="N245" i="81"/>
  <c r="M245" i="81"/>
  <c r="L245" i="81"/>
  <c r="K245" i="81"/>
  <c r="J245" i="81"/>
  <c r="I245" i="81"/>
  <c r="H245" i="81"/>
  <c r="G245" i="81"/>
  <c r="F245" i="81"/>
  <c r="E245" i="81"/>
  <c r="D245" i="81"/>
  <c r="C245" i="81"/>
  <c r="N244" i="81"/>
  <c r="M244" i="81"/>
  <c r="L244" i="81"/>
  <c r="K244" i="81"/>
  <c r="J244" i="81"/>
  <c r="I244" i="81"/>
  <c r="H244" i="81"/>
  <c r="G244" i="81"/>
  <c r="F244" i="81"/>
  <c r="E244" i="81"/>
  <c r="D244" i="81"/>
  <c r="C244" i="81"/>
  <c r="N243" i="81"/>
  <c r="M243" i="81"/>
  <c r="L243" i="81"/>
  <c r="K243" i="81"/>
  <c r="J243" i="81"/>
  <c r="I243" i="81"/>
  <c r="H243" i="81"/>
  <c r="G243" i="81"/>
  <c r="G248" i="81" s="1"/>
  <c r="F243" i="81"/>
  <c r="E243" i="81"/>
  <c r="D243" i="81"/>
  <c r="C243" i="81"/>
  <c r="N242" i="81"/>
  <c r="M242" i="81"/>
  <c r="M248" i="81" s="1"/>
  <c r="L242" i="81"/>
  <c r="K242" i="81"/>
  <c r="K248" i="81" s="1"/>
  <c r="J242" i="81"/>
  <c r="I242" i="81"/>
  <c r="H242" i="81"/>
  <c r="G242" i="81"/>
  <c r="F242" i="81"/>
  <c r="F248" i="81" s="1"/>
  <c r="E242" i="81"/>
  <c r="E248" i="81" s="1"/>
  <c r="D242" i="81"/>
  <c r="C242" i="81"/>
  <c r="C248" i="81" s="1"/>
  <c r="N234" i="81"/>
  <c r="M234" i="81"/>
  <c r="L234" i="81"/>
  <c r="K234" i="81"/>
  <c r="K235" i="81" s="1"/>
  <c r="J234" i="81"/>
  <c r="I234" i="81"/>
  <c r="H234" i="81"/>
  <c r="G234" i="81"/>
  <c r="F234" i="81"/>
  <c r="E234" i="81"/>
  <c r="D234" i="81"/>
  <c r="C234" i="81"/>
  <c r="N233" i="81"/>
  <c r="M233" i="81"/>
  <c r="L233" i="81"/>
  <c r="K233" i="81"/>
  <c r="J233" i="81"/>
  <c r="I233" i="81"/>
  <c r="H233" i="81"/>
  <c r="H235" i="81" s="1"/>
  <c r="G233" i="81"/>
  <c r="G235" i="81" s="1"/>
  <c r="F233" i="81"/>
  <c r="E233" i="81"/>
  <c r="D233" i="81"/>
  <c r="C233" i="81"/>
  <c r="K231" i="81"/>
  <c r="F231" i="81"/>
  <c r="N230" i="81"/>
  <c r="M230" i="81"/>
  <c r="L230" i="81"/>
  <c r="K230" i="81"/>
  <c r="J230" i="81"/>
  <c r="I230" i="81"/>
  <c r="I231" i="81" s="1"/>
  <c r="H230" i="81"/>
  <c r="G230" i="81"/>
  <c r="F230" i="81"/>
  <c r="E230" i="81"/>
  <c r="D230" i="81"/>
  <c r="C230" i="81"/>
  <c r="N229" i="81"/>
  <c r="N231" i="81" s="1"/>
  <c r="M229" i="81"/>
  <c r="M231" i="81" s="1"/>
  <c r="L229" i="81"/>
  <c r="K229" i="81"/>
  <c r="J229" i="81"/>
  <c r="J231" i="81" s="1"/>
  <c r="I229" i="81"/>
  <c r="H229" i="81"/>
  <c r="G229" i="81"/>
  <c r="F229" i="81"/>
  <c r="E229" i="81"/>
  <c r="E231" i="81" s="1"/>
  <c r="D229" i="81"/>
  <c r="C229" i="81"/>
  <c r="C231" i="81" s="1"/>
  <c r="N228" i="81"/>
  <c r="M228" i="81"/>
  <c r="L228" i="81"/>
  <c r="K228" i="81"/>
  <c r="J228" i="81"/>
  <c r="I228" i="81"/>
  <c r="H228" i="81"/>
  <c r="G228" i="81"/>
  <c r="F228" i="81"/>
  <c r="E228" i="81"/>
  <c r="D228" i="81"/>
  <c r="C228" i="81"/>
  <c r="N224" i="81"/>
  <c r="M224" i="81"/>
  <c r="K224" i="81"/>
  <c r="F224" i="81"/>
  <c r="N223" i="81"/>
  <c r="M223" i="81"/>
  <c r="L223" i="81"/>
  <c r="L224" i="81" s="1"/>
  <c r="K223" i="81"/>
  <c r="J223" i="81"/>
  <c r="J224" i="81" s="1"/>
  <c r="I223" i="81"/>
  <c r="I224" i="81" s="1"/>
  <c r="H223" i="81"/>
  <c r="H224" i="81" s="1"/>
  <c r="G223" i="81"/>
  <c r="F223" i="81"/>
  <c r="E223" i="81"/>
  <c r="E224" i="81" s="1"/>
  <c r="D223" i="81"/>
  <c r="D224" i="81" s="1"/>
  <c r="C223" i="81"/>
  <c r="C224" i="81" s="1"/>
  <c r="L220" i="81"/>
  <c r="N219" i="81"/>
  <c r="M219" i="81"/>
  <c r="L219" i="81"/>
  <c r="K219" i="81"/>
  <c r="J219" i="81"/>
  <c r="I219" i="81"/>
  <c r="H219" i="81"/>
  <c r="G219" i="81"/>
  <c r="F219" i="81"/>
  <c r="E219" i="81"/>
  <c r="D219" i="81"/>
  <c r="C219" i="81"/>
  <c r="N218" i="81"/>
  <c r="M218" i="81"/>
  <c r="L218" i="81"/>
  <c r="K218" i="81"/>
  <c r="J218" i="81"/>
  <c r="I218" i="81"/>
  <c r="H218" i="81"/>
  <c r="G218" i="81"/>
  <c r="F218" i="81"/>
  <c r="E218" i="81"/>
  <c r="D218" i="81"/>
  <c r="C218" i="81"/>
  <c r="N217" i="81"/>
  <c r="M217" i="81"/>
  <c r="L217" i="81"/>
  <c r="K217" i="81"/>
  <c r="K220" i="81" s="1"/>
  <c r="J217" i="81"/>
  <c r="J220" i="81" s="1"/>
  <c r="I217" i="81"/>
  <c r="I220" i="81" s="1"/>
  <c r="H217" i="81"/>
  <c r="G217" i="81"/>
  <c r="F217" i="81"/>
  <c r="E217" i="81"/>
  <c r="D217" i="81"/>
  <c r="D220" i="81" s="1"/>
  <c r="C217" i="81"/>
  <c r="O216" i="81"/>
  <c r="N213" i="81"/>
  <c r="M213" i="81"/>
  <c r="L213" i="81"/>
  <c r="K213" i="81"/>
  <c r="J213" i="81"/>
  <c r="I213" i="81"/>
  <c r="H213" i="81"/>
  <c r="G213" i="81"/>
  <c r="F213" i="81"/>
  <c r="E213" i="81"/>
  <c r="D213" i="81"/>
  <c r="C213" i="81"/>
  <c r="N212" i="81"/>
  <c r="M212" i="81"/>
  <c r="L212" i="81"/>
  <c r="K212" i="81"/>
  <c r="J212" i="81"/>
  <c r="I212" i="81"/>
  <c r="H212" i="81"/>
  <c r="G212" i="81"/>
  <c r="F212" i="81"/>
  <c r="E212" i="81"/>
  <c r="D212" i="81"/>
  <c r="C212" i="81"/>
  <c r="N211" i="81"/>
  <c r="M211" i="81"/>
  <c r="L211" i="81"/>
  <c r="K211" i="81"/>
  <c r="J211" i="81"/>
  <c r="I211" i="81"/>
  <c r="H211" i="81"/>
  <c r="G211" i="81"/>
  <c r="F211" i="81"/>
  <c r="E211" i="81"/>
  <c r="D211" i="81"/>
  <c r="C211" i="81"/>
  <c r="O210" i="81"/>
  <c r="N209" i="81"/>
  <c r="M209" i="81"/>
  <c r="L209" i="81"/>
  <c r="K209" i="81"/>
  <c r="J209" i="81"/>
  <c r="I209" i="81"/>
  <c r="H209" i="81"/>
  <c r="G209" i="81"/>
  <c r="F209" i="81"/>
  <c r="E209" i="81"/>
  <c r="D209" i="81"/>
  <c r="C209" i="81"/>
  <c r="N208" i="81"/>
  <c r="M208" i="81"/>
  <c r="L208" i="81"/>
  <c r="K208" i="81"/>
  <c r="J208" i="81"/>
  <c r="I208" i="81"/>
  <c r="H208" i="81"/>
  <c r="G208" i="81"/>
  <c r="F208" i="81"/>
  <c r="E208" i="81"/>
  <c r="D208" i="81"/>
  <c r="C208" i="81"/>
  <c r="N207" i="81"/>
  <c r="M207" i="81"/>
  <c r="L207" i="81"/>
  <c r="K207" i="81"/>
  <c r="J207" i="81"/>
  <c r="I207" i="81"/>
  <c r="H207" i="81"/>
  <c r="G207" i="81"/>
  <c r="F207" i="81"/>
  <c r="E207" i="81"/>
  <c r="D207" i="81"/>
  <c r="C207" i="81"/>
  <c r="N206" i="81"/>
  <c r="M206" i="81"/>
  <c r="L206" i="81"/>
  <c r="K206" i="81"/>
  <c r="J206" i="81"/>
  <c r="I206" i="81"/>
  <c r="H206" i="81"/>
  <c r="G206" i="81"/>
  <c r="F206" i="81"/>
  <c r="E206" i="81"/>
  <c r="D206" i="81"/>
  <c r="C206" i="81"/>
  <c r="N205" i="81"/>
  <c r="M205" i="81"/>
  <c r="L205" i="81"/>
  <c r="K205" i="81"/>
  <c r="J205" i="81"/>
  <c r="I205" i="81"/>
  <c r="H205" i="81"/>
  <c r="G205" i="81"/>
  <c r="F205" i="81"/>
  <c r="E205" i="81"/>
  <c r="D205" i="81"/>
  <c r="C205" i="81"/>
  <c r="N204" i="81"/>
  <c r="M204" i="81"/>
  <c r="L204" i="81"/>
  <c r="K204" i="81"/>
  <c r="J204" i="81"/>
  <c r="I204" i="81"/>
  <c r="H204" i="81"/>
  <c r="G204" i="81"/>
  <c r="F204" i="81"/>
  <c r="E204" i="81"/>
  <c r="D204" i="81"/>
  <c r="C204" i="81"/>
  <c r="N203" i="81"/>
  <c r="M203" i="81"/>
  <c r="L203" i="81"/>
  <c r="K203" i="81"/>
  <c r="J203" i="81"/>
  <c r="I203" i="81"/>
  <c r="H203" i="81"/>
  <c r="G203" i="81"/>
  <c r="F203" i="81"/>
  <c r="E203" i="81"/>
  <c r="D203" i="81"/>
  <c r="C203" i="81"/>
  <c r="N202" i="81"/>
  <c r="M202" i="81"/>
  <c r="L202" i="81"/>
  <c r="K202" i="81"/>
  <c r="J202" i="81"/>
  <c r="I202" i="81"/>
  <c r="H202" i="81"/>
  <c r="G202" i="81"/>
  <c r="F202" i="81"/>
  <c r="E202" i="81"/>
  <c r="D202" i="81"/>
  <c r="C202" i="81"/>
  <c r="N201" i="81"/>
  <c r="M201" i="81"/>
  <c r="L201" i="81"/>
  <c r="K201" i="81"/>
  <c r="J201" i="81"/>
  <c r="I201" i="81"/>
  <c r="H201" i="81"/>
  <c r="G201" i="81"/>
  <c r="F201" i="81"/>
  <c r="E201" i="81"/>
  <c r="D201" i="81"/>
  <c r="C201" i="81"/>
  <c r="N200" i="81"/>
  <c r="M200" i="81"/>
  <c r="L200" i="81"/>
  <c r="K200" i="81"/>
  <c r="J200" i="81"/>
  <c r="I200" i="81"/>
  <c r="H200" i="81"/>
  <c r="G200" i="81"/>
  <c r="G214" i="81" s="1"/>
  <c r="F200" i="81"/>
  <c r="E200" i="81"/>
  <c r="D200" i="81"/>
  <c r="C200" i="81"/>
  <c r="N199" i="81"/>
  <c r="M199" i="81"/>
  <c r="M214" i="81" s="1"/>
  <c r="L199" i="81"/>
  <c r="K199" i="81"/>
  <c r="J199" i="81"/>
  <c r="I199" i="81"/>
  <c r="H199" i="81"/>
  <c r="G199" i="81"/>
  <c r="F199" i="81"/>
  <c r="E199" i="81"/>
  <c r="E214" i="81" s="1"/>
  <c r="D199" i="81"/>
  <c r="C199" i="81"/>
  <c r="N196" i="81"/>
  <c r="M196" i="81"/>
  <c r="L196" i="81"/>
  <c r="K196" i="81"/>
  <c r="J196" i="81"/>
  <c r="I196" i="81"/>
  <c r="H196" i="81"/>
  <c r="G196" i="81"/>
  <c r="F196" i="81"/>
  <c r="E196" i="81"/>
  <c r="D196" i="81"/>
  <c r="C196" i="81"/>
  <c r="N195" i="81"/>
  <c r="M195" i="81"/>
  <c r="L195" i="81"/>
  <c r="K195" i="81"/>
  <c r="J195" i="81"/>
  <c r="I195" i="81"/>
  <c r="H195" i="81"/>
  <c r="G195" i="81"/>
  <c r="F195" i="81"/>
  <c r="E195" i="81"/>
  <c r="D195" i="81"/>
  <c r="C195" i="81"/>
  <c r="N194" i="81"/>
  <c r="M194" i="81"/>
  <c r="L194" i="81"/>
  <c r="K194" i="81"/>
  <c r="J194" i="81"/>
  <c r="I194" i="81"/>
  <c r="H194" i="81"/>
  <c r="G194" i="81"/>
  <c r="F194" i="81"/>
  <c r="E194" i="81"/>
  <c r="D194" i="81"/>
  <c r="C194" i="81"/>
  <c r="N193" i="81"/>
  <c r="M193" i="81"/>
  <c r="L193" i="81"/>
  <c r="K193" i="81"/>
  <c r="J193" i="81"/>
  <c r="I193" i="81"/>
  <c r="H193" i="81"/>
  <c r="G193" i="81"/>
  <c r="F193" i="81"/>
  <c r="E193" i="81"/>
  <c r="D193" i="81"/>
  <c r="C193" i="81"/>
  <c r="N192" i="81"/>
  <c r="M192" i="81"/>
  <c r="L192" i="81"/>
  <c r="K192" i="81"/>
  <c r="J192" i="81"/>
  <c r="I192" i="81"/>
  <c r="H192" i="81"/>
  <c r="G192" i="81"/>
  <c r="F192" i="81"/>
  <c r="E192" i="81"/>
  <c r="D192" i="81"/>
  <c r="C192" i="81"/>
  <c r="N191" i="81"/>
  <c r="M191" i="81"/>
  <c r="L191" i="81"/>
  <c r="K191" i="81"/>
  <c r="J191" i="81"/>
  <c r="I191" i="81"/>
  <c r="H191" i="81"/>
  <c r="G191" i="81"/>
  <c r="F191" i="81"/>
  <c r="E191" i="81"/>
  <c r="D191" i="81"/>
  <c r="C191" i="81"/>
  <c r="N190" i="81"/>
  <c r="M190" i="81"/>
  <c r="L190" i="81"/>
  <c r="K190" i="81"/>
  <c r="J190" i="81"/>
  <c r="J197" i="81" s="1"/>
  <c r="I190" i="81"/>
  <c r="I197" i="81" s="1"/>
  <c r="H190" i="81"/>
  <c r="G190" i="81"/>
  <c r="F190" i="81"/>
  <c r="E190" i="81"/>
  <c r="D190" i="81"/>
  <c r="C190" i="81"/>
  <c r="J188" i="81"/>
  <c r="N187" i="81"/>
  <c r="M187" i="81"/>
  <c r="L187" i="81"/>
  <c r="K187" i="81"/>
  <c r="J187" i="81"/>
  <c r="I187" i="81"/>
  <c r="H187" i="81"/>
  <c r="G187" i="81"/>
  <c r="F187" i="81"/>
  <c r="E187" i="81"/>
  <c r="D187" i="81"/>
  <c r="C187" i="81"/>
  <c r="N186" i="81"/>
  <c r="M186" i="81"/>
  <c r="L186" i="81"/>
  <c r="K186" i="81"/>
  <c r="J186" i="81"/>
  <c r="I186" i="81"/>
  <c r="H186" i="81"/>
  <c r="G186" i="81"/>
  <c r="F186" i="81"/>
  <c r="E186" i="81"/>
  <c r="D186" i="81"/>
  <c r="C186" i="81"/>
  <c r="O186" i="81" s="1"/>
  <c r="N185" i="81"/>
  <c r="M185" i="81"/>
  <c r="L185" i="81"/>
  <c r="K185" i="81"/>
  <c r="J185" i="81"/>
  <c r="I185" i="81"/>
  <c r="H185" i="81"/>
  <c r="G185" i="81"/>
  <c r="F185" i="81"/>
  <c r="E185" i="81"/>
  <c r="D185" i="81"/>
  <c r="C185" i="81"/>
  <c r="N184" i="81"/>
  <c r="M184" i="81"/>
  <c r="L184" i="81"/>
  <c r="K184" i="81"/>
  <c r="J184" i="81"/>
  <c r="I184" i="81"/>
  <c r="H184" i="81"/>
  <c r="G184" i="81"/>
  <c r="F184" i="81"/>
  <c r="E184" i="81"/>
  <c r="D184" i="81"/>
  <c r="C184" i="81"/>
  <c r="O184" i="81" s="1"/>
  <c r="N183" i="81"/>
  <c r="M183" i="81"/>
  <c r="L183" i="81"/>
  <c r="K183" i="81"/>
  <c r="J183" i="81"/>
  <c r="I183" i="81"/>
  <c r="H183" i="81"/>
  <c r="G183" i="81"/>
  <c r="F183" i="81"/>
  <c r="E183" i="81"/>
  <c r="D183" i="81"/>
  <c r="C183" i="81"/>
  <c r="N182" i="81"/>
  <c r="M182" i="81"/>
  <c r="L182" i="81"/>
  <c r="K182" i="81"/>
  <c r="J182" i="81"/>
  <c r="I182" i="81"/>
  <c r="H182" i="81"/>
  <c r="G182" i="81"/>
  <c r="F182" i="81"/>
  <c r="E182" i="81"/>
  <c r="D182" i="81"/>
  <c r="C182" i="81"/>
  <c r="O182" i="81" s="1"/>
  <c r="N181" i="81"/>
  <c r="M181" i="81"/>
  <c r="L181" i="81"/>
  <c r="K181" i="81"/>
  <c r="J181" i="81"/>
  <c r="I181" i="81"/>
  <c r="H181" i="81"/>
  <c r="G181" i="81"/>
  <c r="F181" i="81"/>
  <c r="E181" i="81"/>
  <c r="D181" i="81"/>
  <c r="C181" i="81"/>
  <c r="N180" i="81"/>
  <c r="M180" i="81"/>
  <c r="L180" i="81"/>
  <c r="K180" i="81"/>
  <c r="J180" i="81"/>
  <c r="I180" i="81"/>
  <c r="H180" i="81"/>
  <c r="G180" i="81"/>
  <c r="F180" i="81"/>
  <c r="E180" i="81"/>
  <c r="D180" i="81"/>
  <c r="C180" i="81"/>
  <c r="O180" i="81" s="1"/>
  <c r="N179" i="81"/>
  <c r="M179" i="81"/>
  <c r="L179" i="81"/>
  <c r="K179" i="81"/>
  <c r="J179" i="81"/>
  <c r="I179" i="81"/>
  <c r="H179" i="81"/>
  <c r="G179" i="81"/>
  <c r="F179" i="81"/>
  <c r="E179" i="81"/>
  <c r="D179" i="81"/>
  <c r="C179" i="81"/>
  <c r="N178" i="81"/>
  <c r="M178" i="81"/>
  <c r="L178" i="81"/>
  <c r="K178" i="81"/>
  <c r="J178" i="81"/>
  <c r="I178" i="81"/>
  <c r="H178" i="81"/>
  <c r="G178" i="81"/>
  <c r="F178" i="81"/>
  <c r="E178" i="81"/>
  <c r="D178" i="81"/>
  <c r="C178" i="81"/>
  <c r="N177" i="81"/>
  <c r="M177" i="81"/>
  <c r="L177" i="81"/>
  <c r="K177" i="81"/>
  <c r="J177" i="81"/>
  <c r="I177" i="81"/>
  <c r="H177" i="81"/>
  <c r="G177" i="81"/>
  <c r="F177" i="81"/>
  <c r="E177" i="81"/>
  <c r="D177" i="81"/>
  <c r="C177" i="81"/>
  <c r="N176" i="81"/>
  <c r="M176" i="81"/>
  <c r="L176" i="81"/>
  <c r="K176" i="81"/>
  <c r="J176" i="81"/>
  <c r="I176" i="81"/>
  <c r="H176" i="81"/>
  <c r="G176" i="81"/>
  <c r="F176" i="81"/>
  <c r="E176" i="81"/>
  <c r="D176" i="81"/>
  <c r="C176" i="81"/>
  <c r="N175" i="81"/>
  <c r="M175" i="81"/>
  <c r="L175" i="81"/>
  <c r="K175" i="81"/>
  <c r="J175" i="81"/>
  <c r="I175" i="81"/>
  <c r="H175" i="81"/>
  <c r="G175" i="81"/>
  <c r="F175" i="81"/>
  <c r="E175" i="81"/>
  <c r="D175" i="81"/>
  <c r="C175" i="81"/>
  <c r="N174" i="81"/>
  <c r="M174" i="81"/>
  <c r="L174" i="81"/>
  <c r="K174" i="81"/>
  <c r="J174" i="81"/>
  <c r="I174" i="81"/>
  <c r="H174" i="81"/>
  <c r="G174" i="81"/>
  <c r="F174" i="81"/>
  <c r="E174" i="81"/>
  <c r="D174" i="81"/>
  <c r="C174" i="81"/>
  <c r="N173" i="81"/>
  <c r="M173" i="81"/>
  <c r="L173" i="81"/>
  <c r="K173" i="81"/>
  <c r="J173" i="81"/>
  <c r="I173" i="81"/>
  <c r="H173" i="81"/>
  <c r="G173" i="81"/>
  <c r="F173" i="81"/>
  <c r="E173" i="81"/>
  <c r="D173" i="81"/>
  <c r="C173" i="81"/>
  <c r="N172" i="81"/>
  <c r="M172" i="81"/>
  <c r="L172" i="81"/>
  <c r="K172" i="81"/>
  <c r="J172" i="81"/>
  <c r="I172" i="81"/>
  <c r="H172" i="81"/>
  <c r="G172" i="81"/>
  <c r="F172" i="81"/>
  <c r="E172" i="81"/>
  <c r="D172" i="81"/>
  <c r="C172" i="81"/>
  <c r="O172" i="81" s="1"/>
  <c r="N171" i="81"/>
  <c r="M171" i="81"/>
  <c r="L171" i="81"/>
  <c r="K171" i="81"/>
  <c r="J171" i="81"/>
  <c r="I171" i="81"/>
  <c r="H171" i="81"/>
  <c r="G171" i="81"/>
  <c r="F171" i="81"/>
  <c r="E171" i="81"/>
  <c r="D171" i="81"/>
  <c r="C171" i="81"/>
  <c r="N170" i="81"/>
  <c r="M170" i="81"/>
  <c r="L170" i="81"/>
  <c r="K170" i="81"/>
  <c r="J170" i="81"/>
  <c r="I170" i="81"/>
  <c r="H170" i="81"/>
  <c r="G170" i="81"/>
  <c r="F170" i="81"/>
  <c r="E170" i="81"/>
  <c r="D170" i="81"/>
  <c r="C170" i="81"/>
  <c r="N169" i="81"/>
  <c r="M169" i="81"/>
  <c r="L169" i="81"/>
  <c r="K169" i="81"/>
  <c r="J169" i="81"/>
  <c r="I169" i="81"/>
  <c r="H169" i="81"/>
  <c r="G169" i="81"/>
  <c r="F169" i="81"/>
  <c r="E169" i="81"/>
  <c r="D169" i="81"/>
  <c r="C169" i="81"/>
  <c r="N168" i="81"/>
  <c r="M168" i="81"/>
  <c r="L168" i="81"/>
  <c r="K168" i="81"/>
  <c r="J168" i="81"/>
  <c r="I168" i="81"/>
  <c r="H168" i="81"/>
  <c r="G168" i="81"/>
  <c r="F168" i="81"/>
  <c r="E168" i="81"/>
  <c r="D168" i="81"/>
  <c r="C168" i="81"/>
  <c r="O168" i="81" s="1"/>
  <c r="N167" i="81"/>
  <c r="M167" i="81"/>
  <c r="L167" i="81"/>
  <c r="K167" i="81"/>
  <c r="J167" i="81"/>
  <c r="I167" i="81"/>
  <c r="H167" i="81"/>
  <c r="G167" i="81"/>
  <c r="F167" i="81"/>
  <c r="E167" i="81"/>
  <c r="D167" i="81"/>
  <c r="C167" i="81"/>
  <c r="N166" i="81"/>
  <c r="M166" i="81"/>
  <c r="L166" i="81"/>
  <c r="K166" i="81"/>
  <c r="J166" i="81"/>
  <c r="I166" i="81"/>
  <c r="H166" i="81"/>
  <c r="G166" i="81"/>
  <c r="F166" i="81"/>
  <c r="E166" i="81"/>
  <c r="D166" i="81"/>
  <c r="C166" i="81"/>
  <c r="N165" i="81"/>
  <c r="M165" i="81"/>
  <c r="L165" i="81"/>
  <c r="K165" i="81"/>
  <c r="J165" i="81"/>
  <c r="I165" i="81"/>
  <c r="H165" i="81"/>
  <c r="G165" i="81"/>
  <c r="F165" i="81"/>
  <c r="E165" i="81"/>
  <c r="D165" i="81"/>
  <c r="C165" i="81"/>
  <c r="N164" i="81"/>
  <c r="M164" i="81"/>
  <c r="L164" i="81"/>
  <c r="K164" i="81"/>
  <c r="J164" i="81"/>
  <c r="I164" i="81"/>
  <c r="H164" i="81"/>
  <c r="G164" i="81"/>
  <c r="F164" i="81"/>
  <c r="E164" i="81"/>
  <c r="D164" i="81"/>
  <c r="C164" i="81"/>
  <c r="O164" i="81" s="1"/>
  <c r="N163" i="81"/>
  <c r="M163" i="81"/>
  <c r="L163" i="81"/>
  <c r="K163" i="81"/>
  <c r="J163" i="81"/>
  <c r="I163" i="81"/>
  <c r="H163" i="81"/>
  <c r="G163" i="81"/>
  <c r="F163" i="81"/>
  <c r="E163" i="81"/>
  <c r="D163" i="81"/>
  <c r="C163" i="81"/>
  <c r="N162" i="81"/>
  <c r="M162" i="81"/>
  <c r="L162" i="81"/>
  <c r="K162" i="81"/>
  <c r="J162" i="81"/>
  <c r="I162" i="81"/>
  <c r="H162" i="81"/>
  <c r="G162" i="81"/>
  <c r="F162" i="81"/>
  <c r="E162" i="81"/>
  <c r="D162" i="81"/>
  <c r="C162" i="81"/>
  <c r="N161" i="81"/>
  <c r="M161" i="81"/>
  <c r="L161" i="81"/>
  <c r="K161" i="81"/>
  <c r="J161" i="81"/>
  <c r="I161" i="81"/>
  <c r="H161" i="81"/>
  <c r="G161" i="81"/>
  <c r="F161" i="81"/>
  <c r="E161" i="81"/>
  <c r="D161" i="81"/>
  <c r="C161" i="81"/>
  <c r="N160" i="81"/>
  <c r="M160" i="81"/>
  <c r="L160" i="81"/>
  <c r="K160" i="81"/>
  <c r="J160" i="81"/>
  <c r="I160" i="81"/>
  <c r="H160" i="81"/>
  <c r="G160" i="81"/>
  <c r="F160" i="81"/>
  <c r="E160" i="81"/>
  <c r="D160" i="81"/>
  <c r="C160" i="81"/>
  <c r="N159" i="81"/>
  <c r="M159" i="81"/>
  <c r="L159" i="81"/>
  <c r="K159" i="81"/>
  <c r="J159" i="81"/>
  <c r="I159" i="81"/>
  <c r="H159" i="81"/>
  <c r="G159" i="81"/>
  <c r="F159" i="81"/>
  <c r="E159" i="81"/>
  <c r="D159" i="81"/>
  <c r="C159" i="81"/>
  <c r="N158" i="81"/>
  <c r="M158" i="81"/>
  <c r="L158" i="81"/>
  <c r="K158" i="81"/>
  <c r="J158" i="81"/>
  <c r="I158" i="81"/>
  <c r="H158" i="81"/>
  <c r="G158" i="81"/>
  <c r="F158" i="81"/>
  <c r="E158" i="81"/>
  <c r="D158" i="81"/>
  <c r="C158" i="81"/>
  <c r="O158" i="81" s="1"/>
  <c r="N157" i="81"/>
  <c r="M157" i="81"/>
  <c r="L157" i="81"/>
  <c r="K157" i="81"/>
  <c r="J157" i="81"/>
  <c r="I157" i="81"/>
  <c r="H157" i="81"/>
  <c r="G157" i="81"/>
  <c r="F157" i="81"/>
  <c r="E157" i="81"/>
  <c r="D157" i="81"/>
  <c r="C157" i="81"/>
  <c r="N156" i="81"/>
  <c r="M156" i="81"/>
  <c r="L156" i="81"/>
  <c r="K156" i="81"/>
  <c r="J156" i="81"/>
  <c r="I156" i="81"/>
  <c r="H156" i="81"/>
  <c r="G156" i="81"/>
  <c r="F156" i="81"/>
  <c r="E156" i="81"/>
  <c r="D156" i="81"/>
  <c r="C156" i="81"/>
  <c r="O156" i="81" s="1"/>
  <c r="N155" i="81"/>
  <c r="M155" i="81"/>
  <c r="L155" i="81"/>
  <c r="K155" i="81"/>
  <c r="J155" i="81"/>
  <c r="I155" i="81"/>
  <c r="H155" i="81"/>
  <c r="G155" i="81"/>
  <c r="F155" i="81"/>
  <c r="E155" i="81"/>
  <c r="D155" i="81"/>
  <c r="C155" i="81"/>
  <c r="N154" i="81"/>
  <c r="M154" i="81"/>
  <c r="L154" i="81"/>
  <c r="K154" i="81"/>
  <c r="J154" i="81"/>
  <c r="I154" i="81"/>
  <c r="H154" i="81"/>
  <c r="G154" i="81"/>
  <c r="F154" i="81"/>
  <c r="E154" i="81"/>
  <c r="D154" i="81"/>
  <c r="C154" i="81"/>
  <c r="O154" i="81" s="1"/>
  <c r="N153" i="81"/>
  <c r="M153" i="81"/>
  <c r="L153" i="81"/>
  <c r="K153" i="81"/>
  <c r="J153" i="81"/>
  <c r="I153" i="81"/>
  <c r="H153" i="81"/>
  <c r="G153" i="81"/>
  <c r="F153" i="81"/>
  <c r="E153" i="81"/>
  <c r="D153" i="81"/>
  <c r="C153" i="81"/>
  <c r="N152" i="81"/>
  <c r="M152" i="81"/>
  <c r="L152" i="81"/>
  <c r="K152" i="81"/>
  <c r="K188" i="81" s="1"/>
  <c r="J152" i="81"/>
  <c r="I152" i="81"/>
  <c r="I188" i="81" s="1"/>
  <c r="H152" i="81"/>
  <c r="G152" i="81"/>
  <c r="F152" i="81"/>
  <c r="E152" i="81"/>
  <c r="D152" i="81"/>
  <c r="C152" i="81"/>
  <c r="O152" i="81" s="1"/>
  <c r="I150" i="81"/>
  <c r="N149" i="81"/>
  <c r="M149" i="81"/>
  <c r="L149" i="81"/>
  <c r="K149" i="81"/>
  <c r="J149" i="81"/>
  <c r="I149" i="81"/>
  <c r="H149" i="81"/>
  <c r="G149" i="81"/>
  <c r="F149" i="81"/>
  <c r="E149" i="81"/>
  <c r="D149" i="81"/>
  <c r="C149" i="81"/>
  <c r="N148" i="81"/>
  <c r="M148" i="81"/>
  <c r="L148" i="81"/>
  <c r="K148" i="81"/>
  <c r="J148" i="81"/>
  <c r="I148" i="81"/>
  <c r="H148" i="81"/>
  <c r="G148" i="81"/>
  <c r="F148" i="81"/>
  <c r="E148" i="81"/>
  <c r="D148" i="81"/>
  <c r="C148" i="81"/>
  <c r="N147" i="81"/>
  <c r="M147" i="81"/>
  <c r="L147" i="81"/>
  <c r="K147" i="81"/>
  <c r="J147" i="81"/>
  <c r="I147" i="81"/>
  <c r="H147" i="81"/>
  <c r="G147" i="81"/>
  <c r="F147" i="81"/>
  <c r="E147" i="81"/>
  <c r="D147" i="81"/>
  <c r="C147" i="81"/>
  <c r="N146" i="81"/>
  <c r="M146" i="81"/>
  <c r="L146" i="81"/>
  <c r="K146" i="81"/>
  <c r="J146" i="81"/>
  <c r="I146" i="81"/>
  <c r="H146" i="81"/>
  <c r="G146" i="81"/>
  <c r="F146" i="81"/>
  <c r="E146" i="81"/>
  <c r="D146" i="81"/>
  <c r="C146" i="81"/>
  <c r="N145" i="81"/>
  <c r="M145" i="81"/>
  <c r="L145" i="81"/>
  <c r="K145" i="81"/>
  <c r="J145" i="81"/>
  <c r="I145" i="81"/>
  <c r="H145" i="81"/>
  <c r="G145" i="81"/>
  <c r="F145" i="81"/>
  <c r="E145" i="81"/>
  <c r="D145" i="81"/>
  <c r="C145" i="81"/>
  <c r="N144" i="81"/>
  <c r="M144" i="81"/>
  <c r="L144" i="81"/>
  <c r="K144" i="81"/>
  <c r="J144" i="81"/>
  <c r="I144" i="81"/>
  <c r="H144" i="81"/>
  <c r="G144" i="81"/>
  <c r="F144" i="81"/>
  <c r="E144" i="81"/>
  <c r="D144" i="81"/>
  <c r="C144" i="81"/>
  <c r="N143" i="81"/>
  <c r="N150" i="81" s="1"/>
  <c r="M143" i="81"/>
  <c r="L143" i="81"/>
  <c r="K143" i="81"/>
  <c r="J143" i="81"/>
  <c r="I143" i="81"/>
  <c r="H143" i="81"/>
  <c r="G143" i="81"/>
  <c r="F143" i="81"/>
  <c r="F150" i="81" s="1"/>
  <c r="E143" i="81"/>
  <c r="D143" i="81"/>
  <c r="C143" i="81"/>
  <c r="N140" i="81"/>
  <c r="M140" i="81"/>
  <c r="L140" i="81"/>
  <c r="K140" i="81"/>
  <c r="J140" i="81"/>
  <c r="I140" i="81"/>
  <c r="H140" i="81"/>
  <c r="G140" i="81"/>
  <c r="F140" i="81"/>
  <c r="E140" i="81"/>
  <c r="D140" i="81"/>
  <c r="C140" i="81"/>
  <c r="N139" i="81"/>
  <c r="M139" i="81"/>
  <c r="L139" i="81"/>
  <c r="K139" i="81"/>
  <c r="J139" i="81"/>
  <c r="I139" i="81"/>
  <c r="H139" i="81"/>
  <c r="G139" i="81"/>
  <c r="F139" i="81"/>
  <c r="E139" i="81"/>
  <c r="D139" i="81"/>
  <c r="C139" i="81"/>
  <c r="N138" i="81"/>
  <c r="M138" i="81"/>
  <c r="L138" i="81"/>
  <c r="K138" i="81"/>
  <c r="J138" i="81"/>
  <c r="I138" i="81"/>
  <c r="H138" i="81"/>
  <c r="G138" i="81"/>
  <c r="F138" i="81"/>
  <c r="E138" i="81"/>
  <c r="D138" i="81"/>
  <c r="O138" i="81" s="1"/>
  <c r="C138" i="81"/>
  <c r="N137" i="81"/>
  <c r="M137" i="81"/>
  <c r="L137" i="81"/>
  <c r="K137" i="81"/>
  <c r="J137" i="81"/>
  <c r="I137" i="81"/>
  <c r="H137" i="81"/>
  <c r="G137" i="81"/>
  <c r="F137" i="81"/>
  <c r="E137" i="81"/>
  <c r="D137" i="81"/>
  <c r="C137" i="81"/>
  <c r="N136" i="81"/>
  <c r="M136" i="81"/>
  <c r="L136" i="81"/>
  <c r="K136" i="81"/>
  <c r="J136" i="81"/>
  <c r="I136" i="81"/>
  <c r="H136" i="81"/>
  <c r="G136" i="81"/>
  <c r="F136" i="81"/>
  <c r="E136" i="81"/>
  <c r="D136" i="81"/>
  <c r="C136" i="81"/>
  <c r="N135" i="81"/>
  <c r="M135" i="81"/>
  <c r="L135" i="81"/>
  <c r="K135" i="81"/>
  <c r="J135" i="81"/>
  <c r="I135" i="81"/>
  <c r="H135" i="81"/>
  <c r="G135" i="81"/>
  <c r="F135" i="81"/>
  <c r="E135" i="81"/>
  <c r="D135" i="81"/>
  <c r="C135" i="81"/>
  <c r="N134" i="81"/>
  <c r="M134" i="81"/>
  <c r="L134" i="81"/>
  <c r="K134" i="81"/>
  <c r="J134" i="81"/>
  <c r="I134" i="81"/>
  <c r="H134" i="81"/>
  <c r="G134" i="81"/>
  <c r="F134" i="81"/>
  <c r="E134" i="81"/>
  <c r="D134" i="81"/>
  <c r="C134" i="81"/>
  <c r="N133" i="81"/>
  <c r="M133" i="81"/>
  <c r="L133" i="81"/>
  <c r="K133" i="81"/>
  <c r="J133" i="81"/>
  <c r="I133" i="81"/>
  <c r="H133" i="81"/>
  <c r="G133" i="81"/>
  <c r="F133" i="81"/>
  <c r="E133" i="81"/>
  <c r="D133" i="81"/>
  <c r="C133" i="81"/>
  <c r="N132" i="81"/>
  <c r="M132" i="81"/>
  <c r="L132" i="81"/>
  <c r="K132" i="81"/>
  <c r="J132" i="81"/>
  <c r="I132" i="81"/>
  <c r="H132" i="81"/>
  <c r="G132" i="81"/>
  <c r="F132" i="81"/>
  <c r="E132" i="81"/>
  <c r="D132" i="81"/>
  <c r="C132" i="81"/>
  <c r="N131" i="81"/>
  <c r="M131" i="81"/>
  <c r="L131" i="81"/>
  <c r="K131" i="81"/>
  <c r="J131" i="81"/>
  <c r="I131" i="81"/>
  <c r="H131" i="81"/>
  <c r="G131" i="81"/>
  <c r="F131" i="81"/>
  <c r="E131" i="81"/>
  <c r="D131" i="81"/>
  <c r="C131" i="81"/>
  <c r="N130" i="81"/>
  <c r="M130" i="81"/>
  <c r="L130" i="81"/>
  <c r="L141" i="81" s="1"/>
  <c r="K130" i="81"/>
  <c r="K141" i="81" s="1"/>
  <c r="J130" i="81"/>
  <c r="I130" i="81"/>
  <c r="H130" i="81"/>
  <c r="G130" i="81"/>
  <c r="F130" i="81"/>
  <c r="E130" i="81"/>
  <c r="D130" i="81"/>
  <c r="C130" i="81"/>
  <c r="C141" i="81" s="1"/>
  <c r="N126" i="81"/>
  <c r="M126" i="81"/>
  <c r="L126" i="81"/>
  <c r="K126" i="81"/>
  <c r="J126" i="81"/>
  <c r="I126" i="81"/>
  <c r="H126" i="81"/>
  <c r="G126" i="81"/>
  <c r="F126" i="81"/>
  <c r="E126" i="81"/>
  <c r="D126" i="81"/>
  <c r="C126" i="81"/>
  <c r="R125" i="81"/>
  <c r="O125" i="81"/>
  <c r="R124" i="81"/>
  <c r="O124" i="81"/>
  <c r="N121" i="81"/>
  <c r="M121" i="81"/>
  <c r="L121" i="81"/>
  <c r="K121" i="81"/>
  <c r="J121" i="81"/>
  <c r="I121" i="81"/>
  <c r="H121" i="81"/>
  <c r="G121" i="81"/>
  <c r="F121" i="81"/>
  <c r="E121" i="81"/>
  <c r="D121" i="81"/>
  <c r="C121" i="81"/>
  <c r="R120" i="81"/>
  <c r="O120" i="81"/>
  <c r="R119" i="81"/>
  <c r="O119" i="81"/>
  <c r="R118" i="81"/>
  <c r="O118" i="81"/>
  <c r="R117" i="81"/>
  <c r="O117" i="81"/>
  <c r="R116" i="81"/>
  <c r="O116" i="81"/>
  <c r="R115" i="81"/>
  <c r="O115" i="81"/>
  <c r="N110" i="81"/>
  <c r="M110" i="81"/>
  <c r="L110" i="81"/>
  <c r="K110" i="81"/>
  <c r="J110" i="81"/>
  <c r="I110" i="81"/>
  <c r="I112" i="81" s="1"/>
  <c r="H110" i="81"/>
  <c r="G110" i="81"/>
  <c r="F110" i="81"/>
  <c r="E110" i="81"/>
  <c r="D110" i="81"/>
  <c r="C110" i="81"/>
  <c r="R109" i="81"/>
  <c r="O109" i="81"/>
  <c r="R108" i="81"/>
  <c r="O108" i="81"/>
  <c r="R107" i="81"/>
  <c r="O107" i="81"/>
  <c r="N105" i="81"/>
  <c r="M105" i="81"/>
  <c r="M112" i="81" s="1"/>
  <c r="L105" i="81"/>
  <c r="K105" i="81"/>
  <c r="J105" i="81"/>
  <c r="I105" i="81"/>
  <c r="H105" i="81"/>
  <c r="G105" i="81"/>
  <c r="G112" i="81" s="1"/>
  <c r="F105" i="81"/>
  <c r="F112" i="81" s="1"/>
  <c r="E105" i="81"/>
  <c r="E112" i="81" s="1"/>
  <c r="D105" i="81"/>
  <c r="D112" i="81" s="1"/>
  <c r="C105" i="81"/>
  <c r="R104" i="81"/>
  <c r="O104" i="81"/>
  <c r="R103" i="81"/>
  <c r="O103" i="81"/>
  <c r="R102" i="81"/>
  <c r="O102" i="81"/>
  <c r="O105" i="81" s="1"/>
  <c r="N98" i="81"/>
  <c r="M98" i="81"/>
  <c r="L98" i="81"/>
  <c r="K98" i="81"/>
  <c r="J98" i="81"/>
  <c r="I98" i="81"/>
  <c r="H98" i="81"/>
  <c r="G98" i="81"/>
  <c r="F98" i="81"/>
  <c r="E98" i="81"/>
  <c r="D98" i="81"/>
  <c r="C98" i="81"/>
  <c r="R97" i="81"/>
  <c r="O97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R93" i="81"/>
  <c r="O93" i="81"/>
  <c r="R92" i="81"/>
  <c r="O92" i="81"/>
  <c r="R91" i="81"/>
  <c r="O91" i="81"/>
  <c r="R90" i="81"/>
  <c r="N88" i="81"/>
  <c r="M88" i="81"/>
  <c r="L88" i="81"/>
  <c r="K88" i="81"/>
  <c r="J88" i="81"/>
  <c r="I88" i="81"/>
  <c r="H88" i="81"/>
  <c r="G88" i="81"/>
  <c r="F88" i="81"/>
  <c r="E88" i="81"/>
  <c r="D88" i="81"/>
  <c r="C88" i="81"/>
  <c r="R87" i="81"/>
  <c r="O87" i="81"/>
  <c r="R86" i="81"/>
  <c r="O86" i="81"/>
  <c r="R85" i="81"/>
  <c r="O85" i="81"/>
  <c r="R84" i="81"/>
  <c r="O84" i="81"/>
  <c r="R83" i="81"/>
  <c r="O83" i="81"/>
  <c r="R82" i="81"/>
  <c r="O82" i="81"/>
  <c r="R81" i="81"/>
  <c r="O81" i="81"/>
  <c r="R80" i="81"/>
  <c r="O80" i="81"/>
  <c r="R79" i="81"/>
  <c r="O79" i="81"/>
  <c r="R78" i="81"/>
  <c r="O78" i="81"/>
  <c r="R77" i="81"/>
  <c r="O77" i="81"/>
  <c r="R76" i="81"/>
  <c r="O76" i="81"/>
  <c r="R75" i="81"/>
  <c r="O75" i="81"/>
  <c r="R74" i="81"/>
  <c r="O74" i="81"/>
  <c r="R73" i="81"/>
  <c r="O73" i="81"/>
  <c r="W72" i="81"/>
  <c r="N71" i="81"/>
  <c r="M71" i="81"/>
  <c r="L71" i="81"/>
  <c r="K71" i="81"/>
  <c r="J71" i="81"/>
  <c r="I71" i="81"/>
  <c r="H71" i="81"/>
  <c r="G71" i="81"/>
  <c r="F71" i="81"/>
  <c r="E71" i="81"/>
  <c r="D71" i="81"/>
  <c r="C71" i="81"/>
  <c r="S70" i="81"/>
  <c r="R70" i="81"/>
  <c r="O70" i="81"/>
  <c r="S69" i="81"/>
  <c r="R69" i="81"/>
  <c r="O69" i="81"/>
  <c r="S68" i="81"/>
  <c r="R68" i="81"/>
  <c r="O68" i="81"/>
  <c r="S67" i="81"/>
  <c r="R67" i="81"/>
  <c r="O67" i="81"/>
  <c r="S66" i="81"/>
  <c r="R66" i="81"/>
  <c r="O66" i="81"/>
  <c r="S65" i="81"/>
  <c r="R65" i="81"/>
  <c r="O65" i="81"/>
  <c r="S64" i="81"/>
  <c r="R64" i="81"/>
  <c r="O64" i="81"/>
  <c r="N62" i="81"/>
  <c r="M62" i="81"/>
  <c r="L62" i="81"/>
  <c r="K62" i="81"/>
  <c r="J62" i="81"/>
  <c r="I62" i="81"/>
  <c r="H62" i="81"/>
  <c r="G62" i="81"/>
  <c r="F62" i="81"/>
  <c r="E62" i="81"/>
  <c r="D62" i="81"/>
  <c r="C62" i="81"/>
  <c r="S61" i="81"/>
  <c r="R61" i="81"/>
  <c r="O61" i="81"/>
  <c r="S60" i="81"/>
  <c r="R60" i="81"/>
  <c r="O60" i="81"/>
  <c r="S59" i="81"/>
  <c r="R59" i="81"/>
  <c r="O59" i="81"/>
  <c r="S58" i="81"/>
  <c r="R58" i="81"/>
  <c r="O58" i="81"/>
  <c r="S57" i="81"/>
  <c r="R57" i="81"/>
  <c r="W71" i="81" s="1"/>
  <c r="O57" i="81"/>
  <c r="S56" i="81"/>
  <c r="R56" i="81"/>
  <c r="O56" i="81"/>
  <c r="S55" i="81"/>
  <c r="R55" i="81"/>
  <c r="O55" i="81"/>
  <c r="S54" i="81"/>
  <c r="R54" i="81"/>
  <c r="O54" i="81"/>
  <c r="S53" i="81"/>
  <c r="R53" i="81"/>
  <c r="O53" i="81"/>
  <c r="S52" i="81"/>
  <c r="R52" i="81"/>
  <c r="O52" i="81"/>
  <c r="S51" i="81"/>
  <c r="R51" i="81"/>
  <c r="O51" i="81"/>
  <c r="S50" i="81"/>
  <c r="R50" i="81"/>
  <c r="O50" i="81"/>
  <c r="S49" i="81"/>
  <c r="R49" i="81"/>
  <c r="O49" i="81"/>
  <c r="S48" i="81"/>
  <c r="R48" i="81"/>
  <c r="O48" i="81"/>
  <c r="S47" i="81"/>
  <c r="R47" i="81"/>
  <c r="O47" i="81"/>
  <c r="S46" i="81"/>
  <c r="R46" i="81"/>
  <c r="O46" i="81"/>
  <c r="S45" i="81"/>
  <c r="R45" i="81"/>
  <c r="O45" i="81"/>
  <c r="S44" i="81"/>
  <c r="R44" i="81"/>
  <c r="O44" i="81"/>
  <c r="S43" i="81"/>
  <c r="R43" i="81"/>
  <c r="O43" i="81"/>
  <c r="S42" i="81"/>
  <c r="R42" i="81"/>
  <c r="O42" i="81"/>
  <c r="S41" i="81"/>
  <c r="R41" i="81"/>
  <c r="O41" i="81"/>
  <c r="S40" i="81"/>
  <c r="R40" i="81"/>
  <c r="O40" i="81"/>
  <c r="S39" i="81"/>
  <c r="R39" i="81"/>
  <c r="O39" i="81"/>
  <c r="S38" i="81"/>
  <c r="R38" i="81"/>
  <c r="O38" i="81"/>
  <c r="S37" i="81"/>
  <c r="R37" i="81"/>
  <c r="O37" i="81"/>
  <c r="S36" i="81"/>
  <c r="R36" i="81"/>
  <c r="O36" i="81"/>
  <c r="S35" i="81"/>
  <c r="R35" i="81"/>
  <c r="O35" i="81"/>
  <c r="S34" i="81"/>
  <c r="R34" i="81"/>
  <c r="O34" i="81"/>
  <c r="S33" i="81"/>
  <c r="R33" i="81"/>
  <c r="O33" i="81"/>
  <c r="S32" i="81"/>
  <c r="R32" i="81"/>
  <c r="O32" i="81"/>
  <c r="S31" i="81"/>
  <c r="R31" i="81"/>
  <c r="O31" i="81"/>
  <c r="S30" i="81"/>
  <c r="R30" i="81"/>
  <c r="O30" i="81"/>
  <c r="S29" i="81"/>
  <c r="R29" i="81"/>
  <c r="O29" i="81"/>
  <c r="S28" i="81"/>
  <c r="R28" i="81"/>
  <c r="O28" i="81"/>
  <c r="S27" i="81"/>
  <c r="R27" i="81"/>
  <c r="O27" i="81"/>
  <c r="S26" i="81"/>
  <c r="R26" i="81"/>
  <c r="O26" i="81"/>
  <c r="N24" i="81"/>
  <c r="M24" i="81"/>
  <c r="L24" i="81"/>
  <c r="K24" i="81"/>
  <c r="J24" i="81"/>
  <c r="I24" i="81"/>
  <c r="H24" i="81"/>
  <c r="G24" i="81"/>
  <c r="F24" i="81"/>
  <c r="E24" i="81"/>
  <c r="D24" i="81"/>
  <c r="C24" i="81"/>
  <c r="S23" i="81"/>
  <c r="R23" i="81"/>
  <c r="O23" i="81"/>
  <c r="S22" i="81"/>
  <c r="R22" i="81"/>
  <c r="O22" i="81"/>
  <c r="S21" i="81"/>
  <c r="R21" i="81"/>
  <c r="O21" i="81"/>
  <c r="S20" i="81"/>
  <c r="R20" i="81"/>
  <c r="O20" i="81"/>
  <c r="S19" i="81"/>
  <c r="R19" i="81"/>
  <c r="O19" i="81"/>
  <c r="S18" i="81"/>
  <c r="R18" i="81"/>
  <c r="O18" i="81"/>
  <c r="S17" i="81"/>
  <c r="R17" i="81"/>
  <c r="O17" i="81"/>
  <c r="N15" i="81"/>
  <c r="M15" i="81"/>
  <c r="L15" i="81"/>
  <c r="K15" i="81"/>
  <c r="J15" i="81"/>
  <c r="I15" i="81"/>
  <c r="H15" i="81"/>
  <c r="G15" i="81"/>
  <c r="G100" i="81" s="1"/>
  <c r="F15" i="81"/>
  <c r="E15" i="81"/>
  <c r="D15" i="81"/>
  <c r="C15" i="81"/>
  <c r="S14" i="81"/>
  <c r="R14" i="81"/>
  <c r="O14" i="81"/>
  <c r="S13" i="81"/>
  <c r="R13" i="81"/>
  <c r="O13" i="81"/>
  <c r="S12" i="81"/>
  <c r="R12" i="81"/>
  <c r="O12" i="81"/>
  <c r="S11" i="81"/>
  <c r="R11" i="81"/>
  <c r="O11" i="81"/>
  <c r="O15" i="81" s="1"/>
  <c r="S10" i="81"/>
  <c r="R10" i="81"/>
  <c r="O10" i="81"/>
  <c r="S9" i="81"/>
  <c r="R9" i="81"/>
  <c r="O9" i="81"/>
  <c r="S8" i="81"/>
  <c r="R8" i="81"/>
  <c r="O8" i="81"/>
  <c r="S7" i="81"/>
  <c r="R7" i="81"/>
  <c r="O7" i="81"/>
  <c r="S6" i="81"/>
  <c r="R6" i="81"/>
  <c r="O6" i="81"/>
  <c r="S5" i="81"/>
  <c r="R5" i="81"/>
  <c r="O5" i="81"/>
  <c r="S4" i="81"/>
  <c r="R4" i="81"/>
  <c r="O4" i="81"/>
  <c r="A3" i="81"/>
  <c r="A4" i="81" s="1"/>
  <c r="A5" i="81" s="1"/>
  <c r="A6" i="81" s="1"/>
  <c r="A7" i="81" s="1"/>
  <c r="A8" i="81" s="1"/>
  <c r="A9" i="81" s="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41" i="81" s="1"/>
  <c r="A42" i="81" s="1"/>
  <c r="A43" i="81" s="1"/>
  <c r="A44" i="81" s="1"/>
  <c r="A45" i="81" s="1"/>
  <c r="A46" i="81" s="1"/>
  <c r="A47" i="81" s="1"/>
  <c r="A48" i="81" s="1"/>
  <c r="A49" i="81" s="1"/>
  <c r="A50" i="81" s="1"/>
  <c r="A51" i="81" s="1"/>
  <c r="A52" i="81" s="1"/>
  <c r="A53" i="81" s="1"/>
  <c r="A54" i="81" s="1"/>
  <c r="A55" i="81" s="1"/>
  <c r="A56" i="81" s="1"/>
  <c r="A57" i="81" s="1"/>
  <c r="A58" i="81" s="1"/>
  <c r="A59" i="81" s="1"/>
  <c r="A60" i="81" s="1"/>
  <c r="A61" i="81" s="1"/>
  <c r="A62" i="81" s="1"/>
  <c r="A63" i="81" s="1"/>
  <c r="A64" i="81" s="1"/>
  <c r="A65" i="81" s="1"/>
  <c r="A66" i="81" s="1"/>
  <c r="A67" i="81" s="1"/>
  <c r="A68" i="81" s="1"/>
  <c r="A69" i="81" s="1"/>
  <c r="A70" i="81" s="1"/>
  <c r="A71" i="81" s="1"/>
  <c r="A72" i="81" s="1"/>
  <c r="A73" i="81" s="1"/>
  <c r="A74" i="81" s="1"/>
  <c r="A75" i="81" s="1"/>
  <c r="A76" i="81" s="1"/>
  <c r="A77" i="81" s="1"/>
  <c r="A78" i="81" s="1"/>
  <c r="A79" i="81" s="1"/>
  <c r="A80" i="81" s="1"/>
  <c r="A81" i="81" s="1"/>
  <c r="A82" i="81" s="1"/>
  <c r="A83" i="81" s="1"/>
  <c r="A84" i="81" s="1"/>
  <c r="A85" i="81" s="1"/>
  <c r="A86" i="81" s="1"/>
  <c r="A87" i="81" s="1"/>
  <c r="A88" i="81" s="1"/>
  <c r="A89" i="81" s="1"/>
  <c r="A90" i="81" s="1"/>
  <c r="A91" i="81" s="1"/>
  <c r="A92" i="81" s="1"/>
  <c r="A93" i="81" s="1"/>
  <c r="A94" i="81" s="1"/>
  <c r="A95" i="81" s="1"/>
  <c r="A96" i="81" s="1"/>
  <c r="A97" i="81" s="1"/>
  <c r="A98" i="81" s="1"/>
  <c r="A99" i="81" s="1"/>
  <c r="A100" i="81" s="1"/>
  <c r="A101" i="81" s="1"/>
  <c r="A102" i="81" s="1"/>
  <c r="A103" i="81" s="1"/>
  <c r="A104" i="81" s="1"/>
  <c r="A105" i="81" s="1"/>
  <c r="A106" i="81" s="1"/>
  <c r="A107" i="81" s="1"/>
  <c r="A108" i="81" s="1"/>
  <c r="A109" i="81" s="1"/>
  <c r="A110" i="81" s="1"/>
  <c r="A111" i="81" s="1"/>
  <c r="A112" i="81" s="1"/>
  <c r="A113" i="81" s="1"/>
  <c r="A114" i="81" s="1"/>
  <c r="A115" i="81" s="1"/>
  <c r="A116" i="81" s="1"/>
  <c r="A117" i="81" s="1"/>
  <c r="A118" i="81" s="1"/>
  <c r="A119" i="81" s="1"/>
  <c r="A120" i="81" s="1"/>
  <c r="A121" i="81" s="1"/>
  <c r="A122" i="81" s="1"/>
  <c r="A123" i="81" s="1"/>
  <c r="A124" i="81" s="1"/>
  <c r="A125" i="81" s="1"/>
  <c r="A126" i="81" s="1"/>
  <c r="A127" i="81" s="1"/>
  <c r="A128" i="81" s="1"/>
  <c r="A129" i="81" s="1"/>
  <c r="A130" i="81" s="1"/>
  <c r="A131" i="81" s="1"/>
  <c r="A132" i="81" s="1"/>
  <c r="A133" i="81" s="1"/>
  <c r="A134" i="81" s="1"/>
  <c r="A135" i="81" s="1"/>
  <c r="A136" i="81" s="1"/>
  <c r="A137" i="81" s="1"/>
  <c r="A138" i="81" s="1"/>
  <c r="A139" i="81" s="1"/>
  <c r="A140" i="81" s="1"/>
  <c r="A141" i="81" s="1"/>
  <c r="A142" i="81" s="1"/>
  <c r="A143" i="81" s="1"/>
  <c r="A144" i="81" s="1"/>
  <c r="A145" i="81" s="1"/>
  <c r="A146" i="81" s="1"/>
  <c r="A147" i="81" s="1"/>
  <c r="A148" i="81" s="1"/>
  <c r="A149" i="81" s="1"/>
  <c r="A150" i="81" s="1"/>
  <c r="A151" i="81" s="1"/>
  <c r="A152" i="81" s="1"/>
  <c r="A153" i="81" s="1"/>
  <c r="A154" i="81" s="1"/>
  <c r="A155" i="81" s="1"/>
  <c r="A156" i="81" s="1"/>
  <c r="A157" i="81" s="1"/>
  <c r="A158" i="81" s="1"/>
  <c r="A159" i="81" s="1"/>
  <c r="A160" i="81" s="1"/>
  <c r="A161" i="81" s="1"/>
  <c r="A162" i="81" s="1"/>
  <c r="A163" i="81" s="1"/>
  <c r="A164" i="81" s="1"/>
  <c r="A165" i="81" s="1"/>
  <c r="A166" i="81" s="1"/>
  <c r="A167" i="81" s="1"/>
  <c r="A168" i="81" s="1"/>
  <c r="A169" i="81" s="1"/>
  <c r="A170" i="81" s="1"/>
  <c r="A171" i="81" s="1"/>
  <c r="A172" i="81" s="1"/>
  <c r="A173" i="81" s="1"/>
  <c r="A174" i="81" s="1"/>
  <c r="A175" i="81" s="1"/>
  <c r="A176" i="81" s="1"/>
  <c r="A177" i="81" s="1"/>
  <c r="A178" i="81" s="1"/>
  <c r="A179" i="81" s="1"/>
  <c r="A180" i="81" s="1"/>
  <c r="A181" i="81" s="1"/>
  <c r="A182" i="81" s="1"/>
  <c r="A183" i="81" s="1"/>
  <c r="A184" i="81" s="1"/>
  <c r="A185" i="81" s="1"/>
  <c r="A186" i="81" s="1"/>
  <c r="A187" i="81" s="1"/>
  <c r="A188" i="81" s="1"/>
  <c r="A189" i="81" s="1"/>
  <c r="A190" i="81" s="1"/>
  <c r="A191" i="81" s="1"/>
  <c r="A192" i="81" s="1"/>
  <c r="A193" i="81" s="1"/>
  <c r="A194" i="81" s="1"/>
  <c r="A195" i="81" s="1"/>
  <c r="A196" i="81" s="1"/>
  <c r="A197" i="81" s="1"/>
  <c r="A198" i="81" s="1"/>
  <c r="A199" i="81" s="1"/>
  <c r="A200" i="81" s="1"/>
  <c r="A201" i="81" s="1"/>
  <c r="A202" i="81" s="1"/>
  <c r="A203" i="81" s="1"/>
  <c r="A204" i="81" s="1"/>
  <c r="A205" i="81" s="1"/>
  <c r="A206" i="81" s="1"/>
  <c r="A207" i="81" s="1"/>
  <c r="A208" i="81" s="1"/>
  <c r="A209" i="81" s="1"/>
  <c r="A210" i="81" s="1"/>
  <c r="A211" i="81" s="1"/>
  <c r="A212" i="81" s="1"/>
  <c r="A213" i="81" s="1"/>
  <c r="A214" i="81" s="1"/>
  <c r="A215" i="81" s="1"/>
  <c r="A216" i="81" s="1"/>
  <c r="A217" i="81" s="1"/>
  <c r="A218" i="81" s="1"/>
  <c r="A219" i="81" s="1"/>
  <c r="A220" i="81" s="1"/>
  <c r="A221" i="81" s="1"/>
  <c r="A222" i="81" s="1"/>
  <c r="A223" i="81" s="1"/>
  <c r="A224" i="81" s="1"/>
  <c r="A225" i="81" s="1"/>
  <c r="A226" i="81" s="1"/>
  <c r="A227" i="81" s="1"/>
  <c r="A228" i="81" s="1"/>
  <c r="A229" i="81" s="1"/>
  <c r="A230" i="81" s="1"/>
  <c r="A231" i="81" s="1"/>
  <c r="A232" i="81" s="1"/>
  <c r="A233" i="81" s="1"/>
  <c r="A234" i="81" s="1"/>
  <c r="A235" i="81" s="1"/>
  <c r="A236" i="81" s="1"/>
  <c r="A237" i="81" s="1"/>
  <c r="A238" i="81" s="1"/>
  <c r="A239" i="81" s="1"/>
  <c r="A240" i="81" s="1"/>
  <c r="A241" i="81" s="1"/>
  <c r="A242" i="81" s="1"/>
  <c r="A243" i="81" s="1"/>
  <c r="A244" i="81" s="1"/>
  <c r="A245" i="81" s="1"/>
  <c r="A246" i="81" s="1"/>
  <c r="A247" i="81" s="1"/>
  <c r="A248" i="81" s="1"/>
  <c r="A249" i="81" s="1"/>
  <c r="A250" i="81" s="1"/>
  <c r="A251" i="81" s="1"/>
  <c r="A252" i="81" s="1"/>
  <c r="A253" i="81" s="1"/>
  <c r="A254" i="81" s="1"/>
  <c r="U238" i="107"/>
  <c r="V238" i="107" s="1"/>
  <c r="U237" i="107"/>
  <c r="V237" i="107" s="1"/>
  <c r="V236" i="107"/>
  <c r="U236" i="107"/>
  <c r="V235" i="107"/>
  <c r="U235" i="107"/>
  <c r="U234" i="107"/>
  <c r="V234" i="107" s="1"/>
  <c r="U233" i="107"/>
  <c r="V233" i="107" s="1"/>
  <c r="O221" i="107"/>
  <c r="O220" i="107"/>
  <c r="L213" i="107"/>
  <c r="D213" i="107"/>
  <c r="N212" i="107"/>
  <c r="M212" i="107"/>
  <c r="M213" i="107" s="1"/>
  <c r="L212" i="107"/>
  <c r="K212" i="107"/>
  <c r="J212" i="107"/>
  <c r="I212" i="107"/>
  <c r="H212" i="107"/>
  <c r="G212" i="107"/>
  <c r="F212" i="107"/>
  <c r="E212" i="107"/>
  <c r="E213" i="107" s="1"/>
  <c r="D212" i="107"/>
  <c r="C212" i="107"/>
  <c r="N211" i="107"/>
  <c r="M211" i="107"/>
  <c r="L211" i="107"/>
  <c r="K211" i="107"/>
  <c r="J211" i="107"/>
  <c r="I211" i="107"/>
  <c r="I213" i="107" s="1"/>
  <c r="H211" i="107"/>
  <c r="H213" i="107" s="1"/>
  <c r="G211" i="107"/>
  <c r="G213" i="107" s="1"/>
  <c r="F211" i="107"/>
  <c r="E211" i="107"/>
  <c r="D211" i="107"/>
  <c r="C211" i="107"/>
  <c r="M209" i="107"/>
  <c r="G209" i="107"/>
  <c r="N208" i="107"/>
  <c r="M208" i="107"/>
  <c r="L208" i="107"/>
  <c r="K208" i="107"/>
  <c r="J208" i="107"/>
  <c r="I208" i="107"/>
  <c r="H208" i="107"/>
  <c r="H209" i="107" s="1"/>
  <c r="H215" i="107" s="1"/>
  <c r="G208" i="107"/>
  <c r="F208" i="107"/>
  <c r="E208" i="107"/>
  <c r="D208" i="107"/>
  <c r="C208" i="107"/>
  <c r="N207" i="107"/>
  <c r="N209" i="107" s="1"/>
  <c r="M207" i="107"/>
  <c r="L207" i="107"/>
  <c r="L209" i="107" s="1"/>
  <c r="K207" i="107"/>
  <c r="J207" i="107"/>
  <c r="I207" i="107"/>
  <c r="H207" i="107"/>
  <c r="G207" i="107"/>
  <c r="F207" i="107"/>
  <c r="F209" i="107" s="1"/>
  <c r="E207" i="107"/>
  <c r="E209" i="107" s="1"/>
  <c r="D207" i="107"/>
  <c r="D209" i="107" s="1"/>
  <c r="C207" i="107"/>
  <c r="K203" i="107"/>
  <c r="N202" i="107"/>
  <c r="M202" i="107"/>
  <c r="L202" i="107"/>
  <c r="K202" i="107"/>
  <c r="J202" i="107"/>
  <c r="I202" i="107"/>
  <c r="H202" i="107"/>
  <c r="G202" i="107"/>
  <c r="F202" i="107"/>
  <c r="E202" i="107"/>
  <c r="D202" i="107"/>
  <c r="C202" i="107"/>
  <c r="N201" i="107"/>
  <c r="M201" i="107"/>
  <c r="L201" i="107"/>
  <c r="K201" i="107"/>
  <c r="J201" i="107"/>
  <c r="J203" i="107" s="1"/>
  <c r="I201" i="107"/>
  <c r="H201" i="107"/>
  <c r="G201" i="107"/>
  <c r="G203" i="107" s="1"/>
  <c r="F201" i="107"/>
  <c r="E201" i="107"/>
  <c r="D201" i="107"/>
  <c r="C201" i="107"/>
  <c r="C203" i="107" s="1"/>
  <c r="N197" i="107"/>
  <c r="M197" i="107"/>
  <c r="L197" i="107"/>
  <c r="K197" i="107"/>
  <c r="J197" i="107"/>
  <c r="I197" i="107"/>
  <c r="H197" i="107"/>
  <c r="G197" i="107"/>
  <c r="F197" i="107"/>
  <c r="E197" i="107"/>
  <c r="D197" i="107"/>
  <c r="C197" i="107"/>
  <c r="N196" i="107"/>
  <c r="M196" i="107"/>
  <c r="L196" i="107"/>
  <c r="K196" i="107"/>
  <c r="K199" i="107" s="1"/>
  <c r="J196" i="107"/>
  <c r="J199" i="107" s="1"/>
  <c r="I196" i="107"/>
  <c r="H196" i="107"/>
  <c r="G196" i="107"/>
  <c r="F196" i="107"/>
  <c r="E196" i="107"/>
  <c r="D196" i="107"/>
  <c r="C196" i="107"/>
  <c r="N195" i="107"/>
  <c r="N199" i="107" s="1"/>
  <c r="M195" i="107"/>
  <c r="L195" i="107"/>
  <c r="K195" i="107"/>
  <c r="J195" i="107"/>
  <c r="I195" i="107"/>
  <c r="H195" i="107"/>
  <c r="H199" i="107" s="1"/>
  <c r="G195" i="107"/>
  <c r="G199" i="107" s="1"/>
  <c r="F195" i="107"/>
  <c r="F199" i="107" s="1"/>
  <c r="E195" i="107"/>
  <c r="D195" i="107"/>
  <c r="C195" i="107"/>
  <c r="N192" i="107"/>
  <c r="M192" i="107"/>
  <c r="L192" i="107"/>
  <c r="K192" i="107"/>
  <c r="J192" i="107"/>
  <c r="I192" i="107"/>
  <c r="H192" i="107"/>
  <c r="G192" i="107"/>
  <c r="F192" i="107"/>
  <c r="E192" i="107"/>
  <c r="D192" i="107"/>
  <c r="C192" i="107"/>
  <c r="N191" i="107"/>
  <c r="M191" i="107"/>
  <c r="L191" i="107"/>
  <c r="K191" i="107"/>
  <c r="J191" i="107"/>
  <c r="I191" i="107"/>
  <c r="H191" i="107"/>
  <c r="G191" i="107"/>
  <c r="F191" i="107"/>
  <c r="E191" i="107"/>
  <c r="D191" i="107"/>
  <c r="C191" i="107"/>
  <c r="N190" i="107"/>
  <c r="M190" i="107"/>
  <c r="L190" i="107"/>
  <c r="K190" i="107"/>
  <c r="J190" i="107"/>
  <c r="I190" i="107"/>
  <c r="H190" i="107"/>
  <c r="G190" i="107"/>
  <c r="F190" i="107"/>
  <c r="E190" i="107"/>
  <c r="D190" i="107"/>
  <c r="C190" i="107"/>
  <c r="N189" i="107"/>
  <c r="M189" i="107"/>
  <c r="L189" i="107"/>
  <c r="K189" i="107"/>
  <c r="J189" i="107"/>
  <c r="I189" i="107"/>
  <c r="H189" i="107"/>
  <c r="G189" i="107"/>
  <c r="F189" i="107"/>
  <c r="E189" i="107"/>
  <c r="D189" i="107"/>
  <c r="C189" i="107"/>
  <c r="N188" i="107"/>
  <c r="M188" i="107"/>
  <c r="L188" i="107"/>
  <c r="K188" i="107"/>
  <c r="J188" i="107"/>
  <c r="I188" i="107"/>
  <c r="H188" i="107"/>
  <c r="G188" i="107"/>
  <c r="F188" i="107"/>
  <c r="E188" i="107"/>
  <c r="D188" i="107"/>
  <c r="C188" i="107"/>
  <c r="N187" i="107"/>
  <c r="M187" i="107"/>
  <c r="L187" i="107"/>
  <c r="K187" i="107"/>
  <c r="J187" i="107"/>
  <c r="I187" i="107"/>
  <c r="H187" i="107"/>
  <c r="G187" i="107"/>
  <c r="F187" i="107"/>
  <c r="E187" i="107"/>
  <c r="D187" i="107"/>
  <c r="C187" i="107"/>
  <c r="N186" i="107"/>
  <c r="M186" i="107"/>
  <c r="L186" i="107"/>
  <c r="K186" i="107"/>
  <c r="J186" i="107"/>
  <c r="I186" i="107"/>
  <c r="H186" i="107"/>
  <c r="G186" i="107"/>
  <c r="F186" i="107"/>
  <c r="E186" i="107"/>
  <c r="D186" i="107"/>
  <c r="C186" i="107"/>
  <c r="N185" i="107"/>
  <c r="M185" i="107"/>
  <c r="L185" i="107"/>
  <c r="K185" i="107"/>
  <c r="J185" i="107"/>
  <c r="I185" i="107"/>
  <c r="H185" i="107"/>
  <c r="G185" i="107"/>
  <c r="F185" i="107"/>
  <c r="E185" i="107"/>
  <c r="D185" i="107"/>
  <c r="C185" i="107"/>
  <c r="D184" i="107"/>
  <c r="C184" i="107"/>
  <c r="N181" i="107"/>
  <c r="M181" i="107"/>
  <c r="L181" i="107"/>
  <c r="K181" i="107"/>
  <c r="J181" i="107"/>
  <c r="I181" i="107"/>
  <c r="H181" i="107"/>
  <c r="G181" i="107"/>
  <c r="F181" i="107"/>
  <c r="E181" i="107"/>
  <c r="D181" i="107"/>
  <c r="C181" i="107"/>
  <c r="N180" i="107"/>
  <c r="M180" i="107"/>
  <c r="L180" i="107"/>
  <c r="K180" i="107"/>
  <c r="J180" i="107"/>
  <c r="I180" i="107"/>
  <c r="H180" i="107"/>
  <c r="G180" i="107"/>
  <c r="F180" i="107"/>
  <c r="E180" i="107"/>
  <c r="D180" i="107"/>
  <c r="C180" i="107"/>
  <c r="N179" i="107"/>
  <c r="M179" i="107"/>
  <c r="L179" i="107"/>
  <c r="K179" i="107"/>
  <c r="J179" i="107"/>
  <c r="I179" i="107"/>
  <c r="H179" i="107"/>
  <c r="G179" i="107"/>
  <c r="F179" i="107"/>
  <c r="E179" i="107"/>
  <c r="D179" i="107"/>
  <c r="C179" i="107"/>
  <c r="N178" i="107"/>
  <c r="M178" i="107"/>
  <c r="L178" i="107"/>
  <c r="K178" i="107"/>
  <c r="J178" i="107"/>
  <c r="I178" i="107"/>
  <c r="H178" i="107"/>
  <c r="G178" i="107"/>
  <c r="F178" i="107"/>
  <c r="E178" i="107"/>
  <c r="D178" i="107"/>
  <c r="C178" i="107"/>
  <c r="N177" i="107"/>
  <c r="M177" i="107"/>
  <c r="L177" i="107"/>
  <c r="K177" i="107"/>
  <c r="J177" i="107"/>
  <c r="I177" i="107"/>
  <c r="H177" i="107"/>
  <c r="G177" i="107"/>
  <c r="F177" i="107"/>
  <c r="E177" i="107"/>
  <c r="D177" i="107"/>
  <c r="C177" i="107"/>
  <c r="N176" i="107"/>
  <c r="M176" i="107"/>
  <c r="L176" i="107"/>
  <c r="K176" i="107"/>
  <c r="J176" i="107"/>
  <c r="I176" i="107"/>
  <c r="H176" i="107"/>
  <c r="H182" i="107" s="1"/>
  <c r="G176" i="107"/>
  <c r="F176" i="107"/>
  <c r="E176" i="107"/>
  <c r="D176" i="107"/>
  <c r="C176" i="107"/>
  <c r="N175" i="107"/>
  <c r="N182" i="107" s="1"/>
  <c r="M175" i="107"/>
  <c r="L175" i="107"/>
  <c r="K175" i="107"/>
  <c r="J175" i="107"/>
  <c r="I175" i="107"/>
  <c r="H175" i="107"/>
  <c r="G175" i="107"/>
  <c r="G182" i="107" s="1"/>
  <c r="F175" i="107"/>
  <c r="F182" i="107" s="1"/>
  <c r="E175" i="107"/>
  <c r="E182" i="107" s="1"/>
  <c r="D175" i="107"/>
  <c r="C175" i="107"/>
  <c r="N172" i="107"/>
  <c r="M172" i="107"/>
  <c r="L172" i="107"/>
  <c r="K172" i="107"/>
  <c r="J172" i="107"/>
  <c r="I172" i="107"/>
  <c r="H172" i="107"/>
  <c r="G172" i="107"/>
  <c r="F172" i="107"/>
  <c r="E172" i="107"/>
  <c r="D172" i="107"/>
  <c r="C172" i="107"/>
  <c r="N171" i="107"/>
  <c r="M171" i="107"/>
  <c r="L171" i="107"/>
  <c r="K171" i="107"/>
  <c r="J171" i="107"/>
  <c r="I171" i="107"/>
  <c r="H171" i="107"/>
  <c r="G171" i="107"/>
  <c r="F171" i="107"/>
  <c r="E171" i="107"/>
  <c r="D171" i="107"/>
  <c r="C171" i="107"/>
  <c r="J170" i="107"/>
  <c r="I170" i="107"/>
  <c r="H170" i="107"/>
  <c r="G170" i="107"/>
  <c r="F170" i="107"/>
  <c r="E170" i="107"/>
  <c r="D170" i="107"/>
  <c r="C170" i="107"/>
  <c r="N168" i="107"/>
  <c r="M168" i="107"/>
  <c r="L168" i="107"/>
  <c r="K168" i="107"/>
  <c r="J168" i="107"/>
  <c r="I168" i="107"/>
  <c r="H168" i="107"/>
  <c r="G168" i="107"/>
  <c r="F168" i="107"/>
  <c r="E168" i="107"/>
  <c r="D168" i="107"/>
  <c r="C168" i="107"/>
  <c r="N167" i="107"/>
  <c r="M167" i="107"/>
  <c r="L167" i="107"/>
  <c r="K167" i="107"/>
  <c r="J167" i="107"/>
  <c r="I167" i="107"/>
  <c r="H167" i="107"/>
  <c r="G167" i="107"/>
  <c r="F167" i="107"/>
  <c r="E167" i="107"/>
  <c r="D167" i="107"/>
  <c r="C167" i="107"/>
  <c r="N166" i="107"/>
  <c r="M166" i="107"/>
  <c r="L166" i="107"/>
  <c r="K166" i="107"/>
  <c r="J166" i="107"/>
  <c r="I166" i="107"/>
  <c r="H166" i="107"/>
  <c r="G166" i="107"/>
  <c r="F166" i="107"/>
  <c r="E166" i="107"/>
  <c r="D166" i="107"/>
  <c r="C166" i="107"/>
  <c r="N165" i="107"/>
  <c r="M165" i="107"/>
  <c r="L165" i="107"/>
  <c r="K165" i="107"/>
  <c r="J165" i="107"/>
  <c r="I165" i="107"/>
  <c r="H165" i="107"/>
  <c r="G165" i="107"/>
  <c r="F165" i="107"/>
  <c r="E165" i="107"/>
  <c r="D165" i="107"/>
  <c r="C165" i="107"/>
  <c r="N164" i="107"/>
  <c r="M164" i="107"/>
  <c r="L164" i="107"/>
  <c r="K164" i="107"/>
  <c r="J164" i="107"/>
  <c r="I164" i="107"/>
  <c r="H164" i="107"/>
  <c r="G164" i="107"/>
  <c r="F164" i="107"/>
  <c r="E164" i="107"/>
  <c r="D164" i="107"/>
  <c r="C164" i="107"/>
  <c r="N163" i="107"/>
  <c r="M163" i="107"/>
  <c r="L163" i="107"/>
  <c r="K163" i="107"/>
  <c r="J163" i="107"/>
  <c r="I163" i="107"/>
  <c r="H163" i="107"/>
  <c r="G163" i="107"/>
  <c r="F163" i="107"/>
  <c r="E163" i="107"/>
  <c r="D163" i="107"/>
  <c r="C163" i="107"/>
  <c r="N162" i="107"/>
  <c r="M162" i="107"/>
  <c r="L162" i="107"/>
  <c r="K162" i="107"/>
  <c r="J162" i="107"/>
  <c r="I162" i="107"/>
  <c r="H162" i="107"/>
  <c r="G162" i="107"/>
  <c r="F162" i="107"/>
  <c r="E162" i="107"/>
  <c r="D162" i="107"/>
  <c r="C162" i="107"/>
  <c r="N161" i="107"/>
  <c r="M161" i="107"/>
  <c r="L161" i="107"/>
  <c r="K161" i="107"/>
  <c r="J161" i="107"/>
  <c r="I161" i="107"/>
  <c r="H161" i="107"/>
  <c r="G161" i="107"/>
  <c r="F161" i="107"/>
  <c r="E161" i="107"/>
  <c r="D161" i="107"/>
  <c r="C161" i="107"/>
  <c r="N160" i="107"/>
  <c r="M160" i="107"/>
  <c r="L160" i="107"/>
  <c r="K160" i="107"/>
  <c r="J160" i="107"/>
  <c r="I160" i="107"/>
  <c r="H160" i="107"/>
  <c r="G160" i="107"/>
  <c r="F160" i="107"/>
  <c r="E160" i="107"/>
  <c r="D160" i="107"/>
  <c r="C160" i="107"/>
  <c r="N159" i="107"/>
  <c r="M159" i="107"/>
  <c r="L159" i="107"/>
  <c r="K159" i="107"/>
  <c r="J159" i="107"/>
  <c r="I159" i="107"/>
  <c r="H159" i="107"/>
  <c r="G159" i="107"/>
  <c r="F159" i="107"/>
  <c r="E159" i="107"/>
  <c r="D159" i="107"/>
  <c r="C159" i="107"/>
  <c r="N158" i="107"/>
  <c r="M158" i="107"/>
  <c r="L158" i="107"/>
  <c r="K158" i="107"/>
  <c r="J158" i="107"/>
  <c r="I158" i="107"/>
  <c r="H158" i="107"/>
  <c r="G158" i="107"/>
  <c r="F158" i="107"/>
  <c r="E158" i="107"/>
  <c r="D158" i="107"/>
  <c r="C158" i="107"/>
  <c r="N157" i="107"/>
  <c r="M157" i="107"/>
  <c r="L157" i="107"/>
  <c r="K157" i="107"/>
  <c r="J157" i="107"/>
  <c r="I157" i="107"/>
  <c r="H157" i="107"/>
  <c r="G157" i="107"/>
  <c r="F157" i="107"/>
  <c r="E157" i="107"/>
  <c r="D157" i="107"/>
  <c r="C157" i="107"/>
  <c r="N156" i="107"/>
  <c r="M156" i="107"/>
  <c r="L156" i="107"/>
  <c r="K156" i="107"/>
  <c r="J156" i="107"/>
  <c r="I156" i="107"/>
  <c r="H156" i="107"/>
  <c r="G156" i="107"/>
  <c r="F156" i="107"/>
  <c r="E156" i="107"/>
  <c r="D156" i="107"/>
  <c r="C156" i="107"/>
  <c r="N155" i="107"/>
  <c r="M155" i="107"/>
  <c r="L155" i="107"/>
  <c r="K155" i="107"/>
  <c r="J155" i="107"/>
  <c r="I155" i="107"/>
  <c r="H155" i="107"/>
  <c r="G155" i="107"/>
  <c r="F155" i="107"/>
  <c r="E155" i="107"/>
  <c r="D155" i="107"/>
  <c r="C155" i="107"/>
  <c r="N154" i="107"/>
  <c r="M154" i="107"/>
  <c r="L154" i="107"/>
  <c r="K154" i="107"/>
  <c r="J154" i="107"/>
  <c r="I154" i="107"/>
  <c r="H154" i="107"/>
  <c r="G154" i="107"/>
  <c r="F154" i="107"/>
  <c r="E154" i="107"/>
  <c r="D154" i="107"/>
  <c r="C154" i="107"/>
  <c r="N153" i="107"/>
  <c r="M153" i="107"/>
  <c r="L153" i="107"/>
  <c r="K153" i="107"/>
  <c r="J153" i="107"/>
  <c r="I153" i="107"/>
  <c r="H153" i="107"/>
  <c r="G153" i="107"/>
  <c r="F153" i="107"/>
  <c r="E153" i="107"/>
  <c r="D153" i="107"/>
  <c r="C153" i="107"/>
  <c r="N152" i="107"/>
  <c r="M152" i="107"/>
  <c r="L152" i="107"/>
  <c r="K152" i="107"/>
  <c r="J152" i="107"/>
  <c r="I152" i="107"/>
  <c r="H152" i="107"/>
  <c r="G152" i="107"/>
  <c r="F152" i="107"/>
  <c r="E152" i="107"/>
  <c r="D152" i="107"/>
  <c r="C152" i="107"/>
  <c r="N151" i="107"/>
  <c r="M151" i="107"/>
  <c r="L151" i="107"/>
  <c r="K151" i="107"/>
  <c r="J151" i="107"/>
  <c r="I151" i="107"/>
  <c r="H151" i="107"/>
  <c r="G151" i="107"/>
  <c r="F151" i="107"/>
  <c r="E151" i="107"/>
  <c r="D151" i="107"/>
  <c r="C151" i="107"/>
  <c r="N150" i="107"/>
  <c r="M150" i="107"/>
  <c r="L150" i="107"/>
  <c r="K150" i="107"/>
  <c r="J150" i="107"/>
  <c r="I150" i="107"/>
  <c r="H150" i="107"/>
  <c r="G150" i="107"/>
  <c r="F150" i="107"/>
  <c r="E150" i="107"/>
  <c r="D150" i="107"/>
  <c r="C150" i="107"/>
  <c r="N149" i="107"/>
  <c r="M149" i="107"/>
  <c r="L149" i="107"/>
  <c r="K149" i="107"/>
  <c r="J149" i="107"/>
  <c r="I149" i="107"/>
  <c r="H149" i="107"/>
  <c r="G149" i="107"/>
  <c r="F149" i="107"/>
  <c r="E149" i="107"/>
  <c r="D149" i="107"/>
  <c r="C149" i="107"/>
  <c r="N148" i="107"/>
  <c r="M148" i="107"/>
  <c r="L148" i="107"/>
  <c r="K148" i="107"/>
  <c r="J148" i="107"/>
  <c r="I148" i="107"/>
  <c r="H148" i="107"/>
  <c r="G148" i="107"/>
  <c r="F148" i="107"/>
  <c r="E148" i="107"/>
  <c r="D148" i="107"/>
  <c r="C148" i="107"/>
  <c r="N147" i="107"/>
  <c r="M147" i="107"/>
  <c r="L147" i="107"/>
  <c r="K147" i="107"/>
  <c r="J147" i="107"/>
  <c r="I147" i="107"/>
  <c r="H147" i="107"/>
  <c r="G147" i="107"/>
  <c r="F147" i="107"/>
  <c r="E147" i="107"/>
  <c r="D147" i="107"/>
  <c r="C147" i="107"/>
  <c r="N146" i="107"/>
  <c r="M146" i="107"/>
  <c r="L146" i="107"/>
  <c r="K146" i="107"/>
  <c r="J146" i="107"/>
  <c r="I146" i="107"/>
  <c r="H146" i="107"/>
  <c r="G146" i="107"/>
  <c r="F146" i="107"/>
  <c r="E146" i="107"/>
  <c r="D146" i="107"/>
  <c r="C146" i="107"/>
  <c r="N145" i="107"/>
  <c r="M145" i="107"/>
  <c r="L145" i="107"/>
  <c r="K145" i="107"/>
  <c r="J145" i="107"/>
  <c r="I145" i="107"/>
  <c r="H145" i="107"/>
  <c r="G145" i="107"/>
  <c r="F145" i="107"/>
  <c r="E145" i="107"/>
  <c r="D145" i="107"/>
  <c r="C145" i="107"/>
  <c r="N144" i="107"/>
  <c r="M144" i="107"/>
  <c r="L144" i="107"/>
  <c r="K144" i="107"/>
  <c r="J144" i="107"/>
  <c r="I144" i="107"/>
  <c r="H144" i="107"/>
  <c r="G144" i="107"/>
  <c r="F144" i="107"/>
  <c r="E144" i="107"/>
  <c r="D144" i="107"/>
  <c r="C144" i="107"/>
  <c r="N143" i="107"/>
  <c r="M143" i="107"/>
  <c r="L143" i="107"/>
  <c r="K143" i="107"/>
  <c r="J143" i="107"/>
  <c r="I143" i="107"/>
  <c r="H143" i="107"/>
  <c r="G143" i="107"/>
  <c r="F143" i="107"/>
  <c r="E143" i="107"/>
  <c r="D143" i="107"/>
  <c r="C143" i="107"/>
  <c r="N142" i="107"/>
  <c r="M142" i="107"/>
  <c r="L142" i="107"/>
  <c r="K142" i="107"/>
  <c r="J142" i="107"/>
  <c r="I142" i="107"/>
  <c r="H142" i="107"/>
  <c r="G142" i="107"/>
  <c r="F142" i="107"/>
  <c r="E142" i="107"/>
  <c r="D142" i="107"/>
  <c r="C142" i="107"/>
  <c r="N141" i="107"/>
  <c r="M141" i="107"/>
  <c r="L141" i="107"/>
  <c r="K141" i="107"/>
  <c r="J141" i="107"/>
  <c r="I141" i="107"/>
  <c r="H141" i="107"/>
  <c r="G141" i="107"/>
  <c r="F141" i="107"/>
  <c r="E141" i="107"/>
  <c r="D141" i="107"/>
  <c r="C141" i="107"/>
  <c r="N140" i="107"/>
  <c r="M140" i="107"/>
  <c r="L140" i="107"/>
  <c r="K140" i="107"/>
  <c r="J140" i="107"/>
  <c r="I140" i="107"/>
  <c r="H140" i="107"/>
  <c r="G140" i="107"/>
  <c r="F140" i="107"/>
  <c r="E140" i="107"/>
  <c r="D140" i="107"/>
  <c r="C140" i="107"/>
  <c r="N139" i="107"/>
  <c r="M139" i="107"/>
  <c r="L139" i="107"/>
  <c r="K139" i="107"/>
  <c r="J139" i="107"/>
  <c r="I139" i="107"/>
  <c r="H139" i="107"/>
  <c r="G139" i="107"/>
  <c r="F139" i="107"/>
  <c r="E139" i="107"/>
  <c r="D139" i="107"/>
  <c r="C139" i="107"/>
  <c r="N138" i="107"/>
  <c r="M138" i="107"/>
  <c r="L138" i="107"/>
  <c r="K138" i="107"/>
  <c r="J138" i="107"/>
  <c r="I138" i="107"/>
  <c r="H138" i="107"/>
  <c r="G138" i="107"/>
  <c r="F138" i="107"/>
  <c r="E138" i="107"/>
  <c r="D138" i="107"/>
  <c r="C138" i="107"/>
  <c r="N137" i="107"/>
  <c r="N173" i="107" s="1"/>
  <c r="M137" i="107"/>
  <c r="M173" i="107" s="1"/>
  <c r="L137" i="107"/>
  <c r="K137" i="107"/>
  <c r="J137" i="107"/>
  <c r="I137" i="107"/>
  <c r="H137" i="107"/>
  <c r="G137" i="107"/>
  <c r="G173" i="107" s="1"/>
  <c r="F137" i="107"/>
  <c r="F173" i="107" s="1"/>
  <c r="E137" i="107"/>
  <c r="E173" i="107" s="1"/>
  <c r="D137" i="107"/>
  <c r="C137" i="107"/>
  <c r="M135" i="107"/>
  <c r="N134" i="107"/>
  <c r="M134" i="107"/>
  <c r="L134" i="107"/>
  <c r="K134" i="107"/>
  <c r="J134" i="107"/>
  <c r="I134" i="107"/>
  <c r="H134" i="107"/>
  <c r="G134" i="107"/>
  <c r="F134" i="107"/>
  <c r="E134" i="107"/>
  <c r="D134" i="107"/>
  <c r="C134" i="107"/>
  <c r="N133" i="107"/>
  <c r="M133" i="107"/>
  <c r="L133" i="107"/>
  <c r="K133" i="107"/>
  <c r="J133" i="107"/>
  <c r="I133" i="107"/>
  <c r="H133" i="107"/>
  <c r="G133" i="107"/>
  <c r="F133" i="107"/>
  <c r="E133" i="107"/>
  <c r="D133" i="107"/>
  <c r="C133" i="107"/>
  <c r="N132" i="107"/>
  <c r="M132" i="107"/>
  <c r="L132" i="107"/>
  <c r="K132" i="107"/>
  <c r="J132" i="107"/>
  <c r="I132" i="107"/>
  <c r="H132" i="107"/>
  <c r="G132" i="107"/>
  <c r="F132" i="107"/>
  <c r="E132" i="107"/>
  <c r="D132" i="107"/>
  <c r="C132" i="107"/>
  <c r="N131" i="107"/>
  <c r="M131" i="107"/>
  <c r="L131" i="107"/>
  <c r="K131" i="107"/>
  <c r="J131" i="107"/>
  <c r="I131" i="107"/>
  <c r="H131" i="107"/>
  <c r="G131" i="107"/>
  <c r="F131" i="107"/>
  <c r="E131" i="107"/>
  <c r="D131" i="107"/>
  <c r="C131" i="107"/>
  <c r="N130" i="107"/>
  <c r="M130" i="107"/>
  <c r="L130" i="107"/>
  <c r="K130" i="107"/>
  <c r="J130" i="107"/>
  <c r="I130" i="107"/>
  <c r="H130" i="107"/>
  <c r="G130" i="107"/>
  <c r="F130" i="107"/>
  <c r="E130" i="107"/>
  <c r="D130" i="107"/>
  <c r="C130" i="107"/>
  <c r="N129" i="107"/>
  <c r="M129" i="107"/>
  <c r="L129" i="107"/>
  <c r="K129" i="107"/>
  <c r="J129" i="107"/>
  <c r="I129" i="107"/>
  <c r="H129" i="107"/>
  <c r="G129" i="107"/>
  <c r="F129" i="107"/>
  <c r="E129" i="107"/>
  <c r="D129" i="107"/>
  <c r="C129" i="107"/>
  <c r="N128" i="107"/>
  <c r="M128" i="107"/>
  <c r="L128" i="107"/>
  <c r="K128" i="107"/>
  <c r="J128" i="107"/>
  <c r="I128" i="107"/>
  <c r="H128" i="107"/>
  <c r="G128" i="107"/>
  <c r="G135" i="107" s="1"/>
  <c r="F128" i="107"/>
  <c r="E128" i="107"/>
  <c r="D128" i="107"/>
  <c r="C128" i="107"/>
  <c r="N126" i="107"/>
  <c r="N125" i="107"/>
  <c r="M125" i="107"/>
  <c r="L125" i="107"/>
  <c r="K125" i="107"/>
  <c r="J125" i="107"/>
  <c r="I125" i="107"/>
  <c r="H125" i="107"/>
  <c r="G125" i="107"/>
  <c r="F125" i="107"/>
  <c r="E125" i="107"/>
  <c r="D125" i="107"/>
  <c r="C125" i="107"/>
  <c r="N124" i="107"/>
  <c r="M124" i="107"/>
  <c r="L124" i="107"/>
  <c r="K124" i="107"/>
  <c r="J124" i="107"/>
  <c r="I124" i="107"/>
  <c r="H124" i="107"/>
  <c r="G124" i="107"/>
  <c r="F124" i="107"/>
  <c r="E124" i="107"/>
  <c r="D124" i="107"/>
  <c r="C124" i="107"/>
  <c r="N123" i="107"/>
  <c r="M123" i="107"/>
  <c r="L123" i="107"/>
  <c r="K123" i="107"/>
  <c r="J123" i="107"/>
  <c r="I123" i="107"/>
  <c r="H123" i="107"/>
  <c r="G123" i="107"/>
  <c r="F123" i="107"/>
  <c r="E123" i="107"/>
  <c r="D123" i="107"/>
  <c r="C123" i="107"/>
  <c r="N122" i="107"/>
  <c r="M122" i="107"/>
  <c r="L122" i="107"/>
  <c r="K122" i="107"/>
  <c r="J122" i="107"/>
  <c r="I122" i="107"/>
  <c r="H122" i="107"/>
  <c r="G122" i="107"/>
  <c r="F122" i="107"/>
  <c r="E122" i="107"/>
  <c r="D122" i="107"/>
  <c r="C122" i="107"/>
  <c r="N121" i="107"/>
  <c r="M121" i="107"/>
  <c r="L121" i="107"/>
  <c r="K121" i="107"/>
  <c r="J121" i="107"/>
  <c r="I121" i="107"/>
  <c r="H121" i="107"/>
  <c r="G121" i="107"/>
  <c r="F121" i="107"/>
  <c r="E121" i="107"/>
  <c r="D121" i="107"/>
  <c r="C121" i="107"/>
  <c r="N120" i="107"/>
  <c r="M120" i="107"/>
  <c r="L120" i="107"/>
  <c r="K120" i="107"/>
  <c r="J120" i="107"/>
  <c r="I120" i="107"/>
  <c r="H120" i="107"/>
  <c r="G120" i="107"/>
  <c r="F120" i="107"/>
  <c r="E120" i="107"/>
  <c r="D120" i="107"/>
  <c r="C120" i="107"/>
  <c r="N119" i="107"/>
  <c r="M119" i="107"/>
  <c r="L119" i="107"/>
  <c r="K119" i="107"/>
  <c r="J119" i="107"/>
  <c r="I119" i="107"/>
  <c r="H119" i="107"/>
  <c r="G119" i="107"/>
  <c r="F119" i="107"/>
  <c r="E119" i="107"/>
  <c r="D119" i="107"/>
  <c r="C119" i="107"/>
  <c r="N118" i="107"/>
  <c r="M118" i="107"/>
  <c r="L118" i="107"/>
  <c r="K118" i="107"/>
  <c r="J118" i="107"/>
  <c r="I118" i="107"/>
  <c r="H118" i="107"/>
  <c r="G118" i="107"/>
  <c r="F118" i="107"/>
  <c r="E118" i="107"/>
  <c r="D118" i="107"/>
  <c r="C118" i="107"/>
  <c r="N117" i="107"/>
  <c r="M117" i="107"/>
  <c r="L117" i="107"/>
  <c r="K117" i="107"/>
  <c r="J117" i="107"/>
  <c r="I117" i="107"/>
  <c r="H117" i="107"/>
  <c r="G117" i="107"/>
  <c r="F117" i="107"/>
  <c r="E117" i="107"/>
  <c r="D117" i="107"/>
  <c r="C117" i="107"/>
  <c r="N116" i="107"/>
  <c r="M116" i="107"/>
  <c r="L116" i="107"/>
  <c r="K116" i="107"/>
  <c r="J116" i="107"/>
  <c r="I116" i="107"/>
  <c r="H116" i="107"/>
  <c r="G116" i="107"/>
  <c r="F116" i="107"/>
  <c r="E116" i="107"/>
  <c r="D116" i="107"/>
  <c r="C116" i="107"/>
  <c r="N115" i="107"/>
  <c r="M115" i="107"/>
  <c r="L115" i="107"/>
  <c r="K115" i="107"/>
  <c r="J115" i="107"/>
  <c r="I115" i="107"/>
  <c r="H115" i="107"/>
  <c r="H126" i="107" s="1"/>
  <c r="G115" i="107"/>
  <c r="F115" i="107"/>
  <c r="E115" i="107"/>
  <c r="D115" i="107"/>
  <c r="C115" i="107"/>
  <c r="N109" i="107"/>
  <c r="M109" i="107"/>
  <c r="L109" i="107"/>
  <c r="K109" i="107"/>
  <c r="J109" i="107"/>
  <c r="J112" i="107" s="1"/>
  <c r="I109" i="107"/>
  <c r="H109" i="107"/>
  <c r="G109" i="107"/>
  <c r="F109" i="107"/>
  <c r="E109" i="107"/>
  <c r="D109" i="107"/>
  <c r="C109" i="107"/>
  <c r="O108" i="107"/>
  <c r="O107" i="107"/>
  <c r="N104" i="107"/>
  <c r="N111" i="107" s="1"/>
  <c r="M104" i="107"/>
  <c r="L104" i="107"/>
  <c r="L111" i="107" s="1"/>
  <c r="K104" i="107"/>
  <c r="J104" i="107"/>
  <c r="I104" i="107"/>
  <c r="H104" i="107"/>
  <c r="G104" i="107"/>
  <c r="F104" i="107"/>
  <c r="F111" i="107" s="1"/>
  <c r="E104" i="107"/>
  <c r="D104" i="107"/>
  <c r="D111" i="107" s="1"/>
  <c r="C104" i="107"/>
  <c r="O103" i="107"/>
  <c r="O102" i="107"/>
  <c r="N97" i="107"/>
  <c r="M97" i="107"/>
  <c r="L97" i="107"/>
  <c r="K97" i="107"/>
  <c r="J97" i="107"/>
  <c r="I97" i="107"/>
  <c r="H97" i="107"/>
  <c r="G97" i="107"/>
  <c r="F97" i="107"/>
  <c r="E97" i="107"/>
  <c r="D97" i="107"/>
  <c r="C97" i="107"/>
  <c r="U96" i="107"/>
  <c r="V96" i="107" s="1"/>
  <c r="O96" i="107"/>
  <c r="U95" i="107"/>
  <c r="V95" i="107" s="1"/>
  <c r="O95" i="107"/>
  <c r="N93" i="107"/>
  <c r="M93" i="107"/>
  <c r="L93" i="107"/>
  <c r="L112" i="107" s="1"/>
  <c r="K93" i="107"/>
  <c r="J93" i="107"/>
  <c r="I93" i="107"/>
  <c r="H93" i="107"/>
  <c r="G93" i="107"/>
  <c r="F93" i="107"/>
  <c r="E93" i="107"/>
  <c r="D93" i="107"/>
  <c r="D112" i="107" s="1"/>
  <c r="C93" i="107"/>
  <c r="U92" i="107"/>
  <c r="V92" i="107" s="1"/>
  <c r="O92" i="107"/>
  <c r="U91" i="107"/>
  <c r="V91" i="107" s="1"/>
  <c r="O91" i="107"/>
  <c r="U90" i="107"/>
  <c r="V90" i="107" s="1"/>
  <c r="O90" i="107"/>
  <c r="U89" i="107"/>
  <c r="V89" i="107" s="1"/>
  <c r="O89" i="107"/>
  <c r="L87" i="107"/>
  <c r="K87" i="107"/>
  <c r="J87" i="107"/>
  <c r="I87" i="107"/>
  <c r="H87" i="107"/>
  <c r="G87" i="107"/>
  <c r="F87" i="107"/>
  <c r="D87" i="107"/>
  <c r="C87" i="107"/>
  <c r="V86" i="107"/>
  <c r="U86" i="107"/>
  <c r="O86" i="107"/>
  <c r="U85" i="107"/>
  <c r="V85" i="107" s="1"/>
  <c r="O85" i="107"/>
  <c r="U84" i="107"/>
  <c r="V84" i="107" s="1"/>
  <c r="O84" i="107"/>
  <c r="U83" i="107"/>
  <c r="V83" i="107" s="1"/>
  <c r="O83" i="107"/>
  <c r="U82" i="107"/>
  <c r="V82" i="107" s="1"/>
  <c r="O82" i="107"/>
  <c r="U81" i="107"/>
  <c r="V81" i="107" s="1"/>
  <c r="O81" i="107"/>
  <c r="V80" i="107"/>
  <c r="U80" i="107"/>
  <c r="O80" i="107"/>
  <c r="U79" i="107"/>
  <c r="V79" i="107" s="1"/>
  <c r="O79" i="107"/>
  <c r="V78" i="107"/>
  <c r="U78" i="107"/>
  <c r="O78" i="107"/>
  <c r="U77" i="107"/>
  <c r="V77" i="107" s="1"/>
  <c r="O77" i="107"/>
  <c r="V76" i="107"/>
  <c r="U76" i="107"/>
  <c r="O76" i="107"/>
  <c r="U75" i="107"/>
  <c r="V75" i="107" s="1"/>
  <c r="O75" i="107"/>
  <c r="U74" i="107"/>
  <c r="V74" i="107" s="1"/>
  <c r="O74" i="107"/>
  <c r="N73" i="107"/>
  <c r="N87" i="107" s="1"/>
  <c r="M73" i="107"/>
  <c r="M87" i="107" s="1"/>
  <c r="L73" i="107"/>
  <c r="E73" i="107"/>
  <c r="N71" i="107"/>
  <c r="M71" i="107"/>
  <c r="L71" i="107"/>
  <c r="K71" i="107"/>
  <c r="J71" i="107"/>
  <c r="I71" i="107"/>
  <c r="H71" i="107"/>
  <c r="G71" i="107"/>
  <c r="F71" i="107"/>
  <c r="E71" i="107"/>
  <c r="D71" i="107"/>
  <c r="C71" i="107"/>
  <c r="V70" i="107"/>
  <c r="U70" i="107"/>
  <c r="R70" i="107"/>
  <c r="O70" i="107"/>
  <c r="U69" i="107"/>
  <c r="V69" i="107" s="1"/>
  <c r="R69" i="107"/>
  <c r="O69" i="107"/>
  <c r="V68" i="107"/>
  <c r="U68" i="107"/>
  <c r="R68" i="107"/>
  <c r="O68" i="107"/>
  <c r="U67" i="107"/>
  <c r="V67" i="107" s="1"/>
  <c r="R67" i="107"/>
  <c r="O67" i="107"/>
  <c r="V66" i="107"/>
  <c r="U66" i="107"/>
  <c r="R66" i="107"/>
  <c r="O66" i="107"/>
  <c r="U65" i="107"/>
  <c r="V65" i="107" s="1"/>
  <c r="R65" i="107"/>
  <c r="O65" i="107"/>
  <c r="U64" i="107"/>
  <c r="V64" i="107" s="1"/>
  <c r="R64" i="107"/>
  <c r="O64" i="107"/>
  <c r="N62" i="107"/>
  <c r="M62" i="107"/>
  <c r="L62" i="107"/>
  <c r="J62" i="107"/>
  <c r="I62" i="107"/>
  <c r="H62" i="107"/>
  <c r="G62" i="107"/>
  <c r="F62" i="107"/>
  <c r="E62" i="107"/>
  <c r="D62" i="107"/>
  <c r="U61" i="107"/>
  <c r="V61" i="107" s="1"/>
  <c r="R61" i="107"/>
  <c r="O61" i="107"/>
  <c r="U60" i="107"/>
  <c r="V60" i="107" s="1"/>
  <c r="R60" i="107"/>
  <c r="O60" i="107"/>
  <c r="R59" i="107"/>
  <c r="K59" i="107"/>
  <c r="R58" i="107"/>
  <c r="D58" i="107"/>
  <c r="C58" i="107"/>
  <c r="U57" i="107"/>
  <c r="V57" i="107" s="1"/>
  <c r="R57" i="107"/>
  <c r="O57" i="107"/>
  <c r="U56" i="107"/>
  <c r="V56" i="107" s="1"/>
  <c r="R56" i="107"/>
  <c r="O56" i="107"/>
  <c r="U55" i="107"/>
  <c r="V55" i="107" s="1"/>
  <c r="R55" i="107"/>
  <c r="O55" i="107"/>
  <c r="U54" i="107"/>
  <c r="V54" i="107" s="1"/>
  <c r="R54" i="107"/>
  <c r="O54" i="107"/>
  <c r="U53" i="107"/>
  <c r="V53" i="107" s="1"/>
  <c r="R53" i="107"/>
  <c r="O53" i="107"/>
  <c r="U52" i="107"/>
  <c r="V52" i="107" s="1"/>
  <c r="R52" i="107"/>
  <c r="O52" i="107"/>
  <c r="U51" i="107"/>
  <c r="V51" i="107" s="1"/>
  <c r="R51" i="107"/>
  <c r="O51" i="107"/>
  <c r="U50" i="107"/>
  <c r="V50" i="107" s="1"/>
  <c r="R50" i="107"/>
  <c r="O50" i="107"/>
  <c r="U49" i="107"/>
  <c r="V49" i="107" s="1"/>
  <c r="R49" i="107"/>
  <c r="O49" i="107"/>
  <c r="U48" i="107"/>
  <c r="V48" i="107" s="1"/>
  <c r="R48" i="107"/>
  <c r="O48" i="107"/>
  <c r="U47" i="107"/>
  <c r="V47" i="107" s="1"/>
  <c r="R47" i="107"/>
  <c r="O47" i="107"/>
  <c r="U46" i="107"/>
  <c r="V46" i="107" s="1"/>
  <c r="R46" i="107"/>
  <c r="O46" i="107"/>
  <c r="U45" i="107"/>
  <c r="V45" i="107" s="1"/>
  <c r="R45" i="107"/>
  <c r="O45" i="107"/>
  <c r="U44" i="107"/>
  <c r="V44" i="107" s="1"/>
  <c r="R44" i="107"/>
  <c r="O44" i="107"/>
  <c r="U43" i="107"/>
  <c r="V43" i="107" s="1"/>
  <c r="R43" i="107"/>
  <c r="O43" i="107"/>
  <c r="U42" i="107"/>
  <c r="V42" i="107" s="1"/>
  <c r="R42" i="107"/>
  <c r="O42" i="107"/>
  <c r="U41" i="107"/>
  <c r="V41" i="107" s="1"/>
  <c r="R41" i="107"/>
  <c r="O41" i="107"/>
  <c r="U40" i="107"/>
  <c r="V40" i="107" s="1"/>
  <c r="R40" i="107"/>
  <c r="O40" i="107"/>
  <c r="U39" i="107"/>
  <c r="V39" i="107" s="1"/>
  <c r="R39" i="107"/>
  <c r="O39" i="107"/>
  <c r="U38" i="107"/>
  <c r="V38" i="107" s="1"/>
  <c r="R38" i="107"/>
  <c r="O38" i="107"/>
  <c r="U37" i="107"/>
  <c r="V37" i="107" s="1"/>
  <c r="R37" i="107"/>
  <c r="O37" i="107"/>
  <c r="U36" i="107"/>
  <c r="V36" i="107" s="1"/>
  <c r="R36" i="107"/>
  <c r="O36" i="107"/>
  <c r="U35" i="107"/>
  <c r="V35" i="107" s="1"/>
  <c r="R35" i="107"/>
  <c r="O35" i="107"/>
  <c r="U34" i="107"/>
  <c r="V34" i="107" s="1"/>
  <c r="R34" i="107"/>
  <c r="O34" i="107"/>
  <c r="U33" i="107"/>
  <c r="V33" i="107" s="1"/>
  <c r="R33" i="107"/>
  <c r="O33" i="107"/>
  <c r="U32" i="107"/>
  <c r="V32" i="107" s="1"/>
  <c r="R32" i="107"/>
  <c r="O32" i="107"/>
  <c r="U31" i="107"/>
  <c r="V31" i="107" s="1"/>
  <c r="R31" i="107"/>
  <c r="O31" i="107"/>
  <c r="U30" i="107"/>
  <c r="V30" i="107" s="1"/>
  <c r="R30" i="107"/>
  <c r="O30" i="107"/>
  <c r="V29" i="107"/>
  <c r="U29" i="107"/>
  <c r="R29" i="107"/>
  <c r="O29" i="107"/>
  <c r="U28" i="107"/>
  <c r="V28" i="107" s="1"/>
  <c r="R28" i="107"/>
  <c r="O28" i="107"/>
  <c r="U27" i="107"/>
  <c r="V27" i="107" s="1"/>
  <c r="R27" i="107"/>
  <c r="O27" i="107"/>
  <c r="U26" i="107"/>
  <c r="V26" i="107" s="1"/>
  <c r="R26" i="107"/>
  <c r="O26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V23" i="107"/>
  <c r="U23" i="107"/>
  <c r="R23" i="107"/>
  <c r="O23" i="107"/>
  <c r="U22" i="107"/>
  <c r="V22" i="107" s="1"/>
  <c r="R22" i="107"/>
  <c r="O22" i="107"/>
  <c r="V21" i="107"/>
  <c r="U21" i="107"/>
  <c r="R21" i="107"/>
  <c r="O21" i="107"/>
  <c r="U20" i="107"/>
  <c r="V20" i="107" s="1"/>
  <c r="R20" i="107"/>
  <c r="O20" i="107"/>
  <c r="U19" i="107"/>
  <c r="V19" i="107" s="1"/>
  <c r="R19" i="107"/>
  <c r="O19" i="107"/>
  <c r="U18" i="107"/>
  <c r="V18" i="107" s="1"/>
  <c r="R18" i="107"/>
  <c r="O18" i="107"/>
  <c r="U17" i="107"/>
  <c r="V17" i="107" s="1"/>
  <c r="R17" i="107"/>
  <c r="O17" i="107"/>
  <c r="N15" i="107"/>
  <c r="M15" i="107"/>
  <c r="L15" i="107"/>
  <c r="K15" i="107"/>
  <c r="J15" i="107"/>
  <c r="I15" i="107"/>
  <c r="H15" i="107"/>
  <c r="G15" i="107"/>
  <c r="F15" i="107"/>
  <c r="E15" i="107"/>
  <c r="D15" i="107"/>
  <c r="C15" i="107"/>
  <c r="V14" i="107"/>
  <c r="U14" i="107"/>
  <c r="R14" i="107"/>
  <c r="O14" i="107"/>
  <c r="U13" i="107"/>
  <c r="V13" i="107" s="1"/>
  <c r="R13" i="107"/>
  <c r="O13" i="107"/>
  <c r="U12" i="107"/>
  <c r="V12" i="107" s="1"/>
  <c r="R12" i="107"/>
  <c r="O12" i="107"/>
  <c r="U11" i="107"/>
  <c r="V11" i="107" s="1"/>
  <c r="R11" i="107"/>
  <c r="O11" i="107"/>
  <c r="U10" i="107"/>
  <c r="V10" i="107" s="1"/>
  <c r="R10" i="107"/>
  <c r="O10" i="107"/>
  <c r="U9" i="107"/>
  <c r="V9" i="107" s="1"/>
  <c r="R9" i="107"/>
  <c r="O9" i="107"/>
  <c r="U8" i="107"/>
  <c r="V8" i="107" s="1"/>
  <c r="R8" i="107"/>
  <c r="O8" i="107"/>
  <c r="U7" i="107"/>
  <c r="V7" i="107" s="1"/>
  <c r="R7" i="107"/>
  <c r="O7" i="107"/>
  <c r="U6" i="107"/>
  <c r="V6" i="107" s="1"/>
  <c r="R6" i="107"/>
  <c r="O6" i="107"/>
  <c r="U5" i="107"/>
  <c r="V5" i="107" s="1"/>
  <c r="R5" i="107"/>
  <c r="O5" i="107"/>
  <c r="U4" i="107"/>
  <c r="V4" i="107" s="1"/>
  <c r="R4" i="107"/>
  <c r="O4" i="107"/>
  <c r="A3" i="107"/>
  <c r="A4" i="107" s="1"/>
  <c r="A5" i="107" s="1"/>
  <c r="A6" i="107" s="1"/>
  <c r="A7" i="107" s="1"/>
  <c r="A8" i="107" s="1"/>
  <c r="A9" i="107" s="1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A46" i="107" s="1"/>
  <c r="A47" i="107" s="1"/>
  <c r="A48" i="107" s="1"/>
  <c r="A49" i="107" s="1"/>
  <c r="A50" i="107" s="1"/>
  <c r="A51" i="107" s="1"/>
  <c r="A52" i="107" s="1"/>
  <c r="A53" i="107" s="1"/>
  <c r="A54" i="107" s="1"/>
  <c r="A55" i="107" s="1"/>
  <c r="A56" i="107" s="1"/>
  <c r="A57" i="107" s="1"/>
  <c r="A58" i="107" s="1"/>
  <c r="A59" i="107" s="1"/>
  <c r="A60" i="107" s="1"/>
  <c r="A61" i="107" s="1"/>
  <c r="A62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78" i="107" s="1"/>
  <c r="A79" i="107" s="1"/>
  <c r="A80" i="107" s="1"/>
  <c r="A81" i="107" s="1"/>
  <c r="A82" i="107" s="1"/>
  <c r="A83" i="107" s="1"/>
  <c r="A84" i="107" s="1"/>
  <c r="A85" i="107" s="1"/>
  <c r="A86" i="107" s="1"/>
  <c r="A87" i="107" s="1"/>
  <c r="A88" i="107" s="1"/>
  <c r="A89" i="107" s="1"/>
  <c r="A90" i="107" s="1"/>
  <c r="A91" i="107" s="1"/>
  <c r="A92" i="107" s="1"/>
  <c r="A93" i="107" s="1"/>
  <c r="A94" i="107" s="1"/>
  <c r="A95" i="107" s="1"/>
  <c r="A96" i="107" s="1"/>
  <c r="A97" i="107" s="1"/>
  <c r="A98" i="107" s="1"/>
  <c r="A99" i="107" s="1"/>
  <c r="A100" i="107" s="1"/>
  <c r="A101" i="107" s="1"/>
  <c r="A102" i="107" s="1"/>
  <c r="A103" i="107" s="1"/>
  <c r="A104" i="107" s="1"/>
  <c r="A105" i="107" s="1"/>
  <c r="A106" i="107" s="1"/>
  <c r="A107" i="107" s="1"/>
  <c r="A108" i="107" s="1"/>
  <c r="A109" i="107" s="1"/>
  <c r="A110" i="107" s="1"/>
  <c r="A111" i="107" s="1"/>
  <c r="A112" i="107" s="1"/>
  <c r="A113" i="107" s="1"/>
  <c r="A114" i="107" s="1"/>
  <c r="A115" i="107" s="1"/>
  <c r="A116" i="107" s="1"/>
  <c r="A117" i="107" s="1"/>
  <c r="A118" i="107" s="1"/>
  <c r="A119" i="107" s="1"/>
  <c r="A120" i="107" s="1"/>
  <c r="A121" i="107" s="1"/>
  <c r="A122" i="107" s="1"/>
  <c r="A123" i="107" s="1"/>
  <c r="A124" i="107" s="1"/>
  <c r="A125" i="107" s="1"/>
  <c r="A126" i="107" s="1"/>
  <c r="A127" i="107" s="1"/>
  <c r="A128" i="107" s="1"/>
  <c r="A129" i="107" s="1"/>
  <c r="A130" i="107" s="1"/>
  <c r="A131" i="107" s="1"/>
  <c r="A132" i="107" s="1"/>
  <c r="A133" i="107" s="1"/>
  <c r="A134" i="107" s="1"/>
  <c r="A135" i="107" s="1"/>
  <c r="A136" i="107" s="1"/>
  <c r="A137" i="107" s="1"/>
  <c r="A138" i="107" s="1"/>
  <c r="A139" i="107" s="1"/>
  <c r="A140" i="107" s="1"/>
  <c r="A141" i="107" s="1"/>
  <c r="A142" i="107" s="1"/>
  <c r="A143" i="107" s="1"/>
  <c r="A144" i="107" s="1"/>
  <c r="A145" i="107" s="1"/>
  <c r="A146" i="107" s="1"/>
  <c r="A147" i="107" s="1"/>
  <c r="A148" i="107" s="1"/>
  <c r="A149" i="107" s="1"/>
  <c r="A150" i="107" s="1"/>
  <c r="A151" i="107" s="1"/>
  <c r="A152" i="107" s="1"/>
  <c r="A153" i="107" s="1"/>
  <c r="A154" i="107" s="1"/>
  <c r="A155" i="107" s="1"/>
  <c r="A156" i="107" s="1"/>
  <c r="A157" i="107" s="1"/>
  <c r="A158" i="107" s="1"/>
  <c r="A159" i="107" s="1"/>
  <c r="A160" i="107" s="1"/>
  <c r="A161" i="107" s="1"/>
  <c r="A162" i="107" s="1"/>
  <c r="A163" i="107" s="1"/>
  <c r="A164" i="107" s="1"/>
  <c r="A165" i="107" s="1"/>
  <c r="A166" i="107" s="1"/>
  <c r="A167" i="107" s="1"/>
  <c r="A168" i="107" s="1"/>
  <c r="A169" i="107" s="1"/>
  <c r="A170" i="107" s="1"/>
  <c r="A171" i="107" s="1"/>
  <c r="A172" i="107" s="1"/>
  <c r="A173" i="107" s="1"/>
  <c r="A174" i="107" s="1"/>
  <c r="A175" i="107" s="1"/>
  <c r="A176" i="107" s="1"/>
  <c r="A177" i="107" s="1"/>
  <c r="A178" i="107" s="1"/>
  <c r="A179" i="107" s="1"/>
  <c r="A180" i="107" s="1"/>
  <c r="A181" i="107" s="1"/>
  <c r="A182" i="107" s="1"/>
  <c r="A183" i="107" s="1"/>
  <c r="A184" i="107" s="1"/>
  <c r="A185" i="107" s="1"/>
  <c r="A186" i="107" s="1"/>
  <c r="A187" i="107" s="1"/>
  <c r="A188" i="107" s="1"/>
  <c r="A189" i="107" s="1"/>
  <c r="A190" i="107" s="1"/>
  <c r="A191" i="107" s="1"/>
  <c r="A192" i="107" s="1"/>
  <c r="A193" i="107" s="1"/>
  <c r="A194" i="107" s="1"/>
  <c r="A195" i="107" s="1"/>
  <c r="A196" i="107" s="1"/>
  <c r="A197" i="107" s="1"/>
  <c r="A198" i="107" s="1"/>
  <c r="A199" i="107" s="1"/>
  <c r="A200" i="107" s="1"/>
  <c r="A201" i="107" s="1"/>
  <c r="A202" i="107" s="1"/>
  <c r="A203" i="107" s="1"/>
  <c r="A204" i="107" s="1"/>
  <c r="A205" i="107" s="1"/>
  <c r="A206" i="107" s="1"/>
  <c r="A207" i="107" s="1"/>
  <c r="A208" i="107" s="1"/>
  <c r="A209" i="107" s="1"/>
  <c r="A210" i="107" s="1"/>
  <c r="A211" i="107" s="1"/>
  <c r="A212" i="107" s="1"/>
  <c r="A213" i="107" s="1"/>
  <c r="A214" i="107" s="1"/>
  <c r="A215" i="107" s="1"/>
  <c r="A216" i="107" s="1"/>
  <c r="A217" i="107" s="1"/>
  <c r="R257" i="108"/>
  <c r="O257" i="108"/>
  <c r="O256" i="108"/>
  <c r="R256" i="108" s="1"/>
  <c r="O255" i="108"/>
  <c r="R255" i="108" s="1"/>
  <c r="O254" i="108"/>
  <c r="R254" i="108" s="1"/>
  <c r="R253" i="108"/>
  <c r="O253" i="108"/>
  <c r="O252" i="108"/>
  <c r="R252" i="108" s="1"/>
  <c r="N243" i="108"/>
  <c r="N242" i="108"/>
  <c r="M242" i="108"/>
  <c r="L242" i="108"/>
  <c r="L243" i="108" s="1"/>
  <c r="K242" i="108"/>
  <c r="J242" i="108"/>
  <c r="I242" i="108"/>
  <c r="H242" i="108"/>
  <c r="G242" i="108"/>
  <c r="F242" i="108"/>
  <c r="E242" i="108"/>
  <c r="D242" i="108"/>
  <c r="D243" i="108" s="1"/>
  <c r="C242" i="108"/>
  <c r="N241" i="108"/>
  <c r="M241" i="108"/>
  <c r="L241" i="108"/>
  <c r="K241" i="108"/>
  <c r="K243" i="108" s="1"/>
  <c r="J241" i="108"/>
  <c r="I241" i="108"/>
  <c r="H241" i="108"/>
  <c r="H243" i="108" s="1"/>
  <c r="G241" i="108"/>
  <c r="G243" i="108" s="1"/>
  <c r="F241" i="108"/>
  <c r="F243" i="108" s="1"/>
  <c r="E241" i="108"/>
  <c r="D241" i="108"/>
  <c r="C241" i="108"/>
  <c r="N237" i="108"/>
  <c r="M237" i="108"/>
  <c r="L237" i="108"/>
  <c r="K237" i="108"/>
  <c r="J237" i="108"/>
  <c r="I237" i="108"/>
  <c r="H237" i="108"/>
  <c r="G237" i="108"/>
  <c r="F237" i="108"/>
  <c r="E237" i="108"/>
  <c r="D237" i="108"/>
  <c r="C237" i="108"/>
  <c r="N236" i="108"/>
  <c r="M236" i="108"/>
  <c r="L236" i="108"/>
  <c r="K236" i="108"/>
  <c r="J236" i="108"/>
  <c r="I236" i="108"/>
  <c r="H236" i="108"/>
  <c r="G236" i="108"/>
  <c r="O236" i="108" s="1"/>
  <c r="F236" i="108"/>
  <c r="E236" i="108"/>
  <c r="D236" i="108"/>
  <c r="C236" i="108"/>
  <c r="F235" i="108"/>
  <c r="E235" i="108"/>
  <c r="D235" i="108"/>
  <c r="C235" i="108"/>
  <c r="F234" i="108"/>
  <c r="E234" i="108"/>
  <c r="D234" i="108"/>
  <c r="C234" i="108"/>
  <c r="F233" i="108"/>
  <c r="E233" i="108"/>
  <c r="D233" i="108"/>
  <c r="C233" i="108"/>
  <c r="G232" i="108"/>
  <c r="F232" i="108"/>
  <c r="E232" i="108"/>
  <c r="D232" i="108"/>
  <c r="D238" i="108" s="1"/>
  <c r="C232" i="108"/>
  <c r="L225" i="108"/>
  <c r="N224" i="108"/>
  <c r="M224" i="108"/>
  <c r="L224" i="108"/>
  <c r="K224" i="108"/>
  <c r="K225" i="108" s="1"/>
  <c r="J224" i="108"/>
  <c r="I224" i="108"/>
  <c r="H224" i="108"/>
  <c r="G224" i="108"/>
  <c r="F224" i="108"/>
  <c r="E224" i="108"/>
  <c r="D224" i="108"/>
  <c r="C224" i="108"/>
  <c r="N223" i="108"/>
  <c r="M223" i="108"/>
  <c r="M225" i="108" s="1"/>
  <c r="L223" i="108"/>
  <c r="K223" i="108"/>
  <c r="J223" i="108"/>
  <c r="I223" i="108"/>
  <c r="I225" i="108" s="1"/>
  <c r="H223" i="108"/>
  <c r="G223" i="108"/>
  <c r="G225" i="108" s="1"/>
  <c r="F223" i="108"/>
  <c r="E223" i="108"/>
  <c r="E225" i="108" s="1"/>
  <c r="D223" i="108"/>
  <c r="D225" i="108" s="1"/>
  <c r="C223" i="108"/>
  <c r="H221" i="108"/>
  <c r="N220" i="108"/>
  <c r="M220" i="108"/>
  <c r="M221" i="108" s="1"/>
  <c r="L220" i="108"/>
  <c r="K220" i="108"/>
  <c r="J220" i="108"/>
  <c r="I220" i="108"/>
  <c r="H220" i="108"/>
  <c r="G220" i="108"/>
  <c r="G221" i="108" s="1"/>
  <c r="G227" i="108" s="1"/>
  <c r="F220" i="108"/>
  <c r="E220" i="108"/>
  <c r="E221" i="108" s="1"/>
  <c r="D220" i="108"/>
  <c r="C220" i="108"/>
  <c r="N219" i="108"/>
  <c r="M219" i="108"/>
  <c r="L219" i="108"/>
  <c r="L221" i="108" s="1"/>
  <c r="L227" i="108" s="1"/>
  <c r="K219" i="108"/>
  <c r="K221" i="108" s="1"/>
  <c r="K227" i="108" s="1"/>
  <c r="J219" i="108"/>
  <c r="I219" i="108"/>
  <c r="I221" i="108" s="1"/>
  <c r="H219" i="108"/>
  <c r="G219" i="108"/>
  <c r="F219" i="108"/>
  <c r="E219" i="108"/>
  <c r="D219" i="108"/>
  <c r="D221" i="108" s="1"/>
  <c r="C219" i="108"/>
  <c r="J215" i="108"/>
  <c r="N214" i="108"/>
  <c r="N215" i="108" s="1"/>
  <c r="M214" i="108"/>
  <c r="M215" i="108" s="1"/>
  <c r="L214" i="108"/>
  <c r="L215" i="108" s="1"/>
  <c r="K214" i="108"/>
  <c r="K215" i="108" s="1"/>
  <c r="J214" i="108"/>
  <c r="I214" i="108"/>
  <c r="I215" i="108" s="1"/>
  <c r="H214" i="108"/>
  <c r="H215" i="108" s="1"/>
  <c r="G214" i="108"/>
  <c r="G215" i="108" s="1"/>
  <c r="F214" i="108"/>
  <c r="F215" i="108" s="1"/>
  <c r="E214" i="108"/>
  <c r="E215" i="108" s="1"/>
  <c r="D214" i="108"/>
  <c r="D215" i="108" s="1"/>
  <c r="C214" i="108"/>
  <c r="C215" i="108" s="1"/>
  <c r="G211" i="108"/>
  <c r="F211" i="108"/>
  <c r="N210" i="108"/>
  <c r="M210" i="108"/>
  <c r="L210" i="108"/>
  <c r="K210" i="108"/>
  <c r="J210" i="108"/>
  <c r="I210" i="108"/>
  <c r="H210" i="108"/>
  <c r="G210" i="108"/>
  <c r="F210" i="108"/>
  <c r="E210" i="108"/>
  <c r="D210" i="108"/>
  <c r="C210" i="108"/>
  <c r="N209" i="108"/>
  <c r="N211" i="108" s="1"/>
  <c r="M209" i="108"/>
  <c r="M211" i="108" s="1"/>
  <c r="L209" i="108"/>
  <c r="L211" i="108" s="1"/>
  <c r="K209" i="108"/>
  <c r="K211" i="108" s="1"/>
  <c r="J209" i="108"/>
  <c r="J211" i="108" s="1"/>
  <c r="I209" i="108"/>
  <c r="I211" i="108" s="1"/>
  <c r="H209" i="108"/>
  <c r="H211" i="108" s="1"/>
  <c r="G209" i="108"/>
  <c r="F209" i="108"/>
  <c r="E209" i="108"/>
  <c r="E211" i="108" s="1"/>
  <c r="D209" i="108"/>
  <c r="D211" i="108" s="1"/>
  <c r="C209" i="108"/>
  <c r="O208" i="108"/>
  <c r="N205" i="108"/>
  <c r="M205" i="108"/>
  <c r="L205" i="108"/>
  <c r="K205" i="108"/>
  <c r="J205" i="108"/>
  <c r="I205" i="108"/>
  <c r="H205" i="108"/>
  <c r="G205" i="108"/>
  <c r="F205" i="108"/>
  <c r="E205" i="108"/>
  <c r="D205" i="108"/>
  <c r="C205" i="108"/>
  <c r="N204" i="108"/>
  <c r="M204" i="108"/>
  <c r="L204" i="108"/>
  <c r="K204" i="108"/>
  <c r="J204" i="108"/>
  <c r="I204" i="108"/>
  <c r="H204" i="108"/>
  <c r="G204" i="108"/>
  <c r="F204" i="108"/>
  <c r="E204" i="108"/>
  <c r="D204" i="108"/>
  <c r="C204" i="108"/>
  <c r="N203" i="108"/>
  <c r="M203" i="108"/>
  <c r="L203" i="108"/>
  <c r="K203" i="108"/>
  <c r="J203" i="108"/>
  <c r="I203" i="108"/>
  <c r="H203" i="108"/>
  <c r="G203" i="108"/>
  <c r="F203" i="108"/>
  <c r="E203" i="108"/>
  <c r="D203" i="108"/>
  <c r="C203" i="108"/>
  <c r="N202" i="108"/>
  <c r="M202" i="108"/>
  <c r="L202" i="108"/>
  <c r="K202" i="108"/>
  <c r="J202" i="108"/>
  <c r="I202" i="108"/>
  <c r="H202" i="108"/>
  <c r="G202" i="108"/>
  <c r="F202" i="108"/>
  <c r="E202" i="108"/>
  <c r="D202" i="108"/>
  <c r="C202" i="108"/>
  <c r="N201" i="108"/>
  <c r="M201" i="108"/>
  <c r="L201" i="108"/>
  <c r="K201" i="108"/>
  <c r="J201" i="108"/>
  <c r="I201" i="108"/>
  <c r="H201" i="108"/>
  <c r="G201" i="108"/>
  <c r="F201" i="108"/>
  <c r="E201" i="108"/>
  <c r="D201" i="108"/>
  <c r="C201" i="108"/>
  <c r="N200" i="108"/>
  <c r="M200" i="108"/>
  <c r="L200" i="108"/>
  <c r="K200" i="108"/>
  <c r="J200" i="108"/>
  <c r="I200" i="108"/>
  <c r="H200" i="108"/>
  <c r="G200" i="108"/>
  <c r="F200" i="108"/>
  <c r="E200" i="108"/>
  <c r="D200" i="108"/>
  <c r="C200" i="108"/>
  <c r="N199" i="108"/>
  <c r="M199" i="108"/>
  <c r="L199" i="108"/>
  <c r="K199" i="108"/>
  <c r="J199" i="108"/>
  <c r="I199" i="108"/>
  <c r="H199" i="108"/>
  <c r="G199" i="108"/>
  <c r="F199" i="108"/>
  <c r="E199" i="108"/>
  <c r="D199" i="108"/>
  <c r="C199" i="108"/>
  <c r="N198" i="108"/>
  <c r="M198" i="108"/>
  <c r="L198" i="108"/>
  <c r="L206" i="108" s="1"/>
  <c r="K198" i="108"/>
  <c r="J198" i="108"/>
  <c r="I198" i="108"/>
  <c r="H198" i="108"/>
  <c r="G198" i="108"/>
  <c r="F198" i="108"/>
  <c r="E198" i="108"/>
  <c r="D198" i="108"/>
  <c r="D206" i="108" s="1"/>
  <c r="C198" i="108"/>
  <c r="N197" i="108"/>
  <c r="M197" i="108"/>
  <c r="L197" i="108"/>
  <c r="K197" i="108"/>
  <c r="J197" i="108"/>
  <c r="I197" i="108"/>
  <c r="H197" i="108"/>
  <c r="H206" i="108" s="1"/>
  <c r="G197" i="108"/>
  <c r="F197" i="108"/>
  <c r="E197" i="108"/>
  <c r="D197" i="108"/>
  <c r="C197" i="108"/>
  <c r="N194" i="108"/>
  <c r="M194" i="108"/>
  <c r="L194" i="108"/>
  <c r="K194" i="108"/>
  <c r="J194" i="108"/>
  <c r="I194" i="108"/>
  <c r="H194" i="108"/>
  <c r="G194" i="108"/>
  <c r="F194" i="108"/>
  <c r="E194" i="108"/>
  <c r="D194" i="108"/>
  <c r="C194" i="108"/>
  <c r="N193" i="108"/>
  <c r="M193" i="108"/>
  <c r="L193" i="108"/>
  <c r="K193" i="108"/>
  <c r="J193" i="108"/>
  <c r="I193" i="108"/>
  <c r="H193" i="108"/>
  <c r="G193" i="108"/>
  <c r="F193" i="108"/>
  <c r="E193" i="108"/>
  <c r="D193" i="108"/>
  <c r="C193" i="108"/>
  <c r="N192" i="108"/>
  <c r="M192" i="108"/>
  <c r="L192" i="108"/>
  <c r="K192" i="108"/>
  <c r="J192" i="108"/>
  <c r="I192" i="108"/>
  <c r="H192" i="108"/>
  <c r="G192" i="108"/>
  <c r="F192" i="108"/>
  <c r="E192" i="108"/>
  <c r="D192" i="108"/>
  <c r="C192" i="108"/>
  <c r="N191" i="108"/>
  <c r="M191" i="108"/>
  <c r="L191" i="108"/>
  <c r="K191" i="108"/>
  <c r="J191" i="108"/>
  <c r="I191" i="108"/>
  <c r="H191" i="108"/>
  <c r="G191" i="108"/>
  <c r="F191" i="108"/>
  <c r="E191" i="108"/>
  <c r="D191" i="108"/>
  <c r="C191" i="108"/>
  <c r="N190" i="108"/>
  <c r="M190" i="108"/>
  <c r="L190" i="108"/>
  <c r="K190" i="108"/>
  <c r="J190" i="108"/>
  <c r="I190" i="108"/>
  <c r="H190" i="108"/>
  <c r="G190" i="108"/>
  <c r="F190" i="108"/>
  <c r="E190" i="108"/>
  <c r="D190" i="108"/>
  <c r="C190" i="108"/>
  <c r="N189" i="108"/>
  <c r="M189" i="108"/>
  <c r="L189" i="108"/>
  <c r="K189" i="108"/>
  <c r="J189" i="108"/>
  <c r="I189" i="108"/>
  <c r="H189" i="108"/>
  <c r="G189" i="108"/>
  <c r="F189" i="108"/>
  <c r="E189" i="108"/>
  <c r="D189" i="108"/>
  <c r="C189" i="108"/>
  <c r="N188" i="108"/>
  <c r="N195" i="108" s="1"/>
  <c r="M188" i="108"/>
  <c r="L188" i="108"/>
  <c r="K188" i="108"/>
  <c r="K195" i="108" s="1"/>
  <c r="J188" i="108"/>
  <c r="I188" i="108"/>
  <c r="H188" i="108"/>
  <c r="G188" i="108"/>
  <c r="F188" i="108"/>
  <c r="F195" i="108" s="1"/>
  <c r="E188" i="108"/>
  <c r="D188" i="108"/>
  <c r="C188" i="108"/>
  <c r="N185" i="108"/>
  <c r="M185" i="108"/>
  <c r="L185" i="108"/>
  <c r="K185" i="108"/>
  <c r="J185" i="108"/>
  <c r="I185" i="108"/>
  <c r="H185" i="108"/>
  <c r="G185" i="108"/>
  <c r="F185" i="108"/>
  <c r="E185" i="108"/>
  <c r="D185" i="108"/>
  <c r="C185" i="108"/>
  <c r="N184" i="108"/>
  <c r="M184" i="108"/>
  <c r="L184" i="108"/>
  <c r="K184" i="108"/>
  <c r="J184" i="108"/>
  <c r="I184" i="108"/>
  <c r="H184" i="108"/>
  <c r="G184" i="108"/>
  <c r="F184" i="108"/>
  <c r="O184" i="108" s="1"/>
  <c r="E184" i="108"/>
  <c r="D184" i="108"/>
  <c r="C184" i="108"/>
  <c r="N183" i="108"/>
  <c r="M183" i="108"/>
  <c r="L183" i="108"/>
  <c r="K183" i="108"/>
  <c r="J183" i="108"/>
  <c r="I183" i="108"/>
  <c r="H183" i="108"/>
  <c r="G183" i="108"/>
  <c r="F183" i="108"/>
  <c r="E183" i="108"/>
  <c r="D183" i="108"/>
  <c r="C183" i="108"/>
  <c r="N182" i="108"/>
  <c r="M182" i="108"/>
  <c r="L182" i="108"/>
  <c r="K182" i="108"/>
  <c r="J182" i="108"/>
  <c r="I182" i="108"/>
  <c r="H182" i="108"/>
  <c r="G182" i="108"/>
  <c r="F182" i="108"/>
  <c r="E182" i="108"/>
  <c r="D182" i="108"/>
  <c r="C182" i="108"/>
  <c r="N181" i="108"/>
  <c r="M181" i="108"/>
  <c r="L181" i="108"/>
  <c r="K181" i="108"/>
  <c r="J181" i="108"/>
  <c r="I181" i="108"/>
  <c r="H181" i="108"/>
  <c r="G181" i="108"/>
  <c r="F181" i="108"/>
  <c r="E181" i="108"/>
  <c r="D181" i="108"/>
  <c r="C181" i="108"/>
  <c r="N180" i="108"/>
  <c r="M180" i="108"/>
  <c r="L180" i="108"/>
  <c r="K180" i="108"/>
  <c r="J180" i="108"/>
  <c r="I180" i="108"/>
  <c r="H180" i="108"/>
  <c r="G180" i="108"/>
  <c r="F180" i="108"/>
  <c r="O180" i="108" s="1"/>
  <c r="E180" i="108"/>
  <c r="D180" i="108"/>
  <c r="C180" i="108"/>
  <c r="N179" i="108"/>
  <c r="M179" i="108"/>
  <c r="L179" i="108"/>
  <c r="K179" i="108"/>
  <c r="J179" i="108"/>
  <c r="I179" i="108"/>
  <c r="H179" i="108"/>
  <c r="G179" i="108"/>
  <c r="F179" i="108"/>
  <c r="E179" i="108"/>
  <c r="D179" i="108"/>
  <c r="C179" i="108"/>
  <c r="N178" i="108"/>
  <c r="M178" i="108"/>
  <c r="L178" i="108"/>
  <c r="K178" i="108"/>
  <c r="J178" i="108"/>
  <c r="I178" i="108"/>
  <c r="H178" i="108"/>
  <c r="G178" i="108"/>
  <c r="F178" i="108"/>
  <c r="E178" i="108"/>
  <c r="D178" i="108"/>
  <c r="C178" i="108"/>
  <c r="N177" i="108"/>
  <c r="M177" i="108"/>
  <c r="L177" i="108"/>
  <c r="K177" i="108"/>
  <c r="J177" i="108"/>
  <c r="I177" i="108"/>
  <c r="H177" i="108"/>
  <c r="G177" i="108"/>
  <c r="F177" i="108"/>
  <c r="E177" i="108"/>
  <c r="D177" i="108"/>
  <c r="C177" i="108"/>
  <c r="N176" i="108"/>
  <c r="M176" i="108"/>
  <c r="L176" i="108"/>
  <c r="K176" i="108"/>
  <c r="J176" i="108"/>
  <c r="I176" i="108"/>
  <c r="H176" i="108"/>
  <c r="G176" i="108"/>
  <c r="F176" i="108"/>
  <c r="E176" i="108"/>
  <c r="D176" i="108"/>
  <c r="C176" i="108"/>
  <c r="N175" i="108"/>
  <c r="M175" i="108"/>
  <c r="L175" i="108"/>
  <c r="K175" i="108"/>
  <c r="J175" i="108"/>
  <c r="I175" i="108"/>
  <c r="H175" i="108"/>
  <c r="G175" i="108"/>
  <c r="F175" i="108"/>
  <c r="E175" i="108"/>
  <c r="D175" i="108"/>
  <c r="C175" i="108"/>
  <c r="N174" i="108"/>
  <c r="M174" i="108"/>
  <c r="L174" i="108"/>
  <c r="K174" i="108"/>
  <c r="J174" i="108"/>
  <c r="I174" i="108"/>
  <c r="H174" i="108"/>
  <c r="G174" i="108"/>
  <c r="F174" i="108"/>
  <c r="E174" i="108"/>
  <c r="D174" i="108"/>
  <c r="C174" i="108"/>
  <c r="N173" i="108"/>
  <c r="M173" i="108"/>
  <c r="L173" i="108"/>
  <c r="K173" i="108"/>
  <c r="J173" i="108"/>
  <c r="I173" i="108"/>
  <c r="H173" i="108"/>
  <c r="G173" i="108"/>
  <c r="F173" i="108"/>
  <c r="E173" i="108"/>
  <c r="D173" i="108"/>
  <c r="C173" i="108"/>
  <c r="N172" i="108"/>
  <c r="M172" i="108"/>
  <c r="L172" i="108"/>
  <c r="K172" i="108"/>
  <c r="J172" i="108"/>
  <c r="I172" i="108"/>
  <c r="H172" i="108"/>
  <c r="G172" i="108"/>
  <c r="F172" i="108"/>
  <c r="E172" i="108"/>
  <c r="D172" i="108"/>
  <c r="C172" i="108"/>
  <c r="N171" i="108"/>
  <c r="M171" i="108"/>
  <c r="L171" i="108"/>
  <c r="K171" i="108"/>
  <c r="J171" i="108"/>
  <c r="I171" i="108"/>
  <c r="H171" i="108"/>
  <c r="G171" i="108"/>
  <c r="F171" i="108"/>
  <c r="E171" i="108"/>
  <c r="D171" i="108"/>
  <c r="C171" i="108"/>
  <c r="N170" i="108"/>
  <c r="M170" i="108"/>
  <c r="L170" i="108"/>
  <c r="K170" i="108"/>
  <c r="J170" i="108"/>
  <c r="I170" i="108"/>
  <c r="H170" i="108"/>
  <c r="G170" i="108"/>
  <c r="F170" i="108"/>
  <c r="E170" i="108"/>
  <c r="D170" i="108"/>
  <c r="C170" i="108"/>
  <c r="N169" i="108"/>
  <c r="M169" i="108"/>
  <c r="L169" i="108"/>
  <c r="K169" i="108"/>
  <c r="J169" i="108"/>
  <c r="I169" i="108"/>
  <c r="H169" i="108"/>
  <c r="G169" i="108"/>
  <c r="F169" i="108"/>
  <c r="E169" i="108"/>
  <c r="D169" i="108"/>
  <c r="C169" i="108"/>
  <c r="N168" i="108"/>
  <c r="M168" i="108"/>
  <c r="L168" i="108"/>
  <c r="K168" i="108"/>
  <c r="J168" i="108"/>
  <c r="I168" i="108"/>
  <c r="H168" i="108"/>
  <c r="G168" i="108"/>
  <c r="F168" i="108"/>
  <c r="E168" i="108"/>
  <c r="D168" i="108"/>
  <c r="C168" i="108"/>
  <c r="N167" i="108"/>
  <c r="M167" i="108"/>
  <c r="L167" i="108"/>
  <c r="K167" i="108"/>
  <c r="J167" i="108"/>
  <c r="I167" i="108"/>
  <c r="H167" i="108"/>
  <c r="G167" i="108"/>
  <c r="F167" i="108"/>
  <c r="E167" i="108"/>
  <c r="D167" i="108"/>
  <c r="C167" i="108"/>
  <c r="N166" i="108"/>
  <c r="M166" i="108"/>
  <c r="L166" i="108"/>
  <c r="K166" i="108"/>
  <c r="J166" i="108"/>
  <c r="I166" i="108"/>
  <c r="H166" i="108"/>
  <c r="G166" i="108"/>
  <c r="F166" i="108"/>
  <c r="E166" i="108"/>
  <c r="D166" i="108"/>
  <c r="C166" i="108"/>
  <c r="N165" i="108"/>
  <c r="M165" i="108"/>
  <c r="L165" i="108"/>
  <c r="K165" i="108"/>
  <c r="J165" i="108"/>
  <c r="I165" i="108"/>
  <c r="H165" i="108"/>
  <c r="G165" i="108"/>
  <c r="F165" i="108"/>
  <c r="E165" i="108"/>
  <c r="D165" i="108"/>
  <c r="C165" i="108"/>
  <c r="N164" i="108"/>
  <c r="M164" i="108"/>
  <c r="L164" i="108"/>
  <c r="K164" i="108"/>
  <c r="J164" i="108"/>
  <c r="I164" i="108"/>
  <c r="H164" i="108"/>
  <c r="G164" i="108"/>
  <c r="F164" i="108"/>
  <c r="E164" i="108"/>
  <c r="D164" i="108"/>
  <c r="C164" i="108"/>
  <c r="N163" i="108"/>
  <c r="M163" i="108"/>
  <c r="L163" i="108"/>
  <c r="K163" i="108"/>
  <c r="J163" i="108"/>
  <c r="I163" i="108"/>
  <c r="H163" i="108"/>
  <c r="G163" i="108"/>
  <c r="F163" i="108"/>
  <c r="E163" i="108"/>
  <c r="D163" i="108"/>
  <c r="C163" i="108"/>
  <c r="N162" i="108"/>
  <c r="M162" i="108"/>
  <c r="L162" i="108"/>
  <c r="K162" i="108"/>
  <c r="J162" i="108"/>
  <c r="I162" i="108"/>
  <c r="H162" i="108"/>
  <c r="G162" i="108"/>
  <c r="F162" i="108"/>
  <c r="E162" i="108"/>
  <c r="D162" i="108"/>
  <c r="C162" i="108"/>
  <c r="N161" i="108"/>
  <c r="M161" i="108"/>
  <c r="L161" i="108"/>
  <c r="K161" i="108"/>
  <c r="J161" i="108"/>
  <c r="I161" i="108"/>
  <c r="H161" i="108"/>
  <c r="G161" i="108"/>
  <c r="F161" i="108"/>
  <c r="E161" i="108"/>
  <c r="D161" i="108"/>
  <c r="C161" i="108"/>
  <c r="N160" i="108"/>
  <c r="M160" i="108"/>
  <c r="L160" i="108"/>
  <c r="K160" i="108"/>
  <c r="J160" i="108"/>
  <c r="I160" i="108"/>
  <c r="H160" i="108"/>
  <c r="G160" i="108"/>
  <c r="F160" i="108"/>
  <c r="E160" i="108"/>
  <c r="D160" i="108"/>
  <c r="C160" i="108"/>
  <c r="N159" i="108"/>
  <c r="M159" i="108"/>
  <c r="L159" i="108"/>
  <c r="K159" i="108"/>
  <c r="J159" i="108"/>
  <c r="I159" i="108"/>
  <c r="H159" i="108"/>
  <c r="G159" i="108"/>
  <c r="F159" i="108"/>
  <c r="E159" i="108"/>
  <c r="D159" i="108"/>
  <c r="C159" i="108"/>
  <c r="N158" i="108"/>
  <c r="M158" i="108"/>
  <c r="L158" i="108"/>
  <c r="K158" i="108"/>
  <c r="J158" i="108"/>
  <c r="I158" i="108"/>
  <c r="H158" i="108"/>
  <c r="G158" i="108"/>
  <c r="F158" i="108"/>
  <c r="E158" i="108"/>
  <c r="D158" i="108"/>
  <c r="C158" i="108"/>
  <c r="N157" i="108"/>
  <c r="M157" i="108"/>
  <c r="L157" i="108"/>
  <c r="K157" i="108"/>
  <c r="J157" i="108"/>
  <c r="I157" i="108"/>
  <c r="H157" i="108"/>
  <c r="G157" i="108"/>
  <c r="F157" i="108"/>
  <c r="E157" i="108"/>
  <c r="D157" i="108"/>
  <c r="C157" i="108"/>
  <c r="N156" i="108"/>
  <c r="M156" i="108"/>
  <c r="L156" i="108"/>
  <c r="K156" i="108"/>
  <c r="J156" i="108"/>
  <c r="I156" i="108"/>
  <c r="H156" i="108"/>
  <c r="G156" i="108"/>
  <c r="F156" i="108"/>
  <c r="E156" i="108"/>
  <c r="D156" i="108"/>
  <c r="C156" i="108"/>
  <c r="N155" i="108"/>
  <c r="M155" i="108"/>
  <c r="L155" i="108"/>
  <c r="K155" i="108"/>
  <c r="J155" i="108"/>
  <c r="I155" i="108"/>
  <c r="H155" i="108"/>
  <c r="G155" i="108"/>
  <c r="F155" i="108"/>
  <c r="E155" i="108"/>
  <c r="D155" i="108"/>
  <c r="C155" i="108"/>
  <c r="N154" i="108"/>
  <c r="M154" i="108"/>
  <c r="L154" i="108"/>
  <c r="K154" i="108"/>
  <c r="J154" i="108"/>
  <c r="I154" i="108"/>
  <c r="H154" i="108"/>
  <c r="G154" i="108"/>
  <c r="F154" i="108"/>
  <c r="E154" i="108"/>
  <c r="D154" i="108"/>
  <c r="C154" i="108"/>
  <c r="N153" i="108"/>
  <c r="M153" i="108"/>
  <c r="L153" i="108"/>
  <c r="K153" i="108"/>
  <c r="J153" i="108"/>
  <c r="I153" i="108"/>
  <c r="H153" i="108"/>
  <c r="G153" i="108"/>
  <c r="F153" i="108"/>
  <c r="E153" i="108"/>
  <c r="D153" i="108"/>
  <c r="C153" i="108"/>
  <c r="N152" i="108"/>
  <c r="M152" i="108"/>
  <c r="L152" i="108"/>
  <c r="K152" i="108"/>
  <c r="J152" i="108"/>
  <c r="I152" i="108"/>
  <c r="H152" i="108"/>
  <c r="G152" i="108"/>
  <c r="F152" i="108"/>
  <c r="E152" i="108"/>
  <c r="D152" i="108"/>
  <c r="C152" i="108"/>
  <c r="N151" i="108"/>
  <c r="M151" i="108"/>
  <c r="L151" i="108"/>
  <c r="K151" i="108"/>
  <c r="J151" i="108"/>
  <c r="I151" i="108"/>
  <c r="H151" i="108"/>
  <c r="G151" i="108"/>
  <c r="F151" i="108"/>
  <c r="E151" i="108"/>
  <c r="D151" i="108"/>
  <c r="C151" i="108"/>
  <c r="N150" i="108"/>
  <c r="N186" i="108" s="1"/>
  <c r="M150" i="108"/>
  <c r="L150" i="108"/>
  <c r="K150" i="108"/>
  <c r="K186" i="108" s="1"/>
  <c r="J150" i="108"/>
  <c r="I150" i="108"/>
  <c r="H150" i="108"/>
  <c r="G150" i="108"/>
  <c r="F150" i="108"/>
  <c r="F186" i="108" s="1"/>
  <c r="E150" i="108"/>
  <c r="D150" i="108"/>
  <c r="C150" i="108"/>
  <c r="N147" i="108"/>
  <c r="M147" i="108"/>
  <c r="L147" i="108"/>
  <c r="K147" i="108"/>
  <c r="J147" i="108"/>
  <c r="I147" i="108"/>
  <c r="H147" i="108"/>
  <c r="G147" i="108"/>
  <c r="F147" i="108"/>
  <c r="E147" i="108"/>
  <c r="D147" i="108"/>
  <c r="C147" i="108"/>
  <c r="N146" i="108"/>
  <c r="M146" i="108"/>
  <c r="L146" i="108"/>
  <c r="K146" i="108"/>
  <c r="J146" i="108"/>
  <c r="I146" i="108"/>
  <c r="H146" i="108"/>
  <c r="G146" i="108"/>
  <c r="F146" i="108"/>
  <c r="E146" i="108"/>
  <c r="D146" i="108"/>
  <c r="C146" i="108"/>
  <c r="N145" i="108"/>
  <c r="M145" i="108"/>
  <c r="L145" i="108"/>
  <c r="K145" i="108"/>
  <c r="J145" i="108"/>
  <c r="I145" i="108"/>
  <c r="H145" i="108"/>
  <c r="G145" i="108"/>
  <c r="F145" i="108"/>
  <c r="E145" i="108"/>
  <c r="D145" i="108"/>
  <c r="C145" i="108"/>
  <c r="N144" i="108"/>
  <c r="M144" i="108"/>
  <c r="L144" i="108"/>
  <c r="K144" i="108"/>
  <c r="J144" i="108"/>
  <c r="I144" i="108"/>
  <c r="H144" i="108"/>
  <c r="G144" i="108"/>
  <c r="F144" i="108"/>
  <c r="E144" i="108"/>
  <c r="D144" i="108"/>
  <c r="C144" i="108"/>
  <c r="N143" i="108"/>
  <c r="M143" i="108"/>
  <c r="L143" i="108"/>
  <c r="K143" i="108"/>
  <c r="J143" i="108"/>
  <c r="I143" i="108"/>
  <c r="H143" i="108"/>
  <c r="G143" i="108"/>
  <c r="F143" i="108"/>
  <c r="E143" i="108"/>
  <c r="D143" i="108"/>
  <c r="C143" i="108"/>
  <c r="N142" i="108"/>
  <c r="M142" i="108"/>
  <c r="L142" i="108"/>
  <c r="K142" i="108"/>
  <c r="J142" i="108"/>
  <c r="I142" i="108"/>
  <c r="H142" i="108"/>
  <c r="G142" i="108"/>
  <c r="F142" i="108"/>
  <c r="E142" i="108"/>
  <c r="D142" i="108"/>
  <c r="C142" i="108"/>
  <c r="N141" i="108"/>
  <c r="M141" i="108"/>
  <c r="L141" i="108"/>
  <c r="K141" i="108"/>
  <c r="J141" i="108"/>
  <c r="J148" i="108" s="1"/>
  <c r="I141" i="108"/>
  <c r="H141" i="108"/>
  <c r="G141" i="108"/>
  <c r="F141" i="108"/>
  <c r="E141" i="108"/>
  <c r="D141" i="108"/>
  <c r="D148" i="108" s="1"/>
  <c r="C141" i="108"/>
  <c r="N138" i="108"/>
  <c r="M138" i="108"/>
  <c r="L138" i="108"/>
  <c r="K138" i="108"/>
  <c r="J138" i="108"/>
  <c r="I138" i="108"/>
  <c r="H138" i="108"/>
  <c r="G138" i="108"/>
  <c r="F138" i="108"/>
  <c r="E138" i="108"/>
  <c r="D138" i="108"/>
  <c r="C138" i="108"/>
  <c r="N137" i="108"/>
  <c r="M137" i="108"/>
  <c r="L137" i="108"/>
  <c r="K137" i="108"/>
  <c r="J137" i="108"/>
  <c r="I137" i="108"/>
  <c r="H137" i="108"/>
  <c r="G137" i="108"/>
  <c r="F137" i="108"/>
  <c r="E137" i="108"/>
  <c r="D137" i="108"/>
  <c r="C137" i="108"/>
  <c r="N136" i="108"/>
  <c r="M136" i="108"/>
  <c r="L136" i="108"/>
  <c r="K136" i="108"/>
  <c r="J136" i="108"/>
  <c r="I136" i="108"/>
  <c r="H136" i="108"/>
  <c r="G136" i="108"/>
  <c r="F136" i="108"/>
  <c r="E136" i="108"/>
  <c r="D136" i="108"/>
  <c r="C136" i="108"/>
  <c r="N135" i="108"/>
  <c r="M135" i="108"/>
  <c r="L135" i="108"/>
  <c r="K135" i="108"/>
  <c r="J135" i="108"/>
  <c r="I135" i="108"/>
  <c r="H135" i="108"/>
  <c r="G135" i="108"/>
  <c r="F135" i="108"/>
  <c r="E135" i="108"/>
  <c r="D135" i="108"/>
  <c r="C135" i="108"/>
  <c r="N134" i="108"/>
  <c r="M134" i="108"/>
  <c r="L134" i="108"/>
  <c r="K134" i="108"/>
  <c r="J134" i="108"/>
  <c r="I134" i="108"/>
  <c r="H134" i="108"/>
  <c r="G134" i="108"/>
  <c r="F134" i="108"/>
  <c r="O134" i="108" s="1"/>
  <c r="E134" i="108"/>
  <c r="D134" i="108"/>
  <c r="C134" i="108"/>
  <c r="N133" i="108"/>
  <c r="M133" i="108"/>
  <c r="L133" i="108"/>
  <c r="K133" i="108"/>
  <c r="J133" i="108"/>
  <c r="I133" i="108"/>
  <c r="H133" i="108"/>
  <c r="G133" i="108"/>
  <c r="F133" i="108"/>
  <c r="E133" i="108"/>
  <c r="D133" i="108"/>
  <c r="C133" i="108"/>
  <c r="N132" i="108"/>
  <c r="M132" i="108"/>
  <c r="L132" i="108"/>
  <c r="K132" i="108"/>
  <c r="J132" i="108"/>
  <c r="I132" i="108"/>
  <c r="H132" i="108"/>
  <c r="G132" i="108"/>
  <c r="F132" i="108"/>
  <c r="E132" i="108"/>
  <c r="D132" i="108"/>
  <c r="C132" i="108"/>
  <c r="N131" i="108"/>
  <c r="M131" i="108"/>
  <c r="L131" i="108"/>
  <c r="K131" i="108"/>
  <c r="J131" i="108"/>
  <c r="I131" i="108"/>
  <c r="H131" i="108"/>
  <c r="G131" i="108"/>
  <c r="F131" i="108"/>
  <c r="E131" i="108"/>
  <c r="D131" i="108"/>
  <c r="C131" i="108"/>
  <c r="N130" i="108"/>
  <c r="M130" i="108"/>
  <c r="L130" i="108"/>
  <c r="K130" i="108"/>
  <c r="J130" i="108"/>
  <c r="I130" i="108"/>
  <c r="H130" i="108"/>
  <c r="G130" i="108"/>
  <c r="F130" i="108"/>
  <c r="E130" i="108"/>
  <c r="D130" i="108"/>
  <c r="C130" i="108"/>
  <c r="N129" i="108"/>
  <c r="M129" i="108"/>
  <c r="L129" i="108"/>
  <c r="K129" i="108"/>
  <c r="J129" i="108"/>
  <c r="I129" i="108"/>
  <c r="H129" i="108"/>
  <c r="G129" i="108"/>
  <c r="F129" i="108"/>
  <c r="E129" i="108"/>
  <c r="D129" i="108"/>
  <c r="C129" i="108"/>
  <c r="N128" i="108"/>
  <c r="M128" i="108"/>
  <c r="M139" i="108" s="1"/>
  <c r="L128" i="108"/>
  <c r="K128" i="108"/>
  <c r="K139" i="108" s="1"/>
  <c r="J128" i="108"/>
  <c r="I128" i="108"/>
  <c r="H128" i="108"/>
  <c r="G128" i="108"/>
  <c r="F128" i="108"/>
  <c r="E128" i="108"/>
  <c r="E139" i="108" s="1"/>
  <c r="D128" i="108"/>
  <c r="C128" i="108"/>
  <c r="N124" i="108"/>
  <c r="M124" i="108"/>
  <c r="L124" i="108"/>
  <c r="K124" i="108"/>
  <c r="J124" i="108"/>
  <c r="I124" i="108"/>
  <c r="H124" i="108"/>
  <c r="G124" i="108"/>
  <c r="F124" i="108"/>
  <c r="E124" i="108"/>
  <c r="D124" i="108"/>
  <c r="C124" i="108"/>
  <c r="R123" i="108"/>
  <c r="O123" i="108"/>
  <c r="R122" i="108"/>
  <c r="O122" i="108"/>
  <c r="N119" i="108"/>
  <c r="M119" i="108"/>
  <c r="L119" i="108"/>
  <c r="K119" i="108"/>
  <c r="J119" i="108"/>
  <c r="I119" i="108"/>
  <c r="H119" i="108"/>
  <c r="F119" i="108"/>
  <c r="E119" i="108"/>
  <c r="D119" i="108"/>
  <c r="C119" i="108"/>
  <c r="R118" i="108"/>
  <c r="O118" i="108"/>
  <c r="R117" i="108"/>
  <c r="O117" i="108"/>
  <c r="G116" i="108"/>
  <c r="R116" i="108" s="1"/>
  <c r="G115" i="108"/>
  <c r="G114" i="108"/>
  <c r="I233" i="108" s="1"/>
  <c r="O113" i="108"/>
  <c r="G113" i="108"/>
  <c r="M232" i="108" s="1"/>
  <c r="M110" i="108"/>
  <c r="C110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R107" i="108"/>
  <c r="O107" i="108"/>
  <c r="R106" i="108"/>
  <c r="O106" i="108"/>
  <c r="R105" i="108"/>
  <c r="O105" i="108"/>
  <c r="N103" i="108"/>
  <c r="M103" i="108"/>
  <c r="L103" i="108"/>
  <c r="L110" i="108" s="1"/>
  <c r="K103" i="108"/>
  <c r="K110" i="108" s="1"/>
  <c r="J103" i="108"/>
  <c r="I103" i="108"/>
  <c r="I110" i="108" s="1"/>
  <c r="H103" i="108"/>
  <c r="H110" i="108" s="1"/>
  <c r="G103" i="108"/>
  <c r="F103" i="108"/>
  <c r="F110" i="108" s="1"/>
  <c r="E103" i="108"/>
  <c r="E110" i="108" s="1"/>
  <c r="D103" i="108"/>
  <c r="D110" i="108" s="1"/>
  <c r="C103" i="108"/>
  <c r="R102" i="108"/>
  <c r="O102" i="108"/>
  <c r="R101" i="108"/>
  <c r="O101" i="108"/>
  <c r="N97" i="108"/>
  <c r="M97" i="108"/>
  <c r="L97" i="108"/>
  <c r="K97" i="108"/>
  <c r="J97" i="108"/>
  <c r="I97" i="108"/>
  <c r="H97" i="108"/>
  <c r="G97" i="108"/>
  <c r="F97" i="108"/>
  <c r="E97" i="108"/>
  <c r="D97" i="108"/>
  <c r="C97" i="108"/>
  <c r="R96" i="108"/>
  <c r="O96" i="108"/>
  <c r="N93" i="108"/>
  <c r="M93" i="108"/>
  <c r="L93" i="108"/>
  <c r="K93" i="108"/>
  <c r="J93" i="108"/>
  <c r="I93" i="108"/>
  <c r="H93" i="108"/>
  <c r="G93" i="108"/>
  <c r="F93" i="108"/>
  <c r="E93" i="108"/>
  <c r="D93" i="108"/>
  <c r="C93" i="108"/>
  <c r="R92" i="108"/>
  <c r="O92" i="108"/>
  <c r="R91" i="108"/>
  <c r="O91" i="108"/>
  <c r="R90" i="108"/>
  <c r="O90" i="108"/>
  <c r="R89" i="108"/>
  <c r="N87" i="108"/>
  <c r="M87" i="108"/>
  <c r="L87" i="108"/>
  <c r="K87" i="108"/>
  <c r="J87" i="108"/>
  <c r="I87" i="108"/>
  <c r="H87" i="108"/>
  <c r="G87" i="108"/>
  <c r="F87" i="108"/>
  <c r="E87" i="108"/>
  <c r="D87" i="108"/>
  <c r="C87" i="108"/>
  <c r="R86" i="108"/>
  <c r="O86" i="108"/>
  <c r="R85" i="108"/>
  <c r="O85" i="108"/>
  <c r="R84" i="108"/>
  <c r="O84" i="108"/>
  <c r="R83" i="108"/>
  <c r="O83" i="108"/>
  <c r="R82" i="108"/>
  <c r="O82" i="108"/>
  <c r="R81" i="108"/>
  <c r="O81" i="108"/>
  <c r="R80" i="108"/>
  <c r="O80" i="108"/>
  <c r="R79" i="108"/>
  <c r="O79" i="108"/>
  <c r="R78" i="108"/>
  <c r="O78" i="108"/>
  <c r="O202" i="108" s="1"/>
  <c r="R77" i="108"/>
  <c r="O77" i="108"/>
  <c r="R76" i="108"/>
  <c r="O76" i="108"/>
  <c r="R75" i="108"/>
  <c r="O75" i="108"/>
  <c r="R74" i="108"/>
  <c r="O74" i="108"/>
  <c r="R73" i="108"/>
  <c r="O73" i="108"/>
  <c r="N71" i="108"/>
  <c r="M71" i="108"/>
  <c r="L71" i="108"/>
  <c r="K71" i="108"/>
  <c r="J71" i="108"/>
  <c r="I71" i="108"/>
  <c r="H71" i="108"/>
  <c r="G71" i="108"/>
  <c r="F71" i="108"/>
  <c r="E71" i="108"/>
  <c r="D71" i="108"/>
  <c r="C71" i="108"/>
  <c r="S70" i="108"/>
  <c r="R70" i="108"/>
  <c r="O70" i="108"/>
  <c r="S69" i="108"/>
  <c r="R69" i="108"/>
  <c r="O69" i="108"/>
  <c r="S68" i="108"/>
  <c r="R68" i="108"/>
  <c r="O68" i="108"/>
  <c r="S67" i="108"/>
  <c r="R67" i="108"/>
  <c r="O67" i="108"/>
  <c r="S66" i="108"/>
  <c r="R66" i="108"/>
  <c r="O66" i="108"/>
  <c r="S65" i="108"/>
  <c r="R65" i="108"/>
  <c r="O65" i="108"/>
  <c r="S64" i="108"/>
  <c r="R64" i="108"/>
  <c r="O64" i="108"/>
  <c r="N62" i="108"/>
  <c r="M62" i="108"/>
  <c r="L62" i="108"/>
  <c r="K62" i="108"/>
  <c r="J62" i="108"/>
  <c r="I62" i="108"/>
  <c r="H62" i="108"/>
  <c r="G62" i="108"/>
  <c r="F62" i="108"/>
  <c r="E62" i="108"/>
  <c r="D62" i="108"/>
  <c r="C62" i="108"/>
  <c r="R62" i="108" s="1"/>
  <c r="S61" i="108"/>
  <c r="R61" i="108"/>
  <c r="O61" i="108"/>
  <c r="S60" i="108"/>
  <c r="R60" i="108"/>
  <c r="O60" i="108"/>
  <c r="S59" i="108"/>
  <c r="R59" i="108"/>
  <c r="O59" i="108"/>
  <c r="S58" i="108"/>
  <c r="R58" i="108"/>
  <c r="O58" i="108"/>
  <c r="S57" i="108"/>
  <c r="R57" i="108"/>
  <c r="O57" i="108"/>
  <c r="S56" i="108"/>
  <c r="R56" i="108"/>
  <c r="O56" i="108"/>
  <c r="S55" i="108"/>
  <c r="R55" i="108"/>
  <c r="O55" i="108"/>
  <c r="S54" i="108"/>
  <c r="R54" i="108"/>
  <c r="O54" i="108"/>
  <c r="S53" i="108"/>
  <c r="R53" i="108"/>
  <c r="O53" i="108"/>
  <c r="S52" i="108"/>
  <c r="R52" i="108"/>
  <c r="O52" i="108"/>
  <c r="S51" i="108"/>
  <c r="R51" i="108"/>
  <c r="O51" i="108"/>
  <c r="S50" i="108"/>
  <c r="R50" i="108"/>
  <c r="O50" i="108"/>
  <c r="S49" i="108"/>
  <c r="R49" i="108"/>
  <c r="O49" i="108"/>
  <c r="S48" i="108"/>
  <c r="R48" i="108"/>
  <c r="O48" i="108"/>
  <c r="S47" i="108"/>
  <c r="R47" i="108"/>
  <c r="O47" i="108"/>
  <c r="S46" i="108"/>
  <c r="R46" i="108"/>
  <c r="O46" i="108"/>
  <c r="S45" i="108"/>
  <c r="R45" i="108"/>
  <c r="O45" i="108"/>
  <c r="S44" i="108"/>
  <c r="R44" i="108"/>
  <c r="O44" i="108"/>
  <c r="S43" i="108"/>
  <c r="R43" i="108"/>
  <c r="O43" i="108"/>
  <c r="S42" i="108"/>
  <c r="R42" i="108"/>
  <c r="O42" i="108"/>
  <c r="S41" i="108"/>
  <c r="R41" i="108"/>
  <c r="O41" i="108"/>
  <c r="S40" i="108"/>
  <c r="R40" i="108"/>
  <c r="O40" i="108"/>
  <c r="S39" i="108"/>
  <c r="R39" i="108"/>
  <c r="O39" i="108"/>
  <c r="S38" i="108"/>
  <c r="R38" i="108"/>
  <c r="O38" i="108"/>
  <c r="S37" i="108"/>
  <c r="R37" i="108"/>
  <c r="O37" i="108"/>
  <c r="S36" i="108"/>
  <c r="R36" i="108"/>
  <c r="O36" i="108"/>
  <c r="S35" i="108"/>
  <c r="R35" i="108"/>
  <c r="O35" i="108"/>
  <c r="S34" i="108"/>
  <c r="R34" i="108"/>
  <c r="O34" i="108"/>
  <c r="S33" i="108"/>
  <c r="R33" i="108"/>
  <c r="O33" i="108"/>
  <c r="S32" i="108"/>
  <c r="R32" i="108"/>
  <c r="O32" i="108"/>
  <c r="S31" i="108"/>
  <c r="R31" i="108"/>
  <c r="O31" i="108"/>
  <c r="S30" i="108"/>
  <c r="R30" i="108"/>
  <c r="O30" i="108"/>
  <c r="S29" i="108"/>
  <c r="R29" i="108"/>
  <c r="O29" i="108"/>
  <c r="S28" i="108"/>
  <c r="R28" i="108"/>
  <c r="O28" i="108"/>
  <c r="S27" i="108"/>
  <c r="R27" i="108"/>
  <c r="O27" i="108"/>
  <c r="S26" i="108"/>
  <c r="R26" i="108"/>
  <c r="O26" i="108"/>
  <c r="N24" i="108"/>
  <c r="M24" i="108"/>
  <c r="L24" i="108"/>
  <c r="K24" i="108"/>
  <c r="J24" i="108"/>
  <c r="I24" i="108"/>
  <c r="H24" i="108"/>
  <c r="G24" i="108"/>
  <c r="F24" i="108"/>
  <c r="E24" i="108"/>
  <c r="D24" i="108"/>
  <c r="C24" i="108"/>
  <c r="R24" i="108" s="1"/>
  <c r="S23" i="108"/>
  <c r="R23" i="108"/>
  <c r="O23" i="108"/>
  <c r="S22" i="108"/>
  <c r="R22" i="108"/>
  <c r="O22" i="108"/>
  <c r="S21" i="108"/>
  <c r="R21" i="108"/>
  <c r="O21" i="108"/>
  <c r="S20" i="108"/>
  <c r="R20" i="108"/>
  <c r="O20" i="108"/>
  <c r="S19" i="108"/>
  <c r="R19" i="108"/>
  <c r="O19" i="108"/>
  <c r="S18" i="108"/>
  <c r="R18" i="108"/>
  <c r="O18" i="108"/>
  <c r="S17" i="108"/>
  <c r="R17" i="108"/>
  <c r="O17" i="108"/>
  <c r="N15" i="108"/>
  <c r="M15" i="108"/>
  <c r="L15" i="108"/>
  <c r="L99" i="108" s="1"/>
  <c r="L126" i="108" s="1"/>
  <c r="K15" i="108"/>
  <c r="J15" i="108"/>
  <c r="I15" i="108"/>
  <c r="H15" i="108"/>
  <c r="G15" i="108"/>
  <c r="F15" i="108"/>
  <c r="E15" i="108"/>
  <c r="D15" i="108"/>
  <c r="R15" i="108" s="1"/>
  <c r="C15" i="108"/>
  <c r="S14" i="108"/>
  <c r="R14" i="108"/>
  <c r="O14" i="108"/>
  <c r="S13" i="108"/>
  <c r="R13" i="108"/>
  <c r="O13" i="108"/>
  <c r="S12" i="108"/>
  <c r="R12" i="108"/>
  <c r="O12" i="108"/>
  <c r="S11" i="108"/>
  <c r="R11" i="108"/>
  <c r="O11" i="108"/>
  <c r="S10" i="108"/>
  <c r="R10" i="108"/>
  <c r="O10" i="108"/>
  <c r="S9" i="108"/>
  <c r="R9" i="108"/>
  <c r="O9" i="108"/>
  <c r="S8" i="108"/>
  <c r="R8" i="108"/>
  <c r="O8" i="108"/>
  <c r="S7" i="108"/>
  <c r="R7" i="108"/>
  <c r="O7" i="108"/>
  <c r="S6" i="108"/>
  <c r="R6" i="108"/>
  <c r="O6" i="108"/>
  <c r="S5" i="108"/>
  <c r="R5" i="108"/>
  <c r="O5" i="108"/>
  <c r="S4" i="108"/>
  <c r="R4" i="108"/>
  <c r="O4" i="108"/>
  <c r="A4" i="108"/>
  <c r="A5" i="108" s="1"/>
  <c r="A6" i="108" s="1"/>
  <c r="A7" i="108" s="1"/>
  <c r="A8" i="108" s="1"/>
  <c r="A9" i="108" s="1"/>
  <c r="A10" i="108" s="1"/>
  <c r="A11" i="108" s="1"/>
  <c r="A12" i="108" s="1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A47" i="108" s="1"/>
  <c r="A48" i="108" s="1"/>
  <c r="A49" i="108" s="1"/>
  <c r="A50" i="108" s="1"/>
  <c r="A51" i="108" s="1"/>
  <c r="A52" i="108" s="1"/>
  <c r="A53" i="108" s="1"/>
  <c r="A54" i="108" s="1"/>
  <c r="A55" i="108" s="1"/>
  <c r="A56" i="108" s="1"/>
  <c r="A57" i="108" s="1"/>
  <c r="A58" i="108" s="1"/>
  <c r="A59" i="108" s="1"/>
  <c r="A60" i="108" s="1"/>
  <c r="A61" i="108" s="1"/>
  <c r="A62" i="108" s="1"/>
  <c r="A63" i="108" s="1"/>
  <c r="A64" i="108" s="1"/>
  <c r="A65" i="108" s="1"/>
  <c r="A66" i="108" s="1"/>
  <c r="A67" i="108" s="1"/>
  <c r="A68" i="108" s="1"/>
  <c r="A69" i="108" s="1"/>
  <c r="A70" i="108" s="1"/>
  <c r="A71" i="108" s="1"/>
  <c r="A72" i="108" s="1"/>
  <c r="A73" i="108" s="1"/>
  <c r="A74" i="108" s="1"/>
  <c r="A75" i="108" s="1"/>
  <c r="A76" i="108" s="1"/>
  <c r="A77" i="108" s="1"/>
  <c r="A78" i="108" s="1"/>
  <c r="A79" i="108" s="1"/>
  <c r="A80" i="108" s="1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A93" i="108" s="1"/>
  <c r="A94" i="108" s="1"/>
  <c r="A95" i="108" s="1"/>
  <c r="A96" i="108" s="1"/>
  <c r="A97" i="108" s="1"/>
  <c r="A98" i="108" s="1"/>
  <c r="A99" i="108" s="1"/>
  <c r="A100" i="108" s="1"/>
  <c r="A101" i="108" s="1"/>
  <c r="A102" i="108" s="1"/>
  <c r="A103" i="108" s="1"/>
  <c r="A104" i="108" s="1"/>
  <c r="A105" i="108" s="1"/>
  <c r="A106" i="108" s="1"/>
  <c r="A107" i="108" s="1"/>
  <c r="A108" i="108" s="1"/>
  <c r="A109" i="108" s="1"/>
  <c r="A110" i="108" s="1"/>
  <c r="A111" i="108" s="1"/>
  <c r="A112" i="108" s="1"/>
  <c r="A113" i="108" s="1"/>
  <c r="A114" i="108" s="1"/>
  <c r="A115" i="108" s="1"/>
  <c r="A116" i="108" s="1"/>
  <c r="A117" i="108" s="1"/>
  <c r="A118" i="108" s="1"/>
  <c r="A119" i="108" s="1"/>
  <c r="A120" i="108" s="1"/>
  <c r="A121" i="108" s="1"/>
  <c r="A122" i="108" s="1"/>
  <c r="A123" i="108" s="1"/>
  <c r="A124" i="108" s="1"/>
  <c r="A125" i="108" s="1"/>
  <c r="A126" i="108" s="1"/>
  <c r="A127" i="108" s="1"/>
  <c r="A128" i="108" s="1"/>
  <c r="A129" i="108" s="1"/>
  <c r="A130" i="108" s="1"/>
  <c r="A131" i="108" s="1"/>
  <c r="A132" i="108" s="1"/>
  <c r="A133" i="108" s="1"/>
  <c r="A134" i="108" s="1"/>
  <c r="A135" i="108" s="1"/>
  <c r="A136" i="108" s="1"/>
  <c r="A137" i="108" s="1"/>
  <c r="A138" i="108" s="1"/>
  <c r="A139" i="108" s="1"/>
  <c r="A140" i="108" s="1"/>
  <c r="A141" i="108" s="1"/>
  <c r="A142" i="108" s="1"/>
  <c r="A143" i="108" s="1"/>
  <c r="A144" i="108" s="1"/>
  <c r="A145" i="108" s="1"/>
  <c r="A146" i="108" s="1"/>
  <c r="A147" i="108" s="1"/>
  <c r="A148" i="108" s="1"/>
  <c r="A149" i="108" s="1"/>
  <c r="A150" i="108" s="1"/>
  <c r="A151" i="108" s="1"/>
  <c r="A152" i="108" s="1"/>
  <c r="A153" i="108" s="1"/>
  <c r="A154" i="108" s="1"/>
  <c r="A155" i="108" s="1"/>
  <c r="A156" i="108" s="1"/>
  <c r="A157" i="108" s="1"/>
  <c r="A158" i="108" s="1"/>
  <c r="A159" i="108" s="1"/>
  <c r="A160" i="108" s="1"/>
  <c r="A161" i="108" s="1"/>
  <c r="A162" i="108" s="1"/>
  <c r="A163" i="108" s="1"/>
  <c r="A164" i="108" s="1"/>
  <c r="A165" i="108" s="1"/>
  <c r="A166" i="108" s="1"/>
  <c r="A167" i="108" s="1"/>
  <c r="A168" i="108" s="1"/>
  <c r="A169" i="108" s="1"/>
  <c r="A170" i="108" s="1"/>
  <c r="A171" i="108" s="1"/>
  <c r="A172" i="108" s="1"/>
  <c r="A173" i="108" s="1"/>
  <c r="A174" i="108" s="1"/>
  <c r="A175" i="108" s="1"/>
  <c r="A176" i="108" s="1"/>
  <c r="A177" i="108" s="1"/>
  <c r="A178" i="108" s="1"/>
  <c r="A179" i="108" s="1"/>
  <c r="A180" i="108" s="1"/>
  <c r="A181" i="108" s="1"/>
  <c r="A182" i="108" s="1"/>
  <c r="A183" i="108" s="1"/>
  <c r="A184" i="108" s="1"/>
  <c r="A185" i="108" s="1"/>
  <c r="A186" i="108" s="1"/>
  <c r="A187" i="108" s="1"/>
  <c r="A188" i="108" s="1"/>
  <c r="A189" i="108" s="1"/>
  <c r="A190" i="108" s="1"/>
  <c r="A191" i="108" s="1"/>
  <c r="A192" i="108" s="1"/>
  <c r="A193" i="108" s="1"/>
  <c r="A194" i="108" s="1"/>
  <c r="A195" i="108" s="1"/>
  <c r="A196" i="108" s="1"/>
  <c r="A197" i="108" s="1"/>
  <c r="A198" i="108" s="1"/>
  <c r="A199" i="108" s="1"/>
  <c r="A200" i="108" s="1"/>
  <c r="A201" i="108" s="1"/>
  <c r="A202" i="108" s="1"/>
  <c r="A203" i="108" s="1"/>
  <c r="A204" i="108" s="1"/>
  <c r="A205" i="108" s="1"/>
  <c r="A206" i="108" s="1"/>
  <c r="A207" i="108" s="1"/>
  <c r="A208" i="108" s="1"/>
  <c r="A209" i="108" s="1"/>
  <c r="A210" i="108" s="1"/>
  <c r="A211" i="108" s="1"/>
  <c r="A212" i="108" s="1"/>
  <c r="A213" i="108" s="1"/>
  <c r="A214" i="108" s="1"/>
  <c r="A215" i="108" s="1"/>
  <c r="A216" i="108" s="1"/>
  <c r="A217" i="108" s="1"/>
  <c r="A218" i="108" s="1"/>
  <c r="A219" i="108" s="1"/>
  <c r="A220" i="108" s="1"/>
  <c r="A221" i="108" s="1"/>
  <c r="A222" i="108" s="1"/>
  <c r="A223" i="108" s="1"/>
  <c r="A224" i="108" s="1"/>
  <c r="A225" i="108" s="1"/>
  <c r="A226" i="108" s="1"/>
  <c r="A227" i="108" s="1"/>
  <c r="A228" i="108" s="1"/>
  <c r="A229" i="108" s="1"/>
  <c r="A230" i="108" s="1"/>
  <c r="A231" i="108" s="1"/>
  <c r="A232" i="108" s="1"/>
  <c r="A233" i="108" s="1"/>
  <c r="A234" i="108" s="1"/>
  <c r="A235" i="108" s="1"/>
  <c r="A236" i="108" s="1"/>
  <c r="A237" i="108" s="1"/>
  <c r="A238" i="108" s="1"/>
  <c r="A239" i="108" s="1"/>
  <c r="A240" i="108" s="1"/>
  <c r="A241" i="108" s="1"/>
  <c r="A242" i="108" s="1"/>
  <c r="A243" i="108" s="1"/>
  <c r="A244" i="108" s="1"/>
  <c r="A3" i="108"/>
  <c r="V233" i="148"/>
  <c r="U233" i="148"/>
  <c r="U232" i="148"/>
  <c r="V232" i="148" s="1"/>
  <c r="U231" i="148"/>
  <c r="V231" i="148" s="1"/>
  <c r="V230" i="148"/>
  <c r="U230" i="148"/>
  <c r="O221" i="148"/>
  <c r="O220" i="148"/>
  <c r="N212" i="148"/>
  <c r="N213" i="148" s="1"/>
  <c r="M212" i="148"/>
  <c r="L212" i="148"/>
  <c r="K212" i="148"/>
  <c r="J212" i="148"/>
  <c r="I212" i="148"/>
  <c r="H212" i="148"/>
  <c r="G212" i="148"/>
  <c r="F212" i="148"/>
  <c r="F213" i="148" s="1"/>
  <c r="E212" i="148"/>
  <c r="D212" i="148"/>
  <c r="C212" i="148"/>
  <c r="N211" i="148"/>
  <c r="M211" i="148"/>
  <c r="L211" i="148"/>
  <c r="L213" i="148" s="1"/>
  <c r="K211" i="148"/>
  <c r="J211" i="148"/>
  <c r="J213" i="148" s="1"/>
  <c r="I211" i="148"/>
  <c r="I213" i="148" s="1"/>
  <c r="H211" i="148"/>
  <c r="H213" i="148" s="1"/>
  <c r="G211" i="148"/>
  <c r="G213" i="148" s="1"/>
  <c r="F211" i="148"/>
  <c r="E211" i="148"/>
  <c r="D211" i="148"/>
  <c r="D213" i="148" s="1"/>
  <c r="C211" i="148"/>
  <c r="L209" i="148"/>
  <c r="N208" i="148"/>
  <c r="M208" i="148"/>
  <c r="L208" i="148"/>
  <c r="K208" i="148"/>
  <c r="J208" i="148"/>
  <c r="I208" i="148"/>
  <c r="I209" i="148" s="1"/>
  <c r="I215" i="148" s="1"/>
  <c r="H208" i="148"/>
  <c r="G208" i="148"/>
  <c r="F208" i="148"/>
  <c r="E208" i="148"/>
  <c r="D208" i="148"/>
  <c r="C208" i="148"/>
  <c r="N207" i="148"/>
  <c r="M207" i="148"/>
  <c r="M209" i="148" s="1"/>
  <c r="L207" i="148"/>
  <c r="K207" i="148"/>
  <c r="K209" i="148" s="1"/>
  <c r="J207" i="148"/>
  <c r="J209" i="148" s="1"/>
  <c r="I207" i="148"/>
  <c r="H207" i="148"/>
  <c r="G207" i="148"/>
  <c r="G209" i="148" s="1"/>
  <c r="F207" i="148"/>
  <c r="E207" i="148"/>
  <c r="E209" i="148" s="1"/>
  <c r="D207" i="148"/>
  <c r="D209" i="148" s="1"/>
  <c r="D215" i="148" s="1"/>
  <c r="C207" i="148"/>
  <c r="C209" i="148" s="1"/>
  <c r="F203" i="148"/>
  <c r="N202" i="148"/>
  <c r="M202" i="148"/>
  <c r="L202" i="148"/>
  <c r="K202" i="148"/>
  <c r="J202" i="148"/>
  <c r="I202" i="148"/>
  <c r="H202" i="148"/>
  <c r="G202" i="148"/>
  <c r="F202" i="148"/>
  <c r="E202" i="148"/>
  <c r="D202" i="148"/>
  <c r="C202" i="148"/>
  <c r="N201" i="148"/>
  <c r="N203" i="148" s="1"/>
  <c r="M201" i="148"/>
  <c r="L201" i="148"/>
  <c r="K201" i="148"/>
  <c r="K203" i="148" s="1"/>
  <c r="J201" i="148"/>
  <c r="I201" i="148"/>
  <c r="I203" i="148" s="1"/>
  <c r="H201" i="148"/>
  <c r="H203" i="148" s="1"/>
  <c r="G201" i="148"/>
  <c r="F201" i="148"/>
  <c r="E201" i="148"/>
  <c r="D201" i="148"/>
  <c r="C201" i="148"/>
  <c r="C203" i="148" s="1"/>
  <c r="N197" i="148"/>
  <c r="M197" i="148"/>
  <c r="L197" i="148"/>
  <c r="K197" i="148"/>
  <c r="J197" i="148"/>
  <c r="I197" i="148"/>
  <c r="H197" i="148"/>
  <c r="G197" i="148"/>
  <c r="F197" i="148"/>
  <c r="E197" i="148"/>
  <c r="D197" i="148"/>
  <c r="C197" i="148"/>
  <c r="N196" i="148"/>
  <c r="M196" i="148"/>
  <c r="L196" i="148"/>
  <c r="K196" i="148"/>
  <c r="J196" i="148"/>
  <c r="I196" i="148"/>
  <c r="H196" i="148"/>
  <c r="G196" i="148"/>
  <c r="F196" i="148"/>
  <c r="E196" i="148"/>
  <c r="D196" i="148"/>
  <c r="C196" i="148"/>
  <c r="N195" i="148"/>
  <c r="M195" i="148"/>
  <c r="L195" i="148"/>
  <c r="L199" i="148" s="1"/>
  <c r="K195" i="148"/>
  <c r="K199" i="148" s="1"/>
  <c r="J195" i="148"/>
  <c r="I195" i="148"/>
  <c r="I199" i="148" s="1"/>
  <c r="H195" i="148"/>
  <c r="H199" i="148" s="1"/>
  <c r="G195" i="148"/>
  <c r="F195" i="148"/>
  <c r="E195" i="148"/>
  <c r="D195" i="148"/>
  <c r="D199" i="148" s="1"/>
  <c r="C195" i="148"/>
  <c r="N192" i="148"/>
  <c r="M192" i="148"/>
  <c r="L192" i="148"/>
  <c r="K192" i="148"/>
  <c r="J192" i="148"/>
  <c r="I192" i="148"/>
  <c r="H192" i="148"/>
  <c r="G192" i="148"/>
  <c r="F192" i="148"/>
  <c r="E192" i="148"/>
  <c r="D192" i="148"/>
  <c r="C192" i="148"/>
  <c r="N191" i="148"/>
  <c r="M191" i="148"/>
  <c r="L191" i="148"/>
  <c r="K191" i="148"/>
  <c r="J191" i="148"/>
  <c r="I191" i="148"/>
  <c r="H191" i="148"/>
  <c r="G191" i="148"/>
  <c r="F191" i="148"/>
  <c r="E191" i="148"/>
  <c r="D191" i="148"/>
  <c r="C191" i="148"/>
  <c r="N190" i="148"/>
  <c r="M190" i="148"/>
  <c r="L190" i="148"/>
  <c r="K190" i="148"/>
  <c r="J190" i="148"/>
  <c r="I190" i="148"/>
  <c r="H190" i="148"/>
  <c r="G190" i="148"/>
  <c r="F190" i="148"/>
  <c r="E190" i="148"/>
  <c r="D190" i="148"/>
  <c r="C190" i="148"/>
  <c r="N189" i="148"/>
  <c r="M189" i="148"/>
  <c r="L189" i="148"/>
  <c r="K189" i="148"/>
  <c r="J189" i="148"/>
  <c r="I189" i="148"/>
  <c r="H189" i="148"/>
  <c r="G189" i="148"/>
  <c r="F189" i="148"/>
  <c r="E189" i="148"/>
  <c r="D189" i="148"/>
  <c r="C189" i="148"/>
  <c r="N188" i="148"/>
  <c r="M188" i="148"/>
  <c r="L188" i="148"/>
  <c r="K188" i="148"/>
  <c r="J188" i="148"/>
  <c r="I188" i="148"/>
  <c r="H188" i="148"/>
  <c r="G188" i="148"/>
  <c r="F188" i="148"/>
  <c r="E188" i="148"/>
  <c r="D188" i="148"/>
  <c r="C188" i="148"/>
  <c r="N187" i="148"/>
  <c r="M187" i="148"/>
  <c r="L187" i="148"/>
  <c r="K187" i="148"/>
  <c r="J187" i="148"/>
  <c r="I187" i="148"/>
  <c r="H187" i="148"/>
  <c r="G187" i="148"/>
  <c r="F187" i="148"/>
  <c r="E187" i="148"/>
  <c r="D187" i="148"/>
  <c r="C187" i="148"/>
  <c r="N186" i="148"/>
  <c r="M186" i="148"/>
  <c r="L186" i="148"/>
  <c r="K186" i="148"/>
  <c r="J186" i="148"/>
  <c r="I186" i="148"/>
  <c r="H186" i="148"/>
  <c r="G186" i="148"/>
  <c r="F186" i="148"/>
  <c r="E186" i="148"/>
  <c r="D186" i="148"/>
  <c r="C186" i="148"/>
  <c r="N185" i="148"/>
  <c r="M185" i="148"/>
  <c r="L185" i="148"/>
  <c r="K185" i="148"/>
  <c r="J185" i="148"/>
  <c r="I185" i="148"/>
  <c r="H185" i="148"/>
  <c r="G185" i="148"/>
  <c r="F185" i="148"/>
  <c r="E185" i="148"/>
  <c r="D185" i="148"/>
  <c r="C185" i="148"/>
  <c r="E184" i="148"/>
  <c r="D184" i="148"/>
  <c r="D193" i="148" s="1"/>
  <c r="C184" i="148"/>
  <c r="N181" i="148"/>
  <c r="M181" i="148"/>
  <c r="L181" i="148"/>
  <c r="K181" i="148"/>
  <c r="J181" i="148"/>
  <c r="I181" i="148"/>
  <c r="H181" i="148"/>
  <c r="G181" i="148"/>
  <c r="F181" i="148"/>
  <c r="E181" i="148"/>
  <c r="D181" i="148"/>
  <c r="C181" i="148"/>
  <c r="N180" i="148"/>
  <c r="M180" i="148"/>
  <c r="L180" i="148"/>
  <c r="K180" i="148"/>
  <c r="J180" i="148"/>
  <c r="I180" i="148"/>
  <c r="H180" i="148"/>
  <c r="G180" i="148"/>
  <c r="F180" i="148"/>
  <c r="E180" i="148"/>
  <c r="D180" i="148"/>
  <c r="C180" i="148"/>
  <c r="N179" i="148"/>
  <c r="M179" i="148"/>
  <c r="L179" i="148"/>
  <c r="K179" i="148"/>
  <c r="J179" i="148"/>
  <c r="I179" i="148"/>
  <c r="H179" i="148"/>
  <c r="G179" i="148"/>
  <c r="F179" i="148"/>
  <c r="E179" i="148"/>
  <c r="D179" i="148"/>
  <c r="C179" i="148"/>
  <c r="N178" i="148"/>
  <c r="M178" i="148"/>
  <c r="L178" i="148"/>
  <c r="K178" i="148"/>
  <c r="J178" i="148"/>
  <c r="I178" i="148"/>
  <c r="H178" i="148"/>
  <c r="G178" i="148"/>
  <c r="F178" i="148"/>
  <c r="E178" i="148"/>
  <c r="D178" i="148"/>
  <c r="C178" i="148"/>
  <c r="N177" i="148"/>
  <c r="M177" i="148"/>
  <c r="L177" i="148"/>
  <c r="K177" i="148"/>
  <c r="J177" i="148"/>
  <c r="I177" i="148"/>
  <c r="H177" i="148"/>
  <c r="G177" i="148"/>
  <c r="F177" i="148"/>
  <c r="E177" i="148"/>
  <c r="D177" i="148"/>
  <c r="C177" i="148"/>
  <c r="N176" i="148"/>
  <c r="M176" i="148"/>
  <c r="L176" i="148"/>
  <c r="K176" i="148"/>
  <c r="J176" i="148"/>
  <c r="I176" i="148"/>
  <c r="H176" i="148"/>
  <c r="G176" i="148"/>
  <c r="F176" i="148"/>
  <c r="E176" i="148"/>
  <c r="D176" i="148"/>
  <c r="C176" i="148"/>
  <c r="N175" i="148"/>
  <c r="M175" i="148"/>
  <c r="M182" i="148" s="1"/>
  <c r="L175" i="148"/>
  <c r="L182" i="148" s="1"/>
  <c r="K175" i="148"/>
  <c r="K182" i="148" s="1"/>
  <c r="J175" i="148"/>
  <c r="J182" i="148" s="1"/>
  <c r="I175" i="148"/>
  <c r="H175" i="148"/>
  <c r="G175" i="148"/>
  <c r="G182" i="148" s="1"/>
  <c r="F175" i="148"/>
  <c r="E175" i="148"/>
  <c r="E182" i="148" s="1"/>
  <c r="D175" i="148"/>
  <c r="D182" i="148" s="1"/>
  <c r="C175" i="148"/>
  <c r="C182" i="148" s="1"/>
  <c r="N172" i="148"/>
  <c r="M172" i="148"/>
  <c r="L172" i="148"/>
  <c r="K172" i="148"/>
  <c r="J172" i="148"/>
  <c r="I172" i="148"/>
  <c r="H172" i="148"/>
  <c r="G172" i="148"/>
  <c r="F172" i="148"/>
  <c r="E172" i="148"/>
  <c r="D172" i="148"/>
  <c r="C172" i="148"/>
  <c r="N171" i="148"/>
  <c r="M171" i="148"/>
  <c r="L171" i="148"/>
  <c r="K171" i="148"/>
  <c r="J171" i="148"/>
  <c r="I171" i="148"/>
  <c r="H171" i="148"/>
  <c r="G171" i="148"/>
  <c r="F171" i="148"/>
  <c r="E171" i="148"/>
  <c r="D171" i="148"/>
  <c r="C171" i="148"/>
  <c r="N170" i="148"/>
  <c r="M170" i="148"/>
  <c r="L170" i="148"/>
  <c r="K170" i="148"/>
  <c r="J170" i="148"/>
  <c r="I170" i="148"/>
  <c r="H170" i="148"/>
  <c r="G170" i="148"/>
  <c r="F170" i="148"/>
  <c r="E170" i="148"/>
  <c r="D170" i="148"/>
  <c r="C170" i="148"/>
  <c r="N169" i="148"/>
  <c r="M169" i="148"/>
  <c r="L169" i="148"/>
  <c r="K169" i="148"/>
  <c r="J169" i="148"/>
  <c r="I169" i="148"/>
  <c r="H169" i="148"/>
  <c r="G169" i="148"/>
  <c r="F169" i="148"/>
  <c r="E169" i="148"/>
  <c r="D169" i="148"/>
  <c r="C169" i="148"/>
  <c r="N168" i="148"/>
  <c r="M168" i="148"/>
  <c r="L168" i="148"/>
  <c r="K168" i="148"/>
  <c r="J168" i="148"/>
  <c r="I168" i="148"/>
  <c r="H168" i="148"/>
  <c r="G168" i="148"/>
  <c r="F168" i="148"/>
  <c r="E168" i="148"/>
  <c r="D168" i="148"/>
  <c r="C168" i="148"/>
  <c r="N167" i="148"/>
  <c r="M167" i="148"/>
  <c r="L167" i="148"/>
  <c r="K167" i="148"/>
  <c r="J167" i="148"/>
  <c r="I167" i="148"/>
  <c r="H167" i="148"/>
  <c r="G167" i="148"/>
  <c r="F167" i="148"/>
  <c r="E167" i="148"/>
  <c r="D167" i="148"/>
  <c r="C167" i="148"/>
  <c r="N166" i="148"/>
  <c r="M166" i="148"/>
  <c r="L166" i="148"/>
  <c r="K166" i="148"/>
  <c r="J166" i="148"/>
  <c r="I166" i="148"/>
  <c r="H166" i="148"/>
  <c r="G166" i="148"/>
  <c r="F166" i="148"/>
  <c r="E166" i="148"/>
  <c r="D166" i="148"/>
  <c r="C166" i="148"/>
  <c r="N165" i="148"/>
  <c r="M165" i="148"/>
  <c r="L165" i="148"/>
  <c r="K165" i="148"/>
  <c r="J165" i="148"/>
  <c r="I165" i="148"/>
  <c r="H165" i="148"/>
  <c r="G165" i="148"/>
  <c r="F165" i="148"/>
  <c r="E165" i="148"/>
  <c r="D165" i="148"/>
  <c r="C165" i="148"/>
  <c r="N164" i="148"/>
  <c r="M164" i="148"/>
  <c r="L164" i="148"/>
  <c r="K164" i="148"/>
  <c r="J164" i="148"/>
  <c r="I164" i="148"/>
  <c r="H164" i="148"/>
  <c r="G164" i="148"/>
  <c r="F164" i="148"/>
  <c r="E164" i="148"/>
  <c r="D164" i="148"/>
  <c r="C164" i="148"/>
  <c r="N163" i="148"/>
  <c r="M163" i="148"/>
  <c r="L163" i="148"/>
  <c r="K163" i="148"/>
  <c r="J163" i="148"/>
  <c r="I163" i="148"/>
  <c r="H163" i="148"/>
  <c r="G163" i="148"/>
  <c r="F163" i="148"/>
  <c r="E163" i="148"/>
  <c r="D163" i="148"/>
  <c r="C163" i="148"/>
  <c r="N162" i="148"/>
  <c r="M162" i="148"/>
  <c r="L162" i="148"/>
  <c r="K162" i="148"/>
  <c r="J162" i="148"/>
  <c r="I162" i="148"/>
  <c r="H162" i="148"/>
  <c r="G162" i="148"/>
  <c r="F162" i="148"/>
  <c r="E162" i="148"/>
  <c r="D162" i="148"/>
  <c r="C162" i="148"/>
  <c r="N161" i="148"/>
  <c r="M161" i="148"/>
  <c r="L161" i="148"/>
  <c r="K161" i="148"/>
  <c r="J161" i="148"/>
  <c r="I161" i="148"/>
  <c r="H161" i="148"/>
  <c r="G161" i="148"/>
  <c r="F161" i="148"/>
  <c r="E161" i="148"/>
  <c r="D161" i="148"/>
  <c r="C161" i="148"/>
  <c r="N160" i="148"/>
  <c r="M160" i="148"/>
  <c r="L160" i="148"/>
  <c r="K160" i="148"/>
  <c r="J160" i="148"/>
  <c r="I160" i="148"/>
  <c r="H160" i="148"/>
  <c r="G160" i="148"/>
  <c r="F160" i="148"/>
  <c r="E160" i="148"/>
  <c r="D160" i="148"/>
  <c r="C160" i="148"/>
  <c r="N159" i="148"/>
  <c r="M159" i="148"/>
  <c r="L159" i="148"/>
  <c r="K159" i="148"/>
  <c r="J159" i="148"/>
  <c r="I159" i="148"/>
  <c r="H159" i="148"/>
  <c r="G159" i="148"/>
  <c r="F159" i="148"/>
  <c r="E159" i="148"/>
  <c r="D159" i="148"/>
  <c r="C159" i="148"/>
  <c r="N158" i="148"/>
  <c r="M158" i="148"/>
  <c r="L158" i="148"/>
  <c r="K158" i="148"/>
  <c r="J158" i="148"/>
  <c r="I158" i="148"/>
  <c r="H158" i="148"/>
  <c r="G158" i="148"/>
  <c r="F158" i="148"/>
  <c r="E158" i="148"/>
  <c r="D158" i="148"/>
  <c r="C158" i="148"/>
  <c r="N157" i="148"/>
  <c r="M157" i="148"/>
  <c r="L157" i="148"/>
  <c r="K157" i="148"/>
  <c r="J157" i="148"/>
  <c r="I157" i="148"/>
  <c r="H157" i="148"/>
  <c r="G157" i="148"/>
  <c r="F157" i="148"/>
  <c r="E157" i="148"/>
  <c r="D157" i="148"/>
  <c r="C157" i="148"/>
  <c r="N156" i="148"/>
  <c r="M156" i="148"/>
  <c r="L156" i="148"/>
  <c r="K156" i="148"/>
  <c r="J156" i="148"/>
  <c r="I156" i="148"/>
  <c r="H156" i="148"/>
  <c r="G156" i="148"/>
  <c r="F156" i="148"/>
  <c r="E156" i="148"/>
  <c r="D156" i="148"/>
  <c r="C156" i="148"/>
  <c r="N155" i="148"/>
  <c r="M155" i="148"/>
  <c r="L155" i="148"/>
  <c r="K155" i="148"/>
  <c r="J155" i="148"/>
  <c r="I155" i="148"/>
  <c r="H155" i="148"/>
  <c r="G155" i="148"/>
  <c r="F155" i="148"/>
  <c r="E155" i="148"/>
  <c r="D155" i="148"/>
  <c r="C155" i="148"/>
  <c r="N154" i="148"/>
  <c r="M154" i="148"/>
  <c r="L154" i="148"/>
  <c r="K154" i="148"/>
  <c r="J154" i="148"/>
  <c r="I154" i="148"/>
  <c r="H154" i="148"/>
  <c r="G154" i="148"/>
  <c r="F154" i="148"/>
  <c r="E154" i="148"/>
  <c r="D154" i="148"/>
  <c r="C154" i="148"/>
  <c r="N153" i="148"/>
  <c r="M153" i="148"/>
  <c r="L153" i="148"/>
  <c r="K153" i="148"/>
  <c r="J153" i="148"/>
  <c r="I153" i="148"/>
  <c r="H153" i="148"/>
  <c r="G153" i="148"/>
  <c r="F153" i="148"/>
  <c r="E153" i="148"/>
  <c r="D153" i="148"/>
  <c r="C153" i="148"/>
  <c r="N152" i="148"/>
  <c r="M152" i="148"/>
  <c r="L152" i="148"/>
  <c r="K152" i="148"/>
  <c r="J152" i="148"/>
  <c r="I152" i="148"/>
  <c r="H152" i="148"/>
  <c r="G152" i="148"/>
  <c r="F152" i="148"/>
  <c r="E152" i="148"/>
  <c r="D152" i="148"/>
  <c r="C152" i="148"/>
  <c r="N151" i="148"/>
  <c r="M151" i="148"/>
  <c r="L151" i="148"/>
  <c r="K151" i="148"/>
  <c r="J151" i="148"/>
  <c r="I151" i="148"/>
  <c r="H151" i="148"/>
  <c r="G151" i="148"/>
  <c r="F151" i="148"/>
  <c r="E151" i="148"/>
  <c r="O151" i="148" s="1"/>
  <c r="D151" i="148"/>
  <c r="C151" i="148"/>
  <c r="N150" i="148"/>
  <c r="M150" i="148"/>
  <c r="L150" i="148"/>
  <c r="K150" i="148"/>
  <c r="J150" i="148"/>
  <c r="I150" i="148"/>
  <c r="H150" i="148"/>
  <c r="G150" i="148"/>
  <c r="F150" i="148"/>
  <c r="E150" i="148"/>
  <c r="D150" i="148"/>
  <c r="C150" i="148"/>
  <c r="N149" i="148"/>
  <c r="M149" i="148"/>
  <c r="L149" i="148"/>
  <c r="K149" i="148"/>
  <c r="J149" i="148"/>
  <c r="I149" i="148"/>
  <c r="H149" i="148"/>
  <c r="G149" i="148"/>
  <c r="F149" i="148"/>
  <c r="E149" i="148"/>
  <c r="D149" i="148"/>
  <c r="C149" i="148"/>
  <c r="N148" i="148"/>
  <c r="M148" i="148"/>
  <c r="L148" i="148"/>
  <c r="K148" i="148"/>
  <c r="J148" i="148"/>
  <c r="I148" i="148"/>
  <c r="H148" i="148"/>
  <c r="G148" i="148"/>
  <c r="F148" i="148"/>
  <c r="E148" i="148"/>
  <c r="D148" i="148"/>
  <c r="C148" i="148"/>
  <c r="N147" i="148"/>
  <c r="M147" i="148"/>
  <c r="L147" i="148"/>
  <c r="K147" i="148"/>
  <c r="J147" i="148"/>
  <c r="I147" i="148"/>
  <c r="H147" i="148"/>
  <c r="G147" i="148"/>
  <c r="F147" i="148"/>
  <c r="E147" i="148"/>
  <c r="O147" i="148" s="1"/>
  <c r="D147" i="148"/>
  <c r="C147" i="148"/>
  <c r="N146" i="148"/>
  <c r="M146" i="148"/>
  <c r="L146" i="148"/>
  <c r="K146" i="148"/>
  <c r="J146" i="148"/>
  <c r="I146" i="148"/>
  <c r="H146" i="148"/>
  <c r="G146" i="148"/>
  <c r="F146" i="148"/>
  <c r="E146" i="148"/>
  <c r="D146" i="148"/>
  <c r="C146" i="148"/>
  <c r="N145" i="148"/>
  <c r="M145" i="148"/>
  <c r="L145" i="148"/>
  <c r="K145" i="148"/>
  <c r="J145" i="148"/>
  <c r="I145" i="148"/>
  <c r="H145" i="148"/>
  <c r="G145" i="148"/>
  <c r="F145" i="148"/>
  <c r="E145" i="148"/>
  <c r="D145" i="148"/>
  <c r="C145" i="148"/>
  <c r="N144" i="148"/>
  <c r="M144" i="148"/>
  <c r="L144" i="148"/>
  <c r="K144" i="148"/>
  <c r="J144" i="148"/>
  <c r="I144" i="148"/>
  <c r="H144" i="148"/>
  <c r="G144" i="148"/>
  <c r="F144" i="148"/>
  <c r="E144" i="148"/>
  <c r="D144" i="148"/>
  <c r="C144" i="148"/>
  <c r="N143" i="148"/>
  <c r="M143" i="148"/>
  <c r="L143" i="148"/>
  <c r="K143" i="148"/>
  <c r="J143" i="148"/>
  <c r="I143" i="148"/>
  <c r="H143" i="148"/>
  <c r="G143" i="148"/>
  <c r="F143" i="148"/>
  <c r="E143" i="148"/>
  <c r="D143" i="148"/>
  <c r="C143" i="148"/>
  <c r="N142" i="148"/>
  <c r="M142" i="148"/>
  <c r="L142" i="148"/>
  <c r="K142" i="148"/>
  <c r="J142" i="148"/>
  <c r="I142" i="148"/>
  <c r="H142" i="148"/>
  <c r="G142" i="148"/>
  <c r="F142" i="148"/>
  <c r="E142" i="148"/>
  <c r="D142" i="148"/>
  <c r="C142" i="148"/>
  <c r="N141" i="148"/>
  <c r="M141" i="148"/>
  <c r="L141" i="148"/>
  <c r="K141" i="148"/>
  <c r="J141" i="148"/>
  <c r="I141" i="148"/>
  <c r="H141" i="148"/>
  <c r="G141" i="148"/>
  <c r="F141" i="148"/>
  <c r="E141" i="148"/>
  <c r="D141" i="148"/>
  <c r="C141" i="148"/>
  <c r="N140" i="148"/>
  <c r="M140" i="148"/>
  <c r="L140" i="148"/>
  <c r="K140" i="148"/>
  <c r="J140" i="148"/>
  <c r="I140" i="148"/>
  <c r="H140" i="148"/>
  <c r="G140" i="148"/>
  <c r="F140" i="148"/>
  <c r="E140" i="148"/>
  <c r="D140" i="148"/>
  <c r="C140" i="148"/>
  <c r="N139" i="148"/>
  <c r="M139" i="148"/>
  <c r="L139" i="148"/>
  <c r="K139" i="148"/>
  <c r="J139" i="148"/>
  <c r="I139" i="148"/>
  <c r="H139" i="148"/>
  <c r="G139" i="148"/>
  <c r="F139" i="148"/>
  <c r="E139" i="148"/>
  <c r="D139" i="148"/>
  <c r="C139" i="148"/>
  <c r="N138" i="148"/>
  <c r="M138" i="148"/>
  <c r="L138" i="148"/>
  <c r="K138" i="148"/>
  <c r="J138" i="148"/>
  <c r="I138" i="148"/>
  <c r="H138" i="148"/>
  <c r="G138" i="148"/>
  <c r="F138" i="148"/>
  <c r="E138" i="148"/>
  <c r="D138" i="148"/>
  <c r="C138" i="148"/>
  <c r="N137" i="148"/>
  <c r="M137" i="148"/>
  <c r="M173" i="148" s="1"/>
  <c r="L137" i="148"/>
  <c r="L173" i="148" s="1"/>
  <c r="K137" i="148"/>
  <c r="K173" i="148" s="1"/>
  <c r="J137" i="148"/>
  <c r="J173" i="148" s="1"/>
  <c r="I137" i="148"/>
  <c r="H137" i="148"/>
  <c r="G137" i="148"/>
  <c r="F137" i="148"/>
  <c r="E137" i="148"/>
  <c r="E173" i="148" s="1"/>
  <c r="D137" i="148"/>
  <c r="D173" i="148" s="1"/>
  <c r="C137" i="148"/>
  <c r="N134" i="148"/>
  <c r="M134" i="148"/>
  <c r="L134" i="148"/>
  <c r="K134" i="148"/>
  <c r="J134" i="148"/>
  <c r="I134" i="148"/>
  <c r="H134" i="148"/>
  <c r="G134" i="148"/>
  <c r="F134" i="148"/>
  <c r="E134" i="148"/>
  <c r="D134" i="148"/>
  <c r="C134" i="148"/>
  <c r="N133" i="148"/>
  <c r="M133" i="148"/>
  <c r="L133" i="148"/>
  <c r="K133" i="148"/>
  <c r="J133" i="148"/>
  <c r="I133" i="148"/>
  <c r="H133" i="148"/>
  <c r="G133" i="148"/>
  <c r="F133" i="148"/>
  <c r="E133" i="148"/>
  <c r="D133" i="148"/>
  <c r="C133" i="148"/>
  <c r="N132" i="148"/>
  <c r="M132" i="148"/>
  <c r="L132" i="148"/>
  <c r="K132" i="148"/>
  <c r="J132" i="148"/>
  <c r="I132" i="148"/>
  <c r="H132" i="148"/>
  <c r="G132" i="148"/>
  <c r="F132" i="148"/>
  <c r="E132" i="148"/>
  <c r="D132" i="148"/>
  <c r="C132" i="148"/>
  <c r="N131" i="148"/>
  <c r="M131" i="148"/>
  <c r="L131" i="148"/>
  <c r="K131" i="148"/>
  <c r="J131" i="148"/>
  <c r="I131" i="148"/>
  <c r="H131" i="148"/>
  <c r="G131" i="148"/>
  <c r="F131" i="148"/>
  <c r="E131" i="148"/>
  <c r="D131" i="148"/>
  <c r="C131" i="148"/>
  <c r="N130" i="148"/>
  <c r="M130" i="148"/>
  <c r="L130" i="148"/>
  <c r="K130" i="148"/>
  <c r="J130" i="148"/>
  <c r="I130" i="148"/>
  <c r="H130" i="148"/>
  <c r="G130" i="148"/>
  <c r="F130" i="148"/>
  <c r="E130" i="148"/>
  <c r="D130" i="148"/>
  <c r="C130" i="148"/>
  <c r="N129" i="148"/>
  <c r="M129" i="148"/>
  <c r="L129" i="148"/>
  <c r="K129" i="148"/>
  <c r="J129" i="148"/>
  <c r="I129" i="148"/>
  <c r="H129" i="148"/>
  <c r="G129" i="148"/>
  <c r="F129" i="148"/>
  <c r="E129" i="148"/>
  <c r="D129" i="148"/>
  <c r="C129" i="148"/>
  <c r="N128" i="148"/>
  <c r="N135" i="148" s="1"/>
  <c r="M128" i="148"/>
  <c r="L128" i="148"/>
  <c r="K128" i="148"/>
  <c r="K135" i="148" s="1"/>
  <c r="J128" i="148"/>
  <c r="I128" i="148"/>
  <c r="I135" i="148" s="1"/>
  <c r="H128" i="148"/>
  <c r="G128" i="148"/>
  <c r="G135" i="148" s="1"/>
  <c r="F128" i="148"/>
  <c r="F135" i="148" s="1"/>
  <c r="E128" i="148"/>
  <c r="D128" i="148"/>
  <c r="C128" i="148"/>
  <c r="N125" i="148"/>
  <c r="M125" i="148"/>
  <c r="L125" i="148"/>
  <c r="K125" i="148"/>
  <c r="J125" i="148"/>
  <c r="I125" i="148"/>
  <c r="H125" i="148"/>
  <c r="G125" i="148"/>
  <c r="F125" i="148"/>
  <c r="E125" i="148"/>
  <c r="D125" i="148"/>
  <c r="C125" i="148"/>
  <c r="N124" i="148"/>
  <c r="M124" i="148"/>
  <c r="L124" i="148"/>
  <c r="K124" i="148"/>
  <c r="J124" i="148"/>
  <c r="I124" i="148"/>
  <c r="H124" i="148"/>
  <c r="G124" i="148"/>
  <c r="F124" i="148"/>
  <c r="E124" i="148"/>
  <c r="D124" i="148"/>
  <c r="C124" i="148"/>
  <c r="N123" i="148"/>
  <c r="M123" i="148"/>
  <c r="L123" i="148"/>
  <c r="K123" i="148"/>
  <c r="J123" i="148"/>
  <c r="I123" i="148"/>
  <c r="H123" i="148"/>
  <c r="G123" i="148"/>
  <c r="F123" i="148"/>
  <c r="E123" i="148"/>
  <c r="D123" i="148"/>
  <c r="C123" i="148"/>
  <c r="N122" i="148"/>
  <c r="M122" i="148"/>
  <c r="L122" i="148"/>
  <c r="K122" i="148"/>
  <c r="J122" i="148"/>
  <c r="I122" i="148"/>
  <c r="H122" i="148"/>
  <c r="G122" i="148"/>
  <c r="F122" i="148"/>
  <c r="E122" i="148"/>
  <c r="D122" i="148"/>
  <c r="C122" i="148"/>
  <c r="N121" i="148"/>
  <c r="M121" i="148"/>
  <c r="L121" i="148"/>
  <c r="K121" i="148"/>
  <c r="J121" i="148"/>
  <c r="I121" i="148"/>
  <c r="H121" i="148"/>
  <c r="G121" i="148"/>
  <c r="F121" i="148"/>
  <c r="E121" i="148"/>
  <c r="D121" i="148"/>
  <c r="C121" i="148"/>
  <c r="N120" i="148"/>
  <c r="M120" i="148"/>
  <c r="L120" i="148"/>
  <c r="K120" i="148"/>
  <c r="J120" i="148"/>
  <c r="I120" i="148"/>
  <c r="H120" i="148"/>
  <c r="G120" i="148"/>
  <c r="F120" i="148"/>
  <c r="E120" i="148"/>
  <c r="D120" i="148"/>
  <c r="C120" i="148"/>
  <c r="N119" i="148"/>
  <c r="M119" i="148"/>
  <c r="L119" i="148"/>
  <c r="K119" i="148"/>
  <c r="J119" i="148"/>
  <c r="I119" i="148"/>
  <c r="H119" i="148"/>
  <c r="G119" i="148"/>
  <c r="F119" i="148"/>
  <c r="E119" i="148"/>
  <c r="D119" i="148"/>
  <c r="C119" i="148"/>
  <c r="N118" i="148"/>
  <c r="M118" i="148"/>
  <c r="L118" i="148"/>
  <c r="K118" i="148"/>
  <c r="J118" i="148"/>
  <c r="I118" i="148"/>
  <c r="H118" i="148"/>
  <c r="G118" i="148"/>
  <c r="F118" i="148"/>
  <c r="E118" i="148"/>
  <c r="D118" i="148"/>
  <c r="C118" i="148"/>
  <c r="N117" i="148"/>
  <c r="M117" i="148"/>
  <c r="L117" i="148"/>
  <c r="K117" i="148"/>
  <c r="J117" i="148"/>
  <c r="I117" i="148"/>
  <c r="H117" i="148"/>
  <c r="G117" i="148"/>
  <c r="F117" i="148"/>
  <c r="E117" i="148"/>
  <c r="D117" i="148"/>
  <c r="C117" i="148"/>
  <c r="N116" i="148"/>
  <c r="M116" i="148"/>
  <c r="L116" i="148"/>
  <c r="K116" i="148"/>
  <c r="J116" i="148"/>
  <c r="I116" i="148"/>
  <c r="H116" i="148"/>
  <c r="G116" i="148"/>
  <c r="F116" i="148"/>
  <c r="E116" i="148"/>
  <c r="D116" i="148"/>
  <c r="C116" i="148"/>
  <c r="N115" i="148"/>
  <c r="M115" i="148"/>
  <c r="M126" i="148" s="1"/>
  <c r="L115" i="148"/>
  <c r="L126" i="148" s="1"/>
  <c r="K115" i="148"/>
  <c r="K126" i="148" s="1"/>
  <c r="J115" i="148"/>
  <c r="J126" i="148" s="1"/>
  <c r="I115" i="148"/>
  <c r="H115" i="148"/>
  <c r="G115" i="148"/>
  <c r="F115" i="148"/>
  <c r="E115" i="148"/>
  <c r="E126" i="148" s="1"/>
  <c r="D115" i="148"/>
  <c r="D126" i="148" s="1"/>
  <c r="C115" i="148"/>
  <c r="T111" i="148"/>
  <c r="T110" i="148"/>
  <c r="T109" i="148"/>
  <c r="N109" i="148"/>
  <c r="M109" i="148"/>
  <c r="L109" i="148"/>
  <c r="L112" i="148" s="1"/>
  <c r="K109" i="148"/>
  <c r="J109" i="148"/>
  <c r="I109" i="148"/>
  <c r="H109" i="148"/>
  <c r="G109" i="148"/>
  <c r="F109" i="148"/>
  <c r="E109" i="148"/>
  <c r="E112" i="148" s="1"/>
  <c r="D109" i="148"/>
  <c r="D112" i="148" s="1"/>
  <c r="C109" i="148"/>
  <c r="T108" i="148"/>
  <c r="O108" i="148"/>
  <c r="T107" i="148"/>
  <c r="O107" i="148"/>
  <c r="T106" i="148"/>
  <c r="T105" i="148"/>
  <c r="T104" i="148"/>
  <c r="N104" i="148"/>
  <c r="N111" i="148" s="1"/>
  <c r="M104" i="148"/>
  <c r="L104" i="148"/>
  <c r="K104" i="148"/>
  <c r="K111" i="148" s="1"/>
  <c r="J104" i="148"/>
  <c r="I104" i="148"/>
  <c r="I111" i="148" s="1"/>
  <c r="H104" i="148"/>
  <c r="H111" i="148" s="1"/>
  <c r="G104" i="148"/>
  <c r="G111" i="148" s="1"/>
  <c r="F104" i="148"/>
  <c r="F111" i="148" s="1"/>
  <c r="E104" i="148"/>
  <c r="D104" i="148"/>
  <c r="C104" i="148"/>
  <c r="T103" i="148"/>
  <c r="O103" i="148"/>
  <c r="T102" i="148"/>
  <c r="O102" i="148"/>
  <c r="T101" i="148"/>
  <c r="T100" i="148"/>
  <c r="T99" i="148"/>
  <c r="T98" i="148"/>
  <c r="T97" i="148"/>
  <c r="N97" i="148"/>
  <c r="M97" i="148"/>
  <c r="L97" i="148"/>
  <c r="K97" i="148"/>
  <c r="J97" i="148"/>
  <c r="I97" i="148"/>
  <c r="H97" i="148"/>
  <c r="G97" i="148"/>
  <c r="F97" i="148"/>
  <c r="E97" i="148"/>
  <c r="D97" i="148"/>
  <c r="C97" i="148"/>
  <c r="T96" i="148"/>
  <c r="O96" i="148"/>
  <c r="T95" i="148"/>
  <c r="O95" i="148"/>
  <c r="T94" i="148"/>
  <c r="T93" i="148"/>
  <c r="N93" i="148"/>
  <c r="M93" i="148"/>
  <c r="L93" i="148"/>
  <c r="K93" i="148"/>
  <c r="J93" i="148"/>
  <c r="I93" i="148"/>
  <c r="H93" i="148"/>
  <c r="G93" i="148"/>
  <c r="F93" i="148"/>
  <c r="E93" i="148"/>
  <c r="D93" i="148"/>
  <c r="C93" i="148"/>
  <c r="U92" i="148"/>
  <c r="V92" i="148" s="1"/>
  <c r="T92" i="148"/>
  <c r="O92" i="148"/>
  <c r="U91" i="148"/>
  <c r="V91" i="148" s="1"/>
  <c r="T91" i="148"/>
  <c r="O91" i="148"/>
  <c r="V90" i="148"/>
  <c r="U90" i="148"/>
  <c r="T90" i="148"/>
  <c r="O90" i="148"/>
  <c r="T89" i="148"/>
  <c r="O89" i="148"/>
  <c r="O93" i="148" s="1"/>
  <c r="N87" i="148"/>
  <c r="G87" i="148"/>
  <c r="E87" i="148"/>
  <c r="D87" i="148"/>
  <c r="C87" i="148"/>
  <c r="U86" i="148"/>
  <c r="V86" i="148" s="1"/>
  <c r="T86" i="148"/>
  <c r="O86" i="148"/>
  <c r="U85" i="148"/>
  <c r="V85" i="148" s="1"/>
  <c r="T85" i="148"/>
  <c r="O85" i="148"/>
  <c r="U84" i="148"/>
  <c r="V84" i="148" s="1"/>
  <c r="T84" i="148"/>
  <c r="O84" i="148"/>
  <c r="U83" i="148"/>
  <c r="V83" i="148" s="1"/>
  <c r="T83" i="148"/>
  <c r="O83" i="148"/>
  <c r="U82" i="148"/>
  <c r="V82" i="148" s="1"/>
  <c r="T82" i="148"/>
  <c r="O82" i="148"/>
  <c r="U81" i="148"/>
  <c r="V81" i="148" s="1"/>
  <c r="T81" i="148"/>
  <c r="O81" i="148"/>
  <c r="V80" i="148"/>
  <c r="U80" i="148"/>
  <c r="T80" i="148"/>
  <c r="O80" i="148"/>
  <c r="U79" i="148"/>
  <c r="V79" i="148" s="1"/>
  <c r="T79" i="148"/>
  <c r="O79" i="148"/>
  <c r="U78" i="148"/>
  <c r="V78" i="148" s="1"/>
  <c r="T78" i="148"/>
  <c r="O78" i="148"/>
  <c r="U77" i="148"/>
  <c r="V77" i="148" s="1"/>
  <c r="T77" i="148"/>
  <c r="O77" i="148"/>
  <c r="U76" i="148"/>
  <c r="V76" i="148" s="1"/>
  <c r="T76" i="148"/>
  <c r="O76" i="148"/>
  <c r="U75" i="148"/>
  <c r="V75" i="148" s="1"/>
  <c r="T75" i="148"/>
  <c r="O75" i="148"/>
  <c r="U74" i="148"/>
  <c r="V74" i="148" s="1"/>
  <c r="T74" i="148"/>
  <c r="O74" i="148"/>
  <c r="T73" i="148"/>
  <c r="M73" i="148"/>
  <c r="M87" i="148" s="1"/>
  <c r="L73" i="148"/>
  <c r="L87" i="148" s="1"/>
  <c r="K73" i="148"/>
  <c r="K87" i="148" s="1"/>
  <c r="J73" i="148"/>
  <c r="J87" i="148" s="1"/>
  <c r="I73" i="148"/>
  <c r="I87" i="148" s="1"/>
  <c r="H73" i="148"/>
  <c r="H87" i="148" s="1"/>
  <c r="F73" i="148"/>
  <c r="H184" i="148" s="1"/>
  <c r="H193" i="148" s="1"/>
  <c r="N71" i="148"/>
  <c r="M71" i="148"/>
  <c r="L71" i="148"/>
  <c r="K71" i="148"/>
  <c r="J71" i="148"/>
  <c r="I71" i="148"/>
  <c r="H71" i="148"/>
  <c r="G71" i="148"/>
  <c r="O71" i="148" s="1"/>
  <c r="F71" i="148"/>
  <c r="E71" i="148"/>
  <c r="D71" i="148"/>
  <c r="C71" i="148"/>
  <c r="U70" i="148"/>
  <c r="V70" i="148" s="1"/>
  <c r="R70" i="148"/>
  <c r="O70" i="148"/>
  <c r="V69" i="148"/>
  <c r="U69" i="148"/>
  <c r="R69" i="148"/>
  <c r="O69" i="148"/>
  <c r="V68" i="148"/>
  <c r="U68" i="148"/>
  <c r="R68" i="148"/>
  <c r="O68" i="148"/>
  <c r="V67" i="148"/>
  <c r="U67" i="148"/>
  <c r="R67" i="148"/>
  <c r="O67" i="148"/>
  <c r="U66" i="148"/>
  <c r="V66" i="148" s="1"/>
  <c r="R66" i="148"/>
  <c r="O66" i="148"/>
  <c r="U65" i="148"/>
  <c r="V65" i="148" s="1"/>
  <c r="R65" i="148"/>
  <c r="O65" i="148"/>
  <c r="U64" i="148"/>
  <c r="V64" i="148" s="1"/>
  <c r="R64" i="148"/>
  <c r="O64" i="148"/>
  <c r="U63" i="148"/>
  <c r="V63" i="148" s="1"/>
  <c r="N62" i="148"/>
  <c r="M62" i="148"/>
  <c r="L62" i="148"/>
  <c r="K62" i="148"/>
  <c r="J62" i="148"/>
  <c r="I62" i="148"/>
  <c r="H62" i="148"/>
  <c r="G62" i="148"/>
  <c r="F62" i="148"/>
  <c r="E62" i="148"/>
  <c r="D62" i="148"/>
  <c r="C62" i="148"/>
  <c r="U61" i="148"/>
  <c r="V61" i="148" s="1"/>
  <c r="R61" i="148"/>
  <c r="O61" i="148"/>
  <c r="U60" i="148"/>
  <c r="V60" i="148" s="1"/>
  <c r="R60" i="148"/>
  <c r="O60" i="148"/>
  <c r="V59" i="148"/>
  <c r="U59" i="148"/>
  <c r="R59" i="148"/>
  <c r="O59" i="148"/>
  <c r="V58" i="148"/>
  <c r="U58" i="148"/>
  <c r="R58" i="148"/>
  <c r="O58" i="148"/>
  <c r="V57" i="148"/>
  <c r="U57" i="148"/>
  <c r="R57" i="148"/>
  <c r="O57" i="148"/>
  <c r="V56" i="148"/>
  <c r="U56" i="148"/>
  <c r="R56" i="148"/>
  <c r="O56" i="148"/>
  <c r="U55" i="148"/>
  <c r="V55" i="148" s="1"/>
  <c r="R55" i="148"/>
  <c r="O55" i="148"/>
  <c r="U54" i="148"/>
  <c r="V54" i="148" s="1"/>
  <c r="R54" i="148"/>
  <c r="O54" i="148"/>
  <c r="U53" i="148"/>
  <c r="V53" i="148" s="1"/>
  <c r="R53" i="148"/>
  <c r="O53" i="148"/>
  <c r="U52" i="148"/>
  <c r="V52" i="148" s="1"/>
  <c r="R52" i="148"/>
  <c r="O52" i="148"/>
  <c r="V51" i="148"/>
  <c r="U51" i="148"/>
  <c r="R51" i="148"/>
  <c r="O51" i="148"/>
  <c r="V50" i="148"/>
  <c r="U50" i="148"/>
  <c r="R50" i="148"/>
  <c r="O50" i="148"/>
  <c r="V49" i="148"/>
  <c r="U49" i="148"/>
  <c r="R49" i="148"/>
  <c r="O49" i="148"/>
  <c r="V48" i="148"/>
  <c r="U48" i="148"/>
  <c r="R48" i="148"/>
  <c r="O48" i="148"/>
  <c r="U47" i="148"/>
  <c r="V47" i="148" s="1"/>
  <c r="R47" i="148"/>
  <c r="O47" i="148"/>
  <c r="U46" i="148"/>
  <c r="V46" i="148" s="1"/>
  <c r="R46" i="148"/>
  <c r="O46" i="148"/>
  <c r="U45" i="148"/>
  <c r="V45" i="148" s="1"/>
  <c r="R45" i="148"/>
  <c r="O45" i="148"/>
  <c r="U44" i="148"/>
  <c r="V44" i="148" s="1"/>
  <c r="R44" i="148"/>
  <c r="O44" i="148"/>
  <c r="V43" i="148"/>
  <c r="U43" i="148"/>
  <c r="R43" i="148"/>
  <c r="O43" i="148"/>
  <c r="V42" i="148"/>
  <c r="U42" i="148"/>
  <c r="R42" i="148"/>
  <c r="O42" i="148"/>
  <c r="V41" i="148"/>
  <c r="U41" i="148"/>
  <c r="R41" i="148"/>
  <c r="O41" i="148"/>
  <c r="V40" i="148"/>
  <c r="U40" i="148"/>
  <c r="R40" i="148"/>
  <c r="O40" i="148"/>
  <c r="U39" i="148"/>
  <c r="V39" i="148" s="1"/>
  <c r="R39" i="148"/>
  <c r="O39" i="148"/>
  <c r="U38" i="148"/>
  <c r="V38" i="148" s="1"/>
  <c r="R38" i="148"/>
  <c r="O38" i="148"/>
  <c r="U37" i="148"/>
  <c r="V37" i="148" s="1"/>
  <c r="R37" i="148"/>
  <c r="O37" i="148"/>
  <c r="U36" i="148"/>
  <c r="V36" i="148" s="1"/>
  <c r="R36" i="148"/>
  <c r="O36" i="148"/>
  <c r="V35" i="148"/>
  <c r="U35" i="148"/>
  <c r="R35" i="148"/>
  <c r="O35" i="148"/>
  <c r="V34" i="148"/>
  <c r="U34" i="148"/>
  <c r="R34" i="148"/>
  <c r="O34" i="148"/>
  <c r="V33" i="148"/>
  <c r="U33" i="148"/>
  <c r="R33" i="148"/>
  <c r="O33" i="148"/>
  <c r="V32" i="148"/>
  <c r="U32" i="148"/>
  <c r="R32" i="148"/>
  <c r="O32" i="148"/>
  <c r="U31" i="148"/>
  <c r="V31" i="148" s="1"/>
  <c r="R31" i="148"/>
  <c r="O31" i="148"/>
  <c r="U30" i="148"/>
  <c r="V30" i="148" s="1"/>
  <c r="R30" i="148"/>
  <c r="O30" i="148"/>
  <c r="U29" i="148"/>
  <c r="V29" i="148" s="1"/>
  <c r="R29" i="148"/>
  <c r="O29" i="148"/>
  <c r="U28" i="148"/>
  <c r="V28" i="148" s="1"/>
  <c r="R28" i="148"/>
  <c r="O28" i="148"/>
  <c r="V27" i="148"/>
  <c r="U27" i="148"/>
  <c r="R27" i="148"/>
  <c r="O27" i="148"/>
  <c r="V26" i="148"/>
  <c r="U26" i="148"/>
  <c r="R26" i="148"/>
  <c r="O26" i="148"/>
  <c r="V25" i="148"/>
  <c r="U25" i="148"/>
  <c r="N24" i="148"/>
  <c r="M24" i="148"/>
  <c r="L24" i="148"/>
  <c r="K24" i="148"/>
  <c r="J24" i="148"/>
  <c r="I24" i="148"/>
  <c r="H24" i="148"/>
  <c r="G24" i="148"/>
  <c r="F24" i="148"/>
  <c r="E24" i="148"/>
  <c r="D24" i="148"/>
  <c r="C24" i="148"/>
  <c r="U23" i="148"/>
  <c r="V23" i="148" s="1"/>
  <c r="R23" i="148"/>
  <c r="O23" i="148"/>
  <c r="V22" i="148"/>
  <c r="U22" i="148"/>
  <c r="R22" i="148"/>
  <c r="O22" i="148"/>
  <c r="U21" i="148"/>
  <c r="V21" i="148" s="1"/>
  <c r="R21" i="148"/>
  <c r="O21" i="148"/>
  <c r="U20" i="148"/>
  <c r="V20" i="148" s="1"/>
  <c r="R20" i="148"/>
  <c r="O20" i="148"/>
  <c r="U19" i="148"/>
  <c r="V19" i="148" s="1"/>
  <c r="R19" i="148"/>
  <c r="O19" i="148"/>
  <c r="U18" i="148"/>
  <c r="V18" i="148" s="1"/>
  <c r="R18" i="148"/>
  <c r="O18" i="148"/>
  <c r="U17" i="148"/>
  <c r="V17" i="148" s="1"/>
  <c r="R17" i="148"/>
  <c r="O17" i="148"/>
  <c r="U16" i="148"/>
  <c r="V16" i="148" s="1"/>
  <c r="N15" i="148"/>
  <c r="M15" i="148"/>
  <c r="L15" i="148"/>
  <c r="K15" i="148"/>
  <c r="J15" i="148"/>
  <c r="J99" i="148" s="1"/>
  <c r="I15" i="148"/>
  <c r="H15" i="148"/>
  <c r="G15" i="148"/>
  <c r="F15" i="148"/>
  <c r="E15" i="148"/>
  <c r="D15" i="148"/>
  <c r="C15" i="148"/>
  <c r="U14" i="148"/>
  <c r="V14" i="148" s="1"/>
  <c r="R14" i="148"/>
  <c r="O14" i="148"/>
  <c r="V13" i="148"/>
  <c r="U13" i="148"/>
  <c r="R13" i="148"/>
  <c r="O13" i="148"/>
  <c r="U12" i="148"/>
  <c r="V12" i="148" s="1"/>
  <c r="R12" i="148"/>
  <c r="O12" i="148"/>
  <c r="U11" i="148"/>
  <c r="V11" i="148" s="1"/>
  <c r="R11" i="148"/>
  <c r="O11" i="148"/>
  <c r="U10" i="148"/>
  <c r="V10" i="148" s="1"/>
  <c r="R10" i="148"/>
  <c r="O10" i="148"/>
  <c r="U9" i="148"/>
  <c r="V9" i="148" s="1"/>
  <c r="R9" i="148"/>
  <c r="O9" i="148"/>
  <c r="U8" i="148"/>
  <c r="V8" i="148" s="1"/>
  <c r="R8" i="148"/>
  <c r="O8" i="148"/>
  <c r="U7" i="148"/>
  <c r="V7" i="148" s="1"/>
  <c r="R7" i="148"/>
  <c r="O7" i="148"/>
  <c r="U6" i="148"/>
  <c r="V6" i="148" s="1"/>
  <c r="R6" i="148"/>
  <c r="O6" i="148"/>
  <c r="U5" i="148"/>
  <c r="V5" i="148" s="1"/>
  <c r="R5" i="148"/>
  <c r="O5" i="148"/>
  <c r="V4" i="148"/>
  <c r="U4" i="148"/>
  <c r="R4" i="148"/>
  <c r="O4" i="148"/>
  <c r="A3" i="148"/>
  <c r="A4" i="148" s="1"/>
  <c r="A5" i="148" s="1"/>
  <c r="A6" i="148" s="1"/>
  <c r="A7" i="148" s="1"/>
  <c r="A8" i="148" s="1"/>
  <c r="A9" i="148" s="1"/>
  <c r="A10" i="148" s="1"/>
  <c r="A11" i="148" s="1"/>
  <c r="A12" i="148" s="1"/>
  <c r="A13" i="148" s="1"/>
  <c r="A14" i="148" s="1"/>
  <c r="A15" i="148" s="1"/>
  <c r="A16" i="148" s="1"/>
  <c r="A17" i="148" s="1"/>
  <c r="A18" i="148" s="1"/>
  <c r="A19" i="148" s="1"/>
  <c r="A20" i="148" s="1"/>
  <c r="A21" i="148" s="1"/>
  <c r="A22" i="148" s="1"/>
  <c r="A23" i="148" s="1"/>
  <c r="A24" i="148" s="1"/>
  <c r="A25" i="148" s="1"/>
  <c r="A26" i="148" s="1"/>
  <c r="A27" i="148" s="1"/>
  <c r="A28" i="148" s="1"/>
  <c r="A29" i="148" s="1"/>
  <c r="A30" i="148" s="1"/>
  <c r="A31" i="148" s="1"/>
  <c r="A32" i="148" s="1"/>
  <c r="A33" i="148" s="1"/>
  <c r="A34" i="148" s="1"/>
  <c r="A35" i="148" s="1"/>
  <c r="A36" i="148" s="1"/>
  <c r="A37" i="148" s="1"/>
  <c r="A38" i="148" s="1"/>
  <c r="A39" i="148" s="1"/>
  <c r="A40" i="148" s="1"/>
  <c r="A41" i="148" s="1"/>
  <c r="A42" i="148" s="1"/>
  <c r="A43" i="148" s="1"/>
  <c r="A44" i="148" s="1"/>
  <c r="A45" i="148" s="1"/>
  <c r="A46" i="148" s="1"/>
  <c r="A47" i="148" s="1"/>
  <c r="A48" i="148" s="1"/>
  <c r="A49" i="148" s="1"/>
  <c r="A50" i="148" s="1"/>
  <c r="A51" i="148" s="1"/>
  <c r="A52" i="148" s="1"/>
  <c r="A53" i="148" s="1"/>
  <c r="A54" i="148" s="1"/>
  <c r="A55" i="148" s="1"/>
  <c r="A56" i="148" s="1"/>
  <c r="A57" i="148" s="1"/>
  <c r="A58" i="148" s="1"/>
  <c r="A59" i="148" s="1"/>
  <c r="A60" i="148" s="1"/>
  <c r="A61" i="148" s="1"/>
  <c r="A62" i="148" s="1"/>
  <c r="A63" i="148" s="1"/>
  <c r="A64" i="148" s="1"/>
  <c r="A65" i="148" s="1"/>
  <c r="A66" i="148" s="1"/>
  <c r="A67" i="148" s="1"/>
  <c r="A68" i="148" s="1"/>
  <c r="A69" i="148" s="1"/>
  <c r="A70" i="148" s="1"/>
  <c r="A71" i="148" s="1"/>
  <c r="A72" i="148" s="1"/>
  <c r="A73" i="148" s="1"/>
  <c r="A74" i="148" s="1"/>
  <c r="A75" i="148" s="1"/>
  <c r="A76" i="148" s="1"/>
  <c r="A77" i="148" s="1"/>
  <c r="A78" i="148" s="1"/>
  <c r="A79" i="148" s="1"/>
  <c r="A80" i="148" s="1"/>
  <c r="A81" i="148" s="1"/>
  <c r="A82" i="148" s="1"/>
  <c r="A83" i="148" s="1"/>
  <c r="A84" i="148" s="1"/>
  <c r="A85" i="148" s="1"/>
  <c r="A86" i="148" s="1"/>
  <c r="A87" i="148" s="1"/>
  <c r="A88" i="148" s="1"/>
  <c r="A89" i="148" s="1"/>
  <c r="A90" i="148" s="1"/>
  <c r="A91" i="148" s="1"/>
  <c r="A92" i="148" s="1"/>
  <c r="A93" i="148" s="1"/>
  <c r="A94" i="148" s="1"/>
  <c r="A95" i="148" s="1"/>
  <c r="A96" i="148" s="1"/>
  <c r="A97" i="148" s="1"/>
  <c r="A98" i="148" s="1"/>
  <c r="A99" i="148" s="1"/>
  <c r="A100" i="148" s="1"/>
  <c r="A101" i="148" s="1"/>
  <c r="A102" i="148" s="1"/>
  <c r="A103" i="148" s="1"/>
  <c r="A104" i="148" s="1"/>
  <c r="A105" i="148" s="1"/>
  <c r="A106" i="148" s="1"/>
  <c r="A107" i="148" s="1"/>
  <c r="A108" i="148" s="1"/>
  <c r="A109" i="148" s="1"/>
  <c r="A110" i="148" s="1"/>
  <c r="A111" i="148" s="1"/>
  <c r="A112" i="148" s="1"/>
  <c r="A113" i="148" s="1"/>
  <c r="A114" i="148" s="1"/>
  <c r="A115" i="148" s="1"/>
  <c r="A116" i="148" s="1"/>
  <c r="A117" i="148" s="1"/>
  <c r="A118" i="148" s="1"/>
  <c r="A119" i="148" s="1"/>
  <c r="A120" i="148" s="1"/>
  <c r="A121" i="148" s="1"/>
  <c r="A122" i="148" s="1"/>
  <c r="A123" i="148" s="1"/>
  <c r="A124" i="148" s="1"/>
  <c r="A125" i="148" s="1"/>
  <c r="A126" i="148" s="1"/>
  <c r="A127" i="148" s="1"/>
  <c r="A128" i="148" s="1"/>
  <c r="A129" i="148" s="1"/>
  <c r="A130" i="148" s="1"/>
  <c r="A131" i="148" s="1"/>
  <c r="A132" i="148" s="1"/>
  <c r="A133" i="148" s="1"/>
  <c r="A134" i="148" s="1"/>
  <c r="A135" i="148" s="1"/>
  <c r="A136" i="148" s="1"/>
  <c r="A137" i="148" s="1"/>
  <c r="A138" i="148" s="1"/>
  <c r="A139" i="148" s="1"/>
  <c r="A140" i="148" s="1"/>
  <c r="A141" i="148" s="1"/>
  <c r="A142" i="148" s="1"/>
  <c r="A143" i="148" s="1"/>
  <c r="A144" i="148" s="1"/>
  <c r="A145" i="148" s="1"/>
  <c r="A146" i="148" s="1"/>
  <c r="A147" i="148" s="1"/>
  <c r="A148" i="148" s="1"/>
  <c r="A149" i="148" s="1"/>
  <c r="A150" i="148" s="1"/>
  <c r="A151" i="148" s="1"/>
  <c r="A152" i="148" s="1"/>
  <c r="A153" i="148" s="1"/>
  <c r="A154" i="148" s="1"/>
  <c r="A155" i="148" s="1"/>
  <c r="A156" i="148" s="1"/>
  <c r="A157" i="148" s="1"/>
  <c r="A158" i="148" s="1"/>
  <c r="A159" i="148" s="1"/>
  <c r="A160" i="148" s="1"/>
  <c r="A161" i="148" s="1"/>
  <c r="A162" i="148" s="1"/>
  <c r="A163" i="148" s="1"/>
  <c r="A164" i="148" s="1"/>
  <c r="A165" i="148" s="1"/>
  <c r="A166" i="148" s="1"/>
  <c r="A167" i="148" s="1"/>
  <c r="A168" i="148" s="1"/>
  <c r="A169" i="148" s="1"/>
  <c r="A170" i="148" s="1"/>
  <c r="A171" i="148" s="1"/>
  <c r="A172" i="148" s="1"/>
  <c r="A173" i="148" s="1"/>
  <c r="A174" i="148" s="1"/>
  <c r="A175" i="148" s="1"/>
  <c r="A176" i="148" s="1"/>
  <c r="A177" i="148" s="1"/>
  <c r="A178" i="148" s="1"/>
  <c r="A179" i="148" s="1"/>
  <c r="A180" i="148" s="1"/>
  <c r="A181" i="148" s="1"/>
  <c r="A182" i="148" s="1"/>
  <c r="A183" i="148" s="1"/>
  <c r="A184" i="148" s="1"/>
  <c r="A185" i="148" s="1"/>
  <c r="A186" i="148" s="1"/>
  <c r="A187" i="148" s="1"/>
  <c r="A188" i="148" s="1"/>
  <c r="A189" i="148" s="1"/>
  <c r="A190" i="148" s="1"/>
  <c r="A191" i="148" s="1"/>
  <c r="A192" i="148" s="1"/>
  <c r="A193" i="148" s="1"/>
  <c r="A194" i="148" s="1"/>
  <c r="A195" i="148" s="1"/>
  <c r="A196" i="148" s="1"/>
  <c r="A197" i="148" s="1"/>
  <c r="A198" i="148" s="1"/>
  <c r="A199" i="148" s="1"/>
  <c r="A200" i="148" s="1"/>
  <c r="A201" i="148" s="1"/>
  <c r="A202" i="148" s="1"/>
  <c r="A203" i="148" s="1"/>
  <c r="A204" i="148" s="1"/>
  <c r="A205" i="148" s="1"/>
  <c r="A206" i="148" s="1"/>
  <c r="A207" i="148" s="1"/>
  <c r="A208" i="148" s="1"/>
  <c r="A209" i="148" s="1"/>
  <c r="A210" i="148" s="1"/>
  <c r="A211" i="148" s="1"/>
  <c r="A212" i="148" s="1"/>
  <c r="A213" i="148" s="1"/>
  <c r="A214" i="148" s="1"/>
  <c r="A215" i="148" s="1"/>
  <c r="A216" i="148" s="1"/>
  <c r="A217" i="148" s="1"/>
  <c r="N2" i="148"/>
  <c r="K2" i="148"/>
  <c r="J2" i="148"/>
  <c r="I2" i="148"/>
  <c r="H2" i="148"/>
  <c r="G2" i="148"/>
  <c r="F2" i="148"/>
  <c r="E2" i="148"/>
  <c r="D2" i="148"/>
  <c r="C2" i="148"/>
  <c r="R258" i="149"/>
  <c r="O258" i="149"/>
  <c r="O257" i="149"/>
  <c r="R257" i="149" s="1"/>
  <c r="O256" i="149"/>
  <c r="R256" i="149" s="1"/>
  <c r="R255" i="149"/>
  <c r="O255" i="149"/>
  <c r="I243" i="149"/>
  <c r="F243" i="149"/>
  <c r="N242" i="149"/>
  <c r="M242" i="149"/>
  <c r="L242" i="149"/>
  <c r="K242" i="149"/>
  <c r="J242" i="149"/>
  <c r="I242" i="149"/>
  <c r="H242" i="149"/>
  <c r="G242" i="149"/>
  <c r="F242" i="149"/>
  <c r="E242" i="149"/>
  <c r="D242" i="149"/>
  <c r="C242" i="149"/>
  <c r="N241" i="149"/>
  <c r="N243" i="149" s="1"/>
  <c r="M241" i="149"/>
  <c r="L241" i="149"/>
  <c r="K241" i="149"/>
  <c r="K243" i="149" s="1"/>
  <c r="J241" i="149"/>
  <c r="I241" i="149"/>
  <c r="H241" i="149"/>
  <c r="G241" i="149"/>
  <c r="F241" i="149"/>
  <c r="E241" i="149"/>
  <c r="D241" i="149"/>
  <c r="C241" i="149"/>
  <c r="C243" i="149" s="1"/>
  <c r="N237" i="149"/>
  <c r="M237" i="149"/>
  <c r="L237" i="149"/>
  <c r="K237" i="149"/>
  <c r="J237" i="149"/>
  <c r="I237" i="149"/>
  <c r="H237" i="149"/>
  <c r="G237" i="149"/>
  <c r="F237" i="149"/>
  <c r="E237" i="149"/>
  <c r="D237" i="149"/>
  <c r="C237" i="149"/>
  <c r="N236" i="149"/>
  <c r="M236" i="149"/>
  <c r="L236" i="149"/>
  <c r="K236" i="149"/>
  <c r="J236" i="149"/>
  <c r="I236" i="149"/>
  <c r="H236" i="149"/>
  <c r="G236" i="149"/>
  <c r="F236" i="149"/>
  <c r="E236" i="149"/>
  <c r="D236" i="149"/>
  <c r="O236" i="149" s="1"/>
  <c r="C236" i="149"/>
  <c r="N234" i="149"/>
  <c r="M234" i="149"/>
  <c r="L234" i="149"/>
  <c r="K234" i="149"/>
  <c r="J234" i="149"/>
  <c r="I234" i="149"/>
  <c r="H234" i="149"/>
  <c r="G234" i="149"/>
  <c r="F234" i="149"/>
  <c r="E234" i="149"/>
  <c r="D234" i="149"/>
  <c r="C234" i="149"/>
  <c r="N233" i="149"/>
  <c r="M233" i="149"/>
  <c r="L233" i="149"/>
  <c r="K233" i="149"/>
  <c r="J233" i="149"/>
  <c r="I233" i="149"/>
  <c r="H233" i="149"/>
  <c r="G233" i="149"/>
  <c r="F233" i="149"/>
  <c r="E233" i="149"/>
  <c r="D233" i="149"/>
  <c r="C233" i="149"/>
  <c r="N232" i="149"/>
  <c r="M232" i="149"/>
  <c r="L232" i="149"/>
  <c r="K232" i="149"/>
  <c r="J232" i="149"/>
  <c r="I232" i="149"/>
  <c r="H232" i="149"/>
  <c r="G232" i="149"/>
  <c r="F232" i="149"/>
  <c r="E232" i="149"/>
  <c r="D232" i="149"/>
  <c r="C232" i="149"/>
  <c r="D225" i="149"/>
  <c r="N224" i="149"/>
  <c r="M224" i="149"/>
  <c r="L224" i="149"/>
  <c r="K224" i="149"/>
  <c r="J224" i="149"/>
  <c r="I224" i="149"/>
  <c r="H224" i="149"/>
  <c r="G224" i="149"/>
  <c r="F224" i="149"/>
  <c r="E224" i="149"/>
  <c r="D224" i="149"/>
  <c r="C224" i="149"/>
  <c r="N223" i="149"/>
  <c r="M223" i="149"/>
  <c r="L223" i="149"/>
  <c r="K223" i="149"/>
  <c r="J223" i="149"/>
  <c r="J225" i="149" s="1"/>
  <c r="I223" i="149"/>
  <c r="H223" i="149"/>
  <c r="H225" i="149" s="1"/>
  <c r="G223" i="149"/>
  <c r="G225" i="149" s="1"/>
  <c r="F223" i="149"/>
  <c r="E223" i="149"/>
  <c r="D223" i="149"/>
  <c r="C223" i="149"/>
  <c r="M221" i="149"/>
  <c r="N220" i="149"/>
  <c r="M220" i="149"/>
  <c r="L220" i="149"/>
  <c r="K220" i="149"/>
  <c r="J220" i="149"/>
  <c r="I220" i="149"/>
  <c r="H220" i="149"/>
  <c r="G220" i="149"/>
  <c r="F220" i="149"/>
  <c r="E220" i="149"/>
  <c r="D220" i="149"/>
  <c r="C220" i="149"/>
  <c r="N219" i="149"/>
  <c r="M219" i="149"/>
  <c r="L219" i="149"/>
  <c r="L221" i="149" s="1"/>
  <c r="K219" i="149"/>
  <c r="K221" i="149" s="1"/>
  <c r="J219" i="149"/>
  <c r="I219" i="149"/>
  <c r="I221" i="149" s="1"/>
  <c r="H219" i="149"/>
  <c r="G219" i="149"/>
  <c r="F219" i="149"/>
  <c r="E219" i="149"/>
  <c r="D219" i="149"/>
  <c r="D221" i="149" s="1"/>
  <c r="D227" i="149" s="1"/>
  <c r="C219" i="149"/>
  <c r="N215" i="149"/>
  <c r="J215" i="149"/>
  <c r="G215" i="149"/>
  <c r="F215" i="149"/>
  <c r="N214" i="149"/>
  <c r="M214" i="149"/>
  <c r="M215" i="149" s="1"/>
  <c r="L214" i="149"/>
  <c r="L215" i="149" s="1"/>
  <c r="K214" i="149"/>
  <c r="K215" i="149" s="1"/>
  <c r="J214" i="149"/>
  <c r="I214" i="149"/>
  <c r="I215" i="149" s="1"/>
  <c r="H214" i="149"/>
  <c r="H215" i="149" s="1"/>
  <c r="G214" i="149"/>
  <c r="F214" i="149"/>
  <c r="E214" i="149"/>
  <c r="E215" i="149" s="1"/>
  <c r="D214" i="149"/>
  <c r="D215" i="149" s="1"/>
  <c r="C214" i="149"/>
  <c r="C215" i="149" s="1"/>
  <c r="M211" i="149"/>
  <c r="L211" i="149"/>
  <c r="N210" i="149"/>
  <c r="M210" i="149"/>
  <c r="L210" i="149"/>
  <c r="K210" i="149"/>
  <c r="J210" i="149"/>
  <c r="I210" i="149"/>
  <c r="H210" i="149"/>
  <c r="G210" i="149"/>
  <c r="F210" i="149"/>
  <c r="E210" i="149"/>
  <c r="D210" i="149"/>
  <c r="C210" i="149"/>
  <c r="N209" i="149"/>
  <c r="N211" i="149" s="1"/>
  <c r="M209" i="149"/>
  <c r="L209" i="149"/>
  <c r="K209" i="149"/>
  <c r="K211" i="149" s="1"/>
  <c r="J209" i="149"/>
  <c r="J211" i="149" s="1"/>
  <c r="I209" i="149"/>
  <c r="I211" i="149" s="1"/>
  <c r="H209" i="149"/>
  <c r="H211" i="149" s="1"/>
  <c r="G209" i="149"/>
  <c r="F209" i="149"/>
  <c r="F211" i="149" s="1"/>
  <c r="E209" i="149"/>
  <c r="E211" i="149" s="1"/>
  <c r="D209" i="149"/>
  <c r="D211" i="149" s="1"/>
  <c r="C209" i="149"/>
  <c r="C211" i="149" s="1"/>
  <c r="O208" i="149"/>
  <c r="N205" i="149"/>
  <c r="M205" i="149"/>
  <c r="L205" i="149"/>
  <c r="K205" i="149"/>
  <c r="J205" i="149"/>
  <c r="I205" i="149"/>
  <c r="H205" i="149"/>
  <c r="G205" i="149"/>
  <c r="F205" i="149"/>
  <c r="E205" i="149"/>
  <c r="D205" i="149"/>
  <c r="C205" i="149"/>
  <c r="N204" i="149"/>
  <c r="M204" i="149"/>
  <c r="L204" i="149"/>
  <c r="K204" i="149"/>
  <c r="J204" i="149"/>
  <c r="I204" i="149"/>
  <c r="H204" i="149"/>
  <c r="G204" i="149"/>
  <c r="F204" i="149"/>
  <c r="E204" i="149"/>
  <c r="D204" i="149"/>
  <c r="C204" i="149"/>
  <c r="N203" i="149"/>
  <c r="M203" i="149"/>
  <c r="L203" i="149"/>
  <c r="K203" i="149"/>
  <c r="J203" i="149"/>
  <c r="I203" i="149"/>
  <c r="H203" i="149"/>
  <c r="G203" i="149"/>
  <c r="F203" i="149"/>
  <c r="E203" i="149"/>
  <c r="D203" i="149"/>
  <c r="C203" i="149"/>
  <c r="N202" i="149"/>
  <c r="M202" i="149"/>
  <c r="L202" i="149"/>
  <c r="K202" i="149"/>
  <c r="J202" i="149"/>
  <c r="I202" i="149"/>
  <c r="H202" i="149"/>
  <c r="G202" i="149"/>
  <c r="F202" i="149"/>
  <c r="E202" i="149"/>
  <c r="D202" i="149"/>
  <c r="C202" i="149"/>
  <c r="N201" i="149"/>
  <c r="M201" i="149"/>
  <c r="L201" i="149"/>
  <c r="K201" i="149"/>
  <c r="J201" i="149"/>
  <c r="I201" i="149"/>
  <c r="H201" i="149"/>
  <c r="G201" i="149"/>
  <c r="F201" i="149"/>
  <c r="E201" i="149"/>
  <c r="D201" i="149"/>
  <c r="C201" i="149"/>
  <c r="N200" i="149"/>
  <c r="M200" i="149"/>
  <c r="L200" i="149"/>
  <c r="K200" i="149"/>
  <c r="J200" i="149"/>
  <c r="I200" i="149"/>
  <c r="H200" i="149"/>
  <c r="G200" i="149"/>
  <c r="F200" i="149"/>
  <c r="E200" i="149"/>
  <c r="D200" i="149"/>
  <c r="C200" i="149"/>
  <c r="N199" i="149"/>
  <c r="M199" i="149"/>
  <c r="L199" i="149"/>
  <c r="K199" i="149"/>
  <c r="J199" i="149"/>
  <c r="I199" i="149"/>
  <c r="H199" i="149"/>
  <c r="G199" i="149"/>
  <c r="F199" i="149"/>
  <c r="E199" i="149"/>
  <c r="D199" i="149"/>
  <c r="C199" i="149"/>
  <c r="N198" i="149"/>
  <c r="M198" i="149"/>
  <c r="L198" i="149"/>
  <c r="K198" i="149"/>
  <c r="J198" i="149"/>
  <c r="I198" i="149"/>
  <c r="I206" i="149" s="1"/>
  <c r="H198" i="149"/>
  <c r="G198" i="149"/>
  <c r="F198" i="149"/>
  <c r="E198" i="149"/>
  <c r="D198" i="149"/>
  <c r="C198" i="149"/>
  <c r="N197" i="149"/>
  <c r="N206" i="149" s="1"/>
  <c r="M197" i="149"/>
  <c r="L197" i="149"/>
  <c r="K197" i="149"/>
  <c r="J197" i="149"/>
  <c r="I197" i="149"/>
  <c r="H197" i="149"/>
  <c r="G197" i="149"/>
  <c r="G206" i="149" s="1"/>
  <c r="F197" i="149"/>
  <c r="F206" i="149" s="1"/>
  <c r="E197" i="149"/>
  <c r="D197" i="149"/>
  <c r="C197" i="149"/>
  <c r="N194" i="149"/>
  <c r="M194" i="149"/>
  <c r="L194" i="149"/>
  <c r="K194" i="149"/>
  <c r="J194" i="149"/>
  <c r="I194" i="149"/>
  <c r="H194" i="149"/>
  <c r="G194" i="149"/>
  <c r="F194" i="149"/>
  <c r="E194" i="149"/>
  <c r="D194" i="149"/>
  <c r="C194" i="149"/>
  <c r="N193" i="149"/>
  <c r="M193" i="149"/>
  <c r="L193" i="149"/>
  <c r="K193" i="149"/>
  <c r="J193" i="149"/>
  <c r="I193" i="149"/>
  <c r="H193" i="149"/>
  <c r="G193" i="149"/>
  <c r="F193" i="149"/>
  <c r="E193" i="149"/>
  <c r="D193" i="149"/>
  <c r="C193" i="149"/>
  <c r="N192" i="149"/>
  <c r="M192" i="149"/>
  <c r="L192" i="149"/>
  <c r="K192" i="149"/>
  <c r="J192" i="149"/>
  <c r="I192" i="149"/>
  <c r="H192" i="149"/>
  <c r="G192" i="149"/>
  <c r="F192" i="149"/>
  <c r="E192" i="149"/>
  <c r="D192" i="149"/>
  <c r="C192" i="149"/>
  <c r="N191" i="149"/>
  <c r="M191" i="149"/>
  <c r="L191" i="149"/>
  <c r="K191" i="149"/>
  <c r="J191" i="149"/>
  <c r="I191" i="149"/>
  <c r="H191" i="149"/>
  <c r="G191" i="149"/>
  <c r="F191" i="149"/>
  <c r="E191" i="149"/>
  <c r="D191" i="149"/>
  <c r="C191" i="149"/>
  <c r="N190" i="149"/>
  <c r="M190" i="149"/>
  <c r="L190" i="149"/>
  <c r="K190" i="149"/>
  <c r="J190" i="149"/>
  <c r="I190" i="149"/>
  <c r="H190" i="149"/>
  <c r="G190" i="149"/>
  <c r="F190" i="149"/>
  <c r="E190" i="149"/>
  <c r="D190" i="149"/>
  <c r="C190" i="149"/>
  <c r="N189" i="149"/>
  <c r="M189" i="149"/>
  <c r="L189" i="149"/>
  <c r="K189" i="149"/>
  <c r="J189" i="149"/>
  <c r="I189" i="149"/>
  <c r="H189" i="149"/>
  <c r="G189" i="149"/>
  <c r="F189" i="149"/>
  <c r="E189" i="149"/>
  <c r="D189" i="149"/>
  <c r="C189" i="149"/>
  <c r="N188" i="149"/>
  <c r="M188" i="149"/>
  <c r="L188" i="149"/>
  <c r="K188" i="149"/>
  <c r="J188" i="149"/>
  <c r="I188" i="149"/>
  <c r="H188" i="149"/>
  <c r="G188" i="149"/>
  <c r="F188" i="149"/>
  <c r="E188" i="149"/>
  <c r="D188" i="149"/>
  <c r="C188" i="149"/>
  <c r="N185" i="149"/>
  <c r="M185" i="149"/>
  <c r="L185" i="149"/>
  <c r="K185" i="149"/>
  <c r="J185" i="149"/>
  <c r="I185" i="149"/>
  <c r="H185" i="149"/>
  <c r="G185" i="149"/>
  <c r="F185" i="149"/>
  <c r="E185" i="149"/>
  <c r="D185" i="149"/>
  <c r="C185" i="149"/>
  <c r="N184" i="149"/>
  <c r="M184" i="149"/>
  <c r="L184" i="149"/>
  <c r="K184" i="149"/>
  <c r="J184" i="149"/>
  <c r="I184" i="149"/>
  <c r="H184" i="149"/>
  <c r="G184" i="149"/>
  <c r="F184" i="149"/>
  <c r="E184" i="149"/>
  <c r="D184" i="149"/>
  <c r="C184" i="149"/>
  <c r="N183" i="149"/>
  <c r="M183" i="149"/>
  <c r="L183" i="149"/>
  <c r="K183" i="149"/>
  <c r="J183" i="149"/>
  <c r="I183" i="149"/>
  <c r="H183" i="149"/>
  <c r="G183" i="149"/>
  <c r="F183" i="149"/>
  <c r="E183" i="149"/>
  <c r="D183" i="149"/>
  <c r="C183" i="149"/>
  <c r="N182" i="149"/>
  <c r="M182" i="149"/>
  <c r="L182" i="149"/>
  <c r="K182" i="149"/>
  <c r="J182" i="149"/>
  <c r="I182" i="149"/>
  <c r="H182" i="149"/>
  <c r="G182" i="149"/>
  <c r="F182" i="149"/>
  <c r="E182" i="149"/>
  <c r="D182" i="149"/>
  <c r="C182" i="149"/>
  <c r="N181" i="149"/>
  <c r="M181" i="149"/>
  <c r="L181" i="149"/>
  <c r="K181" i="149"/>
  <c r="J181" i="149"/>
  <c r="I181" i="149"/>
  <c r="H181" i="149"/>
  <c r="G181" i="149"/>
  <c r="F181" i="149"/>
  <c r="E181" i="149"/>
  <c r="D181" i="149"/>
  <c r="C181" i="149"/>
  <c r="N180" i="149"/>
  <c r="M180" i="149"/>
  <c r="L180" i="149"/>
  <c r="K180" i="149"/>
  <c r="J180" i="149"/>
  <c r="I180" i="149"/>
  <c r="H180" i="149"/>
  <c r="G180" i="149"/>
  <c r="F180" i="149"/>
  <c r="E180" i="149"/>
  <c r="D180" i="149"/>
  <c r="C180" i="149"/>
  <c r="N179" i="149"/>
  <c r="M179" i="149"/>
  <c r="L179" i="149"/>
  <c r="K179" i="149"/>
  <c r="J179" i="149"/>
  <c r="I179" i="149"/>
  <c r="H179" i="149"/>
  <c r="G179" i="149"/>
  <c r="F179" i="149"/>
  <c r="E179" i="149"/>
  <c r="D179" i="149"/>
  <c r="C179" i="149"/>
  <c r="N178" i="149"/>
  <c r="M178" i="149"/>
  <c r="L178" i="149"/>
  <c r="K178" i="149"/>
  <c r="J178" i="149"/>
  <c r="I178" i="149"/>
  <c r="H178" i="149"/>
  <c r="G178" i="149"/>
  <c r="F178" i="149"/>
  <c r="E178" i="149"/>
  <c r="D178" i="149"/>
  <c r="C178" i="149"/>
  <c r="N177" i="149"/>
  <c r="M177" i="149"/>
  <c r="L177" i="149"/>
  <c r="K177" i="149"/>
  <c r="J177" i="149"/>
  <c r="I177" i="149"/>
  <c r="H177" i="149"/>
  <c r="G177" i="149"/>
  <c r="F177" i="149"/>
  <c r="E177" i="149"/>
  <c r="D177" i="149"/>
  <c r="C177" i="149"/>
  <c r="N176" i="149"/>
  <c r="M176" i="149"/>
  <c r="L176" i="149"/>
  <c r="K176" i="149"/>
  <c r="J176" i="149"/>
  <c r="I176" i="149"/>
  <c r="H176" i="149"/>
  <c r="G176" i="149"/>
  <c r="F176" i="149"/>
  <c r="E176" i="149"/>
  <c r="D176" i="149"/>
  <c r="C176" i="149"/>
  <c r="N175" i="149"/>
  <c r="M175" i="149"/>
  <c r="L175" i="149"/>
  <c r="K175" i="149"/>
  <c r="J175" i="149"/>
  <c r="I175" i="149"/>
  <c r="H175" i="149"/>
  <c r="G175" i="149"/>
  <c r="F175" i="149"/>
  <c r="E175" i="149"/>
  <c r="D175" i="149"/>
  <c r="C175" i="149"/>
  <c r="N174" i="149"/>
  <c r="M174" i="149"/>
  <c r="L174" i="149"/>
  <c r="K174" i="149"/>
  <c r="J174" i="149"/>
  <c r="I174" i="149"/>
  <c r="H174" i="149"/>
  <c r="G174" i="149"/>
  <c r="F174" i="149"/>
  <c r="E174" i="149"/>
  <c r="D174" i="149"/>
  <c r="C174" i="149"/>
  <c r="N173" i="149"/>
  <c r="M173" i="149"/>
  <c r="L173" i="149"/>
  <c r="K173" i="149"/>
  <c r="J173" i="149"/>
  <c r="I173" i="149"/>
  <c r="H173" i="149"/>
  <c r="G173" i="149"/>
  <c r="F173" i="149"/>
  <c r="E173" i="149"/>
  <c r="D173" i="149"/>
  <c r="C173" i="149"/>
  <c r="N172" i="149"/>
  <c r="M172" i="149"/>
  <c r="L172" i="149"/>
  <c r="K172" i="149"/>
  <c r="J172" i="149"/>
  <c r="I172" i="149"/>
  <c r="H172" i="149"/>
  <c r="G172" i="149"/>
  <c r="F172" i="149"/>
  <c r="E172" i="149"/>
  <c r="D172" i="149"/>
  <c r="C172" i="149"/>
  <c r="N171" i="149"/>
  <c r="M171" i="149"/>
  <c r="L171" i="149"/>
  <c r="K171" i="149"/>
  <c r="J171" i="149"/>
  <c r="I171" i="149"/>
  <c r="H171" i="149"/>
  <c r="G171" i="149"/>
  <c r="F171" i="149"/>
  <c r="E171" i="149"/>
  <c r="D171" i="149"/>
  <c r="C171" i="149"/>
  <c r="N170" i="149"/>
  <c r="M170" i="149"/>
  <c r="L170" i="149"/>
  <c r="K170" i="149"/>
  <c r="J170" i="149"/>
  <c r="I170" i="149"/>
  <c r="H170" i="149"/>
  <c r="G170" i="149"/>
  <c r="F170" i="149"/>
  <c r="E170" i="149"/>
  <c r="D170" i="149"/>
  <c r="C170" i="149"/>
  <c r="N169" i="149"/>
  <c r="M169" i="149"/>
  <c r="L169" i="149"/>
  <c r="K169" i="149"/>
  <c r="J169" i="149"/>
  <c r="I169" i="149"/>
  <c r="H169" i="149"/>
  <c r="G169" i="149"/>
  <c r="F169" i="149"/>
  <c r="E169" i="149"/>
  <c r="D169" i="149"/>
  <c r="C169" i="149"/>
  <c r="N168" i="149"/>
  <c r="M168" i="149"/>
  <c r="L168" i="149"/>
  <c r="K168" i="149"/>
  <c r="J168" i="149"/>
  <c r="I168" i="149"/>
  <c r="H168" i="149"/>
  <c r="G168" i="149"/>
  <c r="F168" i="149"/>
  <c r="E168" i="149"/>
  <c r="D168" i="149"/>
  <c r="C168" i="149"/>
  <c r="N167" i="149"/>
  <c r="M167" i="149"/>
  <c r="L167" i="149"/>
  <c r="K167" i="149"/>
  <c r="J167" i="149"/>
  <c r="I167" i="149"/>
  <c r="H167" i="149"/>
  <c r="G167" i="149"/>
  <c r="F167" i="149"/>
  <c r="E167" i="149"/>
  <c r="D167" i="149"/>
  <c r="C167" i="149"/>
  <c r="N166" i="149"/>
  <c r="M166" i="149"/>
  <c r="L166" i="149"/>
  <c r="K166" i="149"/>
  <c r="J166" i="149"/>
  <c r="I166" i="149"/>
  <c r="H166" i="149"/>
  <c r="G166" i="149"/>
  <c r="F166" i="149"/>
  <c r="E166" i="149"/>
  <c r="D166" i="149"/>
  <c r="C166" i="149"/>
  <c r="N165" i="149"/>
  <c r="M165" i="149"/>
  <c r="L165" i="149"/>
  <c r="K165" i="149"/>
  <c r="J165" i="149"/>
  <c r="I165" i="149"/>
  <c r="H165" i="149"/>
  <c r="G165" i="149"/>
  <c r="F165" i="149"/>
  <c r="E165" i="149"/>
  <c r="D165" i="149"/>
  <c r="C165" i="149"/>
  <c r="N164" i="149"/>
  <c r="M164" i="149"/>
  <c r="L164" i="149"/>
  <c r="K164" i="149"/>
  <c r="J164" i="149"/>
  <c r="I164" i="149"/>
  <c r="H164" i="149"/>
  <c r="G164" i="149"/>
  <c r="F164" i="149"/>
  <c r="E164" i="149"/>
  <c r="D164" i="149"/>
  <c r="C164" i="149"/>
  <c r="N163" i="149"/>
  <c r="M163" i="149"/>
  <c r="L163" i="149"/>
  <c r="K163" i="149"/>
  <c r="J163" i="149"/>
  <c r="I163" i="149"/>
  <c r="H163" i="149"/>
  <c r="G163" i="149"/>
  <c r="F163" i="149"/>
  <c r="E163" i="149"/>
  <c r="D163" i="149"/>
  <c r="C163" i="149"/>
  <c r="N162" i="149"/>
  <c r="M162" i="149"/>
  <c r="L162" i="149"/>
  <c r="K162" i="149"/>
  <c r="J162" i="149"/>
  <c r="I162" i="149"/>
  <c r="H162" i="149"/>
  <c r="G162" i="149"/>
  <c r="F162" i="149"/>
  <c r="E162" i="149"/>
  <c r="D162" i="149"/>
  <c r="C162" i="149"/>
  <c r="N161" i="149"/>
  <c r="M161" i="149"/>
  <c r="L161" i="149"/>
  <c r="K161" i="149"/>
  <c r="J161" i="149"/>
  <c r="I161" i="149"/>
  <c r="H161" i="149"/>
  <c r="G161" i="149"/>
  <c r="F161" i="149"/>
  <c r="E161" i="149"/>
  <c r="D161" i="149"/>
  <c r="C161" i="149"/>
  <c r="N160" i="149"/>
  <c r="M160" i="149"/>
  <c r="L160" i="149"/>
  <c r="K160" i="149"/>
  <c r="J160" i="149"/>
  <c r="I160" i="149"/>
  <c r="H160" i="149"/>
  <c r="G160" i="149"/>
  <c r="F160" i="149"/>
  <c r="E160" i="149"/>
  <c r="D160" i="149"/>
  <c r="C160" i="149"/>
  <c r="N159" i="149"/>
  <c r="M159" i="149"/>
  <c r="L159" i="149"/>
  <c r="K159" i="149"/>
  <c r="J159" i="149"/>
  <c r="I159" i="149"/>
  <c r="H159" i="149"/>
  <c r="G159" i="149"/>
  <c r="F159" i="149"/>
  <c r="E159" i="149"/>
  <c r="D159" i="149"/>
  <c r="C159" i="149"/>
  <c r="N158" i="149"/>
  <c r="M158" i="149"/>
  <c r="L158" i="149"/>
  <c r="K158" i="149"/>
  <c r="J158" i="149"/>
  <c r="I158" i="149"/>
  <c r="H158" i="149"/>
  <c r="G158" i="149"/>
  <c r="F158" i="149"/>
  <c r="E158" i="149"/>
  <c r="D158" i="149"/>
  <c r="C158" i="149"/>
  <c r="N157" i="149"/>
  <c r="M157" i="149"/>
  <c r="L157" i="149"/>
  <c r="K157" i="149"/>
  <c r="J157" i="149"/>
  <c r="I157" i="149"/>
  <c r="H157" i="149"/>
  <c r="G157" i="149"/>
  <c r="F157" i="149"/>
  <c r="E157" i="149"/>
  <c r="D157" i="149"/>
  <c r="C157" i="149"/>
  <c r="N156" i="149"/>
  <c r="M156" i="149"/>
  <c r="L156" i="149"/>
  <c r="K156" i="149"/>
  <c r="J156" i="149"/>
  <c r="I156" i="149"/>
  <c r="H156" i="149"/>
  <c r="G156" i="149"/>
  <c r="F156" i="149"/>
  <c r="E156" i="149"/>
  <c r="D156" i="149"/>
  <c r="C156" i="149"/>
  <c r="N155" i="149"/>
  <c r="M155" i="149"/>
  <c r="L155" i="149"/>
  <c r="K155" i="149"/>
  <c r="J155" i="149"/>
  <c r="I155" i="149"/>
  <c r="H155" i="149"/>
  <c r="G155" i="149"/>
  <c r="F155" i="149"/>
  <c r="E155" i="149"/>
  <c r="D155" i="149"/>
  <c r="C155" i="149"/>
  <c r="N154" i="149"/>
  <c r="M154" i="149"/>
  <c r="L154" i="149"/>
  <c r="K154" i="149"/>
  <c r="J154" i="149"/>
  <c r="I154" i="149"/>
  <c r="H154" i="149"/>
  <c r="G154" i="149"/>
  <c r="F154" i="149"/>
  <c r="E154" i="149"/>
  <c r="D154" i="149"/>
  <c r="C154" i="149"/>
  <c r="N153" i="149"/>
  <c r="M153" i="149"/>
  <c r="L153" i="149"/>
  <c r="K153" i="149"/>
  <c r="J153" i="149"/>
  <c r="I153" i="149"/>
  <c r="H153" i="149"/>
  <c r="G153" i="149"/>
  <c r="F153" i="149"/>
  <c r="E153" i="149"/>
  <c r="D153" i="149"/>
  <c r="C153" i="149"/>
  <c r="N152" i="149"/>
  <c r="M152" i="149"/>
  <c r="L152" i="149"/>
  <c r="K152" i="149"/>
  <c r="J152" i="149"/>
  <c r="I152" i="149"/>
  <c r="H152" i="149"/>
  <c r="G152" i="149"/>
  <c r="F152" i="149"/>
  <c r="E152" i="149"/>
  <c r="D152" i="149"/>
  <c r="C152" i="149"/>
  <c r="N151" i="149"/>
  <c r="M151" i="149"/>
  <c r="L151" i="149"/>
  <c r="K151" i="149"/>
  <c r="J151" i="149"/>
  <c r="I151" i="149"/>
  <c r="H151" i="149"/>
  <c r="G151" i="149"/>
  <c r="F151" i="149"/>
  <c r="E151" i="149"/>
  <c r="D151" i="149"/>
  <c r="C151" i="149"/>
  <c r="N150" i="149"/>
  <c r="M150" i="149"/>
  <c r="L150" i="149"/>
  <c r="K150" i="149"/>
  <c r="K186" i="149" s="1"/>
  <c r="J150" i="149"/>
  <c r="I150" i="149"/>
  <c r="H150" i="149"/>
  <c r="G150" i="149"/>
  <c r="F150" i="149"/>
  <c r="E150" i="149"/>
  <c r="D150" i="149"/>
  <c r="C150" i="149"/>
  <c r="C186" i="149" s="1"/>
  <c r="N147" i="149"/>
  <c r="M147" i="149"/>
  <c r="L147" i="149"/>
  <c r="K147" i="149"/>
  <c r="J147" i="149"/>
  <c r="I147" i="149"/>
  <c r="H147" i="149"/>
  <c r="G147" i="149"/>
  <c r="F147" i="149"/>
  <c r="E147" i="149"/>
  <c r="D147" i="149"/>
  <c r="C147" i="149"/>
  <c r="N146" i="149"/>
  <c r="M146" i="149"/>
  <c r="L146" i="149"/>
  <c r="K146" i="149"/>
  <c r="J146" i="149"/>
  <c r="I146" i="149"/>
  <c r="H146" i="149"/>
  <c r="G146" i="149"/>
  <c r="F146" i="149"/>
  <c r="E146" i="149"/>
  <c r="D146" i="149"/>
  <c r="C146" i="149"/>
  <c r="N145" i="149"/>
  <c r="M145" i="149"/>
  <c r="L145" i="149"/>
  <c r="K145" i="149"/>
  <c r="J145" i="149"/>
  <c r="I145" i="149"/>
  <c r="H145" i="149"/>
  <c r="G145" i="149"/>
  <c r="F145" i="149"/>
  <c r="E145" i="149"/>
  <c r="D145" i="149"/>
  <c r="C145" i="149"/>
  <c r="N144" i="149"/>
  <c r="M144" i="149"/>
  <c r="L144" i="149"/>
  <c r="K144" i="149"/>
  <c r="J144" i="149"/>
  <c r="I144" i="149"/>
  <c r="H144" i="149"/>
  <c r="G144" i="149"/>
  <c r="F144" i="149"/>
  <c r="E144" i="149"/>
  <c r="D144" i="149"/>
  <c r="C144" i="149"/>
  <c r="N143" i="149"/>
  <c r="M143" i="149"/>
  <c r="L143" i="149"/>
  <c r="K143" i="149"/>
  <c r="J143" i="149"/>
  <c r="I143" i="149"/>
  <c r="H143" i="149"/>
  <c r="G143" i="149"/>
  <c r="F143" i="149"/>
  <c r="E143" i="149"/>
  <c r="D143" i="149"/>
  <c r="C143" i="149"/>
  <c r="N142" i="149"/>
  <c r="M142" i="149"/>
  <c r="L142" i="149"/>
  <c r="K142" i="149"/>
  <c r="J142" i="149"/>
  <c r="I142" i="149"/>
  <c r="H142" i="149"/>
  <c r="G142" i="149"/>
  <c r="F142" i="149"/>
  <c r="E142" i="149"/>
  <c r="D142" i="149"/>
  <c r="C142" i="149"/>
  <c r="N141" i="149"/>
  <c r="M141" i="149"/>
  <c r="L141" i="149"/>
  <c r="K141" i="149"/>
  <c r="J141" i="149"/>
  <c r="I141" i="149"/>
  <c r="H141" i="149"/>
  <c r="G141" i="149"/>
  <c r="G148" i="149" s="1"/>
  <c r="F141" i="149"/>
  <c r="E141" i="149"/>
  <c r="D141" i="149"/>
  <c r="C141" i="149"/>
  <c r="N138" i="149"/>
  <c r="M138" i="149"/>
  <c r="L138" i="149"/>
  <c r="K138" i="149"/>
  <c r="J138" i="149"/>
  <c r="I138" i="149"/>
  <c r="H138" i="149"/>
  <c r="G138" i="149"/>
  <c r="F138" i="149"/>
  <c r="E138" i="149"/>
  <c r="D138" i="149"/>
  <c r="C138" i="149"/>
  <c r="O138" i="149" s="1"/>
  <c r="N137" i="149"/>
  <c r="M137" i="149"/>
  <c r="L137" i="149"/>
  <c r="K137" i="149"/>
  <c r="J137" i="149"/>
  <c r="I137" i="149"/>
  <c r="H137" i="149"/>
  <c r="G137" i="149"/>
  <c r="F137" i="149"/>
  <c r="E137" i="149"/>
  <c r="D137" i="149"/>
  <c r="C137" i="149"/>
  <c r="N136" i="149"/>
  <c r="M136" i="149"/>
  <c r="L136" i="149"/>
  <c r="K136" i="149"/>
  <c r="J136" i="149"/>
  <c r="I136" i="149"/>
  <c r="H136" i="149"/>
  <c r="G136" i="149"/>
  <c r="F136" i="149"/>
  <c r="E136" i="149"/>
  <c r="D136" i="149"/>
  <c r="C136" i="149"/>
  <c r="O136" i="149" s="1"/>
  <c r="N135" i="149"/>
  <c r="M135" i="149"/>
  <c r="L135" i="149"/>
  <c r="K135" i="149"/>
  <c r="J135" i="149"/>
  <c r="I135" i="149"/>
  <c r="H135" i="149"/>
  <c r="G135" i="149"/>
  <c r="O135" i="149" s="1"/>
  <c r="F135" i="149"/>
  <c r="E135" i="149"/>
  <c r="D135" i="149"/>
  <c r="C135" i="149"/>
  <c r="N134" i="149"/>
  <c r="M134" i="149"/>
  <c r="L134" i="149"/>
  <c r="K134" i="149"/>
  <c r="J134" i="149"/>
  <c r="I134" i="149"/>
  <c r="H134" i="149"/>
  <c r="G134" i="149"/>
  <c r="F134" i="149"/>
  <c r="E134" i="149"/>
  <c r="D134" i="149"/>
  <c r="C134" i="149"/>
  <c r="N133" i="149"/>
  <c r="M133" i="149"/>
  <c r="L133" i="149"/>
  <c r="K133" i="149"/>
  <c r="J133" i="149"/>
  <c r="I133" i="149"/>
  <c r="H133" i="149"/>
  <c r="G133" i="149"/>
  <c r="F133" i="149"/>
  <c r="E133" i="149"/>
  <c r="D133" i="149"/>
  <c r="C133" i="149"/>
  <c r="N132" i="149"/>
  <c r="M132" i="149"/>
  <c r="L132" i="149"/>
  <c r="K132" i="149"/>
  <c r="J132" i="149"/>
  <c r="I132" i="149"/>
  <c r="H132" i="149"/>
  <c r="G132" i="149"/>
  <c r="F132" i="149"/>
  <c r="E132" i="149"/>
  <c r="D132" i="149"/>
  <c r="C132" i="149"/>
  <c r="N131" i="149"/>
  <c r="M131" i="149"/>
  <c r="L131" i="149"/>
  <c r="K131" i="149"/>
  <c r="J131" i="149"/>
  <c r="I131" i="149"/>
  <c r="H131" i="149"/>
  <c r="G131" i="149"/>
  <c r="F131" i="149"/>
  <c r="E131" i="149"/>
  <c r="D131" i="149"/>
  <c r="C131" i="149"/>
  <c r="N130" i="149"/>
  <c r="M130" i="149"/>
  <c r="L130" i="149"/>
  <c r="K130" i="149"/>
  <c r="J130" i="149"/>
  <c r="I130" i="149"/>
  <c r="H130" i="149"/>
  <c r="G130" i="149"/>
  <c r="F130" i="149"/>
  <c r="E130" i="149"/>
  <c r="D130" i="149"/>
  <c r="C130" i="149"/>
  <c r="N129" i="149"/>
  <c r="M129" i="149"/>
  <c r="L129" i="149"/>
  <c r="K129" i="149"/>
  <c r="J129" i="149"/>
  <c r="I129" i="149"/>
  <c r="H129" i="149"/>
  <c r="G129" i="149"/>
  <c r="F129" i="149"/>
  <c r="E129" i="149"/>
  <c r="D129" i="149"/>
  <c r="C129" i="149"/>
  <c r="N128" i="149"/>
  <c r="M128" i="149"/>
  <c r="L128" i="149"/>
  <c r="K128" i="149"/>
  <c r="J128" i="149"/>
  <c r="I128" i="149"/>
  <c r="H128" i="149"/>
  <c r="G128" i="149"/>
  <c r="F128" i="149"/>
  <c r="E128" i="149"/>
  <c r="D128" i="149"/>
  <c r="C128" i="149"/>
  <c r="N124" i="149"/>
  <c r="M124" i="149"/>
  <c r="L124" i="149"/>
  <c r="K124" i="149"/>
  <c r="J124" i="149"/>
  <c r="I124" i="149"/>
  <c r="H124" i="149"/>
  <c r="G124" i="149"/>
  <c r="F124" i="149"/>
  <c r="E124" i="149"/>
  <c r="D124" i="149"/>
  <c r="C124" i="149"/>
  <c r="R123" i="149"/>
  <c r="O123" i="149"/>
  <c r="R122" i="149"/>
  <c r="O122" i="149"/>
  <c r="N119" i="149"/>
  <c r="M119" i="149"/>
  <c r="L119" i="149"/>
  <c r="K119" i="149"/>
  <c r="J119" i="149"/>
  <c r="I119" i="149"/>
  <c r="G119" i="149"/>
  <c r="F119" i="149"/>
  <c r="E119" i="149"/>
  <c r="R118" i="149"/>
  <c r="O118" i="149"/>
  <c r="R117" i="149"/>
  <c r="O117" i="149"/>
  <c r="H116" i="149"/>
  <c r="H119" i="149" s="1"/>
  <c r="D116" i="149"/>
  <c r="D119" i="149" s="1"/>
  <c r="C116" i="149"/>
  <c r="C119" i="149" s="1"/>
  <c r="R115" i="149"/>
  <c r="O115" i="149"/>
  <c r="R114" i="149"/>
  <c r="O114" i="149"/>
  <c r="R113" i="149"/>
  <c r="O113" i="149"/>
  <c r="R107" i="149"/>
  <c r="O107" i="149"/>
  <c r="R106" i="149"/>
  <c r="O106" i="149"/>
  <c r="N108" i="149"/>
  <c r="N110" i="149" s="1"/>
  <c r="M108" i="149"/>
  <c r="M110" i="149" s="1"/>
  <c r="L108" i="149"/>
  <c r="K108" i="149"/>
  <c r="J108" i="149"/>
  <c r="I108" i="149"/>
  <c r="H108" i="149"/>
  <c r="G108" i="149"/>
  <c r="F108" i="149"/>
  <c r="E108" i="149"/>
  <c r="E110" i="149" s="1"/>
  <c r="D108" i="149"/>
  <c r="N103" i="149"/>
  <c r="M103" i="149"/>
  <c r="L103" i="149"/>
  <c r="K103" i="149"/>
  <c r="J103" i="149"/>
  <c r="I103" i="149"/>
  <c r="H103" i="149"/>
  <c r="H110" i="149" s="1"/>
  <c r="G103" i="149"/>
  <c r="F103" i="149"/>
  <c r="E103" i="149"/>
  <c r="D103" i="149"/>
  <c r="C103" i="149"/>
  <c r="R102" i="149"/>
  <c r="O102" i="149"/>
  <c r="R101" i="149"/>
  <c r="O101" i="149"/>
  <c r="N97" i="149"/>
  <c r="M97" i="149"/>
  <c r="L97" i="149"/>
  <c r="K97" i="149"/>
  <c r="J97" i="149"/>
  <c r="I97" i="149"/>
  <c r="I99" i="149" s="1"/>
  <c r="H97" i="149"/>
  <c r="G97" i="149"/>
  <c r="F97" i="149"/>
  <c r="E97" i="149"/>
  <c r="D97" i="149"/>
  <c r="C97" i="149"/>
  <c r="R96" i="149"/>
  <c r="O96" i="149"/>
  <c r="N93" i="149"/>
  <c r="M93" i="149"/>
  <c r="L93" i="149"/>
  <c r="K93" i="149"/>
  <c r="J93" i="149"/>
  <c r="I93" i="149"/>
  <c r="H93" i="149"/>
  <c r="G93" i="149"/>
  <c r="F93" i="149"/>
  <c r="E93" i="149"/>
  <c r="D93" i="149"/>
  <c r="C93" i="149"/>
  <c r="R92" i="149"/>
  <c r="O92" i="149"/>
  <c r="R91" i="149"/>
  <c r="O91" i="149"/>
  <c r="O93" i="149" s="1"/>
  <c r="R90" i="149"/>
  <c r="O90" i="149"/>
  <c r="R89" i="149"/>
  <c r="N87" i="149"/>
  <c r="M87" i="149"/>
  <c r="L87" i="149"/>
  <c r="K87" i="149"/>
  <c r="J87" i="149"/>
  <c r="I87" i="149"/>
  <c r="H87" i="149"/>
  <c r="G87" i="149"/>
  <c r="F87" i="149"/>
  <c r="E87" i="149"/>
  <c r="D87" i="149"/>
  <c r="C87" i="149"/>
  <c r="R86" i="149"/>
  <c r="O86" i="149"/>
  <c r="R85" i="149"/>
  <c r="O85" i="149"/>
  <c r="R84" i="149"/>
  <c r="O84" i="149"/>
  <c r="R83" i="149"/>
  <c r="O83" i="149"/>
  <c r="R82" i="149"/>
  <c r="O82" i="149"/>
  <c r="R81" i="149"/>
  <c r="O81" i="149"/>
  <c r="R80" i="149"/>
  <c r="O80" i="149"/>
  <c r="R79" i="149"/>
  <c r="O79" i="149"/>
  <c r="R78" i="149"/>
  <c r="O78" i="149"/>
  <c r="O202" i="149" s="1"/>
  <c r="R77" i="149"/>
  <c r="O77" i="149"/>
  <c r="R76" i="149"/>
  <c r="O76" i="149"/>
  <c r="R75" i="149"/>
  <c r="O75" i="149"/>
  <c r="R74" i="149"/>
  <c r="O74" i="149"/>
  <c r="R73" i="149"/>
  <c r="O73" i="149"/>
  <c r="N71" i="149"/>
  <c r="M71" i="149"/>
  <c r="L71" i="149"/>
  <c r="K71" i="149"/>
  <c r="J71" i="149"/>
  <c r="I71" i="149"/>
  <c r="H71" i="149"/>
  <c r="G71" i="149"/>
  <c r="F71" i="149"/>
  <c r="E71" i="149"/>
  <c r="D71" i="149"/>
  <c r="C71" i="149"/>
  <c r="S70" i="149"/>
  <c r="R70" i="149"/>
  <c r="O70" i="149"/>
  <c r="S69" i="149"/>
  <c r="R69" i="149"/>
  <c r="O69" i="149"/>
  <c r="S68" i="149"/>
  <c r="R68" i="149"/>
  <c r="O68" i="149"/>
  <c r="S67" i="149"/>
  <c r="R67" i="149"/>
  <c r="O67" i="149"/>
  <c r="S66" i="149"/>
  <c r="R66" i="149"/>
  <c r="O66" i="149"/>
  <c r="S65" i="149"/>
  <c r="R65" i="149"/>
  <c r="O65" i="149"/>
  <c r="S64" i="149"/>
  <c r="R64" i="149"/>
  <c r="O64" i="149"/>
  <c r="N62" i="149"/>
  <c r="M62" i="149"/>
  <c r="L62" i="149"/>
  <c r="K62" i="149"/>
  <c r="J62" i="149"/>
  <c r="I62" i="149"/>
  <c r="H62" i="149"/>
  <c r="G62" i="149"/>
  <c r="F62" i="149"/>
  <c r="E62" i="149"/>
  <c r="D62" i="149"/>
  <c r="C62" i="149"/>
  <c r="O62" i="149" s="1"/>
  <c r="S61" i="149"/>
  <c r="R61" i="149"/>
  <c r="O61" i="149"/>
  <c r="S60" i="149"/>
  <c r="R60" i="149"/>
  <c r="O60" i="149"/>
  <c r="S59" i="149"/>
  <c r="R59" i="149"/>
  <c r="O59" i="149"/>
  <c r="S58" i="149"/>
  <c r="R58" i="149"/>
  <c r="O58" i="149"/>
  <c r="S57" i="149"/>
  <c r="R57" i="149"/>
  <c r="O57" i="149"/>
  <c r="S56" i="149"/>
  <c r="R56" i="149"/>
  <c r="O56" i="149"/>
  <c r="S55" i="149"/>
  <c r="R55" i="149"/>
  <c r="O55" i="149"/>
  <c r="S54" i="149"/>
  <c r="R54" i="149"/>
  <c r="O54" i="149"/>
  <c r="S53" i="149"/>
  <c r="R53" i="149"/>
  <c r="O53" i="149"/>
  <c r="S52" i="149"/>
  <c r="R52" i="149"/>
  <c r="O52" i="149"/>
  <c r="S51" i="149"/>
  <c r="R51" i="149"/>
  <c r="O51" i="149"/>
  <c r="S50" i="149"/>
  <c r="R50" i="149"/>
  <c r="O50" i="149"/>
  <c r="S49" i="149"/>
  <c r="R49" i="149"/>
  <c r="O49" i="149"/>
  <c r="S48" i="149"/>
  <c r="R48" i="149"/>
  <c r="O48" i="149"/>
  <c r="S47" i="149"/>
  <c r="R47" i="149"/>
  <c r="O47" i="149"/>
  <c r="S46" i="149"/>
  <c r="R46" i="149"/>
  <c r="O46" i="149"/>
  <c r="S45" i="149"/>
  <c r="R45" i="149"/>
  <c r="O45" i="149"/>
  <c r="S44" i="149"/>
  <c r="R44" i="149"/>
  <c r="O44" i="149"/>
  <c r="S43" i="149"/>
  <c r="R43" i="149"/>
  <c r="O43" i="149"/>
  <c r="S42" i="149"/>
  <c r="R42" i="149"/>
  <c r="O42" i="149"/>
  <c r="S41" i="149"/>
  <c r="R41" i="149"/>
  <c r="O41" i="149"/>
  <c r="S40" i="149"/>
  <c r="R40" i="149"/>
  <c r="O40" i="149"/>
  <c r="S39" i="149"/>
  <c r="R39" i="149"/>
  <c r="O39" i="149"/>
  <c r="S38" i="149"/>
  <c r="R38" i="149"/>
  <c r="O38" i="149"/>
  <c r="S37" i="149"/>
  <c r="R37" i="149"/>
  <c r="O37" i="149"/>
  <c r="S36" i="149"/>
  <c r="R36" i="149"/>
  <c r="O36" i="149"/>
  <c r="S35" i="149"/>
  <c r="R35" i="149"/>
  <c r="O35" i="149"/>
  <c r="A35" i="149"/>
  <c r="A36" i="149" s="1"/>
  <c r="A37" i="149" s="1"/>
  <c r="A38" i="149" s="1"/>
  <c r="A39" i="149" s="1"/>
  <c r="A40" i="149" s="1"/>
  <c r="A41" i="149" s="1"/>
  <c r="A42" i="149" s="1"/>
  <c r="A43" i="149" s="1"/>
  <c r="A44" i="149" s="1"/>
  <c r="A45" i="149" s="1"/>
  <c r="A46" i="149" s="1"/>
  <c r="A47" i="149" s="1"/>
  <c r="A48" i="149" s="1"/>
  <c r="A49" i="149" s="1"/>
  <c r="A50" i="149" s="1"/>
  <c r="A51" i="149" s="1"/>
  <c r="A52" i="149" s="1"/>
  <c r="A53" i="149" s="1"/>
  <c r="A54" i="149" s="1"/>
  <c r="A55" i="149" s="1"/>
  <c r="A56" i="149" s="1"/>
  <c r="A57" i="149" s="1"/>
  <c r="A58" i="149" s="1"/>
  <c r="A59" i="149" s="1"/>
  <c r="A60" i="149" s="1"/>
  <c r="A61" i="149" s="1"/>
  <c r="A62" i="149" s="1"/>
  <c r="A63" i="149" s="1"/>
  <c r="A64" i="149" s="1"/>
  <c r="A65" i="149" s="1"/>
  <c r="A66" i="149" s="1"/>
  <c r="A67" i="149" s="1"/>
  <c r="A68" i="149" s="1"/>
  <c r="A69" i="149" s="1"/>
  <c r="A70" i="149" s="1"/>
  <c r="A71" i="149" s="1"/>
  <c r="A72" i="149" s="1"/>
  <c r="A73" i="149" s="1"/>
  <c r="A74" i="149" s="1"/>
  <c r="A75" i="149" s="1"/>
  <c r="A76" i="149" s="1"/>
  <c r="A77" i="149" s="1"/>
  <c r="A78" i="149" s="1"/>
  <c r="A79" i="149" s="1"/>
  <c r="A80" i="149" s="1"/>
  <c r="A81" i="149" s="1"/>
  <c r="A82" i="149" s="1"/>
  <c r="A83" i="149" s="1"/>
  <c r="A84" i="149" s="1"/>
  <c r="A85" i="149" s="1"/>
  <c r="A86" i="149" s="1"/>
  <c r="A87" i="149" s="1"/>
  <c r="A88" i="149" s="1"/>
  <c r="A89" i="149" s="1"/>
  <c r="A90" i="149" s="1"/>
  <c r="A91" i="149" s="1"/>
  <c r="A92" i="149" s="1"/>
  <c r="A93" i="149" s="1"/>
  <c r="A94" i="149" s="1"/>
  <c r="A95" i="149" s="1"/>
  <c r="A96" i="149" s="1"/>
  <c r="A97" i="149" s="1"/>
  <c r="A98" i="149" s="1"/>
  <c r="A99" i="149" s="1"/>
  <c r="A100" i="149" s="1"/>
  <c r="A101" i="149" s="1"/>
  <c r="A102" i="149" s="1"/>
  <c r="A103" i="149" s="1"/>
  <c r="A104" i="149" s="1"/>
  <c r="A105" i="149" s="1"/>
  <c r="A106" i="149" s="1"/>
  <c r="A107" i="149" s="1"/>
  <c r="A108" i="149" s="1"/>
  <c r="A109" i="149" s="1"/>
  <c r="A110" i="149" s="1"/>
  <c r="A111" i="149" s="1"/>
  <c r="A112" i="149" s="1"/>
  <c r="A113" i="149" s="1"/>
  <c r="A114" i="149" s="1"/>
  <c r="A115" i="149" s="1"/>
  <c r="A116" i="149" s="1"/>
  <c r="A117" i="149" s="1"/>
  <c r="A118" i="149" s="1"/>
  <c r="A119" i="149" s="1"/>
  <c r="A120" i="149" s="1"/>
  <c r="A121" i="149" s="1"/>
  <c r="A122" i="149" s="1"/>
  <c r="A123" i="149" s="1"/>
  <c r="A124" i="149" s="1"/>
  <c r="A125" i="149" s="1"/>
  <c r="A126" i="149" s="1"/>
  <c r="A127" i="149" s="1"/>
  <c r="A128" i="149" s="1"/>
  <c r="A129" i="149" s="1"/>
  <c r="A130" i="149" s="1"/>
  <c r="A131" i="149" s="1"/>
  <c r="A132" i="149" s="1"/>
  <c r="A133" i="149" s="1"/>
  <c r="A134" i="149" s="1"/>
  <c r="A135" i="149" s="1"/>
  <c r="A136" i="149" s="1"/>
  <c r="A137" i="149" s="1"/>
  <c r="A138" i="149" s="1"/>
  <c r="A139" i="149" s="1"/>
  <c r="A140" i="149" s="1"/>
  <c r="A141" i="149" s="1"/>
  <c r="A142" i="149" s="1"/>
  <c r="A143" i="149" s="1"/>
  <c r="A144" i="149" s="1"/>
  <c r="A145" i="149" s="1"/>
  <c r="A146" i="149" s="1"/>
  <c r="A147" i="149" s="1"/>
  <c r="A148" i="149" s="1"/>
  <c r="A149" i="149" s="1"/>
  <c r="A150" i="149" s="1"/>
  <c r="A151" i="149" s="1"/>
  <c r="A152" i="149" s="1"/>
  <c r="A153" i="149" s="1"/>
  <c r="A154" i="149" s="1"/>
  <c r="A155" i="149" s="1"/>
  <c r="A156" i="149" s="1"/>
  <c r="A157" i="149" s="1"/>
  <c r="A158" i="149" s="1"/>
  <c r="A159" i="149" s="1"/>
  <c r="A160" i="149" s="1"/>
  <c r="A161" i="149" s="1"/>
  <c r="A162" i="149" s="1"/>
  <c r="A163" i="149" s="1"/>
  <c r="A164" i="149" s="1"/>
  <c r="A165" i="149" s="1"/>
  <c r="A166" i="149" s="1"/>
  <c r="A167" i="149" s="1"/>
  <c r="A168" i="149" s="1"/>
  <c r="A169" i="149" s="1"/>
  <c r="A170" i="149" s="1"/>
  <c r="A171" i="149" s="1"/>
  <c r="A172" i="149" s="1"/>
  <c r="A173" i="149" s="1"/>
  <c r="A174" i="149" s="1"/>
  <c r="A175" i="149" s="1"/>
  <c r="A176" i="149" s="1"/>
  <c r="A177" i="149" s="1"/>
  <c r="A178" i="149" s="1"/>
  <c r="A179" i="149" s="1"/>
  <c r="A180" i="149" s="1"/>
  <c r="A181" i="149" s="1"/>
  <c r="A182" i="149" s="1"/>
  <c r="A183" i="149" s="1"/>
  <c r="A184" i="149" s="1"/>
  <c r="A185" i="149" s="1"/>
  <c r="A186" i="149" s="1"/>
  <c r="A187" i="149" s="1"/>
  <c r="A188" i="149" s="1"/>
  <c r="A189" i="149" s="1"/>
  <c r="A190" i="149" s="1"/>
  <c r="A191" i="149" s="1"/>
  <c r="A192" i="149" s="1"/>
  <c r="A193" i="149" s="1"/>
  <c r="A194" i="149" s="1"/>
  <c r="A195" i="149" s="1"/>
  <c r="A196" i="149" s="1"/>
  <c r="A197" i="149" s="1"/>
  <c r="A198" i="149" s="1"/>
  <c r="A199" i="149" s="1"/>
  <c r="A200" i="149" s="1"/>
  <c r="A201" i="149" s="1"/>
  <c r="A202" i="149" s="1"/>
  <c r="A203" i="149" s="1"/>
  <c r="A204" i="149" s="1"/>
  <c r="A205" i="149" s="1"/>
  <c r="A206" i="149" s="1"/>
  <c r="A207" i="149" s="1"/>
  <c r="A208" i="149" s="1"/>
  <c r="A209" i="149" s="1"/>
  <c r="A210" i="149" s="1"/>
  <c r="A211" i="149" s="1"/>
  <c r="A212" i="149" s="1"/>
  <c r="A213" i="149" s="1"/>
  <c r="A214" i="149" s="1"/>
  <c r="A215" i="149" s="1"/>
  <c r="A216" i="149" s="1"/>
  <c r="A217" i="149" s="1"/>
  <c r="A218" i="149" s="1"/>
  <c r="A219" i="149" s="1"/>
  <c r="A220" i="149" s="1"/>
  <c r="A221" i="149" s="1"/>
  <c r="A222" i="149" s="1"/>
  <c r="A223" i="149" s="1"/>
  <c r="A224" i="149" s="1"/>
  <c r="A225" i="149" s="1"/>
  <c r="A226" i="149" s="1"/>
  <c r="A227" i="149" s="1"/>
  <c r="A228" i="149" s="1"/>
  <c r="A229" i="149" s="1"/>
  <c r="A230" i="149" s="1"/>
  <c r="A231" i="149" s="1"/>
  <c r="A232" i="149" s="1"/>
  <c r="A233" i="149" s="1"/>
  <c r="A234" i="149" s="1"/>
  <c r="A235" i="149" s="1"/>
  <c r="A236" i="149" s="1"/>
  <c r="A237" i="149" s="1"/>
  <c r="A238" i="149" s="1"/>
  <c r="A239" i="149" s="1"/>
  <c r="A240" i="149" s="1"/>
  <c r="A241" i="149" s="1"/>
  <c r="A242" i="149" s="1"/>
  <c r="A243" i="149" s="1"/>
  <c r="A244" i="149" s="1"/>
  <c r="S34" i="149"/>
  <c r="R34" i="149"/>
  <c r="O34" i="149"/>
  <c r="S33" i="149"/>
  <c r="R33" i="149"/>
  <c r="O33" i="149"/>
  <c r="S32" i="149"/>
  <c r="R32" i="149"/>
  <c r="O32" i="149"/>
  <c r="S31" i="149"/>
  <c r="R31" i="149"/>
  <c r="O31" i="149"/>
  <c r="S30" i="149"/>
  <c r="R30" i="149"/>
  <c r="O30" i="149"/>
  <c r="S29" i="149"/>
  <c r="R29" i="149"/>
  <c r="O29" i="149"/>
  <c r="S28" i="149"/>
  <c r="R28" i="149"/>
  <c r="O28" i="149"/>
  <c r="S27" i="149"/>
  <c r="R27" i="149"/>
  <c r="O27" i="149"/>
  <c r="S26" i="149"/>
  <c r="R26" i="149"/>
  <c r="O26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S23" i="149"/>
  <c r="R23" i="149"/>
  <c r="O23" i="149"/>
  <c r="S22" i="149"/>
  <c r="R22" i="149"/>
  <c r="O22" i="149"/>
  <c r="S21" i="149"/>
  <c r="R21" i="149"/>
  <c r="O21" i="149"/>
  <c r="S20" i="149"/>
  <c r="R20" i="149"/>
  <c r="O20" i="149"/>
  <c r="S19" i="149"/>
  <c r="R19" i="149"/>
  <c r="O19" i="149"/>
  <c r="S18" i="149"/>
  <c r="R18" i="149"/>
  <c r="O18" i="149"/>
  <c r="S17" i="149"/>
  <c r="R17" i="149"/>
  <c r="O17" i="149"/>
  <c r="N15" i="149"/>
  <c r="M15" i="149"/>
  <c r="L15" i="149"/>
  <c r="K15" i="149"/>
  <c r="J15" i="149"/>
  <c r="I15" i="149"/>
  <c r="H15" i="149"/>
  <c r="G15" i="149"/>
  <c r="F15" i="149"/>
  <c r="E15" i="149"/>
  <c r="D15" i="149"/>
  <c r="C15" i="149"/>
  <c r="S14" i="149"/>
  <c r="R14" i="149"/>
  <c r="O14" i="149"/>
  <c r="S13" i="149"/>
  <c r="R13" i="149"/>
  <c r="O13" i="149"/>
  <c r="S12" i="149"/>
  <c r="R12" i="149"/>
  <c r="O12" i="149"/>
  <c r="S11" i="149"/>
  <c r="R11" i="149"/>
  <c r="O11" i="149"/>
  <c r="A11" i="149"/>
  <c r="A12" i="149" s="1"/>
  <c r="A13" i="149" s="1"/>
  <c r="A14" i="149" s="1"/>
  <c r="A15" i="149" s="1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A33" i="149" s="1"/>
  <c r="A34" i="149" s="1"/>
  <c r="S10" i="149"/>
  <c r="R10" i="149"/>
  <c r="O10" i="149"/>
  <c r="S9" i="149"/>
  <c r="R9" i="149"/>
  <c r="O9" i="149"/>
  <c r="S8" i="149"/>
  <c r="R8" i="149"/>
  <c r="O8" i="149"/>
  <c r="S7" i="149"/>
  <c r="R7" i="149"/>
  <c r="O7" i="149"/>
  <c r="S6" i="149"/>
  <c r="R6" i="149"/>
  <c r="O6" i="149"/>
  <c r="S5" i="149"/>
  <c r="R5" i="149"/>
  <c r="O5" i="149"/>
  <c r="S4" i="149"/>
  <c r="R4" i="149"/>
  <c r="O4" i="149"/>
  <c r="A3" i="149"/>
  <c r="A4" i="149" s="1"/>
  <c r="A5" i="149" s="1"/>
  <c r="A6" i="149" s="1"/>
  <c r="A7" i="149" s="1"/>
  <c r="A8" i="149" s="1"/>
  <c r="A9" i="149" s="1"/>
  <c r="A10" i="149" s="1"/>
  <c r="N2" i="149"/>
  <c r="M2" i="149"/>
  <c r="L2" i="149"/>
  <c r="K2" i="149"/>
  <c r="J2" i="149"/>
  <c r="I2" i="149"/>
  <c r="H2" i="149"/>
  <c r="G2" i="149"/>
  <c r="F2" i="149"/>
  <c r="E2" i="149"/>
  <c r="D2" i="149"/>
  <c r="C2" i="149"/>
  <c r="AM66" i="121"/>
  <c r="AL66" i="121"/>
  <c r="AH66" i="121"/>
  <c r="AE66" i="121"/>
  <c r="AD66" i="121"/>
  <c r="W66" i="121"/>
  <c r="O66" i="121"/>
  <c r="N66" i="121"/>
  <c r="G66" i="121"/>
  <c r="F66" i="121"/>
  <c r="AG65" i="121"/>
  <c r="AD65" i="121"/>
  <c r="V65" i="121"/>
  <c r="U65" i="121"/>
  <c r="N65" i="121"/>
  <c r="M65" i="121"/>
  <c r="I65" i="121"/>
  <c r="F65" i="121"/>
  <c r="E65" i="121"/>
  <c r="AO64" i="121"/>
  <c r="AO66" i="121" s="1"/>
  <c r="AN64" i="121"/>
  <c r="AN66" i="121" s="1"/>
  <c r="AM64" i="121"/>
  <c r="AL64" i="121"/>
  <c r="AK64" i="121"/>
  <c r="AK66" i="121" s="1"/>
  <c r="AJ64" i="121"/>
  <c r="AJ66" i="121" s="1"/>
  <c r="AI64" i="121"/>
  <c r="AI66" i="121" s="1"/>
  <c r="AH64" i="121"/>
  <c r="AG64" i="121"/>
  <c r="AG66" i="121" s="1"/>
  <c r="AF64" i="121"/>
  <c r="AF66" i="121" s="1"/>
  <c r="AE64" i="121"/>
  <c r="AD64" i="121"/>
  <c r="AC64" i="121"/>
  <c r="AC66" i="121" s="1"/>
  <c r="AB64" i="121"/>
  <c r="AB66" i="121" s="1"/>
  <c r="AA64" i="121"/>
  <c r="AA66" i="121" s="1"/>
  <c r="Z64" i="121"/>
  <c r="Z66" i="121" s="1"/>
  <c r="Y64" i="121"/>
  <c r="Y66" i="121" s="1"/>
  <c r="X64" i="121"/>
  <c r="X66" i="121" s="1"/>
  <c r="W64" i="121"/>
  <c r="V64" i="121"/>
  <c r="V66" i="121" s="1"/>
  <c r="U64" i="121"/>
  <c r="U66" i="121" s="1"/>
  <c r="T64" i="121"/>
  <c r="T66" i="121" s="1"/>
  <c r="S64" i="121"/>
  <c r="S66" i="121" s="1"/>
  <c r="R64" i="121"/>
  <c r="R66" i="121" s="1"/>
  <c r="Q64" i="121"/>
  <c r="Q66" i="121" s="1"/>
  <c r="P64" i="121"/>
  <c r="P66" i="121" s="1"/>
  <c r="O64" i="121"/>
  <c r="N64" i="121"/>
  <c r="M64" i="121"/>
  <c r="M66" i="121" s="1"/>
  <c r="L64" i="121"/>
  <c r="L66" i="121" s="1"/>
  <c r="K64" i="121"/>
  <c r="K66" i="121" s="1"/>
  <c r="J64" i="121"/>
  <c r="J66" i="121" s="1"/>
  <c r="I64" i="121"/>
  <c r="I66" i="121" s="1"/>
  <c r="H64" i="121"/>
  <c r="H66" i="121" s="1"/>
  <c r="G64" i="121"/>
  <c r="F64" i="121"/>
  <c r="E64" i="121"/>
  <c r="E66" i="121" s="1"/>
  <c r="D64" i="121"/>
  <c r="D66" i="121" s="1"/>
  <c r="C64" i="121"/>
  <c r="C66" i="121" s="1"/>
  <c r="AO63" i="121"/>
  <c r="AO65" i="121" s="1"/>
  <c r="AN63" i="121"/>
  <c r="AN65" i="121" s="1"/>
  <c r="AM63" i="121"/>
  <c r="AM65" i="121" s="1"/>
  <c r="AL63" i="121"/>
  <c r="AL65" i="121" s="1"/>
  <c r="AK63" i="121"/>
  <c r="AK65" i="121" s="1"/>
  <c r="AJ63" i="121"/>
  <c r="AJ65" i="121" s="1"/>
  <c r="AI63" i="121"/>
  <c r="AI65" i="121" s="1"/>
  <c r="AH63" i="121"/>
  <c r="AH65" i="121" s="1"/>
  <c r="AG63" i="121"/>
  <c r="AF63" i="121"/>
  <c r="AF65" i="121" s="1"/>
  <c r="AE63" i="121"/>
  <c r="AE65" i="121" s="1"/>
  <c r="AD63" i="121"/>
  <c r="AC63" i="121"/>
  <c r="AC65" i="121" s="1"/>
  <c r="AB63" i="121"/>
  <c r="AB65" i="121" s="1"/>
  <c r="AA63" i="121"/>
  <c r="AA65" i="121" s="1"/>
  <c r="Z63" i="121"/>
  <c r="Z65" i="121" s="1"/>
  <c r="Y63" i="121"/>
  <c r="Y65" i="121" s="1"/>
  <c r="X63" i="121"/>
  <c r="X65" i="121" s="1"/>
  <c r="W63" i="121"/>
  <c r="W65" i="121" s="1"/>
  <c r="V63" i="121"/>
  <c r="U63" i="121"/>
  <c r="T63" i="121"/>
  <c r="T65" i="121" s="1"/>
  <c r="S63" i="121"/>
  <c r="S65" i="121" s="1"/>
  <c r="R63" i="121"/>
  <c r="R65" i="121" s="1"/>
  <c r="Q63" i="121"/>
  <c r="Q65" i="121" s="1"/>
  <c r="P63" i="121"/>
  <c r="P65" i="121" s="1"/>
  <c r="O63" i="121"/>
  <c r="O65" i="121" s="1"/>
  <c r="N63" i="121"/>
  <c r="M63" i="121"/>
  <c r="L63" i="121"/>
  <c r="L65" i="121" s="1"/>
  <c r="K63" i="121"/>
  <c r="K65" i="121" s="1"/>
  <c r="J63" i="121"/>
  <c r="J65" i="121" s="1"/>
  <c r="I63" i="121"/>
  <c r="H63" i="121"/>
  <c r="H65" i="121" s="1"/>
  <c r="G63" i="121"/>
  <c r="G65" i="121" s="1"/>
  <c r="F63" i="121"/>
  <c r="E63" i="121"/>
  <c r="D63" i="121"/>
  <c r="D65" i="121" s="1"/>
  <c r="C63" i="121"/>
  <c r="C65" i="121" s="1"/>
  <c r="AO62" i="121"/>
  <c r="AN62" i="121"/>
  <c r="AM62" i="121"/>
  <c r="AL62" i="121"/>
  <c r="AK62" i="121"/>
  <c r="AJ62" i="121"/>
  <c r="AI62" i="121"/>
  <c r="AH62" i="121"/>
  <c r="AG62" i="121"/>
  <c r="AF62" i="121"/>
  <c r="AE62" i="121"/>
  <c r="AD62" i="121"/>
  <c r="AC62" i="121"/>
  <c r="AB62" i="121"/>
  <c r="AA62" i="121"/>
  <c r="Z62" i="121"/>
  <c r="Y62" i="121"/>
  <c r="X62" i="121"/>
  <c r="W62" i="121"/>
  <c r="V62" i="121"/>
  <c r="U62" i="121"/>
  <c r="T62" i="121"/>
  <c r="S62" i="121"/>
  <c r="R62" i="121"/>
  <c r="Q62" i="121"/>
  <c r="P62" i="121"/>
  <c r="O62" i="121"/>
  <c r="N62" i="121"/>
  <c r="M62" i="121"/>
  <c r="L62" i="121"/>
  <c r="K62" i="121"/>
  <c r="J62" i="121"/>
  <c r="I62" i="121"/>
  <c r="H62" i="121"/>
  <c r="G62" i="121"/>
  <c r="F62" i="121"/>
  <c r="E62" i="121"/>
  <c r="D62" i="121"/>
  <c r="C62" i="121"/>
  <c r="B61" i="121"/>
  <c r="B60" i="121"/>
  <c r="B59" i="121"/>
  <c r="B58" i="121"/>
  <c r="B57" i="121"/>
  <c r="B56" i="121"/>
  <c r="B55" i="121"/>
  <c r="B54" i="121"/>
  <c r="B53" i="121"/>
  <c r="B52" i="121"/>
  <c r="B51" i="121"/>
  <c r="B50" i="121"/>
  <c r="B49" i="121"/>
  <c r="B48" i="121"/>
  <c r="B47" i="121"/>
  <c r="B46" i="121"/>
  <c r="B45" i="121"/>
  <c r="B44" i="121"/>
  <c r="B43" i="121"/>
  <c r="B42" i="121"/>
  <c r="B41" i="121"/>
  <c r="B40" i="121"/>
  <c r="B39" i="121"/>
  <c r="B38" i="121"/>
  <c r="B37" i="121"/>
  <c r="B36" i="121"/>
  <c r="B35" i="121"/>
  <c r="B34" i="121"/>
  <c r="B33" i="121"/>
  <c r="B32" i="121"/>
  <c r="B31" i="121"/>
  <c r="B30" i="121"/>
  <c r="B29" i="121"/>
  <c r="B28" i="121"/>
  <c r="B27" i="121"/>
  <c r="B26" i="121"/>
  <c r="B25" i="121"/>
  <c r="B24" i="121"/>
  <c r="B23" i="121"/>
  <c r="B22" i="121"/>
  <c r="B21" i="121"/>
  <c r="B20" i="121"/>
  <c r="B19" i="121"/>
  <c r="B18" i="121"/>
  <c r="B17" i="121"/>
  <c r="B16" i="121"/>
  <c r="B15" i="121"/>
  <c r="B14" i="121"/>
  <c r="B13" i="121"/>
  <c r="B12" i="121"/>
  <c r="B11" i="121"/>
  <c r="B10" i="121"/>
  <c r="B9" i="121"/>
  <c r="B8" i="121"/>
  <c r="B7" i="121"/>
  <c r="B6" i="121"/>
  <c r="B5" i="121"/>
  <c r="Q59" i="114" s="1"/>
  <c r="B4" i="121"/>
  <c r="B3" i="121"/>
  <c r="Q55" i="114" s="1"/>
  <c r="B2" i="121"/>
  <c r="B61" i="120"/>
  <c r="B60" i="120"/>
  <c r="B59" i="120"/>
  <c r="B58" i="120"/>
  <c r="B57" i="120"/>
  <c r="B56" i="120"/>
  <c r="B55" i="120"/>
  <c r="B54" i="120"/>
  <c r="B53" i="120"/>
  <c r="B52" i="120"/>
  <c r="B51" i="120"/>
  <c r="B50" i="120"/>
  <c r="B49" i="120"/>
  <c r="B48" i="120"/>
  <c r="B47" i="120"/>
  <c r="B46" i="120"/>
  <c r="B45" i="120"/>
  <c r="B44" i="120"/>
  <c r="B43" i="120"/>
  <c r="B42" i="120"/>
  <c r="B41" i="120"/>
  <c r="B40" i="120"/>
  <c r="B39" i="120"/>
  <c r="B38" i="120"/>
  <c r="B37" i="120"/>
  <c r="B36" i="120"/>
  <c r="B35" i="120"/>
  <c r="B34" i="120"/>
  <c r="B33" i="120"/>
  <c r="B32" i="120"/>
  <c r="B31" i="120"/>
  <c r="B30" i="120"/>
  <c r="B29" i="120"/>
  <c r="B28" i="120"/>
  <c r="B27" i="120"/>
  <c r="B26" i="120"/>
  <c r="B25" i="120"/>
  <c r="B24" i="120"/>
  <c r="B23" i="120"/>
  <c r="B22" i="120"/>
  <c r="B21" i="120"/>
  <c r="B20" i="120"/>
  <c r="B19" i="120"/>
  <c r="B18" i="120"/>
  <c r="B17" i="120"/>
  <c r="B16" i="120"/>
  <c r="B15" i="120"/>
  <c r="B14" i="120"/>
  <c r="B13" i="120"/>
  <c r="B12" i="120"/>
  <c r="B11" i="120"/>
  <c r="B10" i="120"/>
  <c r="B9" i="120"/>
  <c r="G62" i="114" s="1"/>
  <c r="B8" i="120"/>
  <c r="B7" i="120"/>
  <c r="G44" i="114" s="1"/>
  <c r="B6" i="120"/>
  <c r="B5" i="120"/>
  <c r="B4" i="120"/>
  <c r="B3" i="120"/>
  <c r="B2" i="120"/>
  <c r="AC64" i="117"/>
  <c r="AC66" i="117" s="1"/>
  <c r="AB64" i="117"/>
  <c r="AB66" i="117" s="1"/>
  <c r="AA64" i="117"/>
  <c r="AA66" i="117" s="1"/>
  <c r="Z64" i="117"/>
  <c r="Z66" i="117" s="1"/>
  <c r="Y64" i="117"/>
  <c r="Y66" i="117" s="1"/>
  <c r="X64" i="117"/>
  <c r="X66" i="117" s="1"/>
  <c r="W64" i="117"/>
  <c r="W66" i="117" s="1"/>
  <c r="V64" i="117"/>
  <c r="V66" i="117" s="1"/>
  <c r="U64" i="117"/>
  <c r="U66" i="117" s="1"/>
  <c r="T64" i="117"/>
  <c r="T66" i="117" s="1"/>
  <c r="S64" i="117"/>
  <c r="S66" i="117" s="1"/>
  <c r="R64" i="117"/>
  <c r="R66" i="117" s="1"/>
  <c r="Q64" i="117"/>
  <c r="Q66" i="117" s="1"/>
  <c r="P64" i="117"/>
  <c r="P66" i="117" s="1"/>
  <c r="O64" i="117"/>
  <c r="O66" i="117" s="1"/>
  <c r="N64" i="117"/>
  <c r="N66" i="117" s="1"/>
  <c r="M64" i="117"/>
  <c r="M66" i="117" s="1"/>
  <c r="L64" i="117"/>
  <c r="L66" i="117" s="1"/>
  <c r="K64" i="117"/>
  <c r="K66" i="117" s="1"/>
  <c r="J64" i="117"/>
  <c r="J66" i="117" s="1"/>
  <c r="I64" i="117"/>
  <c r="I66" i="117" s="1"/>
  <c r="H64" i="117"/>
  <c r="H66" i="117" s="1"/>
  <c r="G64" i="117"/>
  <c r="G66" i="117" s="1"/>
  <c r="F64" i="117"/>
  <c r="F66" i="117" s="1"/>
  <c r="E64" i="117"/>
  <c r="E66" i="117" s="1"/>
  <c r="D64" i="117"/>
  <c r="D66" i="117" s="1"/>
  <c r="C64" i="117"/>
  <c r="C66" i="117" s="1"/>
  <c r="AC63" i="117"/>
  <c r="AC65" i="117" s="1"/>
  <c r="AB63" i="117"/>
  <c r="AB65" i="117" s="1"/>
  <c r="AA63" i="117"/>
  <c r="AA65" i="117" s="1"/>
  <c r="Z63" i="117"/>
  <c r="Z65" i="117" s="1"/>
  <c r="Y63" i="117"/>
  <c r="Y65" i="117" s="1"/>
  <c r="X63" i="117"/>
  <c r="X65" i="117" s="1"/>
  <c r="W63" i="117"/>
  <c r="W65" i="117" s="1"/>
  <c r="V63" i="117"/>
  <c r="V65" i="117" s="1"/>
  <c r="U63" i="117"/>
  <c r="U65" i="117" s="1"/>
  <c r="T63" i="117"/>
  <c r="T65" i="117" s="1"/>
  <c r="S63" i="117"/>
  <c r="S65" i="117" s="1"/>
  <c r="R63" i="117"/>
  <c r="R65" i="117" s="1"/>
  <c r="Q63" i="117"/>
  <c r="Q65" i="117" s="1"/>
  <c r="P63" i="117"/>
  <c r="P65" i="117" s="1"/>
  <c r="O63" i="117"/>
  <c r="O65" i="117" s="1"/>
  <c r="N63" i="117"/>
  <c r="N65" i="117" s="1"/>
  <c r="M63" i="117"/>
  <c r="M65" i="117" s="1"/>
  <c r="L63" i="117"/>
  <c r="L65" i="117" s="1"/>
  <c r="K63" i="117"/>
  <c r="K65" i="117" s="1"/>
  <c r="J63" i="117"/>
  <c r="J65" i="117" s="1"/>
  <c r="I63" i="117"/>
  <c r="I65" i="117" s="1"/>
  <c r="H63" i="117"/>
  <c r="H65" i="117" s="1"/>
  <c r="G63" i="117"/>
  <c r="G65" i="117" s="1"/>
  <c r="F63" i="117"/>
  <c r="F65" i="117" s="1"/>
  <c r="E63" i="117"/>
  <c r="E65" i="117" s="1"/>
  <c r="D63" i="117"/>
  <c r="D65" i="117" s="1"/>
  <c r="C63" i="117"/>
  <c r="C65" i="117" s="1"/>
  <c r="AC62" i="117"/>
  <c r="AB62" i="117"/>
  <c r="AA62" i="117"/>
  <c r="Z62" i="117"/>
  <c r="Y62" i="117"/>
  <c r="X62" i="117"/>
  <c r="W62" i="117"/>
  <c r="V62" i="117"/>
  <c r="U62" i="117"/>
  <c r="T62" i="117"/>
  <c r="S62" i="117"/>
  <c r="R62" i="117"/>
  <c r="Q62" i="117"/>
  <c r="P62" i="117"/>
  <c r="O62" i="117"/>
  <c r="N62" i="117"/>
  <c r="M62" i="117"/>
  <c r="L62" i="117"/>
  <c r="K62" i="117"/>
  <c r="J62" i="117"/>
  <c r="I62" i="117"/>
  <c r="H62" i="117"/>
  <c r="G62" i="117"/>
  <c r="F62" i="117"/>
  <c r="E62" i="117"/>
  <c r="D62" i="117"/>
  <c r="C62" i="117"/>
  <c r="B61" i="117"/>
  <c r="B60" i="117"/>
  <c r="B59" i="117"/>
  <c r="B58" i="117"/>
  <c r="B57" i="117"/>
  <c r="B56" i="117"/>
  <c r="B55" i="117"/>
  <c r="B54" i="117"/>
  <c r="B53" i="117"/>
  <c r="B52" i="117"/>
  <c r="B51" i="117"/>
  <c r="B50" i="117"/>
  <c r="B49" i="117"/>
  <c r="B48" i="117"/>
  <c r="B47" i="117"/>
  <c r="B46" i="117"/>
  <c r="B45" i="117"/>
  <c r="B44" i="117"/>
  <c r="B43" i="117"/>
  <c r="B42" i="117"/>
  <c r="B41" i="117"/>
  <c r="B40" i="117"/>
  <c r="B39" i="117"/>
  <c r="B38" i="117"/>
  <c r="B37" i="117"/>
  <c r="B36" i="117"/>
  <c r="B35" i="117"/>
  <c r="B34" i="117"/>
  <c r="B33" i="117"/>
  <c r="B32" i="117"/>
  <c r="B31" i="117"/>
  <c r="B30" i="117"/>
  <c r="B29" i="117"/>
  <c r="B28" i="117"/>
  <c r="B27" i="117"/>
  <c r="B26" i="117"/>
  <c r="B25" i="117"/>
  <c r="B24" i="117"/>
  <c r="B23" i="117"/>
  <c r="B22" i="117"/>
  <c r="B21" i="117"/>
  <c r="B20" i="117"/>
  <c r="B19" i="117"/>
  <c r="B18" i="117"/>
  <c r="B17" i="117"/>
  <c r="B16" i="117"/>
  <c r="B15" i="117"/>
  <c r="B14" i="117"/>
  <c r="B13" i="117"/>
  <c r="B12" i="117"/>
  <c r="B11" i="117"/>
  <c r="B10" i="117"/>
  <c r="B9" i="117"/>
  <c r="B8" i="117"/>
  <c r="B7" i="117"/>
  <c r="B6" i="117"/>
  <c r="B5" i="117"/>
  <c r="B4" i="117"/>
  <c r="B3" i="117"/>
  <c r="B2" i="117"/>
  <c r="B61" i="116"/>
  <c r="B60" i="116"/>
  <c r="B59" i="116"/>
  <c r="B58" i="116"/>
  <c r="B57" i="116"/>
  <c r="B56" i="116"/>
  <c r="B55" i="116"/>
  <c r="B54" i="116"/>
  <c r="B53" i="116"/>
  <c r="B52" i="116"/>
  <c r="B51" i="116"/>
  <c r="B50" i="116"/>
  <c r="B49" i="116"/>
  <c r="B48" i="116"/>
  <c r="B47" i="116"/>
  <c r="B46" i="116"/>
  <c r="B45" i="116"/>
  <c r="B44" i="116"/>
  <c r="B43" i="116"/>
  <c r="B42" i="116"/>
  <c r="B41" i="116"/>
  <c r="B40" i="116"/>
  <c r="B39" i="116"/>
  <c r="B38" i="116"/>
  <c r="B37" i="116"/>
  <c r="B36" i="116"/>
  <c r="B35" i="116"/>
  <c r="B34" i="116"/>
  <c r="B33" i="116"/>
  <c r="B32" i="116"/>
  <c r="B31" i="116"/>
  <c r="B30" i="116"/>
  <c r="B29" i="116"/>
  <c r="B28" i="116"/>
  <c r="B27" i="116"/>
  <c r="B26" i="116"/>
  <c r="B25" i="116"/>
  <c r="B24" i="116"/>
  <c r="B23" i="116"/>
  <c r="B22" i="116"/>
  <c r="B21" i="116"/>
  <c r="B20" i="116"/>
  <c r="B19" i="116"/>
  <c r="B18" i="116"/>
  <c r="B17" i="116"/>
  <c r="B16" i="116"/>
  <c r="B15" i="116"/>
  <c r="B14" i="116"/>
  <c r="B13" i="116"/>
  <c r="B12" i="116"/>
  <c r="B11" i="116"/>
  <c r="B10" i="116"/>
  <c r="B9" i="116"/>
  <c r="B8" i="116"/>
  <c r="B7" i="116"/>
  <c r="B6" i="116"/>
  <c r="B5" i="116"/>
  <c r="B4" i="116"/>
  <c r="B3" i="116"/>
  <c r="B2" i="116"/>
  <c r="M66" i="114"/>
  <c r="C66" i="114"/>
  <c r="M65" i="114"/>
  <c r="C65" i="114"/>
  <c r="M64" i="114"/>
  <c r="C64" i="114"/>
  <c r="M63" i="114"/>
  <c r="C63" i="114"/>
  <c r="M62" i="114"/>
  <c r="C62" i="114"/>
  <c r="M61" i="114"/>
  <c r="C61" i="114"/>
  <c r="M60" i="114"/>
  <c r="C60" i="114"/>
  <c r="M59" i="114"/>
  <c r="C59" i="114"/>
  <c r="M58" i="114"/>
  <c r="C58" i="114"/>
  <c r="M57" i="114"/>
  <c r="C57" i="114"/>
  <c r="M56" i="114"/>
  <c r="C56" i="114"/>
  <c r="M55" i="114"/>
  <c r="C55" i="114"/>
  <c r="M54" i="114"/>
  <c r="G54" i="114"/>
  <c r="C54" i="114"/>
  <c r="M53" i="114"/>
  <c r="C53" i="114"/>
  <c r="M52" i="114"/>
  <c r="G52" i="114"/>
  <c r="C52" i="114"/>
  <c r="M51" i="114"/>
  <c r="C51" i="114"/>
  <c r="M50" i="114"/>
  <c r="C50" i="114"/>
  <c r="M49" i="114"/>
  <c r="C49" i="114"/>
  <c r="M48" i="114"/>
  <c r="C48" i="114"/>
  <c r="M47" i="114"/>
  <c r="C47" i="114"/>
  <c r="M46" i="114"/>
  <c r="C46" i="114"/>
  <c r="M45" i="114"/>
  <c r="C45" i="114"/>
  <c r="M44" i="114"/>
  <c r="C44" i="114"/>
  <c r="Q43" i="114"/>
  <c r="M43" i="114"/>
  <c r="C43" i="114"/>
  <c r="M42" i="114"/>
  <c r="C42" i="114"/>
  <c r="M41" i="114"/>
  <c r="C41" i="114"/>
  <c r="M40" i="114"/>
  <c r="C40" i="114"/>
  <c r="M39" i="114"/>
  <c r="C39" i="114"/>
  <c r="M38" i="114"/>
  <c r="C38" i="114"/>
  <c r="M37" i="114"/>
  <c r="C37" i="114"/>
  <c r="M36" i="114"/>
  <c r="C36" i="114"/>
  <c r="M35" i="114"/>
  <c r="C35" i="114"/>
  <c r="M34" i="114"/>
  <c r="C34" i="114"/>
  <c r="M33" i="114"/>
  <c r="C33" i="114"/>
  <c r="M32" i="114"/>
  <c r="C32" i="114"/>
  <c r="M31" i="114"/>
  <c r="C31" i="114"/>
  <c r="M30" i="114"/>
  <c r="C30" i="114"/>
  <c r="M29" i="114"/>
  <c r="C29" i="114"/>
  <c r="M28" i="114"/>
  <c r="C28" i="114"/>
  <c r="M27" i="114"/>
  <c r="C27" i="114"/>
  <c r="M26" i="114"/>
  <c r="G26" i="114"/>
  <c r="C26" i="114"/>
  <c r="M25" i="114"/>
  <c r="C25" i="114"/>
  <c r="M24" i="114"/>
  <c r="C24" i="114"/>
  <c r="M23" i="114"/>
  <c r="C23" i="114"/>
  <c r="M22" i="114"/>
  <c r="C22" i="114"/>
  <c r="M21" i="114"/>
  <c r="C21" i="114"/>
  <c r="M20" i="114"/>
  <c r="C20" i="114"/>
  <c r="M19" i="114"/>
  <c r="C19" i="114"/>
  <c r="M18" i="114"/>
  <c r="C18" i="114"/>
  <c r="M17" i="114"/>
  <c r="C17" i="114"/>
  <c r="M16" i="114"/>
  <c r="C16" i="114"/>
  <c r="M15" i="114"/>
  <c r="C15" i="114"/>
  <c r="M14" i="114"/>
  <c r="C14" i="114"/>
  <c r="M13" i="114"/>
  <c r="C13" i="114"/>
  <c r="M12" i="114"/>
  <c r="C12" i="114"/>
  <c r="M11" i="114"/>
  <c r="C11" i="114"/>
  <c r="M10" i="114"/>
  <c r="C10" i="114"/>
  <c r="M9" i="114"/>
  <c r="C9" i="114"/>
  <c r="M8" i="114"/>
  <c r="C8" i="114"/>
  <c r="M7" i="114"/>
  <c r="C7" i="114"/>
  <c r="L30" i="126"/>
  <c r="AD65" i="124"/>
  <c r="P65" i="124"/>
  <c r="AD64" i="124"/>
  <c r="AD63" i="124"/>
  <c r="P63" i="124"/>
  <c r="AD62" i="124"/>
  <c r="R62" i="124"/>
  <c r="AD61" i="124"/>
  <c r="Q61" i="124"/>
  <c r="AD60" i="124"/>
  <c r="AD59" i="124"/>
  <c r="T59" i="124"/>
  <c r="AD58" i="124"/>
  <c r="R58" i="124"/>
  <c r="AD57" i="124"/>
  <c r="AD56" i="124"/>
  <c r="U56" i="124"/>
  <c r="AD55" i="124"/>
  <c r="O55" i="124"/>
  <c r="AD54" i="124"/>
  <c r="AD53" i="124"/>
  <c r="O53" i="124"/>
  <c r="AD52" i="124"/>
  <c r="AD51" i="124"/>
  <c r="AD50" i="124"/>
  <c r="AD49" i="124"/>
  <c r="AD48" i="124"/>
  <c r="AD47" i="124"/>
  <c r="AD46" i="124"/>
  <c r="AD45" i="124"/>
  <c r="AD44" i="124"/>
  <c r="O44" i="124"/>
  <c r="AD43" i="124"/>
  <c r="AD42" i="124"/>
  <c r="AD41" i="124"/>
  <c r="AD40" i="124"/>
  <c r="AD39" i="124"/>
  <c r="AD38" i="124"/>
  <c r="AD37" i="124"/>
  <c r="AD36" i="124"/>
  <c r="AD35" i="124"/>
  <c r="AD34" i="124"/>
  <c r="AD33" i="124"/>
  <c r="AD32" i="124"/>
  <c r="AD31" i="124"/>
  <c r="AD30" i="124"/>
  <c r="AD29" i="124"/>
  <c r="AD28" i="124"/>
  <c r="V28" i="124"/>
  <c r="AD27" i="124"/>
  <c r="P27" i="124"/>
  <c r="AD26" i="124"/>
  <c r="P26" i="124"/>
  <c r="AD25" i="124"/>
  <c r="AD24" i="124"/>
  <c r="AD23" i="124"/>
  <c r="P23" i="124"/>
  <c r="AD22" i="124"/>
  <c r="AD21" i="124"/>
  <c r="AD20" i="124"/>
  <c r="AD19" i="124"/>
  <c r="AD18" i="124"/>
  <c r="AD17" i="124"/>
  <c r="AD16" i="124"/>
  <c r="AD15" i="124"/>
  <c r="AD14" i="124"/>
  <c r="AD13" i="124"/>
  <c r="R13" i="124"/>
  <c r="AD12" i="124"/>
  <c r="U12" i="124"/>
  <c r="AD11" i="124"/>
  <c r="P11" i="124"/>
  <c r="AD10" i="124"/>
  <c r="J10" i="124"/>
  <c r="N10" i="124" s="1"/>
  <c r="AD9" i="124"/>
  <c r="J8" i="124"/>
  <c r="AD6" i="124"/>
  <c r="Q6" i="124"/>
  <c r="AD5" i="124"/>
  <c r="R5" i="124"/>
  <c r="AD4" i="124"/>
  <c r="P4" i="124"/>
  <c r="AD3" i="124"/>
  <c r="P3" i="124"/>
  <c r="AD2" i="124"/>
  <c r="A10" i="142"/>
  <c r="A11" i="142" s="1"/>
  <c r="A12" i="142" s="1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8" i="142"/>
  <c r="A9" i="142" s="1"/>
  <c r="A7" i="142"/>
  <c r="T248" i="127" l="1"/>
  <c r="CA248" i="127"/>
  <c r="BI253" i="127"/>
  <c r="CJ253" i="127"/>
  <c r="G110" i="149"/>
  <c r="BI248" i="127"/>
  <c r="AK248" i="127"/>
  <c r="AL252" i="127" s="1"/>
  <c r="AM253" i="127" s="1"/>
  <c r="CJ248" i="127"/>
  <c r="BI250" i="127"/>
  <c r="CL253" i="127"/>
  <c r="CL255" i="127" s="1"/>
  <c r="AQ253" i="127"/>
  <c r="CM253" i="127"/>
  <c r="CM255" i="127" s="1"/>
  <c r="M238" i="127"/>
  <c r="CK253" i="127"/>
  <c r="CK255" i="127" s="1"/>
  <c r="CN253" i="127"/>
  <c r="CN255" i="127" s="1"/>
  <c r="CA253" i="127"/>
  <c r="CO253" i="127"/>
  <c r="CO255" i="127" s="1"/>
  <c r="CA252" i="127"/>
  <c r="T253" i="127"/>
  <c r="CP253" i="127"/>
  <c r="CP255" i="127" s="1"/>
  <c r="BI252" i="127"/>
  <c r="AQ201" i="127"/>
  <c r="AQ239" i="127" s="1"/>
  <c r="AQ254" i="127"/>
  <c r="T250" i="127"/>
  <c r="CA250" i="127"/>
  <c r="T252" i="127"/>
  <c r="AQ252" i="127"/>
  <c r="AG3" i="124"/>
  <c r="AG16" i="124"/>
  <c r="D16" i="146" s="1"/>
  <c r="AG19" i="124"/>
  <c r="Z27" i="124"/>
  <c r="AF35" i="124"/>
  <c r="AF43" i="124"/>
  <c r="AE51" i="124"/>
  <c r="AE59" i="124"/>
  <c r="AG12" i="124"/>
  <c r="AE23" i="124"/>
  <c r="Z31" i="124"/>
  <c r="AE63" i="124"/>
  <c r="AG4" i="124"/>
  <c r="D4" i="146" s="1"/>
  <c r="AG7" i="124"/>
  <c r="Z9" i="124"/>
  <c r="Y17" i="124"/>
  <c r="Y44" i="124"/>
  <c r="AF60" i="124"/>
  <c r="AE30" i="124"/>
  <c r="AE14" i="124"/>
  <c r="AG41" i="124"/>
  <c r="D41" i="146" s="1"/>
  <c r="AG49" i="124"/>
  <c r="AE57" i="124"/>
  <c r="AF65" i="124"/>
  <c r="AE13" i="124"/>
  <c r="Z24" i="124"/>
  <c r="AE48" i="124"/>
  <c r="AE56" i="124"/>
  <c r="AF38" i="124"/>
  <c r="AE10" i="124"/>
  <c r="AG18" i="124"/>
  <c r="AG21" i="124"/>
  <c r="AE29" i="124"/>
  <c r="AF37" i="124"/>
  <c r="AF45" i="124"/>
  <c r="AG53" i="124"/>
  <c r="D53" i="146" s="1"/>
  <c r="AG25" i="124"/>
  <c r="D25" i="146" s="1"/>
  <c r="BH248" i="127"/>
  <c r="BZ253" i="127"/>
  <c r="S253" i="127"/>
  <c r="S250" i="127"/>
  <c r="BZ250" i="127"/>
  <c r="S252" i="127"/>
  <c r="BH253" i="127"/>
  <c r="BH252" i="127"/>
  <c r="BH201" i="127"/>
  <c r="BH239" i="127" s="1"/>
  <c r="BH254" i="127"/>
  <c r="BH250" i="127"/>
  <c r="BZ252" i="127"/>
  <c r="S248" i="127"/>
  <c r="BZ248" i="127"/>
  <c r="G238" i="127"/>
  <c r="O238" i="127"/>
  <c r="T195" i="127"/>
  <c r="T233" i="127" s="1"/>
  <c r="CA195" i="127"/>
  <c r="AF235" i="127"/>
  <c r="N239" i="127"/>
  <c r="AF238" i="127"/>
  <c r="K233" i="127"/>
  <c r="G234" i="127"/>
  <c r="O234" i="127"/>
  <c r="AF234" i="127"/>
  <c r="AS234" i="127"/>
  <c r="CA234" i="127"/>
  <c r="CN234" i="127"/>
  <c r="M235" i="127"/>
  <c r="I236" i="127"/>
  <c r="Q236" i="127"/>
  <c r="AH236" i="127"/>
  <c r="CP236" i="127"/>
  <c r="G237" i="127"/>
  <c r="O237" i="127"/>
  <c r="CM239" i="127"/>
  <c r="I234" i="127"/>
  <c r="Q234" i="127"/>
  <c r="AH234" i="127"/>
  <c r="CP234" i="127"/>
  <c r="G235" i="127"/>
  <c r="O235" i="127"/>
  <c r="K236" i="127"/>
  <c r="CJ236" i="127"/>
  <c r="I237" i="127"/>
  <c r="Q237" i="127"/>
  <c r="Y239" i="127"/>
  <c r="AG239" i="127"/>
  <c r="AH237" i="127"/>
  <c r="AR233" i="127"/>
  <c r="T224" i="127"/>
  <c r="H234" i="127"/>
  <c r="P234" i="127"/>
  <c r="Y234" i="127"/>
  <c r="AG234" i="127"/>
  <c r="AT234" i="127"/>
  <c r="CO234" i="127"/>
  <c r="N235" i="127"/>
  <c r="AE52" i="124"/>
  <c r="S21" i="126" a="1"/>
  <c r="S21" i="126" s="1"/>
  <c r="G24" i="114"/>
  <c r="P27" i="114"/>
  <c r="H27" i="126" a="1"/>
  <c r="H27" i="126" s="1"/>
  <c r="U26" i="126" a="1"/>
  <c r="U26" i="126" s="1"/>
  <c r="I110" i="149"/>
  <c r="I126" i="149" s="1"/>
  <c r="I251" i="149" s="1"/>
  <c r="G139" i="149"/>
  <c r="H14" i="126" a="1"/>
  <c r="H14" i="126" s="1"/>
  <c r="F24" i="126" a="1"/>
  <c r="F24" i="126" s="1"/>
  <c r="H21" i="126" a="1"/>
  <c r="H21" i="126" s="1"/>
  <c r="G22" i="114"/>
  <c r="F13" i="126" s="1" a="1"/>
  <c r="F13" i="126" s="1"/>
  <c r="Q34" i="114"/>
  <c r="S18" i="126" s="1" a="1"/>
  <c r="S18" i="126" s="1"/>
  <c r="Q29" i="114"/>
  <c r="U15" i="126" s="1" a="1"/>
  <c r="U15" i="126" s="1"/>
  <c r="Q26" i="114"/>
  <c r="U14" i="126" s="1" a="1"/>
  <c r="U14" i="126" s="1"/>
  <c r="Q24" i="114"/>
  <c r="Q22" i="114"/>
  <c r="S13" i="126" s="1" a="1"/>
  <c r="S13" i="126" s="1"/>
  <c r="Q20" i="114"/>
  <c r="U12" i="126" s="1" a="1"/>
  <c r="U12" i="126" s="1"/>
  <c r="U2" i="124" s="1"/>
  <c r="Q18" i="114"/>
  <c r="Q16" i="114"/>
  <c r="S11" i="126" s="1" a="1"/>
  <c r="S11" i="126" s="1"/>
  <c r="Q14" i="114"/>
  <c r="Q12" i="114"/>
  <c r="Q10" i="114"/>
  <c r="S9" i="126" s="1" a="1"/>
  <c r="S9" i="126" s="1"/>
  <c r="Q8" i="114"/>
  <c r="U8" i="126" s="1" a="1"/>
  <c r="U8" i="126" s="1"/>
  <c r="P29" i="114"/>
  <c r="R15" i="126" s="1" a="1"/>
  <c r="R15" i="126" s="1"/>
  <c r="P26" i="114"/>
  <c r="R14" i="126" s="1" a="1"/>
  <c r="R14" i="126" s="1"/>
  <c r="P24" i="114"/>
  <c r="P22" i="114"/>
  <c r="P20" i="114"/>
  <c r="R12" i="126" s="1" a="1"/>
  <c r="R12" i="126" s="1"/>
  <c r="P18" i="114"/>
  <c r="P16" i="114"/>
  <c r="P14" i="114"/>
  <c r="R10" i="126" s="1" a="1"/>
  <c r="R10" i="126" s="1"/>
  <c r="P12" i="114"/>
  <c r="P10" i="114"/>
  <c r="P9" i="126" s="1" a="1"/>
  <c r="P9" i="126" s="1"/>
  <c r="P8" i="114"/>
  <c r="R8" i="126" s="1" a="1"/>
  <c r="R8" i="126" s="1"/>
  <c r="Q28" i="114"/>
  <c r="Q27" i="114"/>
  <c r="P25" i="114"/>
  <c r="P23" i="114"/>
  <c r="R13" i="126" s="1" a="1"/>
  <c r="R13" i="126" s="1"/>
  <c r="P21" i="114"/>
  <c r="P19" i="114"/>
  <c r="P12" i="126" s="1" a="1"/>
  <c r="P12" i="126" s="1"/>
  <c r="Q12" i="126" s="1"/>
  <c r="P17" i="114"/>
  <c r="R11" i="126" s="1" a="1"/>
  <c r="R11" i="126" s="1"/>
  <c r="P15" i="114"/>
  <c r="P13" i="114"/>
  <c r="P10" i="126" s="1" a="1"/>
  <c r="P10" i="126" s="1"/>
  <c r="P11" i="114"/>
  <c r="P9" i="114"/>
  <c r="P7" i="114"/>
  <c r="P8" i="126" s="1" a="1"/>
  <c r="P8" i="126" s="1"/>
  <c r="G64" i="114"/>
  <c r="F28" i="126" s="1" a="1"/>
  <c r="F28" i="126" s="1"/>
  <c r="G40" i="114"/>
  <c r="F20" i="126" s="1" a="1"/>
  <c r="F20" i="126" s="1"/>
  <c r="G60" i="114"/>
  <c r="G56" i="114"/>
  <c r="G46" i="114"/>
  <c r="F22" i="126" s="1" a="1"/>
  <c r="F22" i="126" s="1"/>
  <c r="G34" i="114"/>
  <c r="F18" i="126" s="1" a="1"/>
  <c r="F18" i="126" s="1"/>
  <c r="G33" i="114"/>
  <c r="G31" i="114"/>
  <c r="F17" i="126" s="1" a="1"/>
  <c r="F17" i="126" s="1"/>
  <c r="G32" i="114"/>
  <c r="H17" i="126" s="1" a="1"/>
  <c r="H17" i="126" s="1"/>
  <c r="R62" i="149"/>
  <c r="C99" i="149"/>
  <c r="K99" i="149"/>
  <c r="H139" i="149"/>
  <c r="O132" i="149"/>
  <c r="O164" i="149"/>
  <c r="O180" i="149"/>
  <c r="O191" i="149"/>
  <c r="O201" i="149"/>
  <c r="O205" i="149"/>
  <c r="O152" i="108"/>
  <c r="O160" i="108"/>
  <c r="C100" i="80"/>
  <c r="C114" i="80" s="1"/>
  <c r="G8" i="114"/>
  <c r="H8" i="126" s="1" a="1"/>
  <c r="H8" i="126" s="1"/>
  <c r="G10" i="114"/>
  <c r="F9" i="126" s="1" a="1"/>
  <c r="F9" i="126" s="1"/>
  <c r="G12" i="114"/>
  <c r="G14" i="114"/>
  <c r="H10" i="126" s="1" a="1"/>
  <c r="H10" i="126" s="1"/>
  <c r="G16" i="114"/>
  <c r="F11" i="126" s="1" a="1"/>
  <c r="F11" i="126" s="1"/>
  <c r="G18" i="114"/>
  <c r="G20" i="114"/>
  <c r="H12" i="126" s="1" a="1"/>
  <c r="H12" i="126" s="1"/>
  <c r="Q25" i="114"/>
  <c r="S14" i="126" s="1" a="1"/>
  <c r="S14" i="126" s="1"/>
  <c r="V15" i="124" s="1"/>
  <c r="Q33" i="114"/>
  <c r="H243" i="149"/>
  <c r="D243" i="149"/>
  <c r="L243" i="149"/>
  <c r="G99" i="148"/>
  <c r="G113" i="148" s="1"/>
  <c r="G222" i="148" s="1"/>
  <c r="O24" i="148"/>
  <c r="I126" i="148"/>
  <c r="J139" i="108"/>
  <c r="L100" i="80"/>
  <c r="Q23" i="114"/>
  <c r="U13" i="126" s="1" a="1"/>
  <c r="U13" i="126" s="1"/>
  <c r="X13" i="126" s="1"/>
  <c r="G29" i="114"/>
  <c r="H15" i="126" s="1" a="1"/>
  <c r="H15" i="126" s="1"/>
  <c r="G36" i="114"/>
  <c r="Q49" i="114"/>
  <c r="S23" i="126" s="1" a="1"/>
  <c r="S23" i="126" s="1"/>
  <c r="F139" i="149"/>
  <c r="N139" i="149"/>
  <c r="N148" i="149"/>
  <c r="H221" i="149"/>
  <c r="H227" i="149" s="1"/>
  <c r="F225" i="149"/>
  <c r="N225" i="149"/>
  <c r="C15" i="126" a="1"/>
  <c r="C15" i="126" s="1"/>
  <c r="P14" i="126" a="1"/>
  <c r="P14" i="126" s="1"/>
  <c r="P13" i="126" a="1"/>
  <c r="P13" i="126" s="1"/>
  <c r="U10" i="126" a="1"/>
  <c r="U10" i="126" s="1"/>
  <c r="U42" i="124" s="1"/>
  <c r="U9" i="126" a="1"/>
  <c r="U9" i="126" s="1"/>
  <c r="S25" i="126" a="1"/>
  <c r="S25" i="126" s="1"/>
  <c r="P11" i="126" a="1"/>
  <c r="P11" i="126" s="1"/>
  <c r="R9" i="126" a="1"/>
  <c r="R9" i="126" s="1"/>
  <c r="Q21" i="114"/>
  <c r="F28" i="114"/>
  <c r="Q32" i="114"/>
  <c r="U17" i="126" s="1" a="1"/>
  <c r="U17" i="126" s="1"/>
  <c r="G38" i="114"/>
  <c r="H19" i="126" s="1" a="1"/>
  <c r="H19" i="126" s="1"/>
  <c r="G48" i="114"/>
  <c r="K139" i="149"/>
  <c r="O137" i="149"/>
  <c r="C148" i="149"/>
  <c r="K148" i="149"/>
  <c r="O147" i="149"/>
  <c r="F195" i="149"/>
  <c r="N195" i="149"/>
  <c r="U18" i="126" a="1"/>
  <c r="U18" i="126" s="1"/>
  <c r="H25" i="126" a="1"/>
  <c r="H25" i="126" s="1"/>
  <c r="Q7" i="114"/>
  <c r="S8" i="126" s="1" a="1"/>
  <c r="S8" i="126" s="1"/>
  <c r="Q9" i="114"/>
  <c r="Q11" i="114"/>
  <c r="Q13" i="114"/>
  <c r="S10" i="126" s="1" a="1"/>
  <c r="S10" i="126" s="1"/>
  <c r="Q15" i="114"/>
  <c r="Q17" i="114"/>
  <c r="U11" i="126" s="1" a="1"/>
  <c r="U11" i="126" s="1"/>
  <c r="X11" i="126" s="1"/>
  <c r="Q7" i="124" s="1"/>
  <c r="Q19" i="114"/>
  <c r="S12" i="126" s="1" a="1"/>
  <c r="S12" i="126" s="1"/>
  <c r="G30" i="114"/>
  <c r="Q65" i="114"/>
  <c r="U28" i="126" s="1" a="1"/>
  <c r="U28" i="126" s="1"/>
  <c r="Q61" i="114"/>
  <c r="S27" i="126" s="1" a="1"/>
  <c r="S27" i="126" s="1"/>
  <c r="Q47" i="114"/>
  <c r="U22" i="126" s="1" a="1"/>
  <c r="U22" i="126" s="1"/>
  <c r="Q41" i="114"/>
  <c r="U20" i="126" s="1" a="1"/>
  <c r="U20" i="126" s="1"/>
  <c r="Q35" i="114"/>
  <c r="Q57" i="114"/>
  <c r="Q53" i="114"/>
  <c r="U24" i="126" s="1" a="1"/>
  <c r="U24" i="126" s="1"/>
  <c r="Q37" i="114"/>
  <c r="S19" i="126" s="1" a="1"/>
  <c r="S19" i="126" s="1"/>
  <c r="Q63" i="114"/>
  <c r="Q45" i="114"/>
  <c r="Q39" i="114"/>
  <c r="J99" i="149"/>
  <c r="G99" i="149"/>
  <c r="F110" i="149"/>
  <c r="O233" i="149"/>
  <c r="O242" i="149"/>
  <c r="I195" i="108"/>
  <c r="S15" i="126" a="1"/>
  <c r="S15" i="126" s="1"/>
  <c r="T15" i="126" s="1"/>
  <c r="G25" i="114"/>
  <c r="F14" i="126" s="1" a="1"/>
  <c r="F14" i="126" s="1"/>
  <c r="G23" i="114"/>
  <c r="H13" i="126" s="1" a="1"/>
  <c r="H13" i="126" s="1"/>
  <c r="G21" i="114"/>
  <c r="G19" i="114"/>
  <c r="F12" i="126" s="1" a="1"/>
  <c r="F12" i="126" s="1"/>
  <c r="G17" i="114"/>
  <c r="H11" i="126" s="1" a="1"/>
  <c r="H11" i="126" s="1"/>
  <c r="G15" i="114"/>
  <c r="G13" i="114"/>
  <c r="F10" i="126" s="1" a="1"/>
  <c r="F10" i="126" s="1"/>
  <c r="G11" i="114"/>
  <c r="H9" i="126" s="1" a="1"/>
  <c r="H9" i="126" s="1"/>
  <c r="G9" i="114"/>
  <c r="G7" i="114"/>
  <c r="F8" i="126" s="1" a="1"/>
  <c r="F8" i="126" s="1"/>
  <c r="F25" i="114"/>
  <c r="C14" i="126" s="1" a="1"/>
  <c r="C14" i="126" s="1"/>
  <c r="F23" i="114"/>
  <c r="E13" i="126" s="1" a="1"/>
  <c r="E13" i="126" s="1"/>
  <c r="F21" i="114"/>
  <c r="F19" i="114"/>
  <c r="C12" i="126" s="1" a="1"/>
  <c r="C12" i="126" s="1"/>
  <c r="F17" i="114"/>
  <c r="E11" i="126" s="1" a="1"/>
  <c r="E11" i="126" s="1"/>
  <c r="F15" i="114"/>
  <c r="F13" i="114"/>
  <c r="C10" i="126" s="1" a="1"/>
  <c r="C10" i="126" s="1"/>
  <c r="F11" i="114"/>
  <c r="E9" i="126" s="1" a="1"/>
  <c r="E9" i="126" s="1"/>
  <c r="F9" i="114"/>
  <c r="F7" i="114"/>
  <c r="C8" i="126" s="1" a="1"/>
  <c r="C8" i="126" s="1"/>
  <c r="F30" i="114"/>
  <c r="G28" i="114"/>
  <c r="F15" i="126" s="1" a="1"/>
  <c r="F15" i="126" s="1"/>
  <c r="I15" i="126" s="1"/>
  <c r="F26" i="114"/>
  <c r="E14" i="126" s="1" a="1"/>
  <c r="E14" i="126" s="1"/>
  <c r="K14" i="126" s="1"/>
  <c r="F24" i="114"/>
  <c r="F22" i="114"/>
  <c r="C13" i="126" s="1" a="1"/>
  <c r="C13" i="126" s="1"/>
  <c r="F20" i="114"/>
  <c r="E12" i="126" s="1" a="1"/>
  <c r="E12" i="126" s="1"/>
  <c r="F18" i="114"/>
  <c r="F16" i="114"/>
  <c r="C11" i="126" s="1" a="1"/>
  <c r="C11" i="126" s="1"/>
  <c r="F14" i="114"/>
  <c r="E10" i="126" s="1" a="1"/>
  <c r="E10" i="126" s="1"/>
  <c r="K10" i="126" s="1"/>
  <c r="F12" i="114"/>
  <c r="F10" i="114"/>
  <c r="C9" i="126" s="1" a="1"/>
  <c r="C9" i="126" s="1"/>
  <c r="F8" i="114"/>
  <c r="E8" i="126" s="1" a="1"/>
  <c r="E8" i="126" s="1"/>
  <c r="H99" i="149"/>
  <c r="H126" i="149" s="1"/>
  <c r="H251" i="149" s="1"/>
  <c r="K227" i="149"/>
  <c r="D150" i="81"/>
  <c r="L150" i="81"/>
  <c r="C237" i="81"/>
  <c r="AE193" i="127"/>
  <c r="AX193" i="127"/>
  <c r="BF193" i="127"/>
  <c r="BT193" i="127"/>
  <c r="D99" i="149"/>
  <c r="L99" i="149"/>
  <c r="R97" i="149"/>
  <c r="J206" i="149"/>
  <c r="C238" i="108"/>
  <c r="M215" i="107"/>
  <c r="O98" i="80"/>
  <c r="J183" i="80"/>
  <c r="O188" i="80"/>
  <c r="O192" i="80"/>
  <c r="N112" i="111"/>
  <c r="O111" i="111"/>
  <c r="G186" i="149"/>
  <c r="O154" i="149"/>
  <c r="O155" i="149"/>
  <c r="O158" i="149"/>
  <c r="O162" i="149"/>
  <c r="O165" i="149"/>
  <c r="O170" i="149"/>
  <c r="O171" i="149"/>
  <c r="O174" i="149"/>
  <c r="O178" i="149"/>
  <c r="O181" i="149"/>
  <c r="O182" i="149"/>
  <c r="O193" i="149"/>
  <c r="E221" i="149"/>
  <c r="K225" i="149"/>
  <c r="U62" i="148"/>
  <c r="V62" i="148" s="1"/>
  <c r="I234" i="108"/>
  <c r="J234" i="108"/>
  <c r="R115" i="108"/>
  <c r="O115" i="108"/>
  <c r="O119" i="108" s="1"/>
  <c r="J195" i="108"/>
  <c r="E227" i="108"/>
  <c r="M227" i="108"/>
  <c r="N248" i="81"/>
  <c r="G27" i="114"/>
  <c r="E148" i="149"/>
  <c r="M148" i="149"/>
  <c r="F221" i="149"/>
  <c r="F227" i="149" s="1"/>
  <c r="J221" i="149"/>
  <c r="J227" i="149" s="1"/>
  <c r="L225" i="149"/>
  <c r="L227" i="149" s="1"/>
  <c r="O15" i="149"/>
  <c r="O124" i="149"/>
  <c r="J139" i="149"/>
  <c r="I195" i="149"/>
  <c r="O199" i="149"/>
  <c r="O203" i="149"/>
  <c r="O219" i="149"/>
  <c r="O237" i="149"/>
  <c r="N99" i="148"/>
  <c r="H182" i="148"/>
  <c r="E199" i="148"/>
  <c r="M199" i="148"/>
  <c r="C99" i="108"/>
  <c r="C126" i="108" s="1"/>
  <c r="K99" i="108"/>
  <c r="K126" i="108" s="1"/>
  <c r="K234" i="108"/>
  <c r="O126" i="81"/>
  <c r="O132" i="81"/>
  <c r="O136" i="81"/>
  <c r="G150" i="81"/>
  <c r="O149" i="81"/>
  <c r="E243" i="149"/>
  <c r="M243" i="149"/>
  <c r="H99" i="148"/>
  <c r="H113" i="148" s="1"/>
  <c r="H222" i="148" s="1"/>
  <c r="N112" i="148"/>
  <c r="F126" i="148"/>
  <c r="N126" i="148"/>
  <c r="J135" i="148"/>
  <c r="F173" i="148"/>
  <c r="N173" i="148"/>
  <c r="F182" i="148"/>
  <c r="N182" i="148"/>
  <c r="O186" i="148"/>
  <c r="O187" i="148"/>
  <c r="O188" i="148"/>
  <c r="O190" i="148"/>
  <c r="O191" i="148"/>
  <c r="O192" i="148"/>
  <c r="G199" i="148"/>
  <c r="O196" i="148"/>
  <c r="J203" i="148"/>
  <c r="F209" i="148"/>
  <c r="F215" i="148" s="1"/>
  <c r="N209" i="148"/>
  <c r="N215" i="148" s="1"/>
  <c r="C213" i="148"/>
  <c r="K213" i="148"/>
  <c r="K215" i="148" s="1"/>
  <c r="O212" i="148"/>
  <c r="E99" i="108"/>
  <c r="E126" i="108" s="1"/>
  <c r="M99" i="108"/>
  <c r="M126" i="108" s="1"/>
  <c r="O71" i="108"/>
  <c r="R87" i="108"/>
  <c r="J110" i="108"/>
  <c r="O130" i="108"/>
  <c r="O131" i="108"/>
  <c r="O138" i="108"/>
  <c r="O144" i="108"/>
  <c r="O145" i="108"/>
  <c r="G195" i="108"/>
  <c r="O194" i="108"/>
  <c r="E206" i="108"/>
  <c r="M206" i="108"/>
  <c r="E238" i="108"/>
  <c r="O242" i="108"/>
  <c r="F99" i="107"/>
  <c r="F113" i="107" s="1"/>
  <c r="F222" i="107" s="1"/>
  <c r="N99" i="107"/>
  <c r="N113" i="107" s="1"/>
  <c r="N222" i="107" s="1"/>
  <c r="I99" i="107"/>
  <c r="E126" i="107"/>
  <c r="E215" i="107"/>
  <c r="R24" i="81"/>
  <c r="R62" i="81"/>
  <c r="I100" i="80"/>
  <c r="I114" i="80" s="1"/>
  <c r="I230" i="80" s="1"/>
  <c r="O141" i="80"/>
  <c r="O142" i="80"/>
  <c r="O154" i="80"/>
  <c r="O161" i="80"/>
  <c r="O162" i="80"/>
  <c r="O165" i="80"/>
  <c r="O169" i="80"/>
  <c r="O173" i="80"/>
  <c r="O179" i="80"/>
  <c r="O182" i="80"/>
  <c r="O193" i="80"/>
  <c r="I99" i="148"/>
  <c r="U24" i="148"/>
  <c r="V24" i="148" s="1"/>
  <c r="J111" i="148"/>
  <c r="J113" i="148" s="1"/>
  <c r="J222" i="148" s="1"/>
  <c r="G112" i="148"/>
  <c r="G126" i="148"/>
  <c r="O116" i="148"/>
  <c r="O117" i="148"/>
  <c r="O118" i="148"/>
  <c r="O120" i="148"/>
  <c r="O121" i="148"/>
  <c r="O122" i="148"/>
  <c r="O124" i="148"/>
  <c r="O125" i="148"/>
  <c r="O128" i="148"/>
  <c r="O130" i="148"/>
  <c r="O132" i="148"/>
  <c r="O134" i="148"/>
  <c r="G173" i="148"/>
  <c r="O138" i="148"/>
  <c r="O142" i="148"/>
  <c r="O146" i="148"/>
  <c r="O150" i="148"/>
  <c r="O154" i="148"/>
  <c r="O158" i="148"/>
  <c r="O162" i="148"/>
  <c r="O166" i="148"/>
  <c r="O170" i="148"/>
  <c r="O176" i="148"/>
  <c r="O178" i="148"/>
  <c r="O179" i="148"/>
  <c r="O180" i="148"/>
  <c r="F99" i="108"/>
  <c r="F126" i="108" s="1"/>
  <c r="N99" i="108"/>
  <c r="N126" i="108" s="1"/>
  <c r="R108" i="108"/>
  <c r="O133" i="108"/>
  <c r="H139" i="108"/>
  <c r="L148" i="108"/>
  <c r="O200" i="108"/>
  <c r="F238" i="108"/>
  <c r="J99" i="107"/>
  <c r="C112" i="107"/>
  <c r="C111" i="107"/>
  <c r="K112" i="107"/>
  <c r="F215" i="107"/>
  <c r="O112" i="81"/>
  <c r="O140" i="80"/>
  <c r="O144" i="80"/>
  <c r="O152" i="80"/>
  <c r="O156" i="80"/>
  <c r="O164" i="80"/>
  <c r="O172" i="80"/>
  <c r="O104" i="148"/>
  <c r="H112" i="148"/>
  <c r="H126" i="148"/>
  <c r="D135" i="148"/>
  <c r="L135" i="148"/>
  <c r="H135" i="148"/>
  <c r="H173" i="148"/>
  <c r="D203" i="148"/>
  <c r="L203" i="148"/>
  <c r="H209" i="148"/>
  <c r="O209" i="148" s="1"/>
  <c r="E213" i="148"/>
  <c r="M213" i="148"/>
  <c r="R97" i="108"/>
  <c r="I139" i="108"/>
  <c r="E148" i="108"/>
  <c r="M148" i="108"/>
  <c r="I148" i="108"/>
  <c r="K206" i="108"/>
  <c r="G206" i="108"/>
  <c r="I243" i="108"/>
  <c r="E243" i="108"/>
  <c r="M243" i="108"/>
  <c r="M237" i="81"/>
  <c r="K237" i="81"/>
  <c r="O105" i="80"/>
  <c r="C223" i="80"/>
  <c r="C99" i="148"/>
  <c r="K99" i="148"/>
  <c r="K113" i="148" s="1"/>
  <c r="K222" i="148" s="1"/>
  <c r="D111" i="148"/>
  <c r="L111" i="148"/>
  <c r="E135" i="148"/>
  <c r="E205" i="148" s="1"/>
  <c r="E217" i="148" s="1"/>
  <c r="M135" i="148"/>
  <c r="I173" i="148"/>
  <c r="I182" i="148"/>
  <c r="E193" i="148"/>
  <c r="J199" i="148"/>
  <c r="F199" i="148"/>
  <c r="N199" i="148"/>
  <c r="E203" i="148"/>
  <c r="M203" i="148"/>
  <c r="H99" i="108"/>
  <c r="H126" i="108" s="1"/>
  <c r="R93" i="108"/>
  <c r="O116" i="108"/>
  <c r="O129" i="108"/>
  <c r="O137" i="108"/>
  <c r="O147" i="108"/>
  <c r="J186" i="108"/>
  <c r="O153" i="108"/>
  <c r="O161" i="108"/>
  <c r="O173" i="108"/>
  <c r="O185" i="108"/>
  <c r="N225" i="108"/>
  <c r="J225" i="108"/>
  <c r="N232" i="108"/>
  <c r="K111" i="107"/>
  <c r="O134" i="107"/>
  <c r="O188" i="107"/>
  <c r="O189" i="107"/>
  <c r="O192" i="107"/>
  <c r="C235" i="81"/>
  <c r="U15" i="148"/>
  <c r="V15" i="148" s="1"/>
  <c r="L99" i="148"/>
  <c r="L113" i="148" s="1"/>
  <c r="L222" i="148" s="1"/>
  <c r="E111" i="148"/>
  <c r="M111" i="148"/>
  <c r="O185" i="148"/>
  <c r="O189" i="148"/>
  <c r="O195" i="148"/>
  <c r="O197" i="148"/>
  <c r="J215" i="148"/>
  <c r="I99" i="108"/>
  <c r="I126" i="108" s="1"/>
  <c r="N110" i="108"/>
  <c r="O124" i="108"/>
  <c r="O142" i="108"/>
  <c r="G148" i="108"/>
  <c r="O150" i="108"/>
  <c r="O157" i="108"/>
  <c r="O158" i="108"/>
  <c r="O178" i="108"/>
  <c r="O182" i="108"/>
  <c r="O210" i="108"/>
  <c r="H111" i="107"/>
  <c r="M126" i="107"/>
  <c r="O143" i="107"/>
  <c r="O144" i="107"/>
  <c r="O147" i="107"/>
  <c r="O152" i="107"/>
  <c r="O155" i="107"/>
  <c r="O156" i="107"/>
  <c r="O163" i="107"/>
  <c r="O164" i="107"/>
  <c r="O171" i="107"/>
  <c r="O179" i="107"/>
  <c r="O202" i="107"/>
  <c r="O203" i="81"/>
  <c r="O207" i="81"/>
  <c r="O244" i="81"/>
  <c r="I225" i="149"/>
  <c r="I227" i="149" s="1"/>
  <c r="J243" i="149"/>
  <c r="O62" i="148"/>
  <c r="O97" i="148"/>
  <c r="O109" i="148"/>
  <c r="K112" i="148"/>
  <c r="O115" i="148"/>
  <c r="O119" i="148"/>
  <c r="O123" i="148"/>
  <c r="O129" i="148"/>
  <c r="O131" i="148"/>
  <c r="O133" i="148"/>
  <c r="O137" i="148"/>
  <c r="O139" i="148"/>
  <c r="O140" i="148"/>
  <c r="O141" i="148"/>
  <c r="O143" i="148"/>
  <c r="O144" i="148"/>
  <c r="O145" i="148"/>
  <c r="O148" i="148"/>
  <c r="O149" i="148"/>
  <c r="O152" i="148"/>
  <c r="O153" i="148"/>
  <c r="O155" i="148"/>
  <c r="O156" i="148"/>
  <c r="O157" i="148"/>
  <c r="O159" i="148"/>
  <c r="O160" i="148"/>
  <c r="O161" i="148"/>
  <c r="O163" i="148"/>
  <c r="O164" i="148"/>
  <c r="O165" i="148"/>
  <c r="O167" i="148"/>
  <c r="O168" i="148"/>
  <c r="O169" i="148"/>
  <c r="O171" i="148"/>
  <c r="O172" i="148"/>
  <c r="O182" i="148"/>
  <c r="O177" i="148"/>
  <c r="O181" i="148"/>
  <c r="O201" i="148"/>
  <c r="O203" i="148" s="1"/>
  <c r="O202" i="148"/>
  <c r="O208" i="148"/>
  <c r="O15" i="108"/>
  <c r="J99" i="108"/>
  <c r="J126" i="108" s="1"/>
  <c r="R71" i="108"/>
  <c r="O93" i="108"/>
  <c r="G99" i="108"/>
  <c r="G126" i="108" s="1"/>
  <c r="G110" i="108"/>
  <c r="R113" i="108"/>
  <c r="H148" i="108"/>
  <c r="O156" i="108"/>
  <c r="O164" i="108"/>
  <c r="O168" i="108"/>
  <c r="O172" i="108"/>
  <c r="O176" i="108"/>
  <c r="O199" i="108"/>
  <c r="O203" i="108"/>
  <c r="J221" i="108"/>
  <c r="F221" i="108"/>
  <c r="N221" i="108"/>
  <c r="N227" i="108" s="1"/>
  <c r="H225" i="108"/>
  <c r="H227" i="108" s="1"/>
  <c r="O93" i="107"/>
  <c r="F126" i="107"/>
  <c r="O121" i="81"/>
  <c r="J141" i="81"/>
  <c r="D197" i="81"/>
  <c r="L197" i="81"/>
  <c r="O212" i="81"/>
  <c r="H112" i="80"/>
  <c r="O196" i="80"/>
  <c r="CO88" i="127"/>
  <c r="AS88" i="127"/>
  <c r="AF93" i="127"/>
  <c r="D99" i="107"/>
  <c r="D113" i="107" s="1"/>
  <c r="D222" i="107" s="1"/>
  <c r="L99" i="107"/>
  <c r="L113" i="107" s="1"/>
  <c r="L222" i="107" s="1"/>
  <c r="G99" i="107"/>
  <c r="K126" i="107"/>
  <c r="D182" i="107"/>
  <c r="L182" i="107"/>
  <c r="C193" i="107"/>
  <c r="I199" i="107"/>
  <c r="L112" i="81"/>
  <c r="I141" i="81"/>
  <c r="D188" i="81"/>
  <c r="L188" i="81"/>
  <c r="O194" i="81"/>
  <c r="H220" i="81"/>
  <c r="J235" i="81"/>
  <c r="F235" i="81"/>
  <c r="N235" i="81"/>
  <c r="N237" i="81" s="1"/>
  <c r="J100" i="80"/>
  <c r="E100" i="80"/>
  <c r="E114" i="80" s="1"/>
  <c r="E230" i="80" s="1"/>
  <c r="O118" i="80"/>
  <c r="J136" i="80"/>
  <c r="E183" i="80"/>
  <c r="M183" i="80"/>
  <c r="O191" i="80"/>
  <c r="O195" i="80"/>
  <c r="O202" i="80"/>
  <c r="F210" i="80"/>
  <c r="N210" i="80"/>
  <c r="J210" i="80"/>
  <c r="CN17" i="127"/>
  <c r="AS197" i="127"/>
  <c r="AQ215" i="127"/>
  <c r="BL215" i="127"/>
  <c r="CL215" i="127"/>
  <c r="CP88" i="127"/>
  <c r="CP190" i="127" s="1"/>
  <c r="AG93" i="127"/>
  <c r="J243" i="108"/>
  <c r="M99" i="107"/>
  <c r="H99" i="107"/>
  <c r="F135" i="107"/>
  <c r="N135" i="107"/>
  <c r="O132" i="107"/>
  <c r="I173" i="107"/>
  <c r="I182" i="107"/>
  <c r="M182" i="107"/>
  <c r="D203" i="107"/>
  <c r="L203" i="107"/>
  <c r="H203" i="107"/>
  <c r="I209" i="107"/>
  <c r="J100" i="81"/>
  <c r="O24" i="81"/>
  <c r="R88" i="81"/>
  <c r="R94" i="81"/>
  <c r="H112" i="81"/>
  <c r="O110" i="81"/>
  <c r="J150" i="81"/>
  <c r="E188" i="81"/>
  <c r="M188" i="81"/>
  <c r="O176" i="81"/>
  <c r="H197" i="81"/>
  <c r="C214" i="81"/>
  <c r="K214" i="81"/>
  <c r="O202" i="81"/>
  <c r="O206" i="81"/>
  <c r="G231" i="81"/>
  <c r="G237" i="81" s="1"/>
  <c r="O247" i="81"/>
  <c r="G253" i="81"/>
  <c r="O252" i="81"/>
  <c r="K253" i="81"/>
  <c r="K100" i="80"/>
  <c r="K114" i="80" s="1"/>
  <c r="K230" i="80" s="1"/>
  <c r="D112" i="80"/>
  <c r="L112" i="80"/>
  <c r="J113" i="80"/>
  <c r="G127" i="80"/>
  <c r="C127" i="80"/>
  <c r="O122" i="80"/>
  <c r="O123" i="80"/>
  <c r="O126" i="80"/>
  <c r="O131" i="80"/>
  <c r="O132" i="80"/>
  <c r="O203" i="80"/>
  <c r="O209" i="80"/>
  <c r="J217" i="80"/>
  <c r="J223" i="80" s="1"/>
  <c r="U17" i="127"/>
  <c r="CB17" i="127"/>
  <c r="CO17" i="127"/>
  <c r="J182" i="107"/>
  <c r="O180" i="107"/>
  <c r="O190" i="107"/>
  <c r="O191" i="107"/>
  <c r="E203" i="107"/>
  <c r="M203" i="107"/>
  <c r="I203" i="107"/>
  <c r="J209" i="107"/>
  <c r="J215" i="107" s="1"/>
  <c r="F213" i="107"/>
  <c r="N213" i="107"/>
  <c r="N215" i="107" s="1"/>
  <c r="J213" i="107"/>
  <c r="O94" i="81"/>
  <c r="N112" i="81"/>
  <c r="R112" i="81" s="1"/>
  <c r="G141" i="81"/>
  <c r="O137" i="81"/>
  <c r="O146" i="81"/>
  <c r="O147" i="81"/>
  <c r="H214" i="81"/>
  <c r="O200" i="81"/>
  <c r="L214" i="81"/>
  <c r="O204" i="81"/>
  <c r="O208" i="81"/>
  <c r="O211" i="81"/>
  <c r="F220" i="81"/>
  <c r="N220" i="81"/>
  <c r="H231" i="81"/>
  <c r="D231" i="81"/>
  <c r="L231" i="81"/>
  <c r="L235" i="81"/>
  <c r="O235" i="81" s="1"/>
  <c r="I248" i="81"/>
  <c r="O73" i="80"/>
  <c r="H127" i="80"/>
  <c r="O117" i="80"/>
  <c r="O125" i="80"/>
  <c r="L136" i="80"/>
  <c r="G174" i="80"/>
  <c r="K174" i="80"/>
  <c r="O148" i="80"/>
  <c r="O159" i="80"/>
  <c r="O160" i="80"/>
  <c r="O163" i="80"/>
  <c r="O168" i="80"/>
  <c r="O177" i="80"/>
  <c r="H210" i="80"/>
  <c r="O216" i="80"/>
  <c r="C221" i="80"/>
  <c r="K221" i="80"/>
  <c r="K223" i="80" s="1"/>
  <c r="BB130" i="127"/>
  <c r="BP104" i="127"/>
  <c r="BX104" i="127"/>
  <c r="CL67" i="127"/>
  <c r="D135" i="107"/>
  <c r="L135" i="107"/>
  <c r="C173" i="107"/>
  <c r="K173" i="107"/>
  <c r="O138" i="107"/>
  <c r="O141" i="107"/>
  <c r="O142" i="107"/>
  <c r="O149" i="107"/>
  <c r="O150" i="107"/>
  <c r="O161" i="107"/>
  <c r="O162" i="107"/>
  <c r="O165" i="107"/>
  <c r="K182" i="107"/>
  <c r="O181" i="107"/>
  <c r="D199" i="107"/>
  <c r="L199" i="107"/>
  <c r="F203" i="107"/>
  <c r="N203" i="107"/>
  <c r="K209" i="107"/>
  <c r="O211" i="107"/>
  <c r="C213" i="107"/>
  <c r="O213" i="107" s="1"/>
  <c r="K213" i="107"/>
  <c r="D100" i="81"/>
  <c r="L100" i="81"/>
  <c r="J112" i="81"/>
  <c r="H150" i="81"/>
  <c r="G188" i="81"/>
  <c r="O159" i="81"/>
  <c r="O163" i="81"/>
  <c r="O167" i="81"/>
  <c r="O171" i="81"/>
  <c r="O175" i="81"/>
  <c r="F197" i="81"/>
  <c r="N197" i="81"/>
  <c r="I214" i="81"/>
  <c r="G220" i="81"/>
  <c r="E235" i="81"/>
  <c r="E237" i="81" s="1"/>
  <c r="M235" i="81"/>
  <c r="I235" i="81"/>
  <c r="I237" i="81" s="1"/>
  <c r="I253" i="81"/>
  <c r="E113" i="80"/>
  <c r="I127" i="80"/>
  <c r="E136" i="80"/>
  <c r="M136" i="80"/>
  <c r="H174" i="80"/>
  <c r="O187" i="80"/>
  <c r="O190" i="80"/>
  <c r="O198" i="80"/>
  <c r="J206" i="80"/>
  <c r="I210" i="80"/>
  <c r="BQ174" i="127"/>
  <c r="BQ181" i="127" s="1"/>
  <c r="BY174" i="127"/>
  <c r="BY181" i="127" s="1"/>
  <c r="CM67" i="127"/>
  <c r="CC109" i="127"/>
  <c r="CP109" i="127"/>
  <c r="CP115" i="127" s="1"/>
  <c r="E111" i="107"/>
  <c r="M111" i="107"/>
  <c r="O119" i="107"/>
  <c r="O123" i="107"/>
  <c r="E135" i="107"/>
  <c r="E199" i="107"/>
  <c r="M199" i="107"/>
  <c r="D215" i="107"/>
  <c r="L215" i="107"/>
  <c r="E100" i="81"/>
  <c r="E101" i="81" s="1"/>
  <c r="M100" i="81"/>
  <c r="C112" i="81"/>
  <c r="K112" i="81"/>
  <c r="E141" i="81"/>
  <c r="M141" i="81"/>
  <c r="O153" i="81"/>
  <c r="O157" i="81"/>
  <c r="O161" i="81"/>
  <c r="O165" i="81"/>
  <c r="O169" i="81"/>
  <c r="O173" i="81"/>
  <c r="O177" i="81"/>
  <c r="O181" i="81"/>
  <c r="O185" i="81"/>
  <c r="O196" i="81"/>
  <c r="J214" i="81"/>
  <c r="J226" i="81" s="1"/>
  <c r="O246" i="81"/>
  <c r="F100" i="80"/>
  <c r="N114" i="80"/>
  <c r="N230" i="80" s="1"/>
  <c r="G112" i="80"/>
  <c r="G114" i="80" s="1"/>
  <c r="G230" i="80" s="1"/>
  <c r="M112" i="80"/>
  <c r="AD220" i="127"/>
  <c r="AE229" i="127"/>
  <c r="BT229" i="127"/>
  <c r="N127" i="110"/>
  <c r="N112" i="110"/>
  <c r="W195" i="127"/>
  <c r="W233" i="127" s="1"/>
  <c r="CD195" i="127"/>
  <c r="CD233" i="127" s="1"/>
  <c r="CQ195" i="127"/>
  <c r="CQ233" i="127" s="1"/>
  <c r="O104" i="127"/>
  <c r="O174" i="127" s="1"/>
  <c r="O181" i="127" s="1"/>
  <c r="AC104" i="127"/>
  <c r="AC174" i="127" s="1"/>
  <c r="AC181" i="127" s="1"/>
  <c r="AC231" i="127" s="1"/>
  <c r="AV104" i="127"/>
  <c r="BD104" i="127"/>
  <c r="BD174" i="127" s="1"/>
  <c r="BD181" i="127" s="1"/>
  <c r="BD231" i="127" s="1"/>
  <c r="BR130" i="127"/>
  <c r="CR130" i="127"/>
  <c r="AK26" i="127"/>
  <c r="CJ26" i="127"/>
  <c r="CU26" i="127"/>
  <c r="CN67" i="127"/>
  <c r="U224" i="127"/>
  <c r="AR215" i="127"/>
  <c r="CM215" i="127"/>
  <c r="AR76" i="127"/>
  <c r="BL99" i="127"/>
  <c r="CL99" i="127"/>
  <c r="CM109" i="127"/>
  <c r="CM115" i="127" s="1"/>
  <c r="CR115" i="127"/>
  <c r="CB209" i="127"/>
  <c r="V218" i="127"/>
  <c r="CD218" i="127"/>
  <c r="BK227" i="127"/>
  <c r="CW227" i="127"/>
  <c r="BL192" i="127"/>
  <c r="CV193" i="127"/>
  <c r="AZ193" i="127"/>
  <c r="BN193" i="127"/>
  <c r="BV193" i="127"/>
  <c r="AD211" i="127"/>
  <c r="BS211" i="127"/>
  <c r="AE220" i="127"/>
  <c r="AX220" i="127"/>
  <c r="BF220" i="127"/>
  <c r="BT220" i="127"/>
  <c r="CV220" i="127"/>
  <c r="AY229" i="127"/>
  <c r="BG229" i="127"/>
  <c r="BU229" i="127"/>
  <c r="CW17" i="127"/>
  <c r="AD104" i="127"/>
  <c r="AD174" i="127" s="1"/>
  <c r="AD181" i="127" s="1"/>
  <c r="AW104" i="127"/>
  <c r="BE104" i="127"/>
  <c r="BE174" i="127" s="1"/>
  <c r="BE181" i="127" s="1"/>
  <c r="BE231" i="127" s="1"/>
  <c r="BS130" i="127"/>
  <c r="CS130" i="127"/>
  <c r="V197" i="127"/>
  <c r="CC197" i="127"/>
  <c r="V224" i="127"/>
  <c r="CD224" i="127"/>
  <c r="CQ224" i="127"/>
  <c r="AS215" i="127"/>
  <c r="CN215" i="127"/>
  <c r="AS76" i="127"/>
  <c r="V199" i="127"/>
  <c r="V237" i="127" s="1"/>
  <c r="CD199" i="127"/>
  <c r="CD237" i="127" s="1"/>
  <c r="CQ199" i="127"/>
  <c r="CQ237" i="127" s="1"/>
  <c r="CM99" i="127"/>
  <c r="AS109" i="127"/>
  <c r="AA115" i="127"/>
  <c r="AI115" i="127"/>
  <c r="BP115" i="127"/>
  <c r="BX115" i="127"/>
  <c r="U209" i="127"/>
  <c r="CC209" i="127"/>
  <c r="W218" i="127"/>
  <c r="BJ218" i="127"/>
  <c r="BL227" i="127"/>
  <c r="AR192" i="127"/>
  <c r="Z193" i="127"/>
  <c r="BA193" i="127"/>
  <c r="BO193" i="127"/>
  <c r="BW193" i="127"/>
  <c r="AZ237" i="127"/>
  <c r="CR211" i="127"/>
  <c r="AX211" i="127"/>
  <c r="BF211" i="127"/>
  <c r="CV211" i="127"/>
  <c r="BU220" i="127"/>
  <c r="BN229" i="127"/>
  <c r="BK195" i="127"/>
  <c r="CK195" i="127"/>
  <c r="CK233" i="127" s="1"/>
  <c r="CW195" i="127"/>
  <c r="AE130" i="127"/>
  <c r="AX104" i="127"/>
  <c r="BF104" i="127"/>
  <c r="BT130" i="127"/>
  <c r="AR26" i="127"/>
  <c r="AS26" i="127"/>
  <c r="CN26" i="127"/>
  <c r="U26" i="127"/>
  <c r="CB26" i="127"/>
  <c r="CO26" i="127"/>
  <c r="V26" i="127"/>
  <c r="CC26" i="127"/>
  <c r="CP26" i="127"/>
  <c r="W26" i="127"/>
  <c r="AS44" i="127"/>
  <c r="AT76" i="127"/>
  <c r="CB76" i="127"/>
  <c r="CO76" i="127"/>
  <c r="CL93" i="127"/>
  <c r="W199" i="127"/>
  <c r="W237" i="127" s="1"/>
  <c r="BJ199" i="127"/>
  <c r="BJ237" i="127" s="1"/>
  <c r="CJ199" i="127"/>
  <c r="CJ237" i="127" s="1"/>
  <c r="CU199" i="127"/>
  <c r="CU237" i="127" s="1"/>
  <c r="AR103" i="127"/>
  <c r="V103" i="127"/>
  <c r="AT109" i="127"/>
  <c r="AT115" i="127" s="1"/>
  <c r="AB115" i="127"/>
  <c r="AB174" i="127" s="1"/>
  <c r="AB181" i="127" s="1"/>
  <c r="AB231" i="127" s="1"/>
  <c r="AJ115" i="127"/>
  <c r="BQ115" i="127"/>
  <c r="BY115" i="127"/>
  <c r="AS114" i="127"/>
  <c r="CA114" i="127"/>
  <c r="K115" i="127"/>
  <c r="V209" i="127"/>
  <c r="CD209" i="127"/>
  <c r="BK218" i="127"/>
  <c r="CW218" i="127"/>
  <c r="AR227" i="127"/>
  <c r="AS192" i="127"/>
  <c r="AA193" i="127"/>
  <c r="BB193" i="127"/>
  <c r="BP193" i="127"/>
  <c r="BX193" i="127"/>
  <c r="BA237" i="127"/>
  <c r="BU211" i="127"/>
  <c r="BN220" i="127"/>
  <c r="BV220" i="127"/>
  <c r="Z229" i="127"/>
  <c r="BA229" i="127"/>
  <c r="BO229" i="127"/>
  <c r="BW229" i="127"/>
  <c r="CM17" i="127"/>
  <c r="AQ195" i="127"/>
  <c r="AQ233" i="127" s="1"/>
  <c r="BL195" i="127"/>
  <c r="BL233" i="127" s="1"/>
  <c r="CL195" i="127"/>
  <c r="CL233" i="127" s="1"/>
  <c r="AY130" i="127"/>
  <c r="BG130" i="127"/>
  <c r="BU130" i="127"/>
  <c r="CQ67" i="127"/>
  <c r="V76" i="127"/>
  <c r="AR93" i="127"/>
  <c r="CM93" i="127"/>
  <c r="BK199" i="127"/>
  <c r="BK237" i="127" s="1"/>
  <c r="CK199" i="127"/>
  <c r="CK237" i="127" s="1"/>
  <c r="AT88" i="127"/>
  <c r="AS99" i="127"/>
  <c r="AS103" i="127"/>
  <c r="W103" i="127"/>
  <c r="U109" i="127"/>
  <c r="G115" i="127"/>
  <c r="O115" i="127"/>
  <c r="AC115" i="127"/>
  <c r="AV115" i="127"/>
  <c r="BD115" i="127"/>
  <c r="BR115" i="127"/>
  <c r="AT114" i="127"/>
  <c r="CB114" i="127"/>
  <c r="BK114" i="127"/>
  <c r="BK115" i="127" s="1"/>
  <c r="BU115" i="127"/>
  <c r="W209" i="127"/>
  <c r="BJ209" i="127"/>
  <c r="BL218" i="127"/>
  <c r="AS227" i="127"/>
  <c r="AS229" i="127" s="1"/>
  <c r="CB192" i="127"/>
  <c r="CO192" i="127"/>
  <c r="AB193" i="127"/>
  <c r="BC193" i="127"/>
  <c r="BQ193" i="127"/>
  <c r="BY193" i="127"/>
  <c r="I233" i="127"/>
  <c r="Q233" i="127"/>
  <c r="AE233" i="127"/>
  <c r="AX233" i="127"/>
  <c r="BF233" i="127"/>
  <c r="BT233" i="127"/>
  <c r="CV233" i="127"/>
  <c r="U234" i="127"/>
  <c r="AD234" i="127"/>
  <c r="AZ234" i="127"/>
  <c r="BH234" i="127"/>
  <c r="BQ234" i="127"/>
  <c r="BY234" i="127"/>
  <c r="Y235" i="127"/>
  <c r="AG235" i="127"/>
  <c r="AZ235" i="127"/>
  <c r="BN235" i="127"/>
  <c r="BV235" i="127"/>
  <c r="W236" i="127"/>
  <c r="BB236" i="127"/>
  <c r="BJ236" i="127"/>
  <c r="BS236" i="127"/>
  <c r="CW236" i="127"/>
  <c r="AZ211" i="127"/>
  <c r="Z220" i="127"/>
  <c r="BA220" i="127"/>
  <c r="BO220" i="127"/>
  <c r="BW220" i="127"/>
  <c r="AA229" i="127"/>
  <c r="AI229" i="127"/>
  <c r="BB229" i="127"/>
  <c r="BP229" i="127"/>
  <c r="BX229" i="127"/>
  <c r="AZ130" i="127"/>
  <c r="BN130" i="127"/>
  <c r="BV130" i="127"/>
  <c r="CJ67" i="127"/>
  <c r="CQ215" i="127"/>
  <c r="W93" i="127"/>
  <c r="BL199" i="127"/>
  <c r="BL237" i="127" s="1"/>
  <c r="CL199" i="127"/>
  <c r="CL237" i="127" s="1"/>
  <c r="AT99" i="127"/>
  <c r="U99" i="127"/>
  <c r="AT103" i="127"/>
  <c r="CB103" i="127"/>
  <c r="V109" i="127"/>
  <c r="V115" i="127" s="1"/>
  <c r="H115" i="127"/>
  <c r="P115" i="127"/>
  <c r="AW115" i="127"/>
  <c r="BE115" i="127"/>
  <c r="BS115" i="127"/>
  <c r="U114" i="127"/>
  <c r="U115" i="127" s="1"/>
  <c r="CC114" i="127"/>
  <c r="AQ114" i="127"/>
  <c r="BL114" i="127"/>
  <c r="U192" i="127"/>
  <c r="CC192" i="127"/>
  <c r="CP192" i="127"/>
  <c r="AC193" i="127"/>
  <c r="AV193" i="127"/>
  <c r="BD193" i="127"/>
  <c r="BR193" i="127"/>
  <c r="CR193" i="127"/>
  <c r="AY233" i="127"/>
  <c r="BG233" i="127"/>
  <c r="BU233" i="127"/>
  <c r="V234" i="127"/>
  <c r="AE234" i="127"/>
  <c r="BA234" i="127"/>
  <c r="BR234" i="127"/>
  <c r="BZ234" i="127"/>
  <c r="CV234" i="127"/>
  <c r="Z235" i="127"/>
  <c r="AH235" i="127"/>
  <c r="BA235" i="127"/>
  <c r="BO235" i="127"/>
  <c r="BW235" i="127"/>
  <c r="BC236" i="127"/>
  <c r="BK236" i="127"/>
  <c r="BT236" i="127"/>
  <c r="CB236" i="127"/>
  <c r="BQ237" i="127"/>
  <c r="BY237" i="127"/>
  <c r="AZ238" i="127"/>
  <c r="BN238" i="127"/>
  <c r="BV238" i="127"/>
  <c r="AC239" i="127"/>
  <c r="AV239" i="127"/>
  <c r="BD239" i="127"/>
  <c r="BR239" i="127"/>
  <c r="CR239" i="127"/>
  <c r="Z211" i="127"/>
  <c r="BR220" i="127"/>
  <c r="AI220" i="127"/>
  <c r="AD229" i="127"/>
  <c r="BS229" i="127"/>
  <c r="AB229" i="127"/>
  <c r="AJ229" i="127"/>
  <c r="BC229" i="127"/>
  <c r="BQ229" i="127"/>
  <c r="Z130" i="127"/>
  <c r="BA130" i="127"/>
  <c r="BO104" i="127"/>
  <c r="BW104" i="127"/>
  <c r="AT26" i="127"/>
  <c r="CK67" i="127"/>
  <c r="AT44" i="127"/>
  <c r="AK76" i="127"/>
  <c r="CW76" i="127"/>
  <c r="AQ76" i="127"/>
  <c r="CL76" i="127"/>
  <c r="CM76" i="127"/>
  <c r="CN76" i="127"/>
  <c r="U76" i="127"/>
  <c r="CC76" i="127"/>
  <c r="CP76" i="127"/>
  <c r="CW93" i="127"/>
  <c r="AR199" i="127"/>
  <c r="AR237" i="127" s="1"/>
  <c r="CM199" i="127"/>
  <c r="CM237" i="127" s="1"/>
  <c r="CQ88" i="127"/>
  <c r="V99" i="127"/>
  <c r="U103" i="127"/>
  <c r="CC103" i="127"/>
  <c r="W109" i="127"/>
  <c r="W115" i="127" s="1"/>
  <c r="BJ109" i="127"/>
  <c r="BJ115" i="127" s="1"/>
  <c r="CJ109" i="127"/>
  <c r="CJ115" i="127" s="1"/>
  <c r="CU109" i="127"/>
  <c r="CU115" i="127" s="1"/>
  <c r="CL109" i="127"/>
  <c r="CL115" i="127" s="1"/>
  <c r="CN109" i="127"/>
  <c r="CN115" i="127" s="1"/>
  <c r="I115" i="127"/>
  <c r="Q115" i="127"/>
  <c r="AX115" i="127"/>
  <c r="BF115" i="127"/>
  <c r="BT115" i="127"/>
  <c r="CD192" i="127"/>
  <c r="CQ192" i="127"/>
  <c r="AD193" i="127"/>
  <c r="AW193" i="127"/>
  <c r="BE193" i="127"/>
  <c r="BS193" i="127"/>
  <c r="CS193" i="127"/>
  <c r="BR237" i="127"/>
  <c r="BA238" i="127"/>
  <c r="BO238" i="127"/>
  <c r="BW238" i="127"/>
  <c r="AD239" i="127"/>
  <c r="AW239" i="127"/>
  <c r="BE239" i="127"/>
  <c r="BS239" i="127"/>
  <c r="CS239" i="127"/>
  <c r="BB211" i="127"/>
  <c r="AW220" i="127"/>
  <c r="BE220" i="127"/>
  <c r="CS220" i="127"/>
  <c r="AB220" i="127"/>
  <c r="AJ220" i="127"/>
  <c r="BC220" i="127"/>
  <c r="BQ220" i="127"/>
  <c r="BY220" i="127"/>
  <c r="AC229" i="127"/>
  <c r="AV229" i="127"/>
  <c r="BD229" i="127"/>
  <c r="BR229" i="127"/>
  <c r="CR229" i="127"/>
  <c r="O144" i="149"/>
  <c r="F148" i="149"/>
  <c r="C139" i="149"/>
  <c r="O129" i="149"/>
  <c r="H186" i="149"/>
  <c r="O166" i="149"/>
  <c r="O197" i="149"/>
  <c r="R119" i="149"/>
  <c r="T8" i="126"/>
  <c r="T14" i="124" s="1"/>
  <c r="V14" i="126"/>
  <c r="T14" i="126"/>
  <c r="F29" i="114"/>
  <c r="E15" i="126" s="1" a="1"/>
  <c r="E15" i="126" s="1"/>
  <c r="F27" i="114"/>
  <c r="P30" i="114"/>
  <c r="P28" i="114"/>
  <c r="P15" i="126" s="1" a="1"/>
  <c r="P15" i="126" s="1"/>
  <c r="R24" i="149"/>
  <c r="R87" i="149"/>
  <c r="E139" i="149"/>
  <c r="M139" i="149"/>
  <c r="O134" i="149"/>
  <c r="I148" i="149"/>
  <c r="O145" i="149"/>
  <c r="F186" i="149"/>
  <c r="N186" i="149"/>
  <c r="N217" i="149" s="1"/>
  <c r="H195" i="149"/>
  <c r="C195" i="149"/>
  <c r="O189" i="149"/>
  <c r="K195" i="149"/>
  <c r="O209" i="149"/>
  <c r="C215" i="148"/>
  <c r="R93" i="149"/>
  <c r="C108" i="149"/>
  <c r="C110" i="149" s="1"/>
  <c r="C126" i="149" s="1"/>
  <c r="R105" i="149"/>
  <c r="O105" i="149"/>
  <c r="R124" i="149"/>
  <c r="F217" i="149"/>
  <c r="F229" i="149" s="1"/>
  <c r="O146" i="149"/>
  <c r="O150" i="149"/>
  <c r="O156" i="149"/>
  <c r="O163" i="149"/>
  <c r="O172" i="149"/>
  <c r="O179" i="149"/>
  <c r="O192" i="149"/>
  <c r="O210" i="149"/>
  <c r="D205" i="148"/>
  <c r="D217" i="148" s="1"/>
  <c r="Q30" i="114"/>
  <c r="Q31" i="114"/>
  <c r="S17" i="126" s="1" a="1"/>
  <c r="S17" i="126" s="1"/>
  <c r="G42" i="114"/>
  <c r="G50" i="114"/>
  <c r="H23" i="126" s="1" a="1"/>
  <c r="H23" i="126" s="1"/>
  <c r="G58" i="114"/>
  <c r="F26" i="126" s="1" a="1"/>
  <c r="F26" i="126" s="1"/>
  <c r="G66" i="114"/>
  <c r="R15" i="149"/>
  <c r="M99" i="149"/>
  <c r="M126" i="149" s="1"/>
  <c r="M251" i="149" s="1"/>
  <c r="R71" i="149"/>
  <c r="O97" i="149"/>
  <c r="D148" i="149"/>
  <c r="L148" i="149"/>
  <c r="O143" i="149"/>
  <c r="I186" i="149"/>
  <c r="O151" i="149"/>
  <c r="O153" i="149"/>
  <c r="O160" i="149"/>
  <c r="O167" i="149"/>
  <c r="O169" i="149"/>
  <c r="O176" i="149"/>
  <c r="O183" i="149"/>
  <c r="O185" i="149"/>
  <c r="G195" i="149"/>
  <c r="H206" i="149"/>
  <c r="Q51" i="114"/>
  <c r="F99" i="149"/>
  <c r="N99" i="149"/>
  <c r="N126" i="149" s="1"/>
  <c r="N251" i="149" s="1"/>
  <c r="J110" i="149"/>
  <c r="J126" i="149" s="1"/>
  <c r="J251" i="149" s="1"/>
  <c r="I139" i="149"/>
  <c r="O133" i="149"/>
  <c r="J186" i="149"/>
  <c r="D195" i="149"/>
  <c r="L195" i="149"/>
  <c r="O190" i="149"/>
  <c r="O200" i="149"/>
  <c r="R103" i="149"/>
  <c r="O103" i="149"/>
  <c r="K110" i="149"/>
  <c r="K126" i="149" s="1"/>
  <c r="K251" i="149" s="1"/>
  <c r="O157" i="149"/>
  <c r="O173" i="149"/>
  <c r="O198" i="149"/>
  <c r="P65" i="114"/>
  <c r="R28" i="126" s="1" a="1"/>
  <c r="R28" i="126" s="1"/>
  <c r="P63" i="114"/>
  <c r="P61" i="114"/>
  <c r="P27" i="126" s="1" a="1"/>
  <c r="P27" i="126" s="1"/>
  <c r="P59" i="114"/>
  <c r="R26" i="126" s="1" a="1"/>
  <c r="R26" i="126" s="1"/>
  <c r="X26" i="126" s="1"/>
  <c r="Q55" i="124" s="1"/>
  <c r="P57" i="114"/>
  <c r="P55" i="114"/>
  <c r="P25" i="126" s="1" a="1"/>
  <c r="P25" i="126" s="1"/>
  <c r="V25" i="126" s="1"/>
  <c r="P53" i="114"/>
  <c r="R24" i="126" s="1" a="1"/>
  <c r="R24" i="126" s="1"/>
  <c r="X24" i="126" s="1"/>
  <c r="P51" i="114"/>
  <c r="P49" i="114"/>
  <c r="P23" i="126" s="1" a="1"/>
  <c r="P23" i="126" s="1"/>
  <c r="P47" i="114"/>
  <c r="R22" i="126" s="1" a="1"/>
  <c r="R22" i="126" s="1"/>
  <c r="P45" i="114"/>
  <c r="P43" i="114"/>
  <c r="P21" i="126" s="1" a="1"/>
  <c r="P21" i="126" s="1"/>
  <c r="P41" i="114"/>
  <c r="R20" i="126" s="1" a="1"/>
  <c r="R20" i="126" s="1"/>
  <c r="P39" i="114"/>
  <c r="P37" i="114"/>
  <c r="P19" i="126" s="1" a="1"/>
  <c r="P19" i="126" s="1"/>
  <c r="V19" i="126" s="1"/>
  <c r="P35" i="114"/>
  <c r="R18" i="126" s="1" a="1"/>
  <c r="R18" i="126" s="1"/>
  <c r="X18" i="126" s="1"/>
  <c r="P33" i="114"/>
  <c r="P31" i="114"/>
  <c r="P17" i="126" s="1" a="1"/>
  <c r="P17" i="126" s="1"/>
  <c r="Q66" i="114"/>
  <c r="Q64" i="114"/>
  <c r="S28" i="126" s="1" a="1"/>
  <c r="S28" i="126" s="1"/>
  <c r="V35" i="124" s="1"/>
  <c r="Q62" i="114"/>
  <c r="U27" i="126" s="1" a="1"/>
  <c r="U27" i="126" s="1"/>
  <c r="U16" i="124" s="1"/>
  <c r="Q60" i="114"/>
  <c r="Q58" i="114"/>
  <c r="S26" i="126" s="1" a="1"/>
  <c r="S26" i="126" s="1"/>
  <c r="V55" i="124" s="1"/>
  <c r="Q56" i="114"/>
  <c r="U25" i="126" s="1" a="1"/>
  <c r="U25" i="126" s="1"/>
  <c r="Q54" i="114"/>
  <c r="Q52" i="114"/>
  <c r="S24" i="126" s="1" a="1"/>
  <c r="S24" i="126" s="1"/>
  <c r="Q50" i="114"/>
  <c r="U23" i="126" s="1" a="1"/>
  <c r="U23" i="126" s="1"/>
  <c r="Q48" i="114"/>
  <c r="Q46" i="114"/>
  <c r="S22" i="126" s="1" a="1"/>
  <c r="S22" i="126" s="1"/>
  <c r="V44" i="124" s="1"/>
  <c r="Q44" i="114"/>
  <c r="U21" i="126" s="1" a="1"/>
  <c r="U21" i="126" s="1"/>
  <c r="Q42" i="114"/>
  <c r="Q40" i="114"/>
  <c r="S20" i="126" s="1" a="1"/>
  <c r="S20" i="126" s="1"/>
  <c r="Q38" i="114"/>
  <c r="U19" i="126" s="1" a="1"/>
  <c r="U19" i="126" s="1"/>
  <c r="Q36" i="114"/>
  <c r="P66" i="114"/>
  <c r="P64" i="114"/>
  <c r="P28" i="126" s="1" a="1"/>
  <c r="P28" i="126" s="1"/>
  <c r="P62" i="114"/>
  <c r="R27" i="126" s="1" a="1"/>
  <c r="R27" i="126" s="1"/>
  <c r="P60" i="114"/>
  <c r="P58" i="114"/>
  <c r="P26" i="126" s="1" a="1"/>
  <c r="P26" i="126" s="1"/>
  <c r="P56" i="114"/>
  <c r="R25" i="126" s="1" a="1"/>
  <c r="R25" i="126" s="1"/>
  <c r="P54" i="114"/>
  <c r="P52" i="114"/>
  <c r="P24" i="126" s="1" a="1"/>
  <c r="P24" i="126" s="1"/>
  <c r="P50" i="114"/>
  <c r="R23" i="126" s="1" a="1"/>
  <c r="R23" i="126" s="1"/>
  <c r="P48" i="114"/>
  <c r="P46" i="114"/>
  <c r="P22" i="126" s="1" a="1"/>
  <c r="P22" i="126" s="1"/>
  <c r="P44" i="114"/>
  <c r="R21" i="126" s="1" a="1"/>
  <c r="R21" i="126" s="1"/>
  <c r="P42" i="114"/>
  <c r="P40" i="114"/>
  <c r="P20" i="126" s="1" a="1"/>
  <c r="P20" i="126" s="1"/>
  <c r="P38" i="114"/>
  <c r="R19" i="126" s="1" a="1"/>
  <c r="R19" i="126" s="1"/>
  <c r="P36" i="114"/>
  <c r="P34" i="114"/>
  <c r="P18" i="126" s="1" a="1"/>
  <c r="P18" i="126" s="1"/>
  <c r="P32" i="114"/>
  <c r="R17" i="126" s="1" a="1"/>
  <c r="R17" i="126" s="1"/>
  <c r="O71" i="149"/>
  <c r="D110" i="149"/>
  <c r="L110" i="149"/>
  <c r="L126" i="149" s="1"/>
  <c r="L251" i="149" s="1"/>
  <c r="O128" i="149"/>
  <c r="O130" i="149"/>
  <c r="O131" i="149"/>
  <c r="O141" i="149"/>
  <c r="J148" i="149"/>
  <c r="D186" i="149"/>
  <c r="L186" i="149"/>
  <c r="E195" i="149"/>
  <c r="M195" i="149"/>
  <c r="O194" i="149"/>
  <c r="C206" i="149"/>
  <c r="K206" i="149"/>
  <c r="E206" i="149"/>
  <c r="M206" i="149"/>
  <c r="O204" i="149"/>
  <c r="C221" i="149"/>
  <c r="O220" i="149"/>
  <c r="C225" i="149"/>
  <c r="O223" i="149"/>
  <c r="F66" i="114"/>
  <c r="F64" i="114"/>
  <c r="C28" i="126" s="1" a="1"/>
  <c r="C28" i="126" s="1"/>
  <c r="I28" i="126" s="1"/>
  <c r="F62" i="114"/>
  <c r="E27" i="126" s="1" a="1"/>
  <c r="E27" i="126" s="1"/>
  <c r="K27" i="126" s="1"/>
  <c r="L16" i="124" s="1"/>
  <c r="F60" i="114"/>
  <c r="F58" i="114"/>
  <c r="C26" i="126" s="1" a="1"/>
  <c r="C26" i="126" s="1"/>
  <c r="F56" i="114"/>
  <c r="E25" i="126" s="1" a="1"/>
  <c r="E25" i="126" s="1"/>
  <c r="K25" i="126" s="1"/>
  <c r="F54" i="114"/>
  <c r="F52" i="114"/>
  <c r="C24" i="126" s="1" a="1"/>
  <c r="C24" i="126" s="1"/>
  <c r="F50" i="114"/>
  <c r="E23" i="126" s="1" a="1"/>
  <c r="E23" i="126" s="1"/>
  <c r="F48" i="114"/>
  <c r="F46" i="114"/>
  <c r="C22" i="126" s="1" a="1"/>
  <c r="C22" i="126" s="1"/>
  <c r="F44" i="114"/>
  <c r="E21" i="126" s="1" a="1"/>
  <c r="E21" i="126" s="1"/>
  <c r="F42" i="114"/>
  <c r="F40" i="114"/>
  <c r="C20" i="126" s="1" a="1"/>
  <c r="C20" i="126" s="1"/>
  <c r="F38" i="114"/>
  <c r="E19" i="126" s="1" a="1"/>
  <c r="E19" i="126" s="1"/>
  <c r="F36" i="114"/>
  <c r="F34" i="114"/>
  <c r="C18" i="126" s="1" a="1"/>
  <c r="C18" i="126" s="1"/>
  <c r="I18" i="126" s="1"/>
  <c r="F32" i="114"/>
  <c r="E17" i="126" s="1" a="1"/>
  <c r="E17" i="126" s="1"/>
  <c r="G65" i="114"/>
  <c r="H28" i="126" s="1" a="1"/>
  <c r="H28" i="126" s="1"/>
  <c r="G63" i="114"/>
  <c r="G61" i="114"/>
  <c r="F27" i="126" s="1" a="1"/>
  <c r="F27" i="126" s="1"/>
  <c r="G59" i="114"/>
  <c r="H26" i="126" s="1" a="1"/>
  <c r="H26" i="126" s="1"/>
  <c r="G57" i="114"/>
  <c r="G55" i="114"/>
  <c r="F25" i="126" s="1" a="1"/>
  <c r="F25" i="126" s="1"/>
  <c r="G53" i="114"/>
  <c r="H24" i="126" s="1" a="1"/>
  <c r="H24" i="126" s="1"/>
  <c r="G24" i="126" s="1"/>
  <c r="G51" i="114"/>
  <c r="G49" i="114"/>
  <c r="F23" i="126" s="1" a="1"/>
  <c r="F23" i="126" s="1"/>
  <c r="G47" i="114"/>
  <c r="H22" i="126" s="1" a="1"/>
  <c r="H22" i="126" s="1"/>
  <c r="G45" i="114"/>
  <c r="G43" i="114"/>
  <c r="F21" i="126" s="1" a="1"/>
  <c r="F21" i="126" s="1"/>
  <c r="G41" i="114"/>
  <c r="H20" i="126" s="1" a="1"/>
  <c r="H20" i="126" s="1"/>
  <c r="G39" i="114"/>
  <c r="G37" i="114"/>
  <c r="F19" i="126" s="1" a="1"/>
  <c r="F19" i="126" s="1"/>
  <c r="G35" i="114"/>
  <c r="H18" i="126" s="1" a="1"/>
  <c r="H18" i="126" s="1"/>
  <c r="F65" i="114"/>
  <c r="E28" i="126" s="1" a="1"/>
  <c r="E28" i="126" s="1"/>
  <c r="F63" i="114"/>
  <c r="F61" i="114"/>
  <c r="C27" i="126" s="1" a="1"/>
  <c r="C27" i="126" s="1"/>
  <c r="D27" i="126" s="1"/>
  <c r="F59" i="114"/>
  <c r="E26" i="126" s="1" a="1"/>
  <c r="E26" i="126" s="1"/>
  <c r="F57" i="114"/>
  <c r="F55" i="114"/>
  <c r="C25" i="126" s="1" a="1"/>
  <c r="C25" i="126" s="1"/>
  <c r="F53" i="114"/>
  <c r="E24" i="126" s="1" a="1"/>
  <c r="E24" i="126" s="1"/>
  <c r="F51" i="114"/>
  <c r="F49" i="114"/>
  <c r="C23" i="126" s="1" a="1"/>
  <c r="C23" i="126" s="1"/>
  <c r="D23" i="126" s="1"/>
  <c r="F47" i="114"/>
  <c r="E22" i="126" s="1" a="1"/>
  <c r="E22" i="126" s="1"/>
  <c r="F45" i="114"/>
  <c r="F43" i="114"/>
  <c r="C21" i="126" s="1" a="1"/>
  <c r="C21" i="126" s="1"/>
  <c r="D21" i="126" s="1"/>
  <c r="F41" i="114"/>
  <c r="E20" i="126" s="1" a="1"/>
  <c r="E20" i="126" s="1"/>
  <c r="F39" i="114"/>
  <c r="F37" i="114"/>
  <c r="C19" i="126" s="1" a="1"/>
  <c r="C19" i="126" s="1"/>
  <c r="D19" i="126" s="1"/>
  <c r="F35" i="114"/>
  <c r="E18" i="126" s="1" a="1"/>
  <c r="E18" i="126" s="1"/>
  <c r="F33" i="114"/>
  <c r="F31" i="114"/>
  <c r="C17" i="126" s="1" a="1"/>
  <c r="C17" i="126" s="1"/>
  <c r="O24" i="149"/>
  <c r="G126" i="149"/>
  <c r="G251" i="149" s="1"/>
  <c r="O87" i="149"/>
  <c r="D139" i="149"/>
  <c r="L139" i="149"/>
  <c r="L217" i="149" s="1"/>
  <c r="H148" i="149"/>
  <c r="H217" i="149" s="1"/>
  <c r="H229" i="149" s="1"/>
  <c r="O142" i="149"/>
  <c r="E186" i="149"/>
  <c r="M186" i="149"/>
  <c r="O152" i="149"/>
  <c r="O159" i="149"/>
  <c r="O161" i="149"/>
  <c r="O168" i="149"/>
  <c r="O175" i="149"/>
  <c r="O177" i="149"/>
  <c r="O184" i="149"/>
  <c r="O188" i="149"/>
  <c r="J195" i="149"/>
  <c r="D206" i="149"/>
  <c r="L206" i="149"/>
  <c r="O116" i="149"/>
  <c r="O119" i="149" s="1"/>
  <c r="G235" i="149"/>
  <c r="G238" i="149" s="1"/>
  <c r="G243" i="149"/>
  <c r="E99" i="148"/>
  <c r="E113" i="148" s="1"/>
  <c r="E222" i="148" s="1"/>
  <c r="M99" i="148"/>
  <c r="M113" i="148" s="1"/>
  <c r="M222" i="148" s="1"/>
  <c r="M112" i="148"/>
  <c r="I205" i="148"/>
  <c r="I217" i="148" s="1"/>
  <c r="E215" i="148"/>
  <c r="M215" i="148"/>
  <c r="L215" i="148"/>
  <c r="T62" i="108"/>
  <c r="R110" i="108"/>
  <c r="R116" i="149"/>
  <c r="G211" i="149"/>
  <c r="O211" i="149" s="1"/>
  <c r="O214" i="149"/>
  <c r="O215" i="149" s="1"/>
  <c r="G221" i="149"/>
  <c r="G227" i="149" s="1"/>
  <c r="E225" i="149"/>
  <c r="E227" i="149" s="1"/>
  <c r="M225" i="149"/>
  <c r="M227" i="149" s="1"/>
  <c r="N113" i="148"/>
  <c r="N222" i="148" s="1"/>
  <c r="O213" i="148"/>
  <c r="G215" i="148"/>
  <c r="H217" i="108"/>
  <c r="E99" i="149"/>
  <c r="E126" i="149" s="1"/>
  <c r="E251" i="149" s="1"/>
  <c r="O111" i="148"/>
  <c r="H205" i="148"/>
  <c r="N221" i="149"/>
  <c r="N227" i="149" s="1"/>
  <c r="O224" i="149"/>
  <c r="C238" i="149"/>
  <c r="O234" i="149"/>
  <c r="I113" i="148"/>
  <c r="I222" i="148" s="1"/>
  <c r="I112" i="148"/>
  <c r="N235" i="149"/>
  <c r="N238" i="149" s="1"/>
  <c r="F235" i="149"/>
  <c r="F238" i="149" s="1"/>
  <c r="M235" i="149"/>
  <c r="M238" i="149" s="1"/>
  <c r="E235" i="149"/>
  <c r="E238" i="149" s="1"/>
  <c r="L235" i="149"/>
  <c r="D235" i="149"/>
  <c r="K235" i="149"/>
  <c r="K238" i="149" s="1"/>
  <c r="C235" i="149"/>
  <c r="J235" i="149"/>
  <c r="J238" i="149" s="1"/>
  <c r="I235" i="149"/>
  <c r="I238" i="149" s="1"/>
  <c r="H235" i="149"/>
  <c r="H238" i="149" s="1"/>
  <c r="D238" i="149"/>
  <c r="L238" i="149"/>
  <c r="J112" i="148"/>
  <c r="I184" i="148"/>
  <c r="I193" i="148" s="1"/>
  <c r="C193" i="148"/>
  <c r="O97" i="108"/>
  <c r="O143" i="108"/>
  <c r="C206" i="108"/>
  <c r="O197" i="108"/>
  <c r="M169" i="107"/>
  <c r="E169" i="107"/>
  <c r="L169" i="107"/>
  <c r="D169" i="107"/>
  <c r="K169" i="107"/>
  <c r="C169" i="107"/>
  <c r="J169" i="107"/>
  <c r="U58" i="107"/>
  <c r="V58" i="107" s="1"/>
  <c r="I169" i="107"/>
  <c r="H169" i="107"/>
  <c r="O58" i="107"/>
  <c r="G169" i="107"/>
  <c r="G128" i="81"/>
  <c r="G101" i="81"/>
  <c r="J184" i="148"/>
  <c r="J193" i="148" s="1"/>
  <c r="J205" i="148" s="1"/>
  <c r="J217" i="148" s="1"/>
  <c r="G203" i="148"/>
  <c r="O87" i="108"/>
  <c r="R103" i="108"/>
  <c r="R124" i="108"/>
  <c r="F139" i="108"/>
  <c r="N139" i="108"/>
  <c r="O135" i="108"/>
  <c r="G186" i="108"/>
  <c r="O154" i="108"/>
  <c r="O162" i="108"/>
  <c r="O167" i="108"/>
  <c r="O189" i="108"/>
  <c r="O190" i="108"/>
  <c r="O214" i="108"/>
  <c r="O215" i="108" s="1"/>
  <c r="I227" i="108"/>
  <c r="I111" i="107"/>
  <c r="I113" i="107" s="1"/>
  <c r="I222" i="107" s="1"/>
  <c r="I112" i="107"/>
  <c r="J111" i="107"/>
  <c r="J113" i="107" s="1"/>
  <c r="J222" i="107" s="1"/>
  <c r="O118" i="107"/>
  <c r="O124" i="107"/>
  <c r="O125" i="107"/>
  <c r="O129" i="107"/>
  <c r="O153" i="107"/>
  <c r="O154" i="107"/>
  <c r="O167" i="107"/>
  <c r="O168" i="107"/>
  <c r="O241" i="149"/>
  <c r="O243" i="149" s="1"/>
  <c r="O73" i="148"/>
  <c r="D99" i="148"/>
  <c r="D113" i="148" s="1"/>
  <c r="D222" i="148" s="1"/>
  <c r="C126" i="148"/>
  <c r="C173" i="148"/>
  <c r="O173" i="148" s="1"/>
  <c r="K184" i="148"/>
  <c r="K193" i="148" s="1"/>
  <c r="K205" i="148" s="1"/>
  <c r="C199" i="148"/>
  <c r="O211" i="148"/>
  <c r="O24" i="108"/>
  <c r="O99" i="108" s="1"/>
  <c r="O62" i="108"/>
  <c r="G139" i="108"/>
  <c r="O132" i="108"/>
  <c r="H186" i="108"/>
  <c r="O151" i="108"/>
  <c r="O186" i="108" s="1"/>
  <c r="O159" i="108"/>
  <c r="O165" i="108"/>
  <c r="O174" i="108"/>
  <c r="O179" i="108"/>
  <c r="C186" i="108"/>
  <c r="H195" i="108"/>
  <c r="O201" i="108"/>
  <c r="O204" i="108"/>
  <c r="J227" i="108"/>
  <c r="O223" i="108"/>
  <c r="O71" i="107"/>
  <c r="J126" i="107"/>
  <c r="J135" i="107"/>
  <c r="H173" i="107"/>
  <c r="O139" i="107"/>
  <c r="O140" i="107"/>
  <c r="O157" i="107"/>
  <c r="O158" i="107"/>
  <c r="O185" i="107"/>
  <c r="O197" i="107"/>
  <c r="O217" i="81"/>
  <c r="C220" i="81"/>
  <c r="F87" i="148"/>
  <c r="F112" i="148" s="1"/>
  <c r="C112" i="148"/>
  <c r="C135" i="148"/>
  <c r="L184" i="148"/>
  <c r="L193" i="148" s="1"/>
  <c r="L205" i="148" s="1"/>
  <c r="L217" i="148" s="1"/>
  <c r="I186" i="108"/>
  <c r="O177" i="108"/>
  <c r="E195" i="108"/>
  <c r="M195" i="108"/>
  <c r="O193" i="108"/>
  <c r="F206" i="108"/>
  <c r="N206" i="108"/>
  <c r="C221" i="108"/>
  <c r="O219" i="108"/>
  <c r="N170" i="107"/>
  <c r="M170" i="107"/>
  <c r="L170" i="107"/>
  <c r="K170" i="107"/>
  <c r="U59" i="107"/>
  <c r="V59" i="107" s="1"/>
  <c r="M184" i="107"/>
  <c r="M193" i="107" s="1"/>
  <c r="M205" i="107" s="1"/>
  <c r="M217" i="107" s="1"/>
  <c r="E184" i="107"/>
  <c r="E193" i="107" s="1"/>
  <c r="E205" i="107" s="1"/>
  <c r="E217" i="107" s="1"/>
  <c r="L184" i="107"/>
  <c r="L193" i="107" s="1"/>
  <c r="E87" i="107"/>
  <c r="O87" i="107" s="1"/>
  <c r="K184" i="107"/>
  <c r="K193" i="107" s="1"/>
  <c r="U73" i="107"/>
  <c r="V73" i="107" s="1"/>
  <c r="J184" i="107"/>
  <c r="J193" i="107" s="1"/>
  <c r="O73" i="107"/>
  <c r="I184" i="107"/>
  <c r="I193" i="107" s="1"/>
  <c r="H184" i="107"/>
  <c r="H193" i="107" s="1"/>
  <c r="G184" i="107"/>
  <c r="G193" i="107" s="1"/>
  <c r="O97" i="107"/>
  <c r="O122" i="107"/>
  <c r="H135" i="107"/>
  <c r="C135" i="107"/>
  <c r="O130" i="107"/>
  <c r="K135" i="107"/>
  <c r="O133" i="107"/>
  <c r="O176" i="107"/>
  <c r="C182" i="107"/>
  <c r="O182" i="107" s="1"/>
  <c r="O177" i="107"/>
  <c r="D193" i="107"/>
  <c r="J101" i="81"/>
  <c r="J128" i="81"/>
  <c r="U73" i="148"/>
  <c r="V73" i="148" s="1"/>
  <c r="C111" i="148"/>
  <c r="C113" i="148" s="1"/>
  <c r="M184" i="148"/>
  <c r="M193" i="148" s="1"/>
  <c r="M205" i="148" s="1"/>
  <c r="M217" i="148" s="1"/>
  <c r="K235" i="108"/>
  <c r="J235" i="108"/>
  <c r="I235" i="108"/>
  <c r="H235" i="108"/>
  <c r="G235" i="108"/>
  <c r="N235" i="108"/>
  <c r="O141" i="108"/>
  <c r="C148" i="108"/>
  <c r="K148" i="108"/>
  <c r="O146" i="108"/>
  <c r="O166" i="108"/>
  <c r="O171" i="108"/>
  <c r="O183" i="108"/>
  <c r="O198" i="108"/>
  <c r="O205" i="108"/>
  <c r="D227" i="108"/>
  <c r="C225" i="108"/>
  <c r="O224" i="108"/>
  <c r="L235" i="108"/>
  <c r="C243" i="108"/>
  <c r="O241" i="108"/>
  <c r="O243" i="108" s="1"/>
  <c r="O15" i="107"/>
  <c r="O59" i="107"/>
  <c r="E112" i="107"/>
  <c r="J173" i="107"/>
  <c r="O148" i="107"/>
  <c r="O166" i="107"/>
  <c r="O172" i="107"/>
  <c r="F184" i="107"/>
  <c r="F193" i="107" s="1"/>
  <c r="F205" i="107" s="1"/>
  <c r="F217" i="107" s="1"/>
  <c r="O201" i="107"/>
  <c r="O203" i="107" s="1"/>
  <c r="O15" i="148"/>
  <c r="O175" i="148"/>
  <c r="F184" i="148"/>
  <c r="F193" i="148" s="1"/>
  <c r="N184" i="148"/>
  <c r="N193" i="148" s="1"/>
  <c r="N205" i="148" s="1"/>
  <c r="N217" i="148" s="1"/>
  <c r="D99" i="108"/>
  <c r="D126" i="108" s="1"/>
  <c r="R126" i="108" s="1"/>
  <c r="O103" i="108"/>
  <c r="G233" i="108"/>
  <c r="N233" i="108"/>
  <c r="M233" i="108"/>
  <c r="L233" i="108"/>
  <c r="G119" i="108"/>
  <c r="R119" i="108" s="1"/>
  <c r="K233" i="108"/>
  <c r="J233" i="108"/>
  <c r="C139" i="108"/>
  <c r="O169" i="108"/>
  <c r="O188" i="108"/>
  <c r="C195" i="108"/>
  <c r="C211" i="108"/>
  <c r="O211" i="108" s="1"/>
  <c r="O209" i="108"/>
  <c r="M235" i="108"/>
  <c r="V248" i="107"/>
  <c r="V249" i="107"/>
  <c r="V247" i="107"/>
  <c r="V246" i="107"/>
  <c r="V245" i="107"/>
  <c r="V254" i="107"/>
  <c r="V244" i="107"/>
  <c r="V243" i="107"/>
  <c r="V252" i="107"/>
  <c r="O116" i="107"/>
  <c r="C126" i="107"/>
  <c r="O117" i="107"/>
  <c r="O128" i="107"/>
  <c r="O151" i="107"/>
  <c r="F169" i="107"/>
  <c r="N184" i="107"/>
  <c r="N193" i="107" s="1"/>
  <c r="O195" i="107"/>
  <c r="D101" i="81"/>
  <c r="D128" i="81"/>
  <c r="L101" i="81"/>
  <c r="L128" i="81"/>
  <c r="O232" i="149"/>
  <c r="G184" i="148"/>
  <c r="G193" i="148" s="1"/>
  <c r="O114" i="108"/>
  <c r="O128" i="108"/>
  <c r="O136" i="108"/>
  <c r="D186" i="108"/>
  <c r="L186" i="108"/>
  <c r="O155" i="108"/>
  <c r="O163" i="108"/>
  <c r="O181" i="108"/>
  <c r="D195" i="108"/>
  <c r="L195" i="108"/>
  <c r="I206" i="108"/>
  <c r="O237" i="108"/>
  <c r="E99" i="107"/>
  <c r="E113" i="107" s="1"/>
  <c r="E222" i="107" s="1"/>
  <c r="C62" i="107"/>
  <c r="K62" i="107"/>
  <c r="K99" i="107" s="1"/>
  <c r="K113" i="107" s="1"/>
  <c r="K222" i="107" s="1"/>
  <c r="F112" i="107"/>
  <c r="N112" i="107"/>
  <c r="M112" i="107"/>
  <c r="D126" i="107"/>
  <c r="L126" i="107"/>
  <c r="D173" i="107"/>
  <c r="O173" i="107" s="1"/>
  <c r="L173" i="107"/>
  <c r="N169" i="107"/>
  <c r="O175" i="107"/>
  <c r="C199" i="107"/>
  <c r="O196" i="107"/>
  <c r="D235" i="81"/>
  <c r="D237" i="81" s="1"/>
  <c r="O233" i="81"/>
  <c r="O207" i="148"/>
  <c r="O108" i="108"/>
  <c r="R114" i="108"/>
  <c r="D139" i="108"/>
  <c r="D217" i="108" s="1"/>
  <c r="L139" i="108"/>
  <c r="F148" i="108"/>
  <c r="N148" i="108"/>
  <c r="E186" i="108"/>
  <c r="M186" i="108"/>
  <c r="M217" i="108" s="1"/>
  <c r="M229" i="108" s="1"/>
  <c r="O170" i="108"/>
  <c r="O175" i="108"/>
  <c r="O191" i="108"/>
  <c r="O192" i="108"/>
  <c r="J206" i="108"/>
  <c r="O220" i="108"/>
  <c r="H233" i="108"/>
  <c r="O109" i="107"/>
  <c r="G126" i="107"/>
  <c r="O115" i="107"/>
  <c r="I126" i="107"/>
  <c r="O120" i="107"/>
  <c r="O121" i="107"/>
  <c r="I135" i="107"/>
  <c r="O131" i="107"/>
  <c r="O145" i="107"/>
  <c r="O146" i="107"/>
  <c r="O159" i="107"/>
  <c r="O160" i="107"/>
  <c r="O178" i="107"/>
  <c r="O186" i="107"/>
  <c r="O187" i="107"/>
  <c r="L226" i="81"/>
  <c r="F225" i="108"/>
  <c r="F227" i="108" s="1"/>
  <c r="H232" i="108"/>
  <c r="L234" i="108"/>
  <c r="O104" i="107"/>
  <c r="O137" i="107"/>
  <c r="O208" i="107"/>
  <c r="G215" i="107"/>
  <c r="H100" i="81"/>
  <c r="O62" i="81"/>
  <c r="R121" i="81"/>
  <c r="F141" i="81"/>
  <c r="N141" i="81"/>
  <c r="O134" i="81"/>
  <c r="O140" i="81"/>
  <c r="E150" i="81"/>
  <c r="M150" i="81"/>
  <c r="O160" i="81"/>
  <c r="O179" i="81"/>
  <c r="O190" i="81"/>
  <c r="C197" i="81"/>
  <c r="K197" i="81"/>
  <c r="O199" i="81"/>
  <c r="O201" i="81"/>
  <c r="O213" i="81"/>
  <c r="J237" i="81"/>
  <c r="K127" i="80"/>
  <c r="I232" i="108"/>
  <c r="I238" i="108" s="1"/>
  <c r="M234" i="108"/>
  <c r="G112" i="107"/>
  <c r="I215" i="107"/>
  <c r="I100" i="81"/>
  <c r="O131" i="81"/>
  <c r="F188" i="81"/>
  <c r="N188" i="81"/>
  <c r="O162" i="81"/>
  <c r="O166" i="81"/>
  <c r="O183" i="81"/>
  <c r="O193" i="81"/>
  <c r="O205" i="81"/>
  <c r="E220" i="81"/>
  <c r="M220" i="81"/>
  <c r="J232" i="108"/>
  <c r="N234" i="108"/>
  <c r="H112" i="107"/>
  <c r="O212" i="107"/>
  <c r="O88" i="81"/>
  <c r="H141" i="81"/>
  <c r="O133" i="81"/>
  <c r="O144" i="81"/>
  <c r="O145" i="81"/>
  <c r="O155" i="81"/>
  <c r="O188" i="81" s="1"/>
  <c r="O170" i="81"/>
  <c r="O187" i="81"/>
  <c r="E197" i="81"/>
  <c r="E226" i="81" s="1"/>
  <c r="M197" i="81"/>
  <c r="O209" i="81"/>
  <c r="O230" i="81"/>
  <c r="O245" i="81"/>
  <c r="V263" i="80"/>
  <c r="V262" i="80"/>
  <c r="V261" i="80"/>
  <c r="V260" i="80"/>
  <c r="V267" i="80"/>
  <c r="V259" i="80"/>
  <c r="V266" i="80"/>
  <c r="V258" i="80"/>
  <c r="V265" i="80"/>
  <c r="V257" i="80"/>
  <c r="V264" i="80"/>
  <c r="V256" i="80"/>
  <c r="O71" i="80"/>
  <c r="K232" i="108"/>
  <c r="K238" i="108" s="1"/>
  <c r="G234" i="108"/>
  <c r="G111" i="107"/>
  <c r="C209" i="107"/>
  <c r="O207" i="107"/>
  <c r="C100" i="81"/>
  <c r="R15" i="81"/>
  <c r="K100" i="81"/>
  <c r="O71" i="81"/>
  <c r="R98" i="81"/>
  <c r="R110" i="81"/>
  <c r="R126" i="81"/>
  <c r="O135" i="81"/>
  <c r="O148" i="81"/>
  <c r="H188" i="81"/>
  <c r="O174" i="81"/>
  <c r="F214" i="81"/>
  <c r="N214" i="81"/>
  <c r="O218" i="81"/>
  <c r="O219" i="81"/>
  <c r="F237" i="81"/>
  <c r="O234" i="81"/>
  <c r="H248" i="81"/>
  <c r="D248" i="81"/>
  <c r="O243" i="81"/>
  <c r="L248" i="81"/>
  <c r="O15" i="80"/>
  <c r="O94" i="80"/>
  <c r="L232" i="108"/>
  <c r="L238" i="108" s="1"/>
  <c r="H234" i="108"/>
  <c r="O24" i="107"/>
  <c r="R71" i="81"/>
  <c r="O98" i="81"/>
  <c r="O139" i="81"/>
  <c r="O178" i="81"/>
  <c r="O191" i="81"/>
  <c r="G197" i="81"/>
  <c r="O192" i="81"/>
  <c r="D214" i="81"/>
  <c r="O223" i="81"/>
  <c r="O224" i="81" s="1"/>
  <c r="H100" i="80"/>
  <c r="H114" i="80" s="1"/>
  <c r="H230" i="80" s="1"/>
  <c r="M101" i="81"/>
  <c r="M128" i="81"/>
  <c r="O195" i="81"/>
  <c r="O228" i="81"/>
  <c r="O229" i="81"/>
  <c r="O231" i="81" s="1"/>
  <c r="J248" i="81"/>
  <c r="O62" i="80"/>
  <c r="H212" i="80"/>
  <c r="F100" i="81"/>
  <c r="N100" i="81"/>
  <c r="O130" i="81"/>
  <c r="D141" i="81"/>
  <c r="O143" i="81"/>
  <c r="C150" i="81"/>
  <c r="K150" i="81"/>
  <c r="K226" i="81" s="1"/>
  <c r="H237" i="81"/>
  <c r="C230" i="80"/>
  <c r="C115" i="80"/>
  <c r="R105" i="81"/>
  <c r="C188" i="81"/>
  <c r="O251" i="81"/>
  <c r="O253" i="81" s="1"/>
  <c r="C253" i="81"/>
  <c r="N101" i="80"/>
  <c r="C113" i="80"/>
  <c r="K113" i="80"/>
  <c r="O139" i="80"/>
  <c r="O166" i="80"/>
  <c r="O171" i="80"/>
  <c r="O180" i="80"/>
  <c r="E206" i="80"/>
  <c r="M206" i="80"/>
  <c r="O204" i="80"/>
  <c r="O206" i="80" s="1"/>
  <c r="G206" i="80"/>
  <c r="F223" i="80"/>
  <c r="N223" i="80"/>
  <c r="O24" i="80"/>
  <c r="G185" i="80"/>
  <c r="G200" i="80" s="1"/>
  <c r="N185" i="80"/>
  <c r="N200" i="80" s="1"/>
  <c r="F185" i="80"/>
  <c r="F200" i="80" s="1"/>
  <c r="M185" i="80"/>
  <c r="M200" i="80" s="1"/>
  <c r="E185" i="80"/>
  <c r="E200" i="80" s="1"/>
  <c r="L185" i="80"/>
  <c r="L200" i="80" s="1"/>
  <c r="D185" i="80"/>
  <c r="D200" i="80" s="1"/>
  <c r="J185" i="80"/>
  <c r="J200" i="80" s="1"/>
  <c r="J212" i="80" s="1"/>
  <c r="L113" i="80"/>
  <c r="M113" i="80"/>
  <c r="F136" i="80"/>
  <c r="N136" i="80"/>
  <c r="O135" i="80"/>
  <c r="O146" i="80"/>
  <c r="O151" i="80"/>
  <c r="C185" i="80"/>
  <c r="F206" i="80"/>
  <c r="N206" i="80"/>
  <c r="O214" i="80"/>
  <c r="S73" i="111"/>
  <c r="CC115" i="127"/>
  <c r="O119" i="80"/>
  <c r="O130" i="80"/>
  <c r="O133" i="80"/>
  <c r="J174" i="80"/>
  <c r="O158" i="80"/>
  <c r="I183" i="80"/>
  <c r="H185" i="80"/>
  <c r="H200" i="80" s="1"/>
  <c r="O197" i="80"/>
  <c r="CD115" i="127"/>
  <c r="G224" i="81"/>
  <c r="D88" i="80"/>
  <c r="D113" i="80" s="1"/>
  <c r="J112" i="80"/>
  <c r="J114" i="80" s="1"/>
  <c r="J230" i="80" s="1"/>
  <c r="F113" i="80"/>
  <c r="N113" i="80"/>
  <c r="O116" i="80"/>
  <c r="F127" i="80"/>
  <c r="N127" i="80"/>
  <c r="O138" i="80"/>
  <c r="O143" i="80"/>
  <c r="O170" i="80"/>
  <c r="F183" i="80"/>
  <c r="N183" i="80"/>
  <c r="O181" i="80"/>
  <c r="I185" i="80"/>
  <c r="I200" i="80" s="1"/>
  <c r="I217" i="80"/>
  <c r="I223" i="80" s="1"/>
  <c r="E223" i="80"/>
  <c r="H221" i="80"/>
  <c r="H223" i="80" s="1"/>
  <c r="BO174" i="127"/>
  <c r="BO181" i="127" s="1"/>
  <c r="BO231" i="127" s="1"/>
  <c r="BW174" i="127"/>
  <c r="BW181" i="127" s="1"/>
  <c r="BW231" i="127" s="1"/>
  <c r="O242" i="81"/>
  <c r="O110" i="80"/>
  <c r="O112" i="80" s="1"/>
  <c r="D127" i="80"/>
  <c r="L127" i="80"/>
  <c r="I136" i="80"/>
  <c r="D174" i="80"/>
  <c r="L174" i="80"/>
  <c r="O150" i="80"/>
  <c r="O155" i="80"/>
  <c r="C183" i="80"/>
  <c r="K183" i="80"/>
  <c r="O178" i="80"/>
  <c r="G183" i="80"/>
  <c r="K185" i="80"/>
  <c r="K200" i="80" s="1"/>
  <c r="O189" i="80"/>
  <c r="O194" i="80"/>
  <c r="I206" i="80"/>
  <c r="O205" i="80"/>
  <c r="C210" i="80"/>
  <c r="K210" i="80"/>
  <c r="R112" i="111"/>
  <c r="O112" i="111"/>
  <c r="BP174" i="127"/>
  <c r="BP181" i="127" s="1"/>
  <c r="BP231" i="127" s="1"/>
  <c r="BX174" i="127"/>
  <c r="BX181" i="127" s="1"/>
  <c r="BX231" i="127" s="1"/>
  <c r="AR115" i="127"/>
  <c r="CB115" i="127"/>
  <c r="M100" i="80"/>
  <c r="M114" i="80" s="1"/>
  <c r="M230" i="80" s="1"/>
  <c r="M212" i="80"/>
  <c r="M225" i="80" s="1"/>
  <c r="E174" i="80"/>
  <c r="E212" i="80" s="1"/>
  <c r="E225" i="80" s="1"/>
  <c r="M174" i="80"/>
  <c r="O167" i="80"/>
  <c r="O176" i="80"/>
  <c r="D183" i="80"/>
  <c r="BL115" i="127"/>
  <c r="F114" i="80"/>
  <c r="F230" i="80" s="1"/>
  <c r="C136" i="80"/>
  <c r="K136" i="80"/>
  <c r="G136" i="80"/>
  <c r="G212" i="80" s="1"/>
  <c r="F174" i="80"/>
  <c r="N174" i="80"/>
  <c r="O147" i="80"/>
  <c r="C174" i="80"/>
  <c r="O186" i="80"/>
  <c r="O220" i="80"/>
  <c r="N128" i="110"/>
  <c r="O128" i="110" s="1"/>
  <c r="U127" i="110"/>
  <c r="V127" i="110" s="1"/>
  <c r="O127" i="110"/>
  <c r="U112" i="110"/>
  <c r="O112" i="110"/>
  <c r="O129" i="80"/>
  <c r="D136" i="80"/>
  <c r="I113" i="80"/>
  <c r="O219" i="80"/>
  <c r="R111" i="111"/>
  <c r="O126" i="111"/>
  <c r="W204" i="127"/>
  <c r="W186" i="127"/>
  <c r="CD204" i="127"/>
  <c r="CD186" i="127"/>
  <c r="CQ204" i="127"/>
  <c r="CQ186" i="127"/>
  <c r="V195" i="127"/>
  <c r="V233" i="127" s="1"/>
  <c r="CC195" i="127"/>
  <c r="CC233" i="127" s="1"/>
  <c r="CP195" i="127"/>
  <c r="CP233" i="127" s="1"/>
  <c r="BK205" i="127"/>
  <c r="BK187" i="127"/>
  <c r="CK205" i="127"/>
  <c r="CK187" i="127"/>
  <c r="CW205" i="127"/>
  <c r="CW187" i="127"/>
  <c r="CY187" i="127" s="1"/>
  <c r="BK26" i="127"/>
  <c r="U188" i="127"/>
  <c r="U206" i="127"/>
  <c r="AT206" i="127"/>
  <c r="AT188" i="127"/>
  <c r="CB206" i="127"/>
  <c r="CB188" i="127"/>
  <c r="U197" i="127"/>
  <c r="AT197" i="127"/>
  <c r="CB197" i="127"/>
  <c r="CC224" i="127"/>
  <c r="CP224" i="127"/>
  <c r="W189" i="127"/>
  <c r="W207" i="127"/>
  <c r="CD189" i="127"/>
  <c r="CD207" i="127"/>
  <c r="CQ189" i="127"/>
  <c r="CQ207" i="127"/>
  <c r="AS190" i="127"/>
  <c r="AS208" i="127"/>
  <c r="CN208" i="127"/>
  <c r="CN190" i="127"/>
  <c r="AE104" i="127"/>
  <c r="AE174" i="127" s="1"/>
  <c r="AE181" i="127" s="1"/>
  <c r="AE231" i="127" s="1"/>
  <c r="AY104" i="127"/>
  <c r="AY174" i="127" s="1"/>
  <c r="AY181" i="127" s="1"/>
  <c r="AY231" i="127" s="1"/>
  <c r="BG104" i="127"/>
  <c r="BG174" i="127" s="1"/>
  <c r="BG181" i="127" s="1"/>
  <c r="BG231" i="127" s="1"/>
  <c r="BR104" i="127"/>
  <c r="BR174" i="127" s="1"/>
  <c r="BR181" i="127" s="1"/>
  <c r="BR231" i="127" s="1"/>
  <c r="CR104" i="127"/>
  <c r="AB130" i="127"/>
  <c r="AV130" i="127"/>
  <c r="BD130" i="127"/>
  <c r="BO130" i="127"/>
  <c r="BW130" i="127"/>
  <c r="CB200" i="127"/>
  <c r="CB173" i="127"/>
  <c r="CB191" i="127"/>
  <c r="CN206" i="127"/>
  <c r="BJ204" i="127"/>
  <c r="BJ186" i="127"/>
  <c r="CU204" i="127"/>
  <c r="CU186" i="127"/>
  <c r="CX186" i="127" s="1"/>
  <c r="AQ205" i="127"/>
  <c r="AQ187" i="127"/>
  <c r="BL205" i="127"/>
  <c r="BL187" i="127"/>
  <c r="CL205" i="127"/>
  <c r="CL187" i="127"/>
  <c r="BL26" i="127"/>
  <c r="V188" i="127"/>
  <c r="V206" i="127"/>
  <c r="CC206" i="127"/>
  <c r="CC188" i="127"/>
  <c r="AR67" i="127"/>
  <c r="AR104" i="127" s="1"/>
  <c r="U67" i="127"/>
  <c r="AK207" i="127"/>
  <c r="AK189" i="127"/>
  <c r="BJ189" i="127"/>
  <c r="BJ207" i="127"/>
  <c r="CJ189" i="127"/>
  <c r="CJ207" i="127"/>
  <c r="CU189" i="127"/>
  <c r="CX189" i="127" s="1"/>
  <c r="CU207" i="127"/>
  <c r="BJ76" i="127"/>
  <c r="AT190" i="127"/>
  <c r="AT208" i="127"/>
  <c r="CB190" i="127"/>
  <c r="CB208" i="127"/>
  <c r="CO190" i="127"/>
  <c r="CO208" i="127"/>
  <c r="AZ104" i="127"/>
  <c r="AZ174" i="127" s="1"/>
  <c r="AZ181" i="127" s="1"/>
  <c r="BS104" i="127"/>
  <c r="BS174" i="127" s="1"/>
  <c r="BS181" i="127" s="1"/>
  <c r="CS104" i="127"/>
  <c r="CS174" i="127" s="1"/>
  <c r="CS181" i="127" s="1"/>
  <c r="CS231" i="127" s="1"/>
  <c r="AC130" i="127"/>
  <c r="AW130" i="127"/>
  <c r="BE130" i="127"/>
  <c r="BP130" i="127"/>
  <c r="BX130" i="127"/>
  <c r="U191" i="127"/>
  <c r="U200" i="127"/>
  <c r="U173" i="127"/>
  <c r="CC173" i="127"/>
  <c r="CC191" i="127"/>
  <c r="CC200" i="127"/>
  <c r="CN197" i="127"/>
  <c r="O14" i="110"/>
  <c r="N101" i="110"/>
  <c r="U101" i="110" s="1"/>
  <c r="V101" i="110" s="1"/>
  <c r="BK204" i="127"/>
  <c r="BK186" i="127"/>
  <c r="CK204" i="127"/>
  <c r="CK186" i="127"/>
  <c r="CW204" i="127"/>
  <c r="CW186" i="127"/>
  <c r="CY186" i="127" s="1"/>
  <c r="BJ195" i="127"/>
  <c r="BJ233" i="127" s="1"/>
  <c r="CU195" i="127"/>
  <c r="CU233" i="127" s="1"/>
  <c r="AR205" i="127"/>
  <c r="AR187" i="127"/>
  <c r="CM205" i="127"/>
  <c r="CM187" i="127"/>
  <c r="CK26" i="127"/>
  <c r="W188" i="127"/>
  <c r="W206" i="127"/>
  <c r="CD206" i="127"/>
  <c r="CD188" i="127"/>
  <c r="W197" i="127"/>
  <c r="CD197" i="127"/>
  <c r="CD235" i="127" s="1"/>
  <c r="W224" i="127"/>
  <c r="BJ224" i="127"/>
  <c r="CJ224" i="127"/>
  <c r="CU224" i="127"/>
  <c r="U215" i="127"/>
  <c r="AT215" i="127"/>
  <c r="CB215" i="127"/>
  <c r="CO215" i="127"/>
  <c r="V67" i="127"/>
  <c r="V130" i="127" s="1"/>
  <c r="V174" i="127" s="1"/>
  <c r="BK189" i="127"/>
  <c r="BK207" i="127"/>
  <c r="CK189" i="127"/>
  <c r="CK207" i="127"/>
  <c r="CW189" i="127"/>
  <c r="CW207" i="127"/>
  <c r="BK76" i="127"/>
  <c r="CD76" i="127"/>
  <c r="CQ76" i="127"/>
  <c r="U190" i="127"/>
  <c r="U208" i="127"/>
  <c r="CC190" i="127"/>
  <c r="CC208" i="127"/>
  <c r="AS199" i="127"/>
  <c r="AS237" i="127" s="1"/>
  <c r="CN199" i="127"/>
  <c r="CN237" i="127" s="1"/>
  <c r="AF190" i="127"/>
  <c r="AF208" i="127"/>
  <c r="CN93" i="127"/>
  <c r="BA104" i="127"/>
  <c r="BA174" i="127" s="1"/>
  <c r="BA181" i="127" s="1"/>
  <c r="BA231" i="127" s="1"/>
  <c r="BT104" i="127"/>
  <c r="BT174" i="127" s="1"/>
  <c r="BT181" i="127" s="1"/>
  <c r="BT231" i="127" s="1"/>
  <c r="CV104" i="127"/>
  <c r="CV174" i="127" s="1"/>
  <c r="CV181" i="127" s="1"/>
  <c r="CV231" i="127" s="1"/>
  <c r="AD130" i="127"/>
  <c r="AX130" i="127"/>
  <c r="BF130" i="127"/>
  <c r="BQ130" i="127"/>
  <c r="BY130" i="127"/>
  <c r="V200" i="127"/>
  <c r="V173" i="127"/>
  <c r="V191" i="127"/>
  <c r="CD173" i="127"/>
  <c r="CD191" i="127"/>
  <c r="CD200" i="127"/>
  <c r="BK209" i="127"/>
  <c r="CW209" i="127"/>
  <c r="N127" i="111"/>
  <c r="AQ204" i="127"/>
  <c r="AQ186" i="127"/>
  <c r="BL204" i="127"/>
  <c r="BL186" i="127"/>
  <c r="CL204" i="127"/>
  <c r="CL186" i="127"/>
  <c r="BK233" i="127"/>
  <c r="CW233" i="127"/>
  <c r="AS205" i="127"/>
  <c r="AS187" i="127"/>
  <c r="CN205" i="127"/>
  <c r="CN187" i="127"/>
  <c r="CL26" i="127"/>
  <c r="BJ206" i="127"/>
  <c r="BJ188" i="127"/>
  <c r="AH188" i="127"/>
  <c r="AH206" i="127"/>
  <c r="AK197" i="127"/>
  <c r="BJ197" i="127"/>
  <c r="BJ235" i="127" s="1"/>
  <c r="CU197" i="127"/>
  <c r="AK224" i="127"/>
  <c r="BK224" i="127"/>
  <c r="CK224" i="127"/>
  <c r="CW224" i="127"/>
  <c r="V215" i="127"/>
  <c r="V235" i="127" s="1"/>
  <c r="CC215" i="127"/>
  <c r="CC235" i="127" s="1"/>
  <c r="CP215" i="127"/>
  <c r="W67" i="127"/>
  <c r="AH67" i="127"/>
  <c r="AH130" i="127" s="1"/>
  <c r="CB67" i="127"/>
  <c r="AQ189" i="127"/>
  <c r="AQ207" i="127"/>
  <c r="BL189" i="127"/>
  <c r="BL207" i="127"/>
  <c r="CL189" i="127"/>
  <c r="CL207" i="127"/>
  <c r="W76" i="127"/>
  <c r="BL76" i="127"/>
  <c r="CJ76" i="127"/>
  <c r="V190" i="127"/>
  <c r="V208" i="127"/>
  <c r="CD190" i="127"/>
  <c r="CD208" i="127"/>
  <c r="CQ190" i="127"/>
  <c r="CQ208" i="127"/>
  <c r="AT199" i="127"/>
  <c r="AT237" i="127" s="1"/>
  <c r="CB199" i="127"/>
  <c r="CB237" i="127" s="1"/>
  <c r="CO199" i="127"/>
  <c r="CO237" i="127" s="1"/>
  <c r="AG208" i="127"/>
  <c r="AG190" i="127"/>
  <c r="CB93" i="127"/>
  <c r="CO93" i="127"/>
  <c r="Z104" i="127"/>
  <c r="Z174" i="127" s="1"/>
  <c r="Z181" i="127" s="1"/>
  <c r="Z231" i="127" s="1"/>
  <c r="BB104" i="127"/>
  <c r="BB174" i="127" s="1"/>
  <c r="BB181" i="127" s="1"/>
  <c r="BB231" i="127" s="1"/>
  <c r="BU104" i="127"/>
  <c r="BU174" i="127" s="1"/>
  <c r="BU181" i="127" s="1"/>
  <c r="BU231" i="127" s="1"/>
  <c r="W200" i="127"/>
  <c r="W202" i="127" s="1"/>
  <c r="W173" i="127"/>
  <c r="W191" i="127"/>
  <c r="BJ173" i="127"/>
  <c r="BJ191" i="127"/>
  <c r="BJ200" i="127"/>
  <c r="BL209" i="127"/>
  <c r="AS218" i="127"/>
  <c r="U227" i="127"/>
  <c r="V239" i="127"/>
  <c r="V202" i="127"/>
  <c r="G221" i="80"/>
  <c r="G223" i="80" s="1"/>
  <c r="N101" i="111"/>
  <c r="O101" i="111" s="1"/>
  <c r="AR204" i="127"/>
  <c r="AR186" i="127"/>
  <c r="CM204" i="127"/>
  <c r="CM186" i="127"/>
  <c r="AQ17" i="127"/>
  <c r="BJ17" i="127"/>
  <c r="CQ17" i="127"/>
  <c r="U205" i="127"/>
  <c r="U187" i="127"/>
  <c r="AT205" i="127"/>
  <c r="AT187" i="127"/>
  <c r="CB205" i="127"/>
  <c r="CB187" i="127"/>
  <c r="CO205" i="127"/>
  <c r="CO187" i="127"/>
  <c r="CM26" i="127"/>
  <c r="BK206" i="127"/>
  <c r="BK211" i="127" s="1"/>
  <c r="BK188" i="127"/>
  <c r="CW206" i="127"/>
  <c r="CW188" i="127"/>
  <c r="CY188" i="127" s="1"/>
  <c r="AI188" i="127"/>
  <c r="AI193" i="127" s="1"/>
  <c r="AI206" i="127"/>
  <c r="AI211" i="127" s="1"/>
  <c r="BK197" i="127"/>
  <c r="BK235" i="127" s="1"/>
  <c r="CW197" i="127"/>
  <c r="CW235" i="127" s="1"/>
  <c r="BL224" i="127"/>
  <c r="BL229" i="127" s="1"/>
  <c r="CL224" i="127"/>
  <c r="AI67" i="127"/>
  <c r="AI104" i="127" s="1"/>
  <c r="AI174" i="127" s="1"/>
  <c r="AI181" i="127" s="1"/>
  <c r="AI231" i="127" s="1"/>
  <c r="BJ67" i="127"/>
  <c r="CC67" i="127"/>
  <c r="AR189" i="127"/>
  <c r="AR207" i="127"/>
  <c r="CM189" i="127"/>
  <c r="CM207" i="127"/>
  <c r="CK76" i="127"/>
  <c r="W208" i="127"/>
  <c r="W190" i="127"/>
  <c r="BJ190" i="127"/>
  <c r="BJ208" i="127"/>
  <c r="CJ190" i="127"/>
  <c r="CJ208" i="127"/>
  <c r="U199" i="127"/>
  <c r="U237" i="127" s="1"/>
  <c r="CC199" i="127"/>
  <c r="CC237" i="127" s="1"/>
  <c r="CP199" i="127"/>
  <c r="CP237" i="127" s="1"/>
  <c r="AH208" i="127"/>
  <c r="AH190" i="127"/>
  <c r="BJ93" i="127"/>
  <c r="CC93" i="127"/>
  <c r="AA104" i="127"/>
  <c r="AA174" i="127" s="1"/>
  <c r="AA181" i="127" s="1"/>
  <c r="AA231" i="127" s="1"/>
  <c r="BC104" i="127"/>
  <c r="BC174" i="127" s="1"/>
  <c r="BC181" i="127" s="1"/>
  <c r="BC231" i="127" s="1"/>
  <c r="BN104" i="127"/>
  <c r="BN174" i="127" s="1"/>
  <c r="BN181" i="127" s="1"/>
  <c r="BN231" i="127" s="1"/>
  <c r="BV104" i="127"/>
  <c r="BV174" i="127" s="1"/>
  <c r="BV181" i="127" s="1"/>
  <c r="BV231" i="127" s="1"/>
  <c r="BK173" i="127"/>
  <c r="BK191" i="127"/>
  <c r="BK200" i="127"/>
  <c r="BK238" i="127" s="1"/>
  <c r="CW200" i="127"/>
  <c r="CW238" i="127" s="1"/>
  <c r="CW173" i="127"/>
  <c r="CW191" i="127"/>
  <c r="CY191" i="127" s="1"/>
  <c r="AR209" i="127"/>
  <c r="AT218" i="127"/>
  <c r="CB218" i="127"/>
  <c r="W239" i="127"/>
  <c r="O208" i="80"/>
  <c r="O210" i="80" s="1"/>
  <c r="O215" i="80"/>
  <c r="AS204" i="127"/>
  <c r="AS186" i="127"/>
  <c r="CN204" i="127"/>
  <c r="CN186" i="127"/>
  <c r="AR17" i="127"/>
  <c r="BK17" i="127"/>
  <c r="CD17" i="127"/>
  <c r="V205" i="127"/>
  <c r="V187" i="127"/>
  <c r="CC205" i="127"/>
  <c r="CC187" i="127"/>
  <c r="CP205" i="127"/>
  <c r="CP187" i="127"/>
  <c r="CW26" i="127"/>
  <c r="CW130" i="127" s="1"/>
  <c r="AQ188" i="127"/>
  <c r="AQ206" i="127"/>
  <c r="BL206" i="127"/>
  <c r="BL188" i="127"/>
  <c r="BL193" i="127" s="1"/>
  <c r="AJ188" i="127"/>
  <c r="AJ193" i="127" s="1"/>
  <c r="AJ206" i="127"/>
  <c r="AQ197" i="127"/>
  <c r="AQ235" i="127" s="1"/>
  <c r="BL197" i="127"/>
  <c r="AR224" i="127"/>
  <c r="CM224" i="127"/>
  <c r="AJ67" i="127"/>
  <c r="AJ104" i="127" s="1"/>
  <c r="AJ174" i="127" s="1"/>
  <c r="AJ181" i="127" s="1"/>
  <c r="BK67" i="127"/>
  <c r="CD67" i="127"/>
  <c r="AS189" i="127"/>
  <c r="AS207" i="127"/>
  <c r="CN189" i="127"/>
  <c r="CN207" i="127"/>
  <c r="CU76" i="127"/>
  <c r="BK190" i="127"/>
  <c r="BK208" i="127"/>
  <c r="CK190" i="127"/>
  <c r="CK208" i="127"/>
  <c r="CW208" i="127"/>
  <c r="CW190" i="127"/>
  <c r="BK93" i="127"/>
  <c r="CD93" i="127"/>
  <c r="CQ93" i="127"/>
  <c r="BL173" i="127"/>
  <c r="BL191" i="127"/>
  <c r="BL200" i="127"/>
  <c r="AS209" i="127"/>
  <c r="CW239" i="127"/>
  <c r="CY189" i="127"/>
  <c r="CY190" i="127"/>
  <c r="U204" i="127"/>
  <c r="U211" i="127" s="1"/>
  <c r="U186" i="127"/>
  <c r="AT204" i="127"/>
  <c r="AT186" i="127"/>
  <c r="CB204" i="127"/>
  <c r="CB186" i="127"/>
  <c r="CO186" i="127"/>
  <c r="CO204" i="127"/>
  <c r="AS17" i="127"/>
  <c r="BL17" i="127"/>
  <c r="CK17" i="127"/>
  <c r="W205" i="127"/>
  <c r="W187" i="127"/>
  <c r="CD205" i="127"/>
  <c r="CD187" i="127"/>
  <c r="CD193" i="127" s="1"/>
  <c r="CQ205" i="127"/>
  <c r="CQ187" i="127"/>
  <c r="AR206" i="127"/>
  <c r="AQ67" i="127"/>
  <c r="BL67" i="127"/>
  <c r="U189" i="127"/>
  <c r="U207" i="127"/>
  <c r="AT189" i="127"/>
  <c r="AT207" i="127"/>
  <c r="CB207" i="127"/>
  <c r="CB189" i="127"/>
  <c r="CO207" i="127"/>
  <c r="CO189" i="127"/>
  <c r="BL190" i="127"/>
  <c r="BL208" i="127"/>
  <c r="CL190" i="127"/>
  <c r="CL208" i="127"/>
  <c r="AS93" i="127"/>
  <c r="BL93" i="127"/>
  <c r="CJ93" i="127"/>
  <c r="AR173" i="127"/>
  <c r="AR191" i="127"/>
  <c r="AR200" i="127"/>
  <c r="V204" i="127"/>
  <c r="V186" i="127"/>
  <c r="CC204" i="127"/>
  <c r="CC186" i="127"/>
  <c r="CP204" i="127"/>
  <c r="CP186" i="127"/>
  <c r="W17" i="127"/>
  <c r="AT17" i="127"/>
  <c r="CL17" i="127"/>
  <c r="CU17" i="127"/>
  <c r="AK205" i="127"/>
  <c r="AK187" i="127"/>
  <c r="BJ205" i="127"/>
  <c r="BJ211" i="127" s="1"/>
  <c r="BJ187" i="127"/>
  <c r="BJ193" i="127" s="1"/>
  <c r="CJ205" i="127"/>
  <c r="CJ187" i="127"/>
  <c r="CU205" i="127"/>
  <c r="CU187" i="127"/>
  <c r="CX187" i="127" s="1"/>
  <c r="AQ26" i="127"/>
  <c r="BJ26" i="127"/>
  <c r="AT67" i="127"/>
  <c r="V189" i="127"/>
  <c r="V207" i="127"/>
  <c r="CC189" i="127"/>
  <c r="CC207" i="127"/>
  <c r="CP189" i="127"/>
  <c r="CP207" i="127"/>
  <c r="AR190" i="127"/>
  <c r="AR208" i="127"/>
  <c r="CM208" i="127"/>
  <c r="CM190" i="127"/>
  <c r="CW199" i="127"/>
  <c r="CW237" i="127" s="1"/>
  <c r="U93" i="127"/>
  <c r="AT93" i="127"/>
  <c r="CK93" i="127"/>
  <c r="AS173" i="127"/>
  <c r="AS191" i="127"/>
  <c r="AS200" i="127"/>
  <c r="AR218" i="127"/>
  <c r="AT227" i="127"/>
  <c r="AT229" i="127" s="1"/>
  <c r="CB227" i="127"/>
  <c r="CB229" i="127" s="1"/>
  <c r="CO197" i="127"/>
  <c r="BK220" i="127"/>
  <c r="CW220" i="127"/>
  <c r="CB180" i="127"/>
  <c r="CO180" i="127"/>
  <c r="V192" i="127"/>
  <c r="V193" i="127" s="1"/>
  <c r="AT192" i="127"/>
  <c r="CK192" i="127"/>
  <c r="CB201" i="127"/>
  <c r="CO201" i="127"/>
  <c r="CO239" i="127" s="1"/>
  <c r="AD202" i="127"/>
  <c r="AD240" i="127" s="1"/>
  <c r="AZ202" i="127"/>
  <c r="AZ240" i="127" s="1"/>
  <c r="BS202" i="127"/>
  <c r="AA211" i="127"/>
  <c r="AY211" i="127"/>
  <c r="BG211" i="127"/>
  <c r="BR211" i="127"/>
  <c r="CS211" i="127"/>
  <c r="AZ220" i="127"/>
  <c r="CC227" i="127"/>
  <c r="CC229" i="127" s="1"/>
  <c r="CP197" i="127"/>
  <c r="CQ206" i="127"/>
  <c r="BL220" i="127"/>
  <c r="BJ180" i="127"/>
  <c r="CC180" i="127"/>
  <c r="CP180" i="127"/>
  <c r="W192" i="127"/>
  <c r="CL192" i="127"/>
  <c r="CU192" i="127"/>
  <c r="CX192" i="127" s="1"/>
  <c r="BJ201" i="127"/>
  <c r="CC201" i="127"/>
  <c r="CP201" i="127"/>
  <c r="CP239" i="127" s="1"/>
  <c r="AE202" i="127"/>
  <c r="AE240" i="127" s="1"/>
  <c r="BA202" i="127"/>
  <c r="BA240" i="127" s="1"/>
  <c r="BT202" i="127"/>
  <c r="AJ211" i="127"/>
  <c r="V227" i="127"/>
  <c r="V229" i="127" s="1"/>
  <c r="CD227" i="127"/>
  <c r="CD229" i="127" s="1"/>
  <c r="CQ197" i="127"/>
  <c r="CJ206" i="127"/>
  <c r="CU206" i="127"/>
  <c r="CW211" i="127"/>
  <c r="AR180" i="127"/>
  <c r="BK180" i="127"/>
  <c r="CD180" i="127"/>
  <c r="CQ180" i="127"/>
  <c r="CM192" i="127"/>
  <c r="AR201" i="127"/>
  <c r="AR239" i="127" s="1"/>
  <c r="BK201" i="127"/>
  <c r="CD201" i="127"/>
  <c r="CQ201" i="127"/>
  <c r="CQ239" i="127" s="1"/>
  <c r="AI202" i="127"/>
  <c r="AI240" i="127" s="1"/>
  <c r="BB202" i="127"/>
  <c r="BB240" i="127" s="1"/>
  <c r="BU202" i="127"/>
  <c r="BU240" i="127" s="1"/>
  <c r="CR202" i="127"/>
  <c r="AC211" i="127"/>
  <c r="BA211" i="127"/>
  <c r="BT211" i="127"/>
  <c r="BB220" i="127"/>
  <c r="CC218" i="127"/>
  <c r="CC220" i="127" s="1"/>
  <c r="W227" i="127"/>
  <c r="W229" i="127" s="1"/>
  <c r="BJ227" i="127"/>
  <c r="BJ229" i="127" s="1"/>
  <c r="CK206" i="127"/>
  <c r="U229" i="127"/>
  <c r="U180" i="127"/>
  <c r="AS180" i="127"/>
  <c r="BL180" i="127"/>
  <c r="CJ180" i="127"/>
  <c r="CN192" i="127"/>
  <c r="CW192" i="127"/>
  <c r="U201" i="127"/>
  <c r="AS201" i="127"/>
  <c r="AS239" i="127" s="1"/>
  <c r="BL201" i="127"/>
  <c r="CJ201" i="127"/>
  <c r="CJ239" i="127" s="1"/>
  <c r="AJ202" i="127"/>
  <c r="BC202" i="127"/>
  <c r="BC240" i="127" s="1"/>
  <c r="BN202" i="127"/>
  <c r="BN240" i="127" s="1"/>
  <c r="BV202" i="127"/>
  <c r="BV240" i="127" s="1"/>
  <c r="CS202" i="127"/>
  <c r="CL206" i="127"/>
  <c r="CB220" i="127"/>
  <c r="V180" i="127"/>
  <c r="AT180" i="127"/>
  <c r="CK180" i="127"/>
  <c r="Z202" i="127"/>
  <c r="Z240" i="127" s="1"/>
  <c r="AV202" i="127"/>
  <c r="AV240" i="127" s="1"/>
  <c r="BD202" i="127"/>
  <c r="BD240" i="127" s="1"/>
  <c r="BO202" i="127"/>
  <c r="BO240" i="127" s="1"/>
  <c r="BW202" i="127"/>
  <c r="BW240" i="127" s="1"/>
  <c r="CV202" i="127"/>
  <c r="CV240" i="127" s="1"/>
  <c r="AE211" i="127"/>
  <c r="BC211" i="127"/>
  <c r="BN211" i="127"/>
  <c r="BV211" i="127"/>
  <c r="AC220" i="127"/>
  <c r="CU200" i="127"/>
  <c r="CL197" i="127"/>
  <c r="CM206" i="127"/>
  <c r="U220" i="127"/>
  <c r="W180" i="127"/>
  <c r="CL180" i="127"/>
  <c r="CU180" i="127"/>
  <c r="AA202" i="127"/>
  <c r="AW202" i="127"/>
  <c r="AW240" i="127" s="1"/>
  <c r="BE202" i="127"/>
  <c r="BE240" i="127" s="1"/>
  <c r="BP202" i="127"/>
  <c r="BP240" i="127" s="1"/>
  <c r="BX202" i="127"/>
  <c r="BX240" i="127" s="1"/>
  <c r="BS220" i="127"/>
  <c r="V220" i="127"/>
  <c r="CD220" i="127"/>
  <c r="BK229" i="127"/>
  <c r="CW229" i="127"/>
  <c r="CM180" i="127"/>
  <c r="AB202" i="127"/>
  <c r="AB240" i="127" s="1"/>
  <c r="AX202" i="127"/>
  <c r="AX240" i="127" s="1"/>
  <c r="BF202" i="127"/>
  <c r="BF240" i="127" s="1"/>
  <c r="BQ202" i="127"/>
  <c r="BQ240" i="127" s="1"/>
  <c r="BY202" i="127"/>
  <c r="AW211" i="127"/>
  <c r="BE211" i="127"/>
  <c r="BP211" i="127"/>
  <c r="BX211" i="127"/>
  <c r="W220" i="127"/>
  <c r="BJ220" i="127"/>
  <c r="CN180" i="127"/>
  <c r="CW180" i="127"/>
  <c r="AC202" i="127"/>
  <c r="AY202" i="127"/>
  <c r="AY240" i="127" s="1"/>
  <c r="BG202" i="127"/>
  <c r="BG240" i="127" s="1"/>
  <c r="BR202" i="127"/>
  <c r="BR240" i="127" s="1"/>
  <c r="BV229" i="127"/>
  <c r="CS229" i="127"/>
  <c r="BY229" i="127"/>
  <c r="H239" i="127"/>
  <c r="P239" i="127"/>
  <c r="M236" i="127"/>
  <c r="AQ236" i="127"/>
  <c r="CL236" i="127"/>
  <c r="CU236" i="127"/>
  <c r="K237" i="127"/>
  <c r="I238" i="127"/>
  <c r="Q238" i="127"/>
  <c r="AF233" i="127"/>
  <c r="AT233" i="127"/>
  <c r="K234" i="127"/>
  <c r="CJ234" i="127"/>
  <c r="I235" i="127"/>
  <c r="Q235" i="127"/>
  <c r="T103" i="127"/>
  <c r="M220" i="127"/>
  <c r="AE36" i="124"/>
  <c r="AG61" i="124"/>
  <c r="U21" i="124"/>
  <c r="AF36" i="124"/>
  <c r="R12" i="124"/>
  <c r="V11" i="124"/>
  <c r="Z17" i="124"/>
  <c r="AA36" i="124"/>
  <c r="U39" i="124"/>
  <c r="AG48" i="124"/>
  <c r="Z26" i="124"/>
  <c r="Z36" i="124"/>
  <c r="O8" i="124"/>
  <c r="K27" i="124"/>
  <c r="AF40" i="124"/>
  <c r="V38" i="124"/>
  <c r="O5" i="124"/>
  <c r="S5" i="124" s="1"/>
  <c r="J18" i="124"/>
  <c r="AG45" i="124"/>
  <c r="J61" i="124"/>
  <c r="N61" i="124" s="1"/>
  <c r="Y45" i="124"/>
  <c r="J22" i="124"/>
  <c r="Z25" i="124"/>
  <c r="L27" i="124"/>
  <c r="J45" i="124"/>
  <c r="O49" i="124"/>
  <c r="O3" i="124"/>
  <c r="S3" i="124" s="1"/>
  <c r="AA4" i="124"/>
  <c r="U5" i="124"/>
  <c r="O7" i="124"/>
  <c r="Y24" i="124"/>
  <c r="M27" i="124"/>
  <c r="Z34" i="124"/>
  <c r="Z49" i="124"/>
  <c r="AA59" i="124"/>
  <c r="Q3" i="124"/>
  <c r="K11" i="124"/>
  <c r="O13" i="124"/>
  <c r="S13" i="124" s="1"/>
  <c r="V18" i="124"/>
  <c r="O22" i="124"/>
  <c r="O23" i="124"/>
  <c r="S23" i="124" s="1"/>
  <c r="O27" i="124"/>
  <c r="S27" i="124" s="1"/>
  <c r="L28" i="124"/>
  <c r="AF31" i="124"/>
  <c r="Z32" i="124"/>
  <c r="J38" i="124"/>
  <c r="Y60" i="124"/>
  <c r="AA31" i="124"/>
  <c r="V8" i="124"/>
  <c r="AA10" i="124"/>
  <c r="J11" i="124"/>
  <c r="N11" i="124" s="1"/>
  <c r="U3" i="124"/>
  <c r="AF5" i="124"/>
  <c r="Y7" i="124"/>
  <c r="AF10" i="124"/>
  <c r="Q11" i="124"/>
  <c r="J12" i="124"/>
  <c r="N12" i="124" s="1"/>
  <c r="T13" i="124"/>
  <c r="O14" i="124"/>
  <c r="AF20" i="124"/>
  <c r="U22" i="124"/>
  <c r="AG24" i="124"/>
  <c r="Q27" i="124"/>
  <c r="U28" i="124"/>
  <c r="U37" i="124"/>
  <c r="O45" i="124"/>
  <c r="U52" i="124"/>
  <c r="AA54" i="124"/>
  <c r="J58" i="124"/>
  <c r="N58" i="124" s="1"/>
  <c r="AF59" i="124"/>
  <c r="AA60" i="124"/>
  <c r="O61" i="124"/>
  <c r="S61" i="124" s="1"/>
  <c r="AA7" i="124"/>
  <c r="T11" i="124"/>
  <c r="O21" i="124"/>
  <c r="Z28" i="124"/>
  <c r="AF32" i="124"/>
  <c r="AA52" i="124"/>
  <c r="AG59" i="124"/>
  <c r="U45" i="124"/>
  <c r="AF15" i="124"/>
  <c r="U11" i="124"/>
  <c r="Y25" i="124"/>
  <c r="J46" i="124"/>
  <c r="M61" i="124"/>
  <c r="AE3" i="124"/>
  <c r="AA25" i="124"/>
  <c r="AA38" i="124"/>
  <c r="AF50" i="124"/>
  <c r="AA51" i="124"/>
  <c r="Z53" i="124"/>
  <c r="R61" i="124"/>
  <c r="Y64" i="124"/>
  <c r="Q65" i="124"/>
  <c r="L11" i="124"/>
  <c r="U14" i="124"/>
  <c r="O15" i="124"/>
  <c r="T27" i="124"/>
  <c r="J32" i="124"/>
  <c r="Z33" i="124"/>
  <c r="AA34" i="124"/>
  <c r="AA41" i="124"/>
  <c r="Z42" i="124"/>
  <c r="V45" i="124"/>
  <c r="AG50" i="124"/>
  <c r="AA53" i="124"/>
  <c r="AE55" i="124"/>
  <c r="T61" i="124"/>
  <c r="O63" i="124"/>
  <c r="S63" i="124" s="1"/>
  <c r="M11" i="124"/>
  <c r="Z12" i="124"/>
  <c r="AF25" i="124"/>
  <c r="AF26" i="124"/>
  <c r="U27" i="124"/>
  <c r="AA42" i="124"/>
  <c r="AF51" i="124"/>
  <c r="Z61" i="124"/>
  <c r="L62" i="124"/>
  <c r="AH3" i="124"/>
  <c r="J3" i="124"/>
  <c r="N3" i="124" s="1"/>
  <c r="AG8" i="124"/>
  <c r="O9" i="124"/>
  <c r="Z20" i="124"/>
  <c r="M3" i="124"/>
  <c r="O11" i="124"/>
  <c r="S11" i="124" s="1"/>
  <c r="AA12" i="124"/>
  <c r="J14" i="124"/>
  <c r="AA20" i="124"/>
  <c r="Y21" i="124"/>
  <c r="AG26" i="124"/>
  <c r="J27" i="124"/>
  <c r="N27" i="124" s="1"/>
  <c r="V27" i="124"/>
  <c r="T28" i="124"/>
  <c r="T31" i="124"/>
  <c r="AE34" i="124"/>
  <c r="Y36" i="124"/>
  <c r="Z45" i="124"/>
  <c r="V46" i="124"/>
  <c r="AG51" i="124"/>
  <c r="K58" i="124"/>
  <c r="T62" i="124"/>
  <c r="T32" i="124"/>
  <c r="U44" i="124"/>
  <c r="AF2" i="124"/>
  <c r="P25" i="124"/>
  <c r="Q25" i="124"/>
  <c r="U29" i="124"/>
  <c r="AG2" i="124"/>
  <c r="K3" i="124"/>
  <c r="V3" i="124"/>
  <c r="Q5" i="124"/>
  <c r="Y8" i="124"/>
  <c r="Y10" i="124"/>
  <c r="R11" i="124"/>
  <c r="AF12" i="124"/>
  <c r="Q13" i="124"/>
  <c r="AG13" i="124"/>
  <c r="J17" i="124"/>
  <c r="AF18" i="124"/>
  <c r="O19" i="124"/>
  <c r="AE22" i="124"/>
  <c r="J26" i="124"/>
  <c r="N26" i="124" s="1"/>
  <c r="AA26" i="124"/>
  <c r="AG28" i="124"/>
  <c r="AF28" i="124"/>
  <c r="U31" i="124"/>
  <c r="O37" i="124"/>
  <c r="V37" i="124"/>
  <c r="Z37" i="124"/>
  <c r="J40" i="124"/>
  <c r="J57" i="124"/>
  <c r="N57" i="124" s="1"/>
  <c r="R57" i="124"/>
  <c r="P57" i="124"/>
  <c r="O57" i="124"/>
  <c r="S57" i="124" s="1"/>
  <c r="AE64" i="124"/>
  <c r="AG64" i="124"/>
  <c r="AF64" i="124"/>
  <c r="L3" i="124"/>
  <c r="Y3" i="124"/>
  <c r="AF4" i="124"/>
  <c r="T5" i="124"/>
  <c r="Z10" i="124"/>
  <c r="AE11" i="124"/>
  <c r="V14" i="124"/>
  <c r="AF16" i="124"/>
  <c r="AF24" i="124"/>
  <c r="J25" i="124"/>
  <c r="N25" i="124" s="1"/>
  <c r="K26" i="124"/>
  <c r="AA27" i="124"/>
  <c r="AE33" i="124"/>
  <c r="J37" i="124"/>
  <c r="Z39" i="124"/>
  <c r="AF39" i="124"/>
  <c r="AA39" i="124"/>
  <c r="Q57" i="124"/>
  <c r="AE37" i="124"/>
  <c r="P60" i="124"/>
  <c r="R60" i="124"/>
  <c r="Q60" i="124"/>
  <c r="M60" i="124"/>
  <c r="L60" i="124"/>
  <c r="V60" i="124"/>
  <c r="J60" i="124"/>
  <c r="N60" i="124" s="1"/>
  <c r="U60" i="124"/>
  <c r="V20" i="124"/>
  <c r="O29" i="124"/>
  <c r="U13" i="124"/>
  <c r="U19" i="124"/>
  <c r="U20" i="124"/>
  <c r="Q26" i="124"/>
  <c r="AG37" i="124"/>
  <c r="U38" i="124"/>
  <c r="O38" i="124"/>
  <c r="K60" i="124"/>
  <c r="AI65" i="124"/>
  <c r="AH65" i="124"/>
  <c r="Z2" i="124"/>
  <c r="J19" i="124"/>
  <c r="V19" i="124"/>
  <c r="R26" i="124"/>
  <c r="T29" i="124"/>
  <c r="O36" i="124"/>
  <c r="U36" i="124"/>
  <c r="AE44" i="124"/>
  <c r="AF44" i="124"/>
  <c r="AA44" i="124"/>
  <c r="Z44" i="124"/>
  <c r="O54" i="124"/>
  <c r="V54" i="124"/>
  <c r="U54" i="124"/>
  <c r="T60" i="124"/>
  <c r="AG11" i="124"/>
  <c r="R25" i="124"/>
  <c r="L26" i="124"/>
  <c r="U55" i="124"/>
  <c r="Y2" i="124"/>
  <c r="V5" i="124"/>
  <c r="AA2" i="124"/>
  <c r="R4" i="124"/>
  <c r="AG10" i="124"/>
  <c r="Y11" i="124"/>
  <c r="L13" i="124"/>
  <c r="AE18" i="124"/>
  <c r="Z18" i="124"/>
  <c r="Y18" i="124"/>
  <c r="Z19" i="124"/>
  <c r="T26" i="124"/>
  <c r="V29" i="124"/>
  <c r="O30" i="124"/>
  <c r="AG33" i="124"/>
  <c r="AA33" i="124"/>
  <c r="AG44" i="124"/>
  <c r="AF58" i="124"/>
  <c r="AA58" i="124"/>
  <c r="Z58" i="124"/>
  <c r="K5" i="124"/>
  <c r="Y5" i="124"/>
  <c r="K13" i="124"/>
  <c r="V13" i="124"/>
  <c r="R3" i="124"/>
  <c r="L5" i="124"/>
  <c r="Y13" i="124"/>
  <c r="O16" i="124"/>
  <c r="T3" i="124"/>
  <c r="Z4" i="124"/>
  <c r="M5" i="124"/>
  <c r="AA11" i="124"/>
  <c r="M13" i="124"/>
  <c r="AA13" i="124"/>
  <c r="AA17" i="124"/>
  <c r="AG17" i="124"/>
  <c r="AF17" i="124"/>
  <c r="AA19" i="124"/>
  <c r="AG20" i="124"/>
  <c r="AA21" i="124"/>
  <c r="AE25" i="124"/>
  <c r="AE26" i="124"/>
  <c r="Y26" i="124"/>
  <c r="V26" i="124"/>
  <c r="AA28" i="124"/>
  <c r="V30" i="124"/>
  <c r="Y49" i="124"/>
  <c r="AE49" i="124"/>
  <c r="V53" i="124"/>
  <c r="U53" i="124"/>
  <c r="J53" i="124"/>
  <c r="AA45" i="124"/>
  <c r="O46" i="124"/>
  <c r="AE47" i="124"/>
  <c r="Y51" i="124"/>
  <c r="J52" i="124"/>
  <c r="Y52" i="124"/>
  <c r="AG56" i="124"/>
  <c r="Y59" i="124"/>
  <c r="AG60" i="124"/>
  <c r="K61" i="124"/>
  <c r="U61" i="124"/>
  <c r="M62" i="124"/>
  <c r="J65" i="124"/>
  <c r="N65" i="124" s="1"/>
  <c r="AG65" i="124"/>
  <c r="U32" i="124"/>
  <c r="AE38" i="124"/>
  <c r="Z51" i="124"/>
  <c r="Z52" i="124"/>
  <c r="Z59" i="124"/>
  <c r="L61" i="124"/>
  <c r="V61" i="124"/>
  <c r="O62" i="124"/>
  <c r="S62" i="124" s="1"/>
  <c r="O65" i="124"/>
  <c r="S65" i="124" s="1"/>
  <c r="V21" i="124"/>
  <c r="R27" i="124"/>
  <c r="M28" i="124"/>
  <c r="Z35" i="124"/>
  <c r="AG36" i="124"/>
  <c r="Z40" i="124"/>
  <c r="Z41" i="124"/>
  <c r="U46" i="124"/>
  <c r="Z60" i="124"/>
  <c r="AA61" i="124"/>
  <c r="U62" i="124"/>
  <c r="R65" i="124"/>
  <c r="AF52" i="124"/>
  <c r="V62" i="124"/>
  <c r="V65" i="124"/>
  <c r="O47" i="124"/>
  <c r="AG52" i="124"/>
  <c r="Y65" i="124"/>
  <c r="M56" i="124"/>
  <c r="K59" i="124"/>
  <c r="K62" i="124"/>
  <c r="Z65" i="124"/>
  <c r="T6" i="124"/>
  <c r="L6" i="124"/>
  <c r="R6" i="124"/>
  <c r="J6" i="124"/>
  <c r="N6" i="124" s="1"/>
  <c r="V10" i="124"/>
  <c r="Q12" i="124"/>
  <c r="O12" i="124"/>
  <c r="V12" i="124"/>
  <c r="T12" i="124"/>
  <c r="AF14" i="124"/>
  <c r="AA14" i="124"/>
  <c r="Z14" i="124"/>
  <c r="AG14" i="124"/>
  <c r="Y14" i="124"/>
  <c r="U6" i="124"/>
  <c r="K6" i="124"/>
  <c r="V6" i="124"/>
  <c r="AF6" i="124"/>
  <c r="AA9" i="124"/>
  <c r="AE9" i="124"/>
  <c r="AH12" i="124"/>
  <c r="R24" i="124"/>
  <c r="J24" i="124"/>
  <c r="N24" i="124" s="1"/>
  <c r="O24" i="124"/>
  <c r="V24" i="124"/>
  <c r="U24" i="124"/>
  <c r="M24" i="124"/>
  <c r="T24" i="124"/>
  <c r="L24" i="124"/>
  <c r="K24" i="124"/>
  <c r="AF30" i="124"/>
  <c r="AA30" i="124"/>
  <c r="Z30" i="124"/>
  <c r="AG30" i="124"/>
  <c r="Y30" i="124"/>
  <c r="O2" i="124"/>
  <c r="O10" i="124"/>
  <c r="U10" i="124"/>
  <c r="M10" i="124"/>
  <c r="T10" i="124"/>
  <c r="L10" i="124"/>
  <c r="M6" i="124"/>
  <c r="AG6" i="124"/>
  <c r="Z7" i="124"/>
  <c r="V9" i="124"/>
  <c r="U9" i="124"/>
  <c r="AF9" i="124"/>
  <c r="K10" i="124"/>
  <c r="K12" i="124"/>
  <c r="AI12" i="124"/>
  <c r="D7" i="146"/>
  <c r="AE6" i="124"/>
  <c r="J2" i="124"/>
  <c r="Q4" i="124"/>
  <c r="O4" i="124"/>
  <c r="AF3" i="124"/>
  <c r="Z5" i="124"/>
  <c r="AG5" i="124"/>
  <c r="J7" i="124"/>
  <c r="AA8" i="124"/>
  <c r="Z8" i="124"/>
  <c r="AG9" i="124"/>
  <c r="L12" i="124"/>
  <c r="Z16" i="124"/>
  <c r="AA16" i="124"/>
  <c r="Y16" i="124"/>
  <c r="D18" i="146"/>
  <c r="P24" i="124"/>
  <c r="D3" i="146"/>
  <c r="Z3" i="124"/>
  <c r="AA3" i="124"/>
  <c r="K4" i="124"/>
  <c r="U4" i="124"/>
  <c r="L4" i="124"/>
  <c r="V4" i="124"/>
  <c r="O6" i="124"/>
  <c r="Y6" i="124"/>
  <c r="U7" i="124"/>
  <c r="AE7" i="124"/>
  <c r="U8" i="124"/>
  <c r="AE8" i="124"/>
  <c r="J9" i="124"/>
  <c r="P10" i="124"/>
  <c r="M12" i="124"/>
  <c r="AG15" i="124"/>
  <c r="Y15" i="124"/>
  <c r="AA15" i="124"/>
  <c r="Z15" i="124"/>
  <c r="J16" i="124"/>
  <c r="V16" i="124"/>
  <c r="O17" i="124"/>
  <c r="V17" i="124"/>
  <c r="U17" i="124"/>
  <c r="AF22" i="124"/>
  <c r="AA22" i="124"/>
  <c r="Z22" i="124"/>
  <c r="AG22" i="124"/>
  <c r="Y22" i="124"/>
  <c r="Q24" i="124"/>
  <c r="V2" i="124"/>
  <c r="AI3" i="124"/>
  <c r="J4" i="124"/>
  <c r="N4" i="124" s="1"/>
  <c r="T4" i="124"/>
  <c r="M4" i="124"/>
  <c r="AE5" i="124"/>
  <c r="P6" i="124"/>
  <c r="AA6" i="124"/>
  <c r="AF7" i="124"/>
  <c r="AF8" i="124"/>
  <c r="Y9" i="124"/>
  <c r="Q10" i="124"/>
  <c r="AF11" i="124"/>
  <c r="Z11" i="124"/>
  <c r="P12" i="124"/>
  <c r="U15" i="124"/>
  <c r="T15" i="124"/>
  <c r="L15" i="124"/>
  <c r="R15" i="124"/>
  <c r="J15" i="124"/>
  <c r="AE15" i="124"/>
  <c r="AE16" i="124"/>
  <c r="Z6" i="124"/>
  <c r="R10" i="124"/>
  <c r="D19" i="146"/>
  <c r="AG23" i="124"/>
  <c r="Y23" i="124"/>
  <c r="AA23" i="124"/>
  <c r="Z23" i="124"/>
  <c r="AF23" i="124"/>
  <c r="D12" i="146"/>
  <c r="Q23" i="124"/>
  <c r="V23" i="124"/>
  <c r="U23" i="124"/>
  <c r="M23" i="124"/>
  <c r="T23" i="124"/>
  <c r="L23" i="124"/>
  <c r="K23" i="124"/>
  <c r="R23" i="124"/>
  <c r="J23" i="124"/>
  <c r="N23" i="124" s="1"/>
  <c r="AE21" i="124"/>
  <c r="K25" i="124"/>
  <c r="AE4" i="124"/>
  <c r="P5" i="124"/>
  <c r="AE12" i="124"/>
  <c r="P13" i="124"/>
  <c r="AF13" i="124"/>
  <c r="U18" i="124"/>
  <c r="O20" i="124"/>
  <c r="AE20" i="124"/>
  <c r="AF21" i="124"/>
  <c r="AA24" i="124"/>
  <c r="L25" i="124"/>
  <c r="T25" i="124"/>
  <c r="M26" i="124"/>
  <c r="U26" i="124"/>
  <c r="O28" i="124"/>
  <c r="AE28" i="124"/>
  <c r="AF29" i="124"/>
  <c r="V31" i="124"/>
  <c r="AE31" i="124"/>
  <c r="V32" i="124"/>
  <c r="AE32" i="124"/>
  <c r="U33" i="124"/>
  <c r="J35" i="124"/>
  <c r="Y37" i="124"/>
  <c r="V39" i="124"/>
  <c r="AE39" i="124"/>
  <c r="V40" i="124"/>
  <c r="AE40" i="124"/>
  <c r="J43" i="124"/>
  <c r="AA47" i="124"/>
  <c r="Z47" i="124"/>
  <c r="AG47" i="124"/>
  <c r="Y47" i="124"/>
  <c r="AF47" i="124"/>
  <c r="Y48" i="124"/>
  <c r="AA49" i="124"/>
  <c r="AF49" i="124"/>
  <c r="Y50" i="124"/>
  <c r="J55" i="124"/>
  <c r="O56" i="124"/>
  <c r="P58" i="124"/>
  <c r="AE58" i="124"/>
  <c r="P59" i="124"/>
  <c r="AE19" i="124"/>
  <c r="D21" i="146"/>
  <c r="AE27" i="124"/>
  <c r="Y29" i="124"/>
  <c r="AG29" i="124"/>
  <c r="J30" i="124"/>
  <c r="V33" i="124"/>
  <c r="V41" i="124"/>
  <c r="AE41" i="124"/>
  <c r="V42" i="124"/>
  <c r="AE42" i="124"/>
  <c r="J47" i="124"/>
  <c r="V47" i="124"/>
  <c r="O48" i="124"/>
  <c r="U49" i="124"/>
  <c r="V49" i="124"/>
  <c r="D49" i="146"/>
  <c r="O50" i="124"/>
  <c r="Z50" i="124"/>
  <c r="Z54" i="124"/>
  <c r="AG54" i="124"/>
  <c r="Y54" i="124"/>
  <c r="AF54" i="124"/>
  <c r="AE54" i="124"/>
  <c r="P56" i="124"/>
  <c r="Q59" i="124"/>
  <c r="M25" i="124"/>
  <c r="U25" i="124"/>
  <c r="P28" i="124"/>
  <c r="V34" i="124"/>
  <c r="Y4" i="124"/>
  <c r="J5" i="124"/>
  <c r="N5" i="124" s="1"/>
  <c r="Y12" i="124"/>
  <c r="J13" i="124"/>
  <c r="N13" i="124" s="1"/>
  <c r="Z13" i="124"/>
  <c r="O18" i="124"/>
  <c r="AF19" i="124"/>
  <c r="Y20" i="124"/>
  <c r="J21" i="124"/>
  <c r="Z21" i="124"/>
  <c r="V25" i="124"/>
  <c r="O26" i="124"/>
  <c r="AF27" i="124"/>
  <c r="Q28" i="124"/>
  <c r="Y28" i="124"/>
  <c r="J29" i="124"/>
  <c r="Z29" i="124"/>
  <c r="O31" i="124"/>
  <c r="AG31" i="124"/>
  <c r="O32" i="124"/>
  <c r="AG32" i="124"/>
  <c r="AF33" i="124"/>
  <c r="AF34" i="124"/>
  <c r="U35" i="124"/>
  <c r="J36" i="124"/>
  <c r="AA37" i="124"/>
  <c r="AG38" i="124"/>
  <c r="Y38" i="124"/>
  <c r="Z38" i="124"/>
  <c r="O39" i="124"/>
  <c r="AG39" i="124"/>
  <c r="O40" i="124"/>
  <c r="AG40" i="124"/>
  <c r="AF41" i="124"/>
  <c r="AF42" i="124"/>
  <c r="U43" i="124"/>
  <c r="J44" i="124"/>
  <c r="Z46" i="124"/>
  <c r="O51" i="124"/>
  <c r="V51" i="124"/>
  <c r="U51" i="124"/>
  <c r="Q56" i="124"/>
  <c r="Y57" i="124"/>
  <c r="AG58" i="124"/>
  <c r="Y58" i="124"/>
  <c r="AE17" i="124"/>
  <c r="Y19" i="124"/>
  <c r="J20" i="124"/>
  <c r="O25" i="124"/>
  <c r="Y27" i="124"/>
  <c r="AG27" i="124"/>
  <c r="J28" i="124"/>
  <c r="N28" i="124" s="1"/>
  <c r="R28" i="124"/>
  <c r="AA29" i="124"/>
  <c r="T30" i="124"/>
  <c r="Y31" i="124"/>
  <c r="Y32" i="124"/>
  <c r="O33" i="124"/>
  <c r="O34" i="124"/>
  <c r="AG34" i="124"/>
  <c r="AE35" i="124"/>
  <c r="Y39" i="124"/>
  <c r="Y40" i="124"/>
  <c r="O41" i="124"/>
  <c r="O42" i="124"/>
  <c r="AG42" i="124"/>
  <c r="AE43" i="124"/>
  <c r="AA46" i="124"/>
  <c r="J49" i="124"/>
  <c r="AA56" i="124"/>
  <c r="Z56" i="124"/>
  <c r="AF56" i="124"/>
  <c r="Z57" i="124"/>
  <c r="Q58" i="124"/>
  <c r="V58" i="124"/>
  <c r="U58" i="124"/>
  <c r="M58" i="124"/>
  <c r="T58" i="124"/>
  <c r="L58" i="124"/>
  <c r="AE24" i="124"/>
  <c r="K28" i="124"/>
  <c r="U30" i="124"/>
  <c r="J31" i="124"/>
  <c r="Y33" i="124"/>
  <c r="Y34" i="124"/>
  <c r="O35" i="124"/>
  <c r="J39" i="124"/>
  <c r="Y41" i="124"/>
  <c r="Y42" i="124"/>
  <c r="O43" i="124"/>
  <c r="AG46" i="124"/>
  <c r="Y46" i="124"/>
  <c r="AF46" i="124"/>
  <c r="AA48" i="124"/>
  <c r="Z48" i="124"/>
  <c r="AF48" i="124"/>
  <c r="AE50" i="124"/>
  <c r="J51" i="124"/>
  <c r="T56" i="124"/>
  <c r="L56" i="124"/>
  <c r="K56" i="124"/>
  <c r="R56" i="124"/>
  <c r="J56" i="124"/>
  <c r="N56" i="124" s="1"/>
  <c r="V56" i="124"/>
  <c r="R59" i="124"/>
  <c r="J59" i="124"/>
  <c r="N59" i="124" s="1"/>
  <c r="O59" i="124"/>
  <c r="V59" i="124"/>
  <c r="U59" i="124"/>
  <c r="M59" i="124"/>
  <c r="AE62" i="124"/>
  <c r="AA62" i="124"/>
  <c r="Z62" i="124"/>
  <c r="AG62" i="124"/>
  <c r="Y62" i="124"/>
  <c r="AF62" i="124"/>
  <c r="U34" i="124"/>
  <c r="Y35" i="124"/>
  <c r="AG35" i="124"/>
  <c r="Y43" i="124"/>
  <c r="AG43" i="124"/>
  <c r="J48" i="124"/>
  <c r="V48" i="124"/>
  <c r="V50" i="124"/>
  <c r="U50" i="124"/>
  <c r="Q64" i="124"/>
  <c r="O64" i="124"/>
  <c r="V64" i="124"/>
  <c r="U64" i="124"/>
  <c r="M64" i="124"/>
  <c r="T64" i="124"/>
  <c r="L64" i="124"/>
  <c r="K64" i="124"/>
  <c r="R64" i="124"/>
  <c r="J64" i="124"/>
  <c r="N64" i="124" s="1"/>
  <c r="Z43" i="124"/>
  <c r="AA57" i="124"/>
  <c r="AF57" i="124"/>
  <c r="J33" i="124"/>
  <c r="J34" i="124"/>
  <c r="AA35" i="124"/>
  <c r="J41" i="124"/>
  <c r="J42" i="124"/>
  <c r="AA43" i="124"/>
  <c r="AE46" i="124"/>
  <c r="J50" i="124"/>
  <c r="AA55" i="124"/>
  <c r="Z55" i="124"/>
  <c r="AG55" i="124"/>
  <c r="Y55" i="124"/>
  <c r="AF55" i="124"/>
  <c r="Y56" i="124"/>
  <c r="U57" i="124"/>
  <c r="M57" i="124"/>
  <c r="T57" i="124"/>
  <c r="L57" i="124"/>
  <c r="K57" i="124"/>
  <c r="V57" i="124"/>
  <c r="AG57" i="124"/>
  <c r="O58" i="124"/>
  <c r="L59" i="124"/>
  <c r="AF63" i="124"/>
  <c r="AA63" i="124"/>
  <c r="Z63" i="124"/>
  <c r="AG63" i="124"/>
  <c r="Y63" i="124"/>
  <c r="P64" i="124"/>
  <c r="AE45" i="124"/>
  <c r="V52" i="124"/>
  <c r="AE53" i="124"/>
  <c r="AE61" i="124"/>
  <c r="P62" i="124"/>
  <c r="Q63" i="124"/>
  <c r="Z64" i="124"/>
  <c r="K65" i="124"/>
  <c r="AA65" i="124"/>
  <c r="O52" i="124"/>
  <c r="AF53" i="124"/>
  <c r="O60" i="124"/>
  <c r="AE60" i="124"/>
  <c r="P61" i="124"/>
  <c r="AF61" i="124"/>
  <c r="Q62" i="124"/>
  <c r="J63" i="124"/>
  <c r="N63" i="124" s="1"/>
  <c r="R63" i="124"/>
  <c r="AA64" i="124"/>
  <c r="L65" i="124"/>
  <c r="T65" i="124"/>
  <c r="Y53" i="124"/>
  <c r="J54" i="124"/>
  <c r="Y61" i="124"/>
  <c r="J62" i="124"/>
  <c r="N62" i="124" s="1"/>
  <c r="K63" i="124"/>
  <c r="M65" i="124"/>
  <c r="U65" i="124"/>
  <c r="L63" i="124"/>
  <c r="T63" i="124"/>
  <c r="M63" i="124"/>
  <c r="U63" i="124"/>
  <c r="AE65" i="124"/>
  <c r="V63" i="124"/>
  <c r="J130" i="127"/>
  <c r="AQ109" i="127"/>
  <c r="T114" i="127"/>
  <c r="CP218" i="127"/>
  <c r="CU188" i="127"/>
  <c r="CX188" i="127" s="1"/>
  <c r="G239" i="127"/>
  <c r="O239" i="127"/>
  <c r="CN239" i="127"/>
  <c r="K104" i="127"/>
  <c r="K174" i="127" s="1"/>
  <c r="K181" i="127" s="1"/>
  <c r="T99" i="127"/>
  <c r="L193" i="127"/>
  <c r="I193" i="127"/>
  <c r="Q193" i="127"/>
  <c r="J202" i="127"/>
  <c r="R202" i="127"/>
  <c r="CA233" i="127"/>
  <c r="J104" i="127"/>
  <c r="J174" i="127" s="1"/>
  <c r="J181" i="127" s="1"/>
  <c r="CA224" i="127"/>
  <c r="H104" i="127"/>
  <c r="H174" i="127" s="1"/>
  <c r="H181" i="127" s="1"/>
  <c r="P130" i="127"/>
  <c r="T191" i="127"/>
  <c r="CP191" i="127"/>
  <c r="L236" i="127"/>
  <c r="T236" i="127"/>
  <c r="AK236" i="127"/>
  <c r="CK236" i="127"/>
  <c r="J237" i="127"/>
  <c r="R237" i="127"/>
  <c r="H238" i="127"/>
  <c r="P238" i="127"/>
  <c r="L233" i="127"/>
  <c r="AS233" i="127"/>
  <c r="J234" i="127"/>
  <c r="R234" i="127"/>
  <c r="CQ234" i="127"/>
  <c r="H235" i="127"/>
  <c r="P235" i="127"/>
  <c r="J236" i="127"/>
  <c r="R236" i="127"/>
  <c r="CQ236" i="127"/>
  <c r="H237" i="127"/>
  <c r="P237" i="127"/>
  <c r="N238" i="127"/>
  <c r="Y238" i="127"/>
  <c r="AG238" i="127"/>
  <c r="BI93" i="127"/>
  <c r="K130" i="127"/>
  <c r="T93" i="127"/>
  <c r="Y190" i="127"/>
  <c r="Y193" i="127" s="1"/>
  <c r="AQ88" i="127"/>
  <c r="AQ208" i="127" s="1"/>
  <c r="AK88" i="127"/>
  <c r="AK208" i="127" s="1"/>
  <c r="CU88" i="127"/>
  <c r="CU208" i="127" s="1"/>
  <c r="CU173" i="127"/>
  <c r="AQ227" i="127"/>
  <c r="AQ229" i="127" s="1"/>
  <c r="CK218" i="127"/>
  <c r="CK220" i="127" s="1"/>
  <c r="CM227" i="127"/>
  <c r="AH191" i="127"/>
  <c r="CQ169" i="127"/>
  <c r="CQ253" i="127" s="1"/>
  <c r="CQ255" i="127" s="1"/>
  <c r="N193" i="127"/>
  <c r="T109" i="127"/>
  <c r="BI114" i="127"/>
  <c r="BI26" i="127"/>
  <c r="BI99" i="127"/>
  <c r="BI103" i="127"/>
  <c r="CA109" i="127"/>
  <c r="CL209" i="127"/>
  <c r="CN218" i="127"/>
  <c r="T173" i="127"/>
  <c r="J239" i="127"/>
  <c r="R239" i="127"/>
  <c r="AF220" i="127"/>
  <c r="L229" i="127"/>
  <c r="BI215" i="127"/>
  <c r="T76" i="127"/>
  <c r="BI76" i="127"/>
  <c r="CA99" i="127"/>
  <c r="AQ199" i="127"/>
  <c r="AQ237" i="127" s="1"/>
  <c r="AK114" i="127"/>
  <c r="AQ209" i="127"/>
  <c r="CA218" i="127"/>
  <c r="CO218" i="127"/>
  <c r="CN188" i="127"/>
  <c r="N233" i="127"/>
  <c r="Y233" i="127"/>
  <c r="AG233" i="127"/>
  <c r="CM233" i="127"/>
  <c r="L234" i="127"/>
  <c r="T234" i="127"/>
  <c r="AK234" i="127"/>
  <c r="CK234" i="127"/>
  <c r="J235" i="127"/>
  <c r="R235" i="127"/>
  <c r="N236" i="127"/>
  <c r="AR236" i="127"/>
  <c r="BI236" i="127"/>
  <c r="CM236" i="127"/>
  <c r="L237" i="127"/>
  <c r="J238" i="127"/>
  <c r="R238" i="127"/>
  <c r="K239" i="127"/>
  <c r="K211" i="127"/>
  <c r="M211" i="127"/>
  <c r="N220" i="127"/>
  <c r="M229" i="127"/>
  <c r="BI199" i="127"/>
  <c r="BI237" i="127" s="1"/>
  <c r="CL191" i="127"/>
  <c r="G233" i="127"/>
  <c r="O233" i="127"/>
  <c r="AH233" i="127"/>
  <c r="CN233" i="127"/>
  <c r="M234" i="127"/>
  <c r="AQ234" i="127"/>
  <c r="CL234" i="127"/>
  <c r="CU234" i="127"/>
  <c r="K235" i="127"/>
  <c r="G236" i="127"/>
  <c r="O236" i="127"/>
  <c r="AF236" i="127"/>
  <c r="AS236" i="127"/>
  <c r="CA236" i="127"/>
  <c r="CN236" i="127"/>
  <c r="M237" i="127"/>
  <c r="AF237" i="127"/>
  <c r="K238" i="127"/>
  <c r="L239" i="127"/>
  <c r="AT239" i="127"/>
  <c r="CK239" i="127"/>
  <c r="L211" i="127"/>
  <c r="L220" i="127"/>
  <c r="CA93" i="127"/>
  <c r="K193" i="127"/>
  <c r="J193" i="127"/>
  <c r="R193" i="127"/>
  <c r="H233" i="127"/>
  <c r="P233" i="127"/>
  <c r="CO233" i="127"/>
  <c r="N234" i="127"/>
  <c r="AR234" i="127"/>
  <c r="BI234" i="127"/>
  <c r="CM234" i="127"/>
  <c r="L235" i="127"/>
  <c r="H236" i="127"/>
  <c r="P236" i="127"/>
  <c r="Y236" i="127"/>
  <c r="AG236" i="127"/>
  <c r="AT236" i="127"/>
  <c r="CO236" i="127"/>
  <c r="N237" i="127"/>
  <c r="Y237" i="127"/>
  <c r="AG237" i="127"/>
  <c r="L238" i="127"/>
  <c r="M239" i="127"/>
  <c r="AF239" i="127"/>
  <c r="CL239" i="127"/>
  <c r="CU239" i="127"/>
  <c r="J229" i="127"/>
  <c r="R229" i="127"/>
  <c r="BH114" i="127"/>
  <c r="S224" i="127"/>
  <c r="BH103" i="127"/>
  <c r="S93" i="127"/>
  <c r="BZ103" i="127"/>
  <c r="AK99" i="127"/>
  <c r="S109" i="127"/>
  <c r="BZ93" i="127"/>
  <c r="AK109" i="127"/>
  <c r="S218" i="127"/>
  <c r="BH227" i="127"/>
  <c r="BH195" i="127"/>
  <c r="BH233" i="127" s="1"/>
  <c r="BH224" i="127"/>
  <c r="S215" i="127"/>
  <c r="BZ215" i="127"/>
  <c r="BZ26" i="127"/>
  <c r="BZ114" i="127"/>
  <c r="BH76" i="127"/>
  <c r="S103" i="127"/>
  <c r="S114" i="127"/>
  <c r="BH26" i="127"/>
  <c r="BH99" i="127"/>
  <c r="AK103" i="127"/>
  <c r="BH209" i="127"/>
  <c r="AK180" i="127"/>
  <c r="BZ109" i="127"/>
  <c r="BH109" i="127"/>
  <c r="BI204" i="127"/>
  <c r="BI186" i="127"/>
  <c r="BI17" i="127"/>
  <c r="AK17" i="127"/>
  <c r="AK186" i="127"/>
  <c r="AK204" i="127"/>
  <c r="CJ204" i="127"/>
  <c r="CJ186" i="127"/>
  <c r="CJ17" i="127"/>
  <c r="AK222" i="127"/>
  <c r="N104" i="127"/>
  <c r="N174" i="127" s="1"/>
  <c r="N181" i="127" s="1"/>
  <c r="N130" i="127"/>
  <c r="R130" i="127"/>
  <c r="R104" i="127"/>
  <c r="R174" i="127" s="1"/>
  <c r="R181" i="127" s="1"/>
  <c r="BZ17" i="127"/>
  <c r="CA17" i="127"/>
  <c r="T205" i="127"/>
  <c r="T187" i="127"/>
  <c r="CA205" i="127"/>
  <c r="CA187" i="127"/>
  <c r="CA26" i="127"/>
  <c r="T67" i="127"/>
  <c r="CA188" i="127"/>
  <c r="BH188" i="127"/>
  <c r="S197" i="127"/>
  <c r="BZ197" i="127"/>
  <c r="S207" i="127"/>
  <c r="S189" i="127"/>
  <c r="S76" i="127"/>
  <c r="BZ207" i="127"/>
  <c r="BZ189" i="127"/>
  <c r="O130" i="127"/>
  <c r="BH204" i="127"/>
  <c r="BH186" i="127"/>
  <c r="BH17" i="127"/>
  <c r="M130" i="127"/>
  <c r="M104" i="127"/>
  <c r="M174" i="127" s="1"/>
  <c r="M181" i="127" s="1"/>
  <c r="T197" i="127"/>
  <c r="CA197" i="127"/>
  <c r="Q130" i="127"/>
  <c r="Q104" i="127"/>
  <c r="Q174" i="127" s="1"/>
  <c r="Q181" i="127" s="1"/>
  <c r="AQ99" i="127"/>
  <c r="BI195" i="127"/>
  <c r="BI233" i="127" s="1"/>
  <c r="G130" i="127"/>
  <c r="G104" i="127"/>
  <c r="G174" i="127" s="1"/>
  <c r="G181" i="127" s="1"/>
  <c r="BI188" i="127"/>
  <c r="BI206" i="127"/>
  <c r="BI67" i="127"/>
  <c r="AG206" i="127"/>
  <c r="AS37" i="127"/>
  <c r="CP37" i="127"/>
  <c r="AG188" i="127"/>
  <c r="H130" i="127"/>
  <c r="P104" i="127"/>
  <c r="P174" i="127" s="1"/>
  <c r="P181" i="127" s="1"/>
  <c r="T26" i="127"/>
  <c r="AF206" i="127"/>
  <c r="AF188" i="127"/>
  <c r="CO44" i="127"/>
  <c r="AF67" i="127"/>
  <c r="AK44" i="127"/>
  <c r="BH199" i="127"/>
  <c r="BH237" i="127" s="1"/>
  <c r="BH173" i="127"/>
  <c r="L104" i="127"/>
  <c r="L174" i="127" s="1"/>
  <c r="L181" i="127" s="1"/>
  <c r="L130" i="127"/>
  <c r="BZ67" i="127"/>
  <c r="AK37" i="127"/>
  <c r="AG67" i="127"/>
  <c r="BZ99" i="127"/>
  <c r="AQ103" i="127"/>
  <c r="BI173" i="127"/>
  <c r="BI200" i="127"/>
  <c r="BI191" i="127"/>
  <c r="S67" i="127"/>
  <c r="CK191" i="127"/>
  <c r="CK200" i="127"/>
  <c r="CK173" i="127"/>
  <c r="S205" i="127"/>
  <c r="S187" i="127"/>
  <c r="S26" i="127"/>
  <c r="BZ205" i="127"/>
  <c r="BZ187" i="127"/>
  <c r="BZ76" i="127"/>
  <c r="CA103" i="127"/>
  <c r="AT170" i="127"/>
  <c r="AT209" i="127" s="1"/>
  <c r="AH209" i="127"/>
  <c r="CQ170" i="127"/>
  <c r="AK170" i="127"/>
  <c r="AK209" i="127" s="1"/>
  <c r="S186" i="127"/>
  <c r="S204" i="127"/>
  <c r="BZ204" i="127"/>
  <c r="BZ186" i="127"/>
  <c r="BI187" i="127"/>
  <c r="CA67" i="127"/>
  <c r="BI207" i="127"/>
  <c r="BI189" i="127"/>
  <c r="BH208" i="127"/>
  <c r="S199" i="127"/>
  <c r="S237" i="127" s="1"/>
  <c r="CA199" i="127"/>
  <c r="CA237" i="127" s="1"/>
  <c r="T200" i="127"/>
  <c r="CP200" i="127"/>
  <c r="CM188" i="127"/>
  <c r="CL173" i="127"/>
  <c r="T17" i="127"/>
  <c r="T186" i="127"/>
  <c r="T204" i="127"/>
  <c r="CA204" i="127"/>
  <c r="S195" i="127"/>
  <c r="S233" i="127" s="1"/>
  <c r="BZ195" i="127"/>
  <c r="BZ233" i="127" s="1"/>
  <c r="S17" i="127"/>
  <c r="BH206" i="127"/>
  <c r="BH67" i="127"/>
  <c r="BZ224" i="127"/>
  <c r="BI208" i="127"/>
  <c r="BI190" i="127"/>
  <c r="T199" i="127"/>
  <c r="T237" i="127" s="1"/>
  <c r="BH93" i="127"/>
  <c r="AK199" i="127"/>
  <c r="BH191" i="127"/>
  <c r="BH200" i="127"/>
  <c r="AQ218" i="127"/>
  <c r="AQ220" i="127" s="1"/>
  <c r="S227" i="127"/>
  <c r="CA227" i="127"/>
  <c r="CK209" i="127"/>
  <c r="CM218" i="127"/>
  <c r="CO227" i="127"/>
  <c r="CO229" i="127" s="1"/>
  <c r="AH173" i="127"/>
  <c r="CP173" i="127"/>
  <c r="BI192" i="127"/>
  <c r="BI180" i="127"/>
  <c r="BI201" i="127"/>
  <c r="BZ218" i="127"/>
  <c r="T227" i="127"/>
  <c r="CJ191" i="127"/>
  <c r="CJ173" i="127"/>
  <c r="CP227" i="127"/>
  <c r="S180" i="127"/>
  <c r="M193" i="127"/>
  <c r="M233" i="127"/>
  <c r="M202" i="127"/>
  <c r="G193" i="127"/>
  <c r="O193" i="127"/>
  <c r="AH239" i="127"/>
  <c r="BH197" i="127"/>
  <c r="AR188" i="127"/>
  <c r="AR197" i="127"/>
  <c r="BI224" i="127"/>
  <c r="T215" i="127"/>
  <c r="CA215" i="127"/>
  <c r="T207" i="127"/>
  <c r="CA207" i="127"/>
  <c r="CA189" i="127"/>
  <c r="CA76" i="127"/>
  <c r="AQ191" i="127"/>
  <c r="AQ200" i="127"/>
  <c r="S209" i="127"/>
  <c r="CA209" i="127"/>
  <c r="BH218" i="127"/>
  <c r="CU227" i="127"/>
  <c r="CM173" i="127"/>
  <c r="CM200" i="127"/>
  <c r="CM191" i="127"/>
  <c r="CO209" i="127"/>
  <c r="CQ218" i="127"/>
  <c r="CK227" i="127"/>
  <c r="CJ197" i="127"/>
  <c r="CJ188" i="127"/>
  <c r="AQ173" i="127"/>
  <c r="BZ192" i="127"/>
  <c r="BH190" i="127"/>
  <c r="H193" i="127"/>
  <c r="P193" i="127"/>
  <c r="AK195" i="127"/>
  <c r="CJ195" i="127"/>
  <c r="CJ233" i="127" s="1"/>
  <c r="S206" i="127"/>
  <c r="S188" i="127"/>
  <c r="BZ188" i="127"/>
  <c r="BZ206" i="127"/>
  <c r="BI197" i="127"/>
  <c r="S208" i="127"/>
  <c r="S190" i="127"/>
  <c r="CA208" i="127"/>
  <c r="CA190" i="127"/>
  <c r="S99" i="127"/>
  <c r="BZ173" i="127"/>
  <c r="BZ200" i="127"/>
  <c r="BZ191" i="127"/>
  <c r="T209" i="127"/>
  <c r="BI218" i="127"/>
  <c r="AK227" i="127"/>
  <c r="CN200" i="127"/>
  <c r="CN191" i="127"/>
  <c r="CN173" i="127"/>
  <c r="CP209" i="127"/>
  <c r="CJ218" i="127"/>
  <c r="CJ220" i="127" s="1"/>
  <c r="CL227" i="127"/>
  <c r="CK197" i="127"/>
  <c r="CK188" i="127"/>
  <c r="S201" i="127"/>
  <c r="S192" i="127"/>
  <c r="CA192" i="127"/>
  <c r="CA180" i="127"/>
  <c r="CA201" i="127"/>
  <c r="CA186" i="127"/>
  <c r="CJ200" i="127"/>
  <c r="I239" i="127"/>
  <c r="I202" i="127"/>
  <c r="Q239" i="127"/>
  <c r="Q202" i="127"/>
  <c r="I130" i="127"/>
  <c r="I104" i="127"/>
  <c r="I174" i="127" s="1"/>
  <c r="I181" i="127" s="1"/>
  <c r="BH205" i="127"/>
  <c r="BH187" i="127"/>
  <c r="T206" i="127"/>
  <c r="T188" i="127"/>
  <c r="CA206" i="127"/>
  <c r="BH189" i="127"/>
  <c r="BH207" i="127"/>
  <c r="T208" i="127"/>
  <c r="T190" i="127"/>
  <c r="BZ199" i="127"/>
  <c r="BZ237" i="127" s="1"/>
  <c r="Y208" i="127"/>
  <c r="Y211" i="127" s="1"/>
  <c r="Y93" i="127"/>
  <c r="BI109" i="127"/>
  <c r="S191" i="127"/>
  <c r="S173" i="127"/>
  <c r="CA200" i="127"/>
  <c r="CA191" i="127"/>
  <c r="CA173" i="127"/>
  <c r="CU218" i="127"/>
  <c r="CU220" i="127" s="1"/>
  <c r="CU191" i="127"/>
  <c r="CX191" i="127" s="1"/>
  <c r="CO191" i="127"/>
  <c r="CO173" i="127"/>
  <c r="CO200" i="127"/>
  <c r="AK169" i="127"/>
  <c r="AK255" i="127" s="1"/>
  <c r="AH200" i="127"/>
  <c r="AH238" i="127" s="1"/>
  <c r="AT169" i="127"/>
  <c r="AT253" i="127" s="1"/>
  <c r="AT255" i="127" s="1"/>
  <c r="T180" i="127"/>
  <c r="T201" i="127"/>
  <c r="T192" i="127"/>
  <c r="CL188" i="127"/>
  <c r="T189" i="127"/>
  <c r="AQ192" i="127"/>
  <c r="BH192" i="127"/>
  <c r="S200" i="127"/>
  <c r="BZ209" i="127"/>
  <c r="T218" i="127"/>
  <c r="BI227" i="127"/>
  <c r="CN209" i="127"/>
  <c r="CJ227" i="127"/>
  <c r="AQ180" i="127"/>
  <c r="BH180" i="127"/>
  <c r="CQ188" i="127"/>
  <c r="CM197" i="127"/>
  <c r="BZ201" i="127"/>
  <c r="L202" i="127"/>
  <c r="H211" i="127"/>
  <c r="P211" i="127"/>
  <c r="H220" i="127"/>
  <c r="P220" i="127"/>
  <c r="H229" i="127"/>
  <c r="P229" i="127"/>
  <c r="BZ180" i="127"/>
  <c r="I211" i="127"/>
  <c r="Q211" i="127"/>
  <c r="I220" i="127"/>
  <c r="Q220" i="127"/>
  <c r="I229" i="127"/>
  <c r="Q229" i="127"/>
  <c r="AK192" i="127"/>
  <c r="N202" i="127"/>
  <c r="J220" i="127"/>
  <c r="R220" i="127"/>
  <c r="J233" i="127"/>
  <c r="G202" i="127"/>
  <c r="O202" i="127"/>
  <c r="AF202" i="127"/>
  <c r="K229" i="127"/>
  <c r="BI205" i="127"/>
  <c r="BH215" i="127"/>
  <c r="BZ208" i="127"/>
  <c r="BI209" i="127"/>
  <c r="AK218" i="127"/>
  <c r="AK220" i="127" s="1"/>
  <c r="BZ227" i="127"/>
  <c r="CJ209" i="127"/>
  <c r="CU209" i="127"/>
  <c r="CL218" i="127"/>
  <c r="CN227" i="127"/>
  <c r="CN229" i="127" s="1"/>
  <c r="BZ190" i="127"/>
  <c r="H202" i="127"/>
  <c r="P202" i="127"/>
  <c r="Y202" i="127"/>
  <c r="AG202" i="127"/>
  <c r="R233" i="127"/>
  <c r="CL200" i="127"/>
  <c r="AF229" i="127"/>
  <c r="AK201" i="127"/>
  <c r="N211" i="127"/>
  <c r="Y220" i="127"/>
  <c r="AG220" i="127"/>
  <c r="N229" i="127"/>
  <c r="Y229" i="127"/>
  <c r="AG229" i="127"/>
  <c r="CM209" i="127"/>
  <c r="CQ227" i="127"/>
  <c r="K202" i="127"/>
  <c r="J211" i="127"/>
  <c r="R211" i="127"/>
  <c r="G211" i="127"/>
  <c r="O211" i="127"/>
  <c r="K220" i="127"/>
  <c r="G220" i="127"/>
  <c r="O220" i="127"/>
  <c r="AH220" i="127"/>
  <c r="G229" i="127"/>
  <c r="O229" i="127"/>
  <c r="AH229" i="127"/>
  <c r="M31" i="124" l="1"/>
  <c r="M32" i="124"/>
  <c r="M29" i="124"/>
  <c r="M30" i="124"/>
  <c r="L41" i="124"/>
  <c r="L42" i="124"/>
  <c r="K9" i="126"/>
  <c r="L37" i="124" s="1"/>
  <c r="T11" i="126"/>
  <c r="T7" i="124" s="1"/>
  <c r="V8" i="126"/>
  <c r="R14" i="124" s="1"/>
  <c r="X9" i="126"/>
  <c r="L38" i="124"/>
  <c r="Q11" i="126"/>
  <c r="W11" i="126" s="1"/>
  <c r="P7" i="124" s="1"/>
  <c r="S7" i="124" s="1"/>
  <c r="D9" i="126"/>
  <c r="K12" i="126"/>
  <c r="L2" i="124" s="1"/>
  <c r="Q26" i="126"/>
  <c r="D25" i="126"/>
  <c r="D8" i="126"/>
  <c r="I12" i="126"/>
  <c r="M2" i="124" s="1"/>
  <c r="G15" i="126"/>
  <c r="AH25" i="124"/>
  <c r="AI4" i="124"/>
  <c r="AH4" i="124"/>
  <c r="AI25" i="124"/>
  <c r="F126" i="149"/>
  <c r="F251" i="149" s="1"/>
  <c r="T255" i="127"/>
  <c r="CJ255" i="127"/>
  <c r="CM220" i="127"/>
  <c r="L231" i="127"/>
  <c r="CA255" i="127"/>
  <c r="CL229" i="127"/>
  <c r="CQ229" i="127"/>
  <c r="AF211" i="127"/>
  <c r="AR229" i="127"/>
  <c r="BI255" i="127"/>
  <c r="AQ255" i="127"/>
  <c r="AG211" i="127"/>
  <c r="S255" i="127"/>
  <c r="BZ255" i="127"/>
  <c r="BH255" i="127"/>
  <c r="AK237" i="127"/>
  <c r="AL199" i="127"/>
  <c r="AH23" i="124"/>
  <c r="AI6" i="124"/>
  <c r="AI11" i="124"/>
  <c r="AH13" i="124"/>
  <c r="D51" i="146"/>
  <c r="T229" i="127"/>
  <c r="D61" i="146"/>
  <c r="AH63" i="124"/>
  <c r="AH57" i="124"/>
  <c r="AH64" i="124"/>
  <c r="BI115" i="127"/>
  <c r="CU229" i="127"/>
  <c r="AR130" i="127"/>
  <c r="AR174" i="127" s="1"/>
  <c r="AR181" i="127" s="1"/>
  <c r="AH193" i="127"/>
  <c r="CO220" i="127"/>
  <c r="U41" i="124"/>
  <c r="Q22" i="126"/>
  <c r="Q28" i="126"/>
  <c r="Q14" i="126"/>
  <c r="W14" i="126" s="1"/>
  <c r="P15" i="124" s="1"/>
  <c r="S15" i="124" s="1"/>
  <c r="Q9" i="126"/>
  <c r="V11" i="126"/>
  <c r="R7" i="124" s="1"/>
  <c r="Q46" i="124"/>
  <c r="Q45" i="124"/>
  <c r="Q18" i="126"/>
  <c r="Q24" i="126"/>
  <c r="AR220" i="127"/>
  <c r="AK235" i="127"/>
  <c r="AT235" i="127"/>
  <c r="AR238" i="127"/>
  <c r="AS238" i="127"/>
  <c r="AF193" i="127"/>
  <c r="AF230" i="127" s="1"/>
  <c r="CU235" i="127"/>
  <c r="AS235" i="127"/>
  <c r="O231" i="127"/>
  <c r="AH211" i="127"/>
  <c r="T115" i="127"/>
  <c r="CA229" i="127"/>
  <c r="AR235" i="127"/>
  <c r="AG193" i="127"/>
  <c r="AG230" i="127" s="1"/>
  <c r="CL235" i="127"/>
  <c r="CO235" i="127"/>
  <c r="CN220" i="127"/>
  <c r="CU202" i="127"/>
  <c r="AS220" i="127"/>
  <c r="J231" i="127"/>
  <c r="CL220" i="127"/>
  <c r="AR211" i="127"/>
  <c r="CK235" i="127"/>
  <c r="CK229" i="127"/>
  <c r="CM235" i="127"/>
  <c r="CL211" i="127"/>
  <c r="AS202" i="127"/>
  <c r="AS240" i="127" s="1"/>
  <c r="CA115" i="127"/>
  <c r="CX193" i="127"/>
  <c r="AT220" i="127"/>
  <c r="CN235" i="127"/>
  <c r="CO202" i="127"/>
  <c r="CM229" i="127"/>
  <c r="CP220" i="127"/>
  <c r="CN211" i="127"/>
  <c r="AR193" i="127"/>
  <c r="J240" i="127"/>
  <c r="L240" i="127"/>
  <c r="CM193" i="127"/>
  <c r="CQ235" i="127"/>
  <c r="CM211" i="127"/>
  <c r="CJ235" i="127"/>
  <c r="CP229" i="127"/>
  <c r="I231" i="127"/>
  <c r="CQ220" i="127"/>
  <c r="CJ229" i="127"/>
  <c r="AQ115" i="127"/>
  <c r="CK211" i="127"/>
  <c r="CP202" i="127"/>
  <c r="AT211" i="127"/>
  <c r="I10" i="126"/>
  <c r="G10" i="126"/>
  <c r="V10" i="126"/>
  <c r="T10" i="126"/>
  <c r="I9" i="126"/>
  <c r="G9" i="126"/>
  <c r="J9" i="126" s="1"/>
  <c r="K8" i="126"/>
  <c r="L14" i="124" s="1"/>
  <c r="G8" i="126"/>
  <c r="J8" i="126" s="1"/>
  <c r="K14" i="124" s="1"/>
  <c r="N14" i="124" s="1"/>
  <c r="V12" i="126"/>
  <c r="R2" i="124" s="1"/>
  <c r="T12" i="126"/>
  <c r="W12" i="126" s="1"/>
  <c r="P2" i="124" s="1"/>
  <c r="G17" i="126"/>
  <c r="I11" i="126"/>
  <c r="M7" i="124" s="1"/>
  <c r="D11" i="126"/>
  <c r="E239" i="81"/>
  <c r="D14" i="126"/>
  <c r="K13" i="126"/>
  <c r="G13" i="126"/>
  <c r="D13" i="126"/>
  <c r="I13" i="126"/>
  <c r="I14" i="126"/>
  <c r="M15" i="124" s="1"/>
  <c r="G14" i="126"/>
  <c r="T18" i="126"/>
  <c r="V22" i="124"/>
  <c r="V211" i="127"/>
  <c r="K217" i="148"/>
  <c r="K17" i="126"/>
  <c r="V13" i="126"/>
  <c r="T13" i="126"/>
  <c r="CP93" i="127"/>
  <c r="CM104" i="127"/>
  <c r="CR174" i="127"/>
  <c r="CR181" i="127" s="1"/>
  <c r="CR231" i="127" s="1"/>
  <c r="M226" i="81"/>
  <c r="M239" i="81" s="1"/>
  <c r="L239" i="81"/>
  <c r="O233" i="108"/>
  <c r="E217" i="108"/>
  <c r="E229" i="108" s="1"/>
  <c r="L205" i="107"/>
  <c r="L217" i="107" s="1"/>
  <c r="O193" i="107"/>
  <c r="H205" i="107"/>
  <c r="H217" i="107" s="1"/>
  <c r="O195" i="149"/>
  <c r="O99" i="149"/>
  <c r="G20" i="126"/>
  <c r="Q20" i="126"/>
  <c r="X22" i="126"/>
  <c r="Q44" i="124" s="1"/>
  <c r="AS115" i="127"/>
  <c r="AW174" i="127"/>
  <c r="AW181" i="127" s="1"/>
  <c r="AW231" i="127" s="1"/>
  <c r="L237" i="81"/>
  <c r="I226" i="81"/>
  <c r="I239" i="81" s="1"/>
  <c r="L114" i="80"/>
  <c r="L230" i="80" s="1"/>
  <c r="Q8" i="126"/>
  <c r="W8" i="126" s="1"/>
  <c r="P14" i="124" s="1"/>
  <c r="S14" i="124" s="1"/>
  <c r="Q13" i="126"/>
  <c r="X8" i="126"/>
  <c r="Q14" i="124" s="1"/>
  <c r="CP235" i="127"/>
  <c r="BS230" i="127"/>
  <c r="BA230" i="127"/>
  <c r="CD211" i="127"/>
  <c r="CB193" i="127"/>
  <c r="V181" i="127"/>
  <c r="V231" i="127" s="1"/>
  <c r="O214" i="81"/>
  <c r="F205" i="148"/>
  <c r="F217" i="148" s="1"/>
  <c r="K205" i="107"/>
  <c r="O170" i="107"/>
  <c r="H215" i="148"/>
  <c r="X28" i="126"/>
  <c r="Q33" i="124" s="1"/>
  <c r="G217" i="149"/>
  <c r="G229" i="149" s="1"/>
  <c r="G12" i="126"/>
  <c r="AD231" i="127"/>
  <c r="I8" i="126"/>
  <c r="M14" i="124" s="1"/>
  <c r="T9" i="126"/>
  <c r="V9" i="126"/>
  <c r="X14" i="126"/>
  <c r="Q15" i="124" s="1"/>
  <c r="AJ240" i="127"/>
  <c r="CB211" i="127"/>
  <c r="CP208" i="127"/>
  <c r="G226" i="81"/>
  <c r="G239" i="81" s="1"/>
  <c r="O184" i="107"/>
  <c r="J217" i="108"/>
  <c r="J229" i="108" s="1"/>
  <c r="K217" i="108"/>
  <c r="K229" i="108" s="1"/>
  <c r="H217" i="148"/>
  <c r="K19" i="126"/>
  <c r="D126" i="149"/>
  <c r="D251" i="149" s="1"/>
  <c r="Q15" i="126"/>
  <c r="W15" i="126" s="1"/>
  <c r="P31" i="124" s="1"/>
  <c r="S31" i="124" s="1"/>
  <c r="O199" i="148"/>
  <c r="D10" i="126"/>
  <c r="X15" i="126"/>
  <c r="BT240" i="127"/>
  <c r="W193" i="127"/>
  <c r="W211" i="127"/>
  <c r="BL238" i="127"/>
  <c r="CC130" i="127"/>
  <c r="CC174" i="127" s="1"/>
  <c r="CC181" i="127" s="1"/>
  <c r="AI230" i="127"/>
  <c r="W235" i="127"/>
  <c r="M238" i="108"/>
  <c r="I217" i="108"/>
  <c r="I229" i="108" s="1"/>
  <c r="D17" i="126"/>
  <c r="T27" i="126"/>
  <c r="T16" i="124" s="1"/>
  <c r="W16" i="124" s="1"/>
  <c r="BF174" i="127"/>
  <c r="BF181" i="127" s="1"/>
  <c r="BF231" i="127" s="1"/>
  <c r="K215" i="107"/>
  <c r="H113" i="107"/>
  <c r="H222" i="107" s="1"/>
  <c r="Q10" i="126"/>
  <c r="AC240" i="127"/>
  <c r="CC193" i="127"/>
  <c r="AJ230" i="127"/>
  <c r="BS231" i="127"/>
  <c r="K239" i="81"/>
  <c r="E128" i="81"/>
  <c r="O111" i="107"/>
  <c r="G205" i="148"/>
  <c r="G217" i="148" s="1"/>
  <c r="N205" i="107"/>
  <c r="N217" i="107" s="1"/>
  <c r="N238" i="108"/>
  <c r="L229" i="149"/>
  <c r="J217" i="149"/>
  <c r="J229" i="149" s="1"/>
  <c r="X17" i="126"/>
  <c r="Q19" i="124" s="1"/>
  <c r="AX174" i="127"/>
  <c r="AX181" i="127" s="1"/>
  <c r="AX231" i="127" s="1"/>
  <c r="BY231" i="127"/>
  <c r="M113" i="107"/>
  <c r="M222" i="107" s="1"/>
  <c r="AA240" i="127"/>
  <c r="CC211" i="127"/>
  <c r="U193" i="127"/>
  <c r="CN104" i="127"/>
  <c r="AZ231" i="127"/>
  <c r="U130" i="127"/>
  <c r="U174" i="127" s="1"/>
  <c r="U181" i="127" s="1"/>
  <c r="I212" i="80"/>
  <c r="I225" i="80" s="1"/>
  <c r="J225" i="80"/>
  <c r="C226" i="81"/>
  <c r="C239" i="81" s="1"/>
  <c r="G113" i="107"/>
  <c r="G222" i="107" s="1"/>
  <c r="J238" i="108"/>
  <c r="G238" i="108"/>
  <c r="H229" i="108"/>
  <c r="K21" i="126"/>
  <c r="K217" i="149"/>
  <c r="K229" i="149" s="1"/>
  <c r="BQ231" i="127"/>
  <c r="D12" i="126"/>
  <c r="BY230" i="127"/>
  <c r="CR240" i="127"/>
  <c r="BK193" i="127"/>
  <c r="BL211" i="127"/>
  <c r="CB104" i="127"/>
  <c r="L212" i="80"/>
  <c r="L225" i="80" s="1"/>
  <c r="O150" i="81"/>
  <c r="O234" i="108"/>
  <c r="O100" i="81"/>
  <c r="O62" i="107"/>
  <c r="O110" i="108"/>
  <c r="O126" i="108" s="1"/>
  <c r="O235" i="108"/>
  <c r="V250" i="107"/>
  <c r="O135" i="148"/>
  <c r="V251" i="107"/>
  <c r="K15" i="126"/>
  <c r="AV174" i="127"/>
  <c r="AV181" i="127" s="1"/>
  <c r="AV231" i="127" s="1"/>
  <c r="G11" i="126"/>
  <c r="K11" i="126"/>
  <c r="L7" i="124" s="1"/>
  <c r="X10" i="126"/>
  <c r="X12" i="126"/>
  <c r="Q2" i="124" s="1"/>
  <c r="CC231" i="127"/>
  <c r="G225" i="80"/>
  <c r="L54" i="124"/>
  <c r="L53" i="124"/>
  <c r="R17" i="124"/>
  <c r="R18" i="124"/>
  <c r="Q51" i="124"/>
  <c r="Q49" i="124"/>
  <c r="Q50" i="124"/>
  <c r="Q52" i="124"/>
  <c r="C222" i="148"/>
  <c r="C114" i="148"/>
  <c r="R53" i="124"/>
  <c r="R54" i="124"/>
  <c r="W151" i="110"/>
  <c r="W154" i="110"/>
  <c r="W150" i="110"/>
  <c r="W146" i="110"/>
  <c r="W157" i="110"/>
  <c r="W153" i="110"/>
  <c r="W149" i="110"/>
  <c r="W156" i="110"/>
  <c r="W148" i="110"/>
  <c r="W155" i="110"/>
  <c r="W152" i="110"/>
  <c r="W147" i="110"/>
  <c r="U231" i="127"/>
  <c r="L39" i="124"/>
  <c r="L40" i="124"/>
  <c r="AJ231" i="127"/>
  <c r="O128" i="81"/>
  <c r="O101" i="81"/>
  <c r="L20" i="124"/>
  <c r="L19" i="124"/>
  <c r="M34" i="124"/>
  <c r="M36" i="124"/>
  <c r="M35" i="124"/>
  <c r="M33" i="124"/>
  <c r="M22" i="124"/>
  <c r="M21" i="124"/>
  <c r="Q43" i="124"/>
  <c r="Q22" i="124"/>
  <c r="Q21" i="124"/>
  <c r="CS240" i="127"/>
  <c r="U239" i="127"/>
  <c r="U202" i="127"/>
  <c r="U240" i="127" s="1"/>
  <c r="CB239" i="127"/>
  <c r="CB202" i="127"/>
  <c r="CB240" i="127" s="1"/>
  <c r="W130" i="127"/>
  <c r="W174" i="127" s="1"/>
  <c r="W181" i="127" s="1"/>
  <c r="W231" i="127" s="1"/>
  <c r="W104" i="127"/>
  <c r="BN230" i="127"/>
  <c r="BL130" i="127"/>
  <c r="BL174" i="127" s="1"/>
  <c r="BL181" i="127" s="1"/>
  <c r="BL231" i="127" s="1"/>
  <c r="BL104" i="127"/>
  <c r="CD130" i="127"/>
  <c r="CD174" i="127" s="1"/>
  <c r="CD181" i="127" s="1"/>
  <c r="CD231" i="127" s="1"/>
  <c r="CD104" i="127"/>
  <c r="BJ130" i="127"/>
  <c r="BJ174" i="127" s="1"/>
  <c r="BJ181" i="127" s="1"/>
  <c r="BJ231" i="127" s="1"/>
  <c r="BJ104" i="127"/>
  <c r="AV230" i="127"/>
  <c r="CD238" i="127"/>
  <c r="AH104" i="127"/>
  <c r="AA230" i="127"/>
  <c r="U235" i="127"/>
  <c r="CB130" i="127"/>
  <c r="CB174" i="127" s="1"/>
  <c r="CB181" i="127" s="1"/>
  <c r="CB231" i="127" s="1"/>
  <c r="F212" i="80"/>
  <c r="F225" i="80" s="1"/>
  <c r="CN130" i="127"/>
  <c r="O127" i="80"/>
  <c r="N226" i="81"/>
  <c r="N239" i="81" s="1"/>
  <c r="L217" i="108"/>
  <c r="L229" i="108" s="1"/>
  <c r="O99" i="107"/>
  <c r="O113" i="107" s="1"/>
  <c r="O222" i="107" s="1"/>
  <c r="O184" i="148"/>
  <c r="K22" i="126"/>
  <c r="D20" i="126"/>
  <c r="J20" i="126" s="1"/>
  <c r="I20" i="126"/>
  <c r="O148" i="149"/>
  <c r="X23" i="126"/>
  <c r="I217" i="149"/>
  <c r="I229" i="149" s="1"/>
  <c r="O186" i="149"/>
  <c r="E217" i="149"/>
  <c r="E229" i="149" s="1"/>
  <c r="AA40" i="124"/>
  <c r="CL193" i="127"/>
  <c r="CY192" i="127"/>
  <c r="CY193" i="127" s="1"/>
  <c r="CW193" i="127"/>
  <c r="AZ230" i="127"/>
  <c r="BL235" i="127"/>
  <c r="BK130" i="127"/>
  <c r="BK174" i="127" s="1"/>
  <c r="BK181" i="127" s="1"/>
  <c r="BK231" i="127" s="1"/>
  <c r="BK104" i="127"/>
  <c r="BT230" i="127"/>
  <c r="CS230" i="127"/>
  <c r="V240" i="127"/>
  <c r="AC230" i="127"/>
  <c r="O221" i="80"/>
  <c r="O136" i="80"/>
  <c r="AI130" i="127"/>
  <c r="D212" i="80"/>
  <c r="D225" i="80" s="1"/>
  <c r="U104" i="127"/>
  <c r="O217" i="80"/>
  <c r="O223" i="80" s="1"/>
  <c r="H225" i="80"/>
  <c r="K212" i="80"/>
  <c r="K225" i="80" s="1"/>
  <c r="O197" i="81"/>
  <c r="F226" i="81"/>
  <c r="F239" i="81" s="1"/>
  <c r="I205" i="107"/>
  <c r="I217" i="107" s="1"/>
  <c r="D229" i="108"/>
  <c r="O139" i="108"/>
  <c r="D100" i="80"/>
  <c r="D114" i="80" s="1"/>
  <c r="D230" i="80" s="1"/>
  <c r="C227" i="108"/>
  <c r="O221" i="108"/>
  <c r="J205" i="107"/>
  <c r="J217" i="107" s="1"/>
  <c r="F99" i="148"/>
  <c r="F113" i="148" s="1"/>
  <c r="F222" i="148" s="1"/>
  <c r="G23" i="126"/>
  <c r="J23" i="126" s="1"/>
  <c r="I23" i="126"/>
  <c r="K28" i="126"/>
  <c r="D26" i="126"/>
  <c r="V24" i="126"/>
  <c r="T24" i="126"/>
  <c r="Q21" i="126"/>
  <c r="I17" i="126"/>
  <c r="D15" i="126"/>
  <c r="J15" i="126" s="1"/>
  <c r="V36" i="124"/>
  <c r="U47" i="124"/>
  <c r="CN174" i="127"/>
  <c r="CN181" i="127" s="1"/>
  <c r="D45" i="146"/>
  <c r="CC239" i="127"/>
  <c r="CC202" i="127"/>
  <c r="CC240" i="127" s="1"/>
  <c r="CV230" i="127"/>
  <c r="BU230" i="127"/>
  <c r="BF230" i="127"/>
  <c r="BQ230" i="127"/>
  <c r="CC238" i="127"/>
  <c r="CC104" i="127"/>
  <c r="O183" i="80"/>
  <c r="D226" i="81"/>
  <c r="D239" i="81" s="1"/>
  <c r="K128" i="81"/>
  <c r="K101" i="81"/>
  <c r="O88" i="80"/>
  <c r="O199" i="107"/>
  <c r="G217" i="108"/>
  <c r="G229" i="108" s="1"/>
  <c r="O126" i="148"/>
  <c r="C205" i="148"/>
  <c r="C217" i="148" s="1"/>
  <c r="D217" i="149"/>
  <c r="D229" i="149" s="1"/>
  <c r="K18" i="126"/>
  <c r="O225" i="149"/>
  <c r="X19" i="126"/>
  <c r="T19" i="126"/>
  <c r="Q27" i="126"/>
  <c r="O87" i="148"/>
  <c r="I26" i="126"/>
  <c r="M55" i="124" s="1"/>
  <c r="G26" i="126"/>
  <c r="N229" i="149"/>
  <c r="AA50" i="124"/>
  <c r="U48" i="124"/>
  <c r="AA32" i="124"/>
  <c r="BJ239" i="127"/>
  <c r="BJ202" i="127"/>
  <c r="BJ240" i="127" s="1"/>
  <c r="V230" i="127"/>
  <c r="BG230" i="127"/>
  <c r="AX230" i="127"/>
  <c r="BE230" i="127"/>
  <c r="W238" i="127"/>
  <c r="BC230" i="127"/>
  <c r="CW104" i="127"/>
  <c r="CW174" i="127" s="1"/>
  <c r="CW181" i="127" s="1"/>
  <c r="CW231" i="127" s="1"/>
  <c r="O248" i="81"/>
  <c r="O101" i="110"/>
  <c r="O141" i="81"/>
  <c r="W70" i="81"/>
  <c r="W73" i="81" s="1"/>
  <c r="H226" i="81"/>
  <c r="H239" i="81" s="1"/>
  <c r="H238" i="108"/>
  <c r="G205" i="107"/>
  <c r="G217" i="107" s="1"/>
  <c r="C205" i="107"/>
  <c r="O126" i="107"/>
  <c r="N217" i="108"/>
  <c r="N229" i="108" s="1"/>
  <c r="G19" i="126"/>
  <c r="J19" i="126" s="1"/>
  <c r="I19" i="126"/>
  <c r="K24" i="126"/>
  <c r="D22" i="126"/>
  <c r="O139" i="149"/>
  <c r="V20" i="126"/>
  <c r="T20" i="126"/>
  <c r="X25" i="126"/>
  <c r="Q17" i="126"/>
  <c r="V21" i="126"/>
  <c r="O215" i="148"/>
  <c r="T23" i="126"/>
  <c r="V18" i="126"/>
  <c r="C217" i="149"/>
  <c r="BY240" i="127"/>
  <c r="BS240" i="127"/>
  <c r="BW230" i="127"/>
  <c r="AY230" i="127"/>
  <c r="AE230" i="127"/>
  <c r="AW230" i="127"/>
  <c r="R127" i="111"/>
  <c r="O127" i="111"/>
  <c r="AB230" i="127"/>
  <c r="BX230" i="127"/>
  <c r="AJ130" i="127"/>
  <c r="V104" i="127"/>
  <c r="O237" i="81"/>
  <c r="C128" i="81"/>
  <c r="C101" i="81"/>
  <c r="I128" i="81"/>
  <c r="I101" i="81"/>
  <c r="H128" i="81"/>
  <c r="H101" i="81"/>
  <c r="O195" i="108"/>
  <c r="O135" i="107"/>
  <c r="O232" i="108"/>
  <c r="O238" i="108" s="1"/>
  <c r="F217" i="108"/>
  <c r="F229" i="108" s="1"/>
  <c r="O193" i="148"/>
  <c r="I25" i="126"/>
  <c r="G25" i="126"/>
  <c r="J25" i="126" s="1"/>
  <c r="D28" i="126"/>
  <c r="C227" i="149"/>
  <c r="O221" i="149"/>
  <c r="O227" i="149" s="1"/>
  <c r="T26" i="126"/>
  <c r="V26" i="126"/>
  <c r="R55" i="124" s="1"/>
  <c r="Q23" i="126"/>
  <c r="C251" i="149"/>
  <c r="T17" i="126"/>
  <c r="V17" i="126"/>
  <c r="J17" i="126"/>
  <c r="O206" i="149"/>
  <c r="BO230" i="127"/>
  <c r="AD230" i="127"/>
  <c r="CR230" i="127"/>
  <c r="V238" i="127"/>
  <c r="BP230" i="127"/>
  <c r="O185" i="80"/>
  <c r="O200" i="80" s="1"/>
  <c r="C200" i="80"/>
  <c r="N128" i="81"/>
  <c r="N101" i="81"/>
  <c r="J239" i="81"/>
  <c r="O99" i="148"/>
  <c r="O113" i="148" s="1"/>
  <c r="O222" i="148" s="1"/>
  <c r="O225" i="108"/>
  <c r="K20" i="126"/>
  <c r="D18" i="126"/>
  <c r="X21" i="126"/>
  <c r="K23" i="126"/>
  <c r="V15" i="126"/>
  <c r="V23" i="126"/>
  <c r="AH174" i="127"/>
  <c r="AH181" i="127" s="1"/>
  <c r="BL239" i="127"/>
  <c r="BL202" i="127"/>
  <c r="BL240" i="127" s="1"/>
  <c r="CD239" i="127"/>
  <c r="CD202" i="127"/>
  <c r="CD240" i="127" s="1"/>
  <c r="W230" i="127"/>
  <c r="CL130" i="127"/>
  <c r="CL104" i="127"/>
  <c r="BJ238" i="127"/>
  <c r="BR230" i="127"/>
  <c r="U238" i="127"/>
  <c r="BB230" i="127"/>
  <c r="CB235" i="127"/>
  <c r="O174" i="80"/>
  <c r="CM130" i="127"/>
  <c r="F128" i="81"/>
  <c r="F101" i="81"/>
  <c r="O209" i="107"/>
  <c r="O215" i="107" s="1"/>
  <c r="C215" i="107"/>
  <c r="O220" i="81"/>
  <c r="O169" i="107"/>
  <c r="O206" i="108"/>
  <c r="I21" i="126"/>
  <c r="G21" i="126"/>
  <c r="J21" i="126" s="1"/>
  <c r="K26" i="126"/>
  <c r="L55" i="124" s="1"/>
  <c r="D24" i="126"/>
  <c r="J24" i="126" s="1"/>
  <c r="V22" i="126"/>
  <c r="T22" i="126"/>
  <c r="X27" i="126"/>
  <c r="Q16" i="124" s="1"/>
  <c r="Q19" i="126"/>
  <c r="G22" i="126"/>
  <c r="J22" i="126" s="1"/>
  <c r="T25" i="126"/>
  <c r="V27" i="126"/>
  <c r="R16" i="124" s="1"/>
  <c r="T21" i="126"/>
  <c r="CM174" i="127"/>
  <c r="CM181" i="127" s="1"/>
  <c r="CL174" i="127"/>
  <c r="CL181" i="127" s="1"/>
  <c r="BK239" i="127"/>
  <c r="BK202" i="127"/>
  <c r="BK240" i="127" s="1"/>
  <c r="Z230" i="127"/>
  <c r="AT130" i="127"/>
  <c r="AT104" i="127"/>
  <c r="BV230" i="127"/>
  <c r="CK130" i="127"/>
  <c r="CK104" i="127"/>
  <c r="CK174" i="127" s="1"/>
  <c r="CK181" i="127" s="1"/>
  <c r="CW202" i="127"/>
  <c r="CW240" i="127" s="1"/>
  <c r="W240" i="127"/>
  <c r="CQ104" i="127"/>
  <c r="CQ130" i="127"/>
  <c r="BD230" i="127"/>
  <c r="CB238" i="127"/>
  <c r="N212" i="80"/>
  <c r="N225" i="80" s="1"/>
  <c r="C212" i="80"/>
  <c r="C225" i="80" s="1"/>
  <c r="C226" i="80" s="1"/>
  <c r="O100" i="80"/>
  <c r="D205" i="107"/>
  <c r="D217" i="107" s="1"/>
  <c r="V253" i="107"/>
  <c r="C217" i="108"/>
  <c r="C229" i="108" s="1"/>
  <c r="C99" i="107"/>
  <c r="C113" i="107" s="1"/>
  <c r="O148" i="108"/>
  <c r="O235" i="149"/>
  <c r="O238" i="149" s="1"/>
  <c r="G27" i="126"/>
  <c r="J27" i="126" s="1"/>
  <c r="K16" i="124" s="1"/>
  <c r="N16" i="124" s="1"/>
  <c r="AB16" i="124" s="1"/>
  <c r="I27" i="126"/>
  <c r="M16" i="124" s="1"/>
  <c r="T28" i="126"/>
  <c r="V28" i="126"/>
  <c r="Q25" i="126"/>
  <c r="R110" i="149"/>
  <c r="R108" i="149"/>
  <c r="O108" i="149"/>
  <c r="O110" i="149" s="1"/>
  <c r="O126" i="149" s="1"/>
  <c r="M217" i="149"/>
  <c r="M229" i="149" s="1"/>
  <c r="I22" i="126"/>
  <c r="I24" i="126"/>
  <c r="G28" i="126"/>
  <c r="J28" i="126" s="1"/>
  <c r="G18" i="126"/>
  <c r="J18" i="126" s="1"/>
  <c r="U40" i="124"/>
  <c r="V43" i="124"/>
  <c r="CK193" i="127"/>
  <c r="Q231" i="127"/>
  <c r="BI220" i="127"/>
  <c r="AK233" i="127"/>
  <c r="R231" i="127"/>
  <c r="AK93" i="127"/>
  <c r="CU93" i="127"/>
  <c r="CU130" i="127" s="1"/>
  <c r="CA220" i="127"/>
  <c r="AQ93" i="127"/>
  <c r="AQ130" i="127" s="1"/>
  <c r="AQ174" i="127" s="1"/>
  <c r="AQ181" i="127" s="1"/>
  <c r="AK190" i="127"/>
  <c r="K231" i="127"/>
  <c r="AH24" i="124"/>
  <c r="AI13" i="124"/>
  <c r="D17" i="146"/>
  <c r="W15" i="124"/>
  <c r="W13" i="124"/>
  <c r="BI211" i="127"/>
  <c r="P240" i="127"/>
  <c r="D37" i="146"/>
  <c r="AH61" i="124"/>
  <c r="AI61" i="124"/>
  <c r="D65" i="146"/>
  <c r="E65" i="146" s="1"/>
  <c r="D13" i="146"/>
  <c r="AH11" i="124"/>
  <c r="D11" i="146"/>
  <c r="AB58" i="124"/>
  <c r="AB25" i="124"/>
  <c r="D48" i="146"/>
  <c r="AB10" i="124"/>
  <c r="D2" i="146"/>
  <c r="AB59" i="124"/>
  <c r="AI59" i="124"/>
  <c r="AH60" i="124"/>
  <c r="D60" i="146"/>
  <c r="AI60" i="124"/>
  <c r="AB61" i="124"/>
  <c r="D50" i="146"/>
  <c r="D64" i="146"/>
  <c r="W30" i="124"/>
  <c r="D33" i="146"/>
  <c r="AI24" i="124"/>
  <c r="W7" i="124"/>
  <c r="D24" i="146"/>
  <c r="AH6" i="124"/>
  <c r="AI64" i="124"/>
  <c r="AB60" i="124"/>
  <c r="W14" i="124"/>
  <c r="D59" i="146"/>
  <c r="AH59" i="124"/>
  <c r="D20" i="146"/>
  <c r="D10" i="146"/>
  <c r="AI10" i="124"/>
  <c r="AH10" i="124"/>
  <c r="D26" i="146"/>
  <c r="AI28" i="124"/>
  <c r="AH56" i="124"/>
  <c r="D28" i="146"/>
  <c r="AH28" i="124"/>
  <c r="AI56" i="124"/>
  <c r="AB4" i="124"/>
  <c r="AB12" i="124"/>
  <c r="D56" i="146"/>
  <c r="AI5" i="124"/>
  <c r="W61" i="124"/>
  <c r="D44" i="146"/>
  <c r="D52" i="146"/>
  <c r="D8" i="146"/>
  <c r="AB27" i="124"/>
  <c r="W11" i="124"/>
  <c r="AB26" i="124"/>
  <c r="D36" i="146"/>
  <c r="AF66" i="124"/>
  <c r="W3" i="124"/>
  <c r="W29" i="124"/>
  <c r="AB11" i="124"/>
  <c r="AB57" i="124"/>
  <c r="W64" i="124"/>
  <c r="S64" i="124"/>
  <c r="D35" i="146"/>
  <c r="D43" i="146"/>
  <c r="AB28" i="124"/>
  <c r="D32" i="146"/>
  <c r="AG66" i="124"/>
  <c r="W23" i="124"/>
  <c r="S24" i="124"/>
  <c r="D63" i="146"/>
  <c r="AI57" i="124"/>
  <c r="AB56" i="124"/>
  <c r="W32" i="124"/>
  <c r="Z66" i="124"/>
  <c r="AB65" i="124"/>
  <c r="D57" i="146"/>
  <c r="D27" i="146"/>
  <c r="AH27" i="124"/>
  <c r="AI27" i="124"/>
  <c r="D40" i="146"/>
  <c r="D39" i="146"/>
  <c r="AC5" i="124"/>
  <c r="W57" i="124"/>
  <c r="S28" i="124"/>
  <c r="W28" i="124"/>
  <c r="AB24" i="124"/>
  <c r="AB6" i="124"/>
  <c r="D14" i="146"/>
  <c r="W12" i="124"/>
  <c r="S12" i="124"/>
  <c r="AB63" i="124"/>
  <c r="D62" i="146"/>
  <c r="F62" i="146" s="1"/>
  <c r="W62" i="124"/>
  <c r="W63" i="124"/>
  <c r="D31" i="146"/>
  <c r="D30" i="146"/>
  <c r="D55" i="146"/>
  <c r="W31" i="124"/>
  <c r="D29" i="146"/>
  <c r="S56" i="124"/>
  <c r="W56" i="124"/>
  <c r="D46" i="146"/>
  <c r="D23" i="146"/>
  <c r="AI23" i="124"/>
  <c r="D6" i="146"/>
  <c r="AB64" i="124"/>
  <c r="D42" i="146"/>
  <c r="AB62" i="124"/>
  <c r="W59" i="124"/>
  <c r="S59" i="124"/>
  <c r="W25" i="124"/>
  <c r="S25" i="124"/>
  <c r="W65" i="124"/>
  <c r="D38" i="146"/>
  <c r="AE66" i="124"/>
  <c r="AB23" i="124"/>
  <c r="Y66" i="124"/>
  <c r="W27" i="124"/>
  <c r="S60" i="124"/>
  <c r="W60" i="124"/>
  <c r="D47" i="146"/>
  <c r="D34" i="146"/>
  <c r="D54" i="146"/>
  <c r="W10" i="124"/>
  <c r="S10" i="124"/>
  <c r="W58" i="124"/>
  <c r="S58" i="124"/>
  <c r="AI63" i="124"/>
  <c r="D58" i="146"/>
  <c r="AI58" i="124"/>
  <c r="AH58" i="124"/>
  <c r="W26" i="124"/>
  <c r="S26" i="124"/>
  <c r="AB13" i="124"/>
  <c r="D22" i="146"/>
  <c r="D15" i="146"/>
  <c r="S6" i="124"/>
  <c r="W6" i="124"/>
  <c r="AB3" i="124"/>
  <c r="D9" i="146"/>
  <c r="D5" i="146"/>
  <c r="AH5" i="124"/>
  <c r="W4" i="124"/>
  <c r="S4" i="124"/>
  <c r="J230" i="127"/>
  <c r="R240" i="127"/>
  <c r="CQ191" i="127"/>
  <c r="CQ193" i="127" s="1"/>
  <c r="AQ211" i="127"/>
  <c r="AF240" i="127"/>
  <c r="G231" i="127"/>
  <c r="CN193" i="127"/>
  <c r="M230" i="127"/>
  <c r="T220" i="127"/>
  <c r="BI229" i="127"/>
  <c r="S220" i="127"/>
  <c r="AK115" i="127"/>
  <c r="BZ220" i="127"/>
  <c r="BH115" i="127"/>
  <c r="S229" i="127"/>
  <c r="S235" i="127"/>
  <c r="AQ238" i="127"/>
  <c r="AQ190" i="127"/>
  <c r="AQ193" i="127" s="1"/>
  <c r="R230" i="127"/>
  <c r="CQ200" i="127"/>
  <c r="CQ238" i="127" s="1"/>
  <c r="K230" i="127"/>
  <c r="CK202" i="127"/>
  <c r="AR202" i="127"/>
  <c r="AK173" i="127"/>
  <c r="CU190" i="127"/>
  <c r="CX190" i="127" s="1"/>
  <c r="CQ173" i="127"/>
  <c r="CQ174" i="127" s="1"/>
  <c r="CQ181" i="127" s="1"/>
  <c r="CN238" i="127"/>
  <c r="CU211" i="127"/>
  <c r="N240" i="127"/>
  <c r="CQ209" i="127"/>
  <c r="CQ211" i="127" s="1"/>
  <c r="CA238" i="127"/>
  <c r="T211" i="127"/>
  <c r="AK229" i="127"/>
  <c r="M240" i="127"/>
  <c r="CA211" i="127"/>
  <c r="N231" i="127"/>
  <c r="CO238" i="127"/>
  <c r="Q230" i="127"/>
  <c r="BH229" i="127"/>
  <c r="BZ229" i="127"/>
  <c r="S115" i="127"/>
  <c r="BZ115" i="127"/>
  <c r="BZ211" i="127"/>
  <c r="S238" i="127"/>
  <c r="BH220" i="127"/>
  <c r="BH211" i="127"/>
  <c r="S211" i="127"/>
  <c r="BH202" i="127"/>
  <c r="CL238" i="127"/>
  <c r="AT191" i="127"/>
  <c r="AT193" i="127" s="1"/>
  <c r="AT173" i="127"/>
  <c r="AT174" i="127" s="1"/>
  <c r="AT181" i="127" s="1"/>
  <c r="AT200" i="127"/>
  <c r="Y104" i="127"/>
  <c r="Y174" i="127" s="1"/>
  <c r="Y181" i="127" s="1"/>
  <c r="Y231" i="127" s="1"/>
  <c r="Y130" i="127"/>
  <c r="I240" i="127"/>
  <c r="BI235" i="127"/>
  <c r="H230" i="127"/>
  <c r="AH202" i="127"/>
  <c r="AH240" i="127" s="1"/>
  <c r="BI193" i="127"/>
  <c r="L230" i="127"/>
  <c r="T238" i="127"/>
  <c r="CK238" i="127"/>
  <c r="AK191" i="127"/>
  <c r="CA235" i="127"/>
  <c r="BZ235" i="127"/>
  <c r="BI130" i="127"/>
  <c r="BI174" i="127" s="1"/>
  <c r="BI181" i="127" s="1"/>
  <c r="BI104" i="127"/>
  <c r="CA193" i="127"/>
  <c r="BZ238" i="127"/>
  <c r="CL202" i="127"/>
  <c r="AK200" i="127"/>
  <c r="AK238" i="127" s="1"/>
  <c r="AF104" i="127"/>
  <c r="AF174" i="127" s="1"/>
  <c r="AF181" i="127" s="1"/>
  <c r="AF130" i="127"/>
  <c r="T235" i="127"/>
  <c r="AQ202" i="127"/>
  <c r="AQ240" i="127" s="1"/>
  <c r="CJ104" i="127"/>
  <c r="CJ174" i="127" s="1"/>
  <c r="CJ181" i="127" s="1"/>
  <c r="CJ130" i="127"/>
  <c r="AG240" i="127"/>
  <c r="CN202" i="127"/>
  <c r="BZ239" i="127"/>
  <c r="BZ202" i="127"/>
  <c r="BH193" i="127"/>
  <c r="CJ238" i="127"/>
  <c r="S193" i="127"/>
  <c r="CO206" i="127"/>
  <c r="CO211" i="127" s="1"/>
  <c r="CO188" i="127"/>
  <c r="CO193" i="127" s="1"/>
  <c r="CO67" i="127"/>
  <c r="I230" i="127"/>
  <c r="M231" i="127"/>
  <c r="H231" i="127"/>
  <c r="CJ193" i="127"/>
  <c r="Y230" i="127"/>
  <c r="AK239" i="127"/>
  <c r="Y240" i="127"/>
  <c r="CU238" i="127"/>
  <c r="S202" i="127"/>
  <c r="S239" i="127"/>
  <c r="BH238" i="127"/>
  <c r="T130" i="127"/>
  <c r="T174" i="127" s="1"/>
  <c r="T181" i="127" s="1"/>
  <c r="T104" i="127"/>
  <c r="BI238" i="127"/>
  <c r="CJ211" i="127"/>
  <c r="H240" i="127"/>
  <c r="O240" i="127"/>
  <c r="T193" i="127"/>
  <c r="BZ193" i="127"/>
  <c r="O230" i="127"/>
  <c r="N230" i="127"/>
  <c r="S130" i="127"/>
  <c r="S174" i="127" s="1"/>
  <c r="S181" i="127" s="1"/>
  <c r="S104" i="127"/>
  <c r="AK206" i="127"/>
  <c r="AK211" i="127" s="1"/>
  <c r="AK188" i="127"/>
  <c r="AK67" i="127"/>
  <c r="AN77" i="127" s="1"/>
  <c r="CA104" i="127"/>
  <c r="CA130" i="127"/>
  <c r="CA174" i="127" s="1"/>
  <c r="CA181" i="127" s="1"/>
  <c r="G240" i="127"/>
  <c r="T239" i="127"/>
  <c r="T202" i="127"/>
  <c r="Q240" i="127"/>
  <c r="CM238" i="127"/>
  <c r="G230" i="127"/>
  <c r="BI239" i="127"/>
  <c r="BI202" i="127"/>
  <c r="CJ202" i="127"/>
  <c r="P231" i="127"/>
  <c r="CP206" i="127"/>
  <c r="CP188" i="127"/>
  <c r="CP193" i="127" s="1"/>
  <c r="CP67" i="127"/>
  <c r="BH130" i="127"/>
  <c r="BH174" i="127" s="1"/>
  <c r="BH181" i="127" s="1"/>
  <c r="BH104" i="127"/>
  <c r="BZ130" i="127"/>
  <c r="BZ174" i="127" s="1"/>
  <c r="BZ181" i="127" s="1"/>
  <c r="BZ104" i="127"/>
  <c r="AG104" i="127"/>
  <c r="AG174" i="127" s="1"/>
  <c r="AG181" i="127" s="1"/>
  <c r="AG130" i="127"/>
  <c r="K240" i="127"/>
  <c r="CM202" i="127"/>
  <c r="CA239" i="127"/>
  <c r="CA202" i="127"/>
  <c r="P230" i="127"/>
  <c r="BH235" i="127"/>
  <c r="CP238" i="127"/>
  <c r="AS206" i="127"/>
  <c r="AS211" i="127" s="1"/>
  <c r="AS188" i="127"/>
  <c r="AS193" i="127" s="1"/>
  <c r="AS67" i="127"/>
  <c r="CU240" i="127" l="1"/>
  <c r="CL240" i="127"/>
  <c r="Q36" i="124"/>
  <c r="Q38" i="124"/>
  <c r="Q37" i="124"/>
  <c r="Q35" i="124"/>
  <c r="Q34" i="124"/>
  <c r="J26" i="126"/>
  <c r="K55" i="124" s="1"/>
  <c r="N55" i="124" s="1"/>
  <c r="AB55" i="124" s="1"/>
  <c r="J14" i="126"/>
  <c r="K15" i="124" s="1"/>
  <c r="N15" i="124" s="1"/>
  <c r="AH231" i="127"/>
  <c r="AA66" i="124"/>
  <c r="AC25" i="124"/>
  <c r="W5" i="124"/>
  <c r="CO240" i="127"/>
  <c r="AR231" i="127"/>
  <c r="AR240" i="127"/>
  <c r="AG231" i="127"/>
  <c r="AF231" i="127"/>
  <c r="CU104" i="127"/>
  <c r="CU174" i="127" s="1"/>
  <c r="CU181" i="127" s="1"/>
  <c r="R126" i="149"/>
  <c r="W13" i="126"/>
  <c r="P46" i="124" s="1"/>
  <c r="S46" i="124" s="1"/>
  <c r="P29" i="124"/>
  <c r="S29" i="124" s="1"/>
  <c r="AC10" i="124"/>
  <c r="T2" i="124"/>
  <c r="W2" i="124" s="1"/>
  <c r="P32" i="124"/>
  <c r="S32" i="124" s="1"/>
  <c r="P30" i="124"/>
  <c r="S30" i="124" s="1"/>
  <c r="W18" i="126"/>
  <c r="W27" i="126"/>
  <c r="P16" i="124" s="1"/>
  <c r="S16" i="124" s="1"/>
  <c r="Q20" i="124"/>
  <c r="CP240" i="127"/>
  <c r="CN240" i="127"/>
  <c r="CL231" i="127"/>
  <c r="CM240" i="127"/>
  <c r="CP211" i="127"/>
  <c r="CP230" i="127" s="1"/>
  <c r="CN231" i="127"/>
  <c r="CJ240" i="127"/>
  <c r="CM231" i="127"/>
  <c r="AQ104" i="127"/>
  <c r="CK230" i="127"/>
  <c r="AK104" i="127"/>
  <c r="AK130" i="127"/>
  <c r="AK174" i="127" s="1"/>
  <c r="AK181" i="127" s="1"/>
  <c r="R45" i="124"/>
  <c r="R46" i="124"/>
  <c r="J13" i="126"/>
  <c r="R41" i="124"/>
  <c r="R42" i="124"/>
  <c r="L45" i="124"/>
  <c r="L46" i="124"/>
  <c r="J10" i="126"/>
  <c r="K217" i="107"/>
  <c r="P45" i="124"/>
  <c r="S45" i="124" s="1"/>
  <c r="J11" i="126"/>
  <c r="K7" i="124" s="1"/>
  <c r="N7" i="124" s="1"/>
  <c r="M41" i="124"/>
  <c r="M42" i="124"/>
  <c r="L30" i="124"/>
  <c r="L32" i="124"/>
  <c r="L29" i="124"/>
  <c r="L31" i="124"/>
  <c r="J12" i="126"/>
  <c r="K2" i="124" s="1"/>
  <c r="T21" i="124"/>
  <c r="W21" i="124" s="1"/>
  <c r="T22" i="124"/>
  <c r="W22" i="124" s="1"/>
  <c r="R37" i="124"/>
  <c r="R38" i="124"/>
  <c r="K37" i="124"/>
  <c r="N37" i="124" s="1"/>
  <c r="AB37" i="124" s="1"/>
  <c r="K38" i="124"/>
  <c r="N38" i="124" s="1"/>
  <c r="CK231" i="127"/>
  <c r="Q41" i="124"/>
  <c r="Q42" i="124"/>
  <c r="Q29" i="124"/>
  <c r="Q31" i="124"/>
  <c r="Q30" i="124"/>
  <c r="Q32" i="124"/>
  <c r="L17" i="124"/>
  <c r="L18" i="124"/>
  <c r="T38" i="124"/>
  <c r="W38" i="124" s="1"/>
  <c r="T37" i="124"/>
  <c r="W37" i="124" s="1"/>
  <c r="W9" i="126"/>
  <c r="M38" i="124"/>
  <c r="M37" i="124"/>
  <c r="T45" i="124"/>
  <c r="W45" i="124" s="1"/>
  <c r="T46" i="124"/>
  <c r="W46" i="124" s="1"/>
  <c r="M45" i="124"/>
  <c r="M46" i="124"/>
  <c r="W10" i="126"/>
  <c r="T42" i="124"/>
  <c r="W42" i="124" s="1"/>
  <c r="T41" i="124"/>
  <c r="W41" i="124" s="1"/>
  <c r="K50" i="124"/>
  <c r="N50" i="124" s="1"/>
  <c r="K51" i="124"/>
  <c r="N51" i="124" s="1"/>
  <c r="AB51" i="124" s="1"/>
  <c r="K49" i="124"/>
  <c r="N49" i="124" s="1"/>
  <c r="K52" i="124"/>
  <c r="N52" i="124" s="1"/>
  <c r="AB52" i="124" s="1"/>
  <c r="K8" i="124"/>
  <c r="N8" i="124" s="1"/>
  <c r="K9" i="124"/>
  <c r="N9" i="124" s="1"/>
  <c r="W26" i="126"/>
  <c r="P55" i="124" s="1"/>
  <c r="S55" i="124" s="1"/>
  <c r="AH55" i="124" s="1"/>
  <c r="T55" i="124"/>
  <c r="W55" i="124" s="1"/>
  <c r="R128" i="81"/>
  <c r="W23" i="126"/>
  <c r="T47" i="124"/>
  <c r="W47" i="124" s="1"/>
  <c r="T48" i="124"/>
  <c r="W48" i="124" s="1"/>
  <c r="W20" i="126"/>
  <c r="T9" i="124"/>
  <c r="W9" i="124" s="1"/>
  <c r="T8" i="124"/>
  <c r="W8" i="124" s="1"/>
  <c r="L34" i="124"/>
  <c r="L36" i="124"/>
  <c r="L33" i="124"/>
  <c r="L35" i="124"/>
  <c r="CC230" i="127"/>
  <c r="C222" i="107"/>
  <c r="C114" i="107"/>
  <c r="W21" i="126"/>
  <c r="T39" i="124"/>
  <c r="W39" i="124" s="1"/>
  <c r="T40" i="124"/>
  <c r="W40" i="124" s="1"/>
  <c r="R22" i="124"/>
  <c r="R21" i="124"/>
  <c r="R40" i="124"/>
  <c r="R39" i="124"/>
  <c r="X20" i="126"/>
  <c r="R8" i="124"/>
  <c r="R9" i="124"/>
  <c r="O226" i="81"/>
  <c r="O239" i="81" s="1"/>
  <c r="M47" i="124"/>
  <c r="M48" i="124"/>
  <c r="BK230" i="127"/>
  <c r="M51" i="124"/>
  <c r="M52" i="124"/>
  <c r="M49" i="124"/>
  <c r="M50" i="124"/>
  <c r="O114" i="80"/>
  <c r="O230" i="80" s="1"/>
  <c r="O101" i="80"/>
  <c r="K39" i="124"/>
  <c r="N39" i="124" s="1"/>
  <c r="K40" i="124"/>
  <c r="N40" i="124" s="1"/>
  <c r="R47" i="124"/>
  <c r="R48" i="124"/>
  <c r="Q39" i="124"/>
  <c r="Q40" i="124"/>
  <c r="R20" i="124"/>
  <c r="R19" i="124"/>
  <c r="C229" i="149"/>
  <c r="O217" i="149"/>
  <c r="O229" i="149" s="1"/>
  <c r="BL230" i="127"/>
  <c r="W19" i="126"/>
  <c r="T17" i="124"/>
  <c r="W17" i="124" s="1"/>
  <c r="T18" i="124"/>
  <c r="W18" i="124" s="1"/>
  <c r="K47" i="124"/>
  <c r="N47" i="124" s="1"/>
  <c r="K48" i="124"/>
  <c r="N48" i="124" s="1"/>
  <c r="AB48" i="124" s="1"/>
  <c r="O227" i="108"/>
  <c r="CW230" i="127"/>
  <c r="K36" i="124"/>
  <c r="N36" i="124" s="1"/>
  <c r="K33" i="124"/>
  <c r="N33" i="124" s="1"/>
  <c r="K34" i="124"/>
  <c r="N34" i="124" s="1"/>
  <c r="AB34" i="124" s="1"/>
  <c r="K35" i="124"/>
  <c r="N35" i="124" s="1"/>
  <c r="AB35" i="124" s="1"/>
  <c r="M40" i="124"/>
  <c r="M39" i="124"/>
  <c r="R29" i="124"/>
  <c r="R30" i="124"/>
  <c r="R32" i="124"/>
  <c r="R31" i="124"/>
  <c r="W17" i="126"/>
  <c r="T20" i="124"/>
  <c r="W20" i="124" s="1"/>
  <c r="T19" i="124"/>
  <c r="W19" i="124" s="1"/>
  <c r="L50" i="124"/>
  <c r="L51" i="124"/>
  <c r="L49" i="124"/>
  <c r="L52" i="124"/>
  <c r="Q17" i="124"/>
  <c r="Q18" i="124"/>
  <c r="O205" i="148"/>
  <c r="O217" i="148" s="1"/>
  <c r="K29" i="124"/>
  <c r="N29" i="124" s="1"/>
  <c r="AB29" i="124" s="1"/>
  <c r="K30" i="124"/>
  <c r="N30" i="124" s="1"/>
  <c r="AB30" i="124" s="1"/>
  <c r="K32" i="124"/>
  <c r="N32" i="124" s="1"/>
  <c r="K31" i="124"/>
  <c r="N31" i="124" s="1"/>
  <c r="Q47" i="124"/>
  <c r="Q48" i="124"/>
  <c r="W25" i="126"/>
  <c r="T54" i="124"/>
  <c r="W54" i="124" s="1"/>
  <c r="T53" i="124"/>
  <c r="W53" i="124" s="1"/>
  <c r="L8" i="124"/>
  <c r="L9" i="124"/>
  <c r="K54" i="124"/>
  <c r="N54" i="124" s="1"/>
  <c r="K53" i="124"/>
  <c r="N53" i="124" s="1"/>
  <c r="M18" i="124"/>
  <c r="M17" i="124"/>
  <c r="O212" i="80"/>
  <c r="O225" i="80" s="1"/>
  <c r="CB230" i="127"/>
  <c r="K21" i="124"/>
  <c r="N21" i="124" s="1"/>
  <c r="K22" i="124"/>
  <c r="N22" i="124" s="1"/>
  <c r="K20" i="124"/>
  <c r="N20" i="124" s="1"/>
  <c r="K19" i="124"/>
  <c r="N19" i="124" s="1"/>
  <c r="M53" i="124"/>
  <c r="M54" i="124"/>
  <c r="K18" i="124"/>
  <c r="N18" i="124" s="1"/>
  <c r="K17" i="124"/>
  <c r="N17" i="124" s="1"/>
  <c r="W24" i="126"/>
  <c r="T49" i="124"/>
  <c r="W49" i="124" s="1"/>
  <c r="T50" i="124"/>
  <c r="W50" i="124" s="1"/>
  <c r="T51" i="124"/>
  <c r="W51" i="124" s="1"/>
  <c r="T52" i="124"/>
  <c r="W52" i="124" s="1"/>
  <c r="O217" i="108"/>
  <c r="O229" i="108" s="1"/>
  <c r="M9" i="124"/>
  <c r="M8" i="124"/>
  <c r="T240" i="127"/>
  <c r="CU193" i="127"/>
  <c r="CU230" i="127" s="1"/>
  <c r="AC12" i="124"/>
  <c r="M44" i="124"/>
  <c r="M43" i="124"/>
  <c r="R36" i="124"/>
  <c r="R33" i="124"/>
  <c r="R34" i="124"/>
  <c r="R35" i="124"/>
  <c r="K44" i="124"/>
  <c r="N44" i="124" s="1"/>
  <c r="AB44" i="124" s="1"/>
  <c r="K43" i="124"/>
  <c r="N43" i="124" s="1"/>
  <c r="W22" i="126"/>
  <c r="T43" i="124"/>
  <c r="W43" i="124" s="1"/>
  <c r="T44" i="124"/>
  <c r="W44" i="124" s="1"/>
  <c r="O205" i="107"/>
  <c r="O217" i="107" s="1"/>
  <c r="L22" i="124"/>
  <c r="L21" i="124"/>
  <c r="R51" i="124"/>
  <c r="R49" i="124"/>
  <c r="R50" i="124"/>
  <c r="R52" i="124"/>
  <c r="BJ230" i="127"/>
  <c r="CD230" i="127"/>
  <c r="U230" i="127"/>
  <c r="W28" i="126"/>
  <c r="T35" i="124"/>
  <c r="W35" i="124" s="1"/>
  <c r="T36" i="124"/>
  <c r="W36" i="124" s="1"/>
  <c r="T34" i="124"/>
  <c r="W34" i="124" s="1"/>
  <c r="T33" i="124"/>
  <c r="W33" i="124" s="1"/>
  <c r="R44" i="124"/>
  <c r="R43" i="124"/>
  <c r="L48" i="124"/>
  <c r="L47" i="124"/>
  <c r="Q53" i="124"/>
  <c r="Q54" i="124"/>
  <c r="C217" i="107"/>
  <c r="P22" i="124"/>
  <c r="S22" i="124" s="1"/>
  <c r="P21" i="124"/>
  <c r="S21" i="124" s="1"/>
  <c r="M19" i="124"/>
  <c r="M20" i="124"/>
  <c r="L44" i="124"/>
  <c r="L43" i="124"/>
  <c r="CQ202" i="127"/>
  <c r="CQ240" i="127" s="1"/>
  <c r="CA240" i="127"/>
  <c r="AR230" i="127"/>
  <c r="CJ231" i="127"/>
  <c r="AC59" i="124"/>
  <c r="AH26" i="124"/>
  <c r="AH230" i="127"/>
  <c r="BI240" i="127"/>
  <c r="CQ231" i="127"/>
  <c r="CL230" i="127"/>
  <c r="AC27" i="124"/>
  <c r="AC61" i="124"/>
  <c r="AC58" i="124"/>
  <c r="AB14" i="124"/>
  <c r="AC14" i="124" s="1"/>
  <c r="AC26" i="124"/>
  <c r="AC60" i="124"/>
  <c r="AB15" i="124"/>
  <c r="AC4" i="124"/>
  <c r="AC11" i="124"/>
  <c r="AC3" i="124"/>
  <c r="AC23" i="124"/>
  <c r="AC64" i="124"/>
  <c r="AC62" i="124"/>
  <c r="G62" i="146"/>
  <c r="AH62" i="124"/>
  <c r="AC56" i="124"/>
  <c r="AC63" i="124"/>
  <c r="AC28" i="124"/>
  <c r="AC57" i="124"/>
  <c r="AC16" i="124"/>
  <c r="AH16" i="124"/>
  <c r="AC30" i="124"/>
  <c r="AC6" i="124"/>
  <c r="AC65" i="124"/>
  <c r="AC13" i="124"/>
  <c r="AC55" i="124"/>
  <c r="AC24" i="124"/>
  <c r="AQ231" i="127"/>
  <c r="BI231" i="127"/>
  <c r="CK240" i="127"/>
  <c r="S240" i="127"/>
  <c r="BZ240" i="127"/>
  <c r="CA231" i="127"/>
  <c r="AS230" i="127"/>
  <c r="AQ230" i="127"/>
  <c r="T230" i="127"/>
  <c r="BH231" i="127"/>
  <c r="S231" i="127"/>
  <c r="BH240" i="127"/>
  <c r="BZ230" i="127"/>
  <c r="BZ231" i="127"/>
  <c r="BH230" i="127"/>
  <c r="AK193" i="127"/>
  <c r="AK202" i="127"/>
  <c r="CP130" i="127"/>
  <c r="CP104" i="127"/>
  <c r="CP174" i="127" s="1"/>
  <c r="CP181" i="127" s="1"/>
  <c r="CP231" i="127" s="1"/>
  <c r="S230" i="127"/>
  <c r="CO104" i="127"/>
  <c r="CO174" i="127" s="1"/>
  <c r="CO181" i="127" s="1"/>
  <c r="CO231" i="127" s="1"/>
  <c r="CO130" i="127"/>
  <c r="AT238" i="127"/>
  <c r="AT202" i="127"/>
  <c r="AT240" i="127" s="1"/>
  <c r="AS104" i="127"/>
  <c r="AS130" i="127"/>
  <c r="AS174" i="127" s="1"/>
  <c r="AS181" i="127" s="1"/>
  <c r="AS231" i="127" s="1"/>
  <c r="CN230" i="127"/>
  <c r="CO230" i="127"/>
  <c r="BI230" i="127"/>
  <c r="AT231" i="127"/>
  <c r="CA230" i="127"/>
  <c r="T231" i="127"/>
  <c r="CJ230" i="127"/>
  <c r="CM230" i="127"/>
  <c r="AK240" i="127" l="1"/>
  <c r="AM202" i="127"/>
  <c r="AC35" i="124"/>
  <c r="AB7" i="124"/>
  <c r="AC7" i="124" s="1"/>
  <c r="AC44" i="124"/>
  <c r="AB19" i="124"/>
  <c r="AC34" i="124"/>
  <c r="AH14" i="124"/>
  <c r="AB9" i="124"/>
  <c r="AI26" i="124"/>
  <c r="AB47" i="124"/>
  <c r="AB50" i="124"/>
  <c r="AB54" i="124"/>
  <c r="AC54" i="124" s="1"/>
  <c r="AB40" i="124"/>
  <c r="AC40" i="124" s="1"/>
  <c r="AB43" i="124"/>
  <c r="AC51" i="124"/>
  <c r="AB17" i="124"/>
  <c r="AB53" i="124"/>
  <c r="AC53" i="124" s="1"/>
  <c r="AH30" i="124"/>
  <c r="AC48" i="124"/>
  <c r="AC37" i="124"/>
  <c r="AC2" i="124"/>
  <c r="AC52" i="124"/>
  <c r="AB38" i="124"/>
  <c r="AC38" i="124" s="1"/>
  <c r="AH29" i="124"/>
  <c r="AC29" i="124"/>
  <c r="CU231" i="127"/>
  <c r="CQ230" i="127"/>
  <c r="K41" i="124"/>
  <c r="N41" i="124" s="1"/>
  <c r="K42" i="124"/>
  <c r="N42" i="124" s="1"/>
  <c r="P42" i="124"/>
  <c r="S42" i="124" s="1"/>
  <c r="P41" i="124"/>
  <c r="S41" i="124" s="1"/>
  <c r="P38" i="124"/>
  <c r="S38" i="124" s="1"/>
  <c r="P37" i="124"/>
  <c r="S37" i="124" s="1"/>
  <c r="K45" i="124"/>
  <c r="N45" i="124" s="1"/>
  <c r="K46" i="124"/>
  <c r="N46" i="124" s="1"/>
  <c r="AB21" i="124"/>
  <c r="AB31" i="124"/>
  <c r="P40" i="124"/>
  <c r="S40" i="124" s="1"/>
  <c r="P39" i="124"/>
  <c r="S39" i="124" s="1"/>
  <c r="AB32" i="124"/>
  <c r="P17" i="124"/>
  <c r="S17" i="124" s="1"/>
  <c r="P18" i="124"/>
  <c r="S18" i="124" s="1"/>
  <c r="P47" i="124"/>
  <c r="S47" i="124" s="1"/>
  <c r="AH47" i="124" s="1"/>
  <c r="P48" i="124"/>
  <c r="S48" i="124" s="1"/>
  <c r="P44" i="124"/>
  <c r="S44" i="124" s="1"/>
  <c r="P43" i="124"/>
  <c r="S43" i="124" s="1"/>
  <c r="P50" i="124"/>
  <c r="S50" i="124" s="1"/>
  <c r="P49" i="124"/>
  <c r="S49" i="124" s="1"/>
  <c r="P52" i="124"/>
  <c r="S52" i="124" s="1"/>
  <c r="P51" i="124"/>
  <c r="S51" i="124" s="1"/>
  <c r="AB39" i="124"/>
  <c r="Q9" i="124"/>
  <c r="Q8" i="124"/>
  <c r="AB49" i="124"/>
  <c r="P36" i="124"/>
  <c r="S36" i="124" s="1"/>
  <c r="P35" i="124"/>
  <c r="S35" i="124" s="1"/>
  <c r="P34" i="124"/>
  <c r="S34" i="124" s="1"/>
  <c r="P33" i="124"/>
  <c r="S33" i="124" s="1"/>
  <c r="AB33" i="124"/>
  <c r="P53" i="124"/>
  <c r="S53" i="124" s="1"/>
  <c r="P54" i="124"/>
  <c r="S54" i="124" s="1"/>
  <c r="P20" i="124"/>
  <c r="S20" i="124" s="1"/>
  <c r="P19" i="124"/>
  <c r="S19" i="124" s="1"/>
  <c r="AH19" i="124" s="1"/>
  <c r="AB36" i="124"/>
  <c r="AB20" i="124"/>
  <c r="AB22" i="124"/>
  <c r="P8" i="124"/>
  <c r="S8" i="124" s="1"/>
  <c r="P9" i="124"/>
  <c r="S9" i="124" s="1"/>
  <c r="AB8" i="124"/>
  <c r="AH15" i="124"/>
  <c r="AC15" i="124"/>
  <c r="AC19" i="124"/>
  <c r="AI55" i="124"/>
  <c r="AC47" i="124"/>
  <c r="AI62" i="124"/>
  <c r="AI16" i="124"/>
  <c r="AI14" i="124"/>
  <c r="AK231" i="127"/>
  <c r="AK230" i="127"/>
  <c r="AT230" i="127"/>
  <c r="AH9" i="124" l="1"/>
  <c r="AH7" i="124"/>
  <c r="AH54" i="124"/>
  <c r="AI54" i="124" s="1"/>
  <c r="AC9" i="124"/>
  <c r="AI30" i="124"/>
  <c r="AI2" i="124"/>
  <c r="AH43" i="124"/>
  <c r="AC43" i="124"/>
  <c r="AH17" i="124"/>
  <c r="AC50" i="124"/>
  <c r="AH40" i="124"/>
  <c r="AI29" i="124"/>
  <c r="AH38" i="124"/>
  <c r="AC17" i="124"/>
  <c r="AH53" i="124"/>
  <c r="AI7" i="124"/>
  <c r="AH37" i="124"/>
  <c r="AB45" i="124"/>
  <c r="AB42" i="124"/>
  <c r="AH42" i="124" s="1"/>
  <c r="AB46" i="124"/>
  <c r="AB41" i="124"/>
  <c r="AH33" i="124"/>
  <c r="AC49" i="124"/>
  <c r="AH21" i="124"/>
  <c r="AC21" i="124"/>
  <c r="AC36" i="124"/>
  <c r="AH34" i="124"/>
  <c r="AH48" i="124"/>
  <c r="AC20" i="124"/>
  <c r="AH35" i="124"/>
  <c r="AH51" i="124"/>
  <c r="AH39" i="124"/>
  <c r="AC33" i="124"/>
  <c r="AH36" i="124"/>
  <c r="AH52" i="124"/>
  <c r="AH20" i="124"/>
  <c r="AH49" i="124"/>
  <c r="AH44" i="124"/>
  <c r="AH18" i="124"/>
  <c r="AC32" i="124"/>
  <c r="AH32" i="124"/>
  <c r="AH50" i="124"/>
  <c r="AH8" i="124"/>
  <c r="AC22" i="124"/>
  <c r="AH22" i="124"/>
  <c r="AC39" i="124"/>
  <c r="AH31" i="124"/>
  <c r="AC31" i="124"/>
  <c r="AC8" i="124"/>
  <c r="AI15" i="124"/>
  <c r="AI19" i="124"/>
  <c r="AI47" i="124"/>
  <c r="AI9" i="124" l="1"/>
  <c r="AI43" i="124"/>
  <c r="AI40" i="124"/>
  <c r="AI17" i="124"/>
  <c r="AI38" i="124"/>
  <c r="AI53" i="124"/>
  <c r="AI37" i="124"/>
  <c r="AC41" i="124"/>
  <c r="AH45" i="124"/>
  <c r="AC45" i="124"/>
  <c r="AB66" i="124"/>
  <c r="AC42" i="124"/>
  <c r="AH41" i="124"/>
  <c r="AC46" i="124"/>
  <c r="AH46" i="124"/>
  <c r="AI31" i="124"/>
  <c r="AI49" i="124"/>
  <c r="AI51" i="124"/>
  <c r="AI8" i="124"/>
  <c r="AI32" i="124"/>
  <c r="AI35" i="124"/>
  <c r="AI33" i="124"/>
  <c r="AI48" i="124"/>
  <c r="AI21" i="124"/>
  <c r="AI44" i="124"/>
  <c r="AI20" i="124"/>
  <c r="AI18" i="124"/>
  <c r="AI36" i="124"/>
  <c r="AI22" i="124"/>
  <c r="AI50" i="124"/>
  <c r="AI52" i="124"/>
  <c r="AI39" i="124"/>
  <c r="AI34" i="124"/>
  <c r="AI42" i="124" l="1"/>
  <c r="AH66" i="124"/>
  <c r="AC66" i="124"/>
  <c r="AI45" i="124"/>
  <c r="AI41" i="124"/>
  <c r="AI46" i="124"/>
  <c r="AI66" i="1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tc={DD45D0F8-8CC3-473E-9015-F84526523389}</author>
  </authors>
  <commentList>
    <comment ref="X1" authorId="0" shapeId="0" xr:uid="{DD45D0F8-8CC3-473E-9015-F8452652338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Forecasts include customers with volume greater than or equal to zero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tc={EA63DE98-C2D2-41C6-8B8B-9E4C1D2D17AC}</author>
    <author>tc={F39B9983-DF98-4004-8094-4FEA465F0FC3}</author>
    <author>tc={0B2FF347-F2E1-49C5-9634-9F885281F1A5}</author>
  </authors>
  <commentList>
    <comment ref="AJ1" authorId="0" shapeId="0" xr:uid="{EA63DE98-C2D2-41C6-8B8B-9E4C1D2D17A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CSGS forecasts include all clients including those with zero volume. </t>
      </text>
    </comment>
    <comment ref="AK1" authorId="1" shapeId="0" xr:uid="{F39B9983-DF98-4004-8094-4FEA465F0FC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CSGS forecasts include all clients including those with zero volume. </t>
      </text>
    </comment>
    <comment ref="AL1" authorId="2" shapeId="0" xr:uid="{0B2FF347-F2E1-49C5-9634-9F885281F1A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CSGS forecasts include all clients including those with zero volume.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Eysie Joe</author>
    <author>Wight, Alex</author>
  </authors>
  <commentList>
    <comment ref="I11" authorId="0" shapeId="0" xr:uid="{BE500F05-2B5A-4F6C-8E22-A052CC698751}">
      <text>
        <r>
          <rPr>
            <b/>
            <sz val="7"/>
            <color indexed="81"/>
            <rFont val="Tahoma"/>
            <family val="2"/>
          </rPr>
          <t>Eysie Joe:</t>
        </r>
        <r>
          <rPr>
            <sz val="7"/>
            <color indexed="81"/>
            <rFont val="Tahoma"/>
            <family val="2"/>
          </rPr>
          <t xml:space="preserve">
53,950 represents 54,403 from the FPU Stat Report and then 53,950 from the Ccount_FPUC_GAS2018_07 File
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M11" authorId="0" shapeId="0" xr:uid="{92DEF535-28C3-4871-8BB0-10F2B5DA5245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The 54,500 represents 54,995 from the FPU STAT report minus the 495 from RS.
</t>
        </r>
      </text>
    </comment>
    <comment ref="F30" authorId="0" shapeId="0" xr:uid="{48E09C31-8D25-4845-AB16-37457BD8D431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an correctl pulling from the CFG-BASE (Res-Nonres) (Adj), and no longer pulling from the CFG-BASE (Res-Nonres) tab.  Slight diferecne in cust total</t>
        </r>
      </text>
    </comment>
    <comment ref="F32" authorId="0" shapeId="0" xr:uid="{1050E7F5-B3F2-4A7E-856F-D7CB3EABAE6A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an correctl pulling from the CFG-BASE (Res-Nonres) (Adj), and no longer pulling from the CFG-BASE (Res-Nonres) tab.  Slight diferecne in cust total. </t>
        </r>
      </text>
    </comment>
    <comment ref="F33" authorId="0" shapeId="0" xr:uid="{7117EADE-E965-4C44-B48B-614D75C57C9B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an correctl pulling from the CFG-BASE (Res-Nonres) (Adj), and no longer pulling from the CFG-BASE (Res-Nonres) tab.  Slight diferecne in cust total</t>
        </r>
      </text>
    </comment>
    <comment ref="F34" authorId="0" shapeId="0" xr:uid="{CBD7F15F-5AA5-4B31-B957-24A13D5817C3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an correctl pulling from the CFG-BASE (Res-Nonres) (Adj), and no longer pulling from the CFG-BASE (Res-Nonres) tab.  Slight diferecne in cust total</t>
        </r>
      </text>
    </comment>
    <comment ref="F35" authorId="0" shapeId="0" xr:uid="{EFD85D74-1486-45C6-87CB-723C58F87249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</t>
        </r>
        <r>
          <rPr>
            <sz val="8"/>
            <color indexed="81"/>
            <rFont val="Tahoma"/>
            <family val="2"/>
          </rPr>
          <t>vised an correctl pulling from the CFG-BASE (Res-Nonres) (Adj), and no longer pulling from the CFG-BASE (Res-Nonres) tab.  Slight diferecne in cust total</t>
        </r>
      </text>
    </comment>
    <comment ref="F48" authorId="0" shapeId="0" xr:uid="{EDDFA34D-9309-4C36-8234-C9F34D3FA526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Mis keyed, therms off of 10, found on August 2018 Margin audit
</t>
        </r>
      </text>
    </comment>
    <comment ref="H48" authorId="0" shapeId="0" xr:uid="{BF557184-6C66-44D4-9534-F9DF3F89CE7F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Corrected during August 2018 audit, pulled from column H on the CcOUNT FPU File, was incorrectly pulling from Column I.  Fixed. Formula was correct to use column I. AW. </t>
        </r>
      </text>
    </comment>
    <comment ref="I48" authorId="1" shapeId="0" xr:uid="{BC6161BA-187A-4155-8412-CE097641BEDE}">
      <text>
        <r>
          <rPr>
            <b/>
            <sz val="9"/>
            <color indexed="81"/>
            <rFont val="Tahoma"/>
            <family val="2"/>
          </rPr>
          <t>Wight, Alex:</t>
        </r>
        <r>
          <rPr>
            <sz val="9"/>
            <color indexed="81"/>
            <rFont val="Tahoma"/>
            <family val="2"/>
          </rPr>
          <t xml:space="preserve">
Formula should be pulling column I LVS</t>
        </r>
      </text>
    </comment>
    <comment ref="D57" authorId="0" shapeId="0" xr:uid="{BC18B80D-2659-4ABE-8F15-876C61156CAF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Changed form 15 to 14 during audit of FT Margin on August 17 2018
</t>
        </r>
      </text>
    </comment>
    <comment ref="I116" authorId="0" shapeId="0" xr:uid="{EC8DD9B0-45DC-4493-9A5C-A17E72B3093E}">
      <text>
        <r>
          <rPr>
            <b/>
            <sz val="8"/>
            <color indexed="81"/>
            <rFont val="Calibri"/>
            <family val="2"/>
            <scheme val="minor"/>
          </rPr>
          <t>Eysie Joe:</t>
        </r>
        <r>
          <rPr>
            <sz val="8"/>
            <color indexed="81"/>
            <rFont val="Calibri"/>
            <family val="2"/>
            <scheme val="minor"/>
          </rPr>
          <t xml:space="preserve">
Drop due to  LVS dropping 10 customers between June and July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Eysie Joe</author>
  </authors>
  <commentList>
    <comment ref="E5" authorId="0" shapeId="0" xr:uid="{7925D0D5-F819-44A1-8C87-D6DC04B5E28A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Resived following audit, off by 300 therms.</t>
        </r>
      </text>
    </comment>
    <comment ref="E6" authorId="0" shapeId="0" xr:uid="{6A9D9C81-D726-4C20-B10C-2D235FAA694D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Resived following audit, off by 1200 therms.</t>
        </r>
      </text>
    </comment>
    <comment ref="E7" authorId="0" shapeId="0" xr:uid="{CCA6F10B-851A-46A6-9FE8-C356CB7DFE3F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Resived following audit, off by 200 therms.</t>
        </r>
      </text>
    </comment>
    <comment ref="E32" authorId="0" shapeId="0" xr:uid="{E0A3D419-0EB5-4A66-8A0D-A40675A34E7D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volume as a result of the Auguts 2018 margin audit</t>
        </r>
      </text>
    </comment>
    <comment ref="E33" authorId="0" shapeId="0" xr:uid="{2AB930AC-804D-443E-AC07-9054C31EF9BA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volume as a result of the Auguts 2018 margin audit</t>
        </r>
      </text>
    </comment>
    <comment ref="E34" authorId="0" shapeId="0" xr:uid="{0DB35075-660D-41EE-A47A-8FC969DC66FD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volume as a result of the Auguts 2018 margin audit</t>
        </r>
      </text>
    </comment>
    <comment ref="E35" authorId="0" shapeId="0" xr:uid="{C2E85D37-94F5-4317-8F4F-A41102CA9E3F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volume as a result of the Auguts 2018 margin audit</t>
        </r>
      </text>
    </comment>
    <comment ref="J55" authorId="0" shapeId="0" xr:uid="{001944F7-0EFE-43BA-85D9-59A0675934CF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Seems high but is correct from the Ccountfile.  Will investigate further. CCOUNT File was corrected.  Figure is accurate, see revisewd CCOUNT Fiule for August FPUC
</t>
        </r>
      </text>
    </comment>
    <comment ref="K66" authorId="0" shapeId="0" xr:uid="{C7D42239-84B5-4373-997F-2943FB3B72FE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on 11/6/18, after reviewing September's Margin, Volume and Customer inputs. Changed from 309 </t>
        </r>
      </text>
    </comment>
    <comment ref="K67" authorId="0" shapeId="0" xr:uid="{85F1E139-C8AC-43D3-9405-1808E4D78C95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on 11/6/18, after reviewing September's Margin, Volume and Customer inputs. Changed from 366 
</t>
        </r>
      </text>
    </comment>
    <comment ref="K68" authorId="0" shapeId="0" xr:uid="{92B01905-5398-4C18-B57F-9B0EEB91689A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on 11/6/18, after reviewing September's Margin, Volume and Customer inputs. Changed from 1,038 
</t>
        </r>
      </text>
    </comment>
    <comment ref="K69" authorId="0" shapeId="0" xr:uid="{8EC176A4-5752-4E97-847D-99EE7588ABB5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on 11/6/18, after reviewing September's Margin, Volume and Customer inputs. Changed from 4,050</t>
        </r>
      </text>
    </comment>
    <comment ref="K70" authorId="0" shapeId="0" xr:uid="{830113AC-0E33-4479-BD90-44EA4C46EBA6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Revised on 11/6/18, after reviewing September's Margin, Volume and Customer inputs. Changed from 4,723
</t>
        </r>
      </text>
    </comment>
    <comment ref="J75" authorId="0" shapeId="0" xr:uid="{08060068-5716-4F1E-B0EE-47AA799432E2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POLK POWER PARTNERS/DEVI  </t>
        </r>
      </text>
    </comment>
    <comment ref="H82" authorId="0" shapeId="0" xr:uid="{C6583517-F886-41FD-A4A6-EE9A18D98C65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 Note, there wasn’t any "measured" amount on invoice. 
</t>
        </r>
      </text>
    </comment>
    <comment ref="I82" authorId="0" shapeId="0" xr:uid="{CC43B0D6-797A-4B46-8650-7A6D6D90B6B5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the "Measured" volume shown on the Ascend July Invoice. All NW Pipeline invoices are saved to the Monthly gas margin folder. </t>
        </r>
      </text>
    </comment>
    <comment ref="H83" authorId="0" shapeId="0" xr:uid="{865A9B5F-428A-449C-9D8F-C3E8B10702DB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the "Measured" volume shown on the Ascend June 2018 Invoice. </t>
        </r>
      </text>
    </comment>
    <comment ref="I83" authorId="0" shapeId="0" xr:uid="{0BF79636-1D36-4F8A-AFB1-73DEFB32E613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the "Measured" volume shown on the Ascend July Invoice. </t>
        </r>
      </text>
    </comment>
    <comment ref="H84" authorId="0" shapeId="0" xr:uid="{5454621E-F8B5-4E23-B5A0-57749614C1AB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First month of consumption, corrected on 8/8/18
</t>
        </r>
      </text>
    </comment>
    <comment ref="I84" authorId="0" shapeId="0" xr:uid="{631AAC94-8B92-4FD8-AE39-9DD856E5C702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lignotec volumes come from FPU Statistical Usage 2018 by Month</t>
        </r>
      </text>
    </comment>
    <comment ref="I85" authorId="0" shapeId="0" xr:uid="{1293861C-1A30-4734-893C-F88E77D8F158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the FPU Statistical usage by month file that Curtis puts together</t>
        </r>
      </text>
    </comment>
    <comment ref="I86" authorId="0" shapeId="0" xr:uid="{9A1F1EDB-9FA2-4D64-BD00-566EBE916E6A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Zero consumption in ECIS</t>
        </r>
      </text>
    </comment>
    <comment ref="I91" authorId="0" shapeId="0" xr:uid="{8760FD76-42B7-48EF-8621-F10DF7EBE170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Eysie Joe:
8 Flags volumes come from FPU Statistical Usage 2018 by Month, row 81.
</t>
        </r>
      </text>
    </comment>
    <comment ref="J91" authorId="0" shapeId="0" xr:uid="{40BA6112-3270-4698-AE20-33A7F80851AE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curtis' FPU Statistical Usage 2018 by Month</t>
        </r>
      </text>
    </comment>
    <comment ref="J102" authorId="0" shapeId="0" xr:uid="{B98BF65A-59CC-46F6-9749-740CC81E72E1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the billed FL NGD Margins (ORP)(2018-08) file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Doreen Cox</author>
    <author>Eysie Joe</author>
  </authors>
  <commentList>
    <comment ref="K77" authorId="0" shapeId="0" xr:uid="{3A513BD6-7826-44E0-9E09-3AD43C92C216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Account closed Aug 2019</t>
        </r>
      </text>
    </comment>
    <comment ref="I116" authorId="1" shapeId="0" xr:uid="{CB2E4F43-BF66-4ED1-8CD6-D40F9440B284}">
      <text>
        <r>
          <rPr>
            <b/>
            <sz val="8"/>
            <color indexed="81"/>
            <rFont val="Calibri"/>
            <family val="2"/>
            <scheme val="minor"/>
          </rPr>
          <t>Eysie Joe:</t>
        </r>
        <r>
          <rPr>
            <sz val="8"/>
            <color indexed="81"/>
            <rFont val="Calibri"/>
            <family val="2"/>
            <scheme val="minor"/>
          </rPr>
          <t xml:space="preserve">
Drop due to  LVS dropping 10 customers between June and July
</t>
        </r>
      </text>
    </comment>
    <comment ref="K122" authorId="0" shapeId="0" xr:uid="{83721C31-CAFD-44CF-940D-2E0473A22C31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CCOUNT File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Doreen Cox</author>
    <author>Eysie Joe</author>
  </authors>
  <commentList>
    <comment ref="L11" authorId="0" shapeId="0" xr:uid="{3A0A44DF-2EA7-4057-BBDA-AB67B766305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Corrected</t>
        </r>
      </text>
    </comment>
    <comment ref="K42" authorId="0" shapeId="0" xr:uid="{BD599867-4829-48F0-96F4-51435161741A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Prior months usage updated in Oct</t>
        </r>
      </text>
    </comment>
    <comment ref="L42" authorId="0" shapeId="0" xr:uid="{CC111169-EDB8-4F83-85B6-F57C9737A58F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NGD Top 150 Customers by Usage Cell P23</t>
        </r>
      </text>
    </comment>
    <comment ref="M42" authorId="0" shapeId="0" xr:uid="{F35FBAF8-ECD4-4E33-BD25-A778244F9062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BO: Billed FL NGD Margins</t>
        </r>
      </text>
    </comment>
    <comment ref="E66" authorId="1" shapeId="0" xr:uid="{63A8D2E5-C785-4372-8857-129CA63B103E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negative consumption reported in Business Objects </t>
        </r>
      </text>
    </comment>
    <comment ref="D73" authorId="1" shapeId="0" xr:uid="{8C2ECA7D-059B-429D-A164-55D07DFE72E7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Sum of 68,392 + 5,197</t>
        </r>
      </text>
    </comment>
    <comment ref="K77" authorId="0" shapeId="0" xr:uid="{CFF8C527-CF28-46A7-A369-FA4D199F3A9C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BO Billed FLNGD Margins Sp.Contracts Tab
Account closed Aug 2019</t>
        </r>
      </text>
    </comment>
    <comment ref="K82" authorId="0" shapeId="0" xr:uid="{F2FD42D8-02C3-4CCF-BC18-84CF03B401D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NGD Top 150 City of Pensacola</t>
        </r>
      </text>
    </comment>
    <comment ref="E83" authorId="1" shapeId="0" xr:uid="{44D22366-5580-43C4-9309-533C4B307147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taken from "measured" volume on invoice
</t>
        </r>
      </text>
    </comment>
    <comment ref="K83" authorId="0" shapeId="0" xr:uid="{9C455B6A-365F-4FCF-911B-EA582D1DBF9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Top 150 for therms</t>
        </r>
      </text>
    </comment>
    <comment ref="D84" authorId="1" shapeId="0" xr:uid="{CADD554B-045F-49DA-A58E-A315EA168C2F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FPU Statistical Usage by Month file</t>
        </r>
      </text>
    </comment>
    <comment ref="K84" authorId="0" shapeId="0" xr:uid="{D8102441-2E09-4856-A62A-87244EBC998F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K85" authorId="0" shapeId="0" xr:uid="{7218DD31-C1B8-4971-87FD-9ABCF533634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C86" authorId="1" shapeId="0" xr:uid="{CC1A9BF1-02AF-4CFD-AA37-76312B85F226}">
      <text>
        <r>
          <rPr>
            <b/>
            <sz val="9"/>
            <color indexed="81"/>
            <rFont val="Tahoma"/>
            <family val="2"/>
          </rPr>
          <t>Eysie Joe:</t>
        </r>
        <r>
          <rPr>
            <sz val="9"/>
            <color indexed="81"/>
            <rFont val="Tahoma"/>
            <family val="2"/>
          </rPr>
          <t xml:space="preserve">
Zero consumption showing on the ECIS ORP400 Revenue Entry Cycle 23 Imbalance Report</t>
        </r>
      </text>
    </comment>
    <comment ref="K91" authorId="0" shapeId="0" xr:uid="{93F255FF-41D1-4A80-A674-DF782674A3C9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K92" authorId="0" shapeId="0" xr:uid="{9B27DE09-CD2E-49BB-83A5-46660532F5F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Doreen Cox</author>
  </authors>
  <commentList>
    <comment ref="K124" authorId="0" shapeId="0" xr:uid="{7181F7D6-092D-4118-8711-E4E3DBCF6571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CCOUNT File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Zimic, Amina</author>
    <author>Doreen Cox</author>
    <author>Cox, Doreen</author>
  </authors>
  <commentList>
    <comment ref="I75" authorId="0" shapeId="0" xr:uid="{B981BA3F-D9F8-43BF-A37E-93A6BA0B047C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Customer had a power outage
</t>
        </r>
      </text>
    </comment>
    <comment ref="L75" authorId="0" shapeId="0" xr:uid="{8DFB6F18-8B79-4665-8E1E-A1E899DA3C7F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Billed FL NGD Margins
(/DEVI)
or
NGD Top 150 Customers</t>
        </r>
      </text>
    </comment>
    <comment ref="K77" authorId="1" shapeId="0" xr:uid="{A95F9E1D-9E49-4BDC-B305-253790916A12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BO Billed FLNGD Margins Sp.Contracts Tab
Account closed Aug 2019</t>
        </r>
      </text>
    </comment>
    <comment ref="L78" authorId="0" shapeId="0" xr:uid="{6EF16A2C-E890-4826-B8F3-5144539411B3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Billed FL NGD Margins
 or
NGD Top 150 Customers</t>
        </r>
      </text>
    </comment>
    <comment ref="K81" authorId="1" shapeId="0" xr:uid="{EC4ED959-CAC8-4842-9419-B0B23572ADB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NGD Top 150 City of Pensacola</t>
        </r>
      </text>
    </comment>
    <comment ref="K82" authorId="1" shapeId="0" xr:uid="{70F968A7-893A-48D3-85DD-32C4AB739EB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NGD Top 150 City of Pensacola</t>
        </r>
      </text>
    </comment>
    <comment ref="K83" authorId="1" shapeId="0" xr:uid="{EBFD8B63-46A2-422C-AE0F-B3A9E9472FA2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Top 150 for therms</t>
        </r>
      </text>
    </comment>
    <comment ref="K85" authorId="1" shapeId="0" xr:uid="{8A3F0B79-8F7A-46E0-BCAC-58E0A2C31EE5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K86" authorId="1" shapeId="0" xr:uid="{8DE7F9C2-13CB-4455-843B-2F0C6A9CCE7D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K92" authorId="1" shapeId="0" xr:uid="{B309B45F-9A20-435A-A9FA-4617633D627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D93" authorId="2" shapeId="0" xr:uid="{3F0F50D9-317F-4E53-9D9C-CC5906AD8CFC}">
      <text>
        <r>
          <rPr>
            <b/>
            <sz val="9"/>
            <color indexed="81"/>
            <rFont val="Tahoma"/>
            <family val="2"/>
          </rPr>
          <t>Cox, Doreen:</t>
        </r>
        <r>
          <rPr>
            <sz val="9"/>
            <color indexed="81"/>
            <rFont val="Tahoma"/>
            <family val="2"/>
          </rPr>
          <t xml:space="preserve">
Confirmed with Janie Williams - no usage billed</t>
        </r>
      </text>
    </comment>
    <comment ref="K93" authorId="1" shapeId="0" xr:uid="{45DC79C7-F362-4E43-AAFC-701A7FD8AC1A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I108" authorId="0" shapeId="0" xr:uid="{25BE00C7-5C89-4A1F-A4AA-DD7E8F82892F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Customer had a power outage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Wight, Alex</author>
    <author>Doreen Cox</author>
  </authors>
  <commentList>
    <comment ref="B89" authorId="0" shapeId="0" xr:uid="{61326F99-64DA-47AD-BAAD-CA4AC541B1F1}">
      <text>
        <r>
          <rPr>
            <b/>
            <sz val="9"/>
            <color indexed="81"/>
            <rFont val="Tahoma"/>
            <family val="2"/>
          </rPr>
          <t>Wight, Alex:</t>
        </r>
        <r>
          <rPr>
            <sz val="9"/>
            <color indexed="81"/>
            <rFont val="Tahoma"/>
            <family val="2"/>
          </rPr>
          <t xml:space="preserve">
Account 482536</t>
        </r>
      </text>
    </comment>
    <comment ref="K124" authorId="1" shapeId="0" xr:uid="{01A297F9-2816-4A41-8568-96DB0843AFE8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CCOUNT File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Zimic, Amina</author>
    <author>Doreen Cox</author>
    <author>Wight, Alex</author>
  </authors>
  <commentList>
    <comment ref="H39" authorId="0" shapeId="0" xr:uid="{FD998416-5B4D-4258-83D4-01B18BD8CD85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Florida Distillers was down in June and part of May. They restarted in July at a limited capacity until the end of summer</t>
        </r>
      </text>
    </comment>
    <comment ref="K41" authorId="0" shapeId="0" xr:uid="{288F9F04-0765-42C7-B29E-F49EDACF2D58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Integrys (CNG Station) lost his primary consumer (Dillon Transport - who went out of business). No other customer prospects in sight at the moment</t>
        </r>
      </text>
    </comment>
    <comment ref="L41" authorId="0" shapeId="0" xr:uid="{F1969459-BD86-47D7-825B-2C5F06D3E237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Integrys (CNG Station) lost his primary consumer (Dillon Transport - who went out of business). No other customer prospects in sight at the moment</t>
        </r>
      </text>
    </comment>
    <comment ref="K77" authorId="0" shapeId="0" xr:uid="{CAAE73DE-2FFB-432E-9B06-F3DB4DEF3B82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NGD Top 150 Customers
</t>
        </r>
      </text>
    </comment>
    <comment ref="K79" authorId="1" shapeId="0" xr:uid="{C7885204-6717-4ECC-B6EB-2F6BE55CFF1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BO Billed FLNGD Margins Sp.Contracts Tab
Account closed Aug 2019</t>
        </r>
      </text>
    </comment>
    <comment ref="K80" authorId="0" shapeId="0" xr:uid="{1B7DBE9E-F1AA-4056-89FE-10731C6CF314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NGD Top 150 Customers
</t>
        </r>
      </text>
    </comment>
    <comment ref="K83" authorId="0" shapeId="0" xr:uid="{BE33B74D-F891-4EE1-9827-BC565A7A6BC1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NGD Top 150 Customers
</t>
        </r>
      </text>
    </comment>
    <comment ref="K84" authorId="1" shapeId="0" xr:uid="{513F16B3-52F5-482F-9119-9989D2979F31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NGD Top 150 City of Pensacola</t>
        </r>
      </text>
    </comment>
    <comment ref="K85" authorId="1" shapeId="0" xr:uid="{4932A00E-FD9A-45B5-9FBA-D27B206E1851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Top 150 for therms</t>
        </r>
      </text>
    </comment>
    <comment ref="K87" authorId="1" shapeId="0" xr:uid="{9110E5DD-0335-4440-BD60-3DFFDD4A6CD1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K88" authorId="1" shapeId="0" xr:uid="{F73E0CDA-4531-46EF-B865-A15B116C494F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B89" authorId="2" shapeId="0" xr:uid="{C861DA7E-6102-4FBC-B72F-F3C1F9C29A90}">
      <text>
        <r>
          <rPr>
            <b/>
            <sz val="9"/>
            <color indexed="81"/>
            <rFont val="Tahoma"/>
            <family val="2"/>
          </rPr>
          <t>Wight, Alex:</t>
        </r>
        <r>
          <rPr>
            <sz val="9"/>
            <color indexed="81"/>
            <rFont val="Tahoma"/>
            <family val="2"/>
          </rPr>
          <t xml:space="preserve">
Account 482536</t>
        </r>
      </text>
    </comment>
    <comment ref="K94" authorId="1" shapeId="0" xr:uid="{4129C7DA-20D7-4EDF-8620-4C9022AED2A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D95" authorId="0" shapeId="0" xr:uid="{D418A92B-A79B-42CE-8282-1098FA791D88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No usage in Feb - confirmed with Janie Williams</t>
        </r>
      </text>
    </comment>
    <comment ref="K95" authorId="1" shapeId="0" xr:uid="{3A1CD843-7EE5-4CE7-9A69-E738552923E7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 File from CY</t>
        </r>
      </text>
    </comment>
    <comment ref="K109" authorId="0" shapeId="0" xr:uid="{A4736994-2C74-48DD-BF2C-ED65379BCF72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NGD Top 150 Customers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Zimic, Amina</author>
    <author>Craig, Derrick</author>
    <author>Doreen Cox</author>
    <author>Cox, Doreen</author>
    <author>Wight, Alex</author>
  </authors>
  <commentList>
    <comment ref="AG37" authorId="0" shapeId="0" xr:uid="{9EFE5C54-1050-4BA4-B77D-6FD1923216BF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$3,628 corrected billing for Central Florida AG Processor
</t>
        </r>
      </text>
    </comment>
    <comment ref="AH37" authorId="0" shapeId="0" xr:uid="{E2516049-9BA3-4878-A3B5-E17C4E031A8C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AG Processor accrual reversal</t>
        </r>
      </text>
    </comment>
    <comment ref="BB40" authorId="0" shapeId="0" xr:uid="{F169D28A-8565-4AC2-A468-836E05B9EEC5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Ajax added
</t>
        </r>
      </text>
    </comment>
    <comment ref="BB42" authorId="0" shapeId="0" xr:uid="{C5D2E274-FC01-4ED8-9228-5E34F754F8C8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Florida Can Man Added
</t>
        </r>
      </text>
    </comment>
    <comment ref="F44" authorId="0" shapeId="0" xr:uid="{1D43ADE6-A1FF-480B-835E-E8CA6808E3AF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410355 Integrys Trans Fuels</t>
        </r>
      </text>
    </comment>
    <comment ref="AG44" authorId="0" shapeId="0" xr:uid="{32144527-3F84-4217-90C1-BEFB75758755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Integrys (CNG Station) lost his primary consumer (Dillon Transport - who went out of business). No other customer prospects in sight at the moment</t>
        </r>
      </text>
    </comment>
    <comment ref="AH44" authorId="0" shapeId="0" xr:uid="{66CC0E9E-D413-46BA-8FC2-F424747CD93C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Integrys (CNG Station) lost his primary consumer (Dillon Transport - who went out of business). No other customer prospects in sight at the moment</t>
        </r>
      </text>
    </comment>
    <comment ref="K62" authorId="1" shapeId="0" xr:uid="{B7582A81-F438-4516-85DE-52A3BBDC9794}">
      <text>
        <r>
          <rPr>
            <b/>
            <sz val="9"/>
            <color indexed="81"/>
            <rFont val="Tahoma"/>
            <family val="2"/>
          </rPr>
          <t>Craig, Derrick:</t>
        </r>
        <r>
          <rPr>
            <sz val="9"/>
            <color indexed="81"/>
            <rFont val="Tahoma"/>
            <family val="2"/>
          </rPr>
          <t xml:space="preserve">
Included FT Meade Large Comm Base Rev in this number.</t>
        </r>
      </text>
    </comment>
    <comment ref="L62" authorId="1" shapeId="0" xr:uid="{5060D672-54F3-4803-BFD2-D01800E6B61D}">
      <text>
        <r>
          <rPr>
            <b/>
            <sz val="9"/>
            <color indexed="81"/>
            <rFont val="Tahoma"/>
            <family val="2"/>
          </rPr>
          <t>Craig, Derrick:</t>
        </r>
        <r>
          <rPr>
            <sz val="9"/>
            <color indexed="81"/>
            <rFont val="Tahoma"/>
            <family val="2"/>
          </rPr>
          <t xml:space="preserve">
Includes the GRIP LV Trans, which does not appear to be included in the ORP 400 Fort Meade Volume file.</t>
        </r>
      </text>
    </comment>
    <comment ref="AC62" authorId="1" shapeId="0" xr:uid="{3061B348-E741-4E92-899A-DD851B859AE1}">
      <text>
        <r>
          <rPr>
            <b/>
            <sz val="9"/>
            <color indexed="81"/>
            <rFont val="Tahoma"/>
            <family val="2"/>
          </rPr>
          <t>Craig, Derrick:</t>
        </r>
        <r>
          <rPr>
            <sz val="9"/>
            <color indexed="81"/>
            <rFont val="Tahoma"/>
            <family val="2"/>
          </rPr>
          <t xml:space="preserve">
Included FT Meade Large Comm Base Rev in this number.</t>
        </r>
      </text>
    </comment>
    <comment ref="AD62" authorId="1" shapeId="0" xr:uid="{1FEC8FC6-CDE2-4A9B-A6F9-94C3BB311ECA}">
      <text>
        <r>
          <rPr>
            <b/>
            <sz val="9"/>
            <color indexed="81"/>
            <rFont val="Tahoma"/>
            <family val="2"/>
          </rPr>
          <t>Craig, Derrick:</t>
        </r>
        <r>
          <rPr>
            <sz val="9"/>
            <color indexed="81"/>
            <rFont val="Tahoma"/>
            <family val="2"/>
          </rPr>
          <t xml:space="preserve">
Includes the GRIP LV Trans, which does not appear to be included in the ORP 400 Fort Meade Volume file.</t>
        </r>
      </text>
    </comment>
    <comment ref="Z66" authorId="0" shapeId="0" xr:uid="{97C6ABF0-16E6-4AFE-A26F-85063CB5FA4B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Cancels due to customer being disconnected in December</t>
        </r>
      </text>
    </comment>
    <comment ref="O78" authorId="2" shapeId="0" xr:uid="{CE25F5F7-1436-45D4-B2D8-050A70AB674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
Account 322728 Billed $197,556 annually in Dec.  Monthly amount of $16,463 booled in GL.</t>
        </r>
      </text>
    </comment>
    <comment ref="AG78" authorId="2" shapeId="0" xr:uid="{C8C4A366-64C4-480B-BAC1-9CED6E747F2F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
Account 322728 Billed $197,556 annually in Dec.  Monthly amount of $16,463 booled in GL.</t>
        </r>
      </text>
    </comment>
    <comment ref="O80" authorId="2" shapeId="0" xr:uid="{D4917B4A-DBC2-4DC6-AF44-9E2016D0BE25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AG80" authorId="2" shapeId="0" xr:uid="{47E2E73F-AC42-4496-A1B4-A6ACFAF9995E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O82" authorId="2" shapeId="0" xr:uid="{1BE69B0F-5F9C-4FF9-A19D-E2968300D6A5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BO Billed NGD Margins Res-Non Res Adj
Account closed Aug 2019</t>
        </r>
      </text>
    </comment>
    <comment ref="AG82" authorId="2" shapeId="0" xr:uid="{6F8F4C3F-9B4B-4160-B690-BC9C707F5EC8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BO Billed NGD Margins Res-Non Res Adj
Account closed Aug 2019</t>
        </r>
      </text>
    </comment>
    <comment ref="O83" authorId="2" shapeId="0" xr:uid="{FA7171C8-4EE6-4D9E-B9D7-7CF702628CC8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Business Objects:
Top NGD Custoners (Special Contracts) </t>
        </r>
      </text>
    </comment>
    <comment ref="Z83" authorId="0" shapeId="0" xr:uid="{4F0E55EF-3732-47E1-B0B0-142334FF051A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Double billed - cancellation reflected in the Cycle 23 accrual</t>
        </r>
      </text>
    </comment>
    <comment ref="AA83" authorId="0" shapeId="0" xr:uid="{B2FB88DE-14F7-4D28-800D-77D314440C05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Feb Double billing corrected in the Cycle 23 accrual</t>
        </r>
      </text>
    </comment>
    <comment ref="AD83" authorId="0" shapeId="0" xr:uid="{8EFCB287-0C83-44A9-92DC-82CF62BCD0AC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Double billed in the system. Reversal booked by accounting</t>
        </r>
      </text>
    </comment>
    <comment ref="AG83" authorId="2" shapeId="0" xr:uid="{3215C8C3-9C3E-46F6-A52A-7BECF62BE9E2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Business Objects:
Top NGD Custoners (Special Contracts) </t>
        </r>
      </text>
    </comment>
    <comment ref="G86" authorId="2" shapeId="0" xr:uid="{0F1349EA-8732-401F-BED4-93F5EE2C5E0F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Email Lauren 2/14/20 shows $10,786.13 and not $10,472 due to accrual</t>
        </r>
      </text>
    </comment>
    <comment ref="O86" authorId="2" shapeId="0" xr:uid="{D5388709-913C-4DB8-B300-92087E7DA61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Y86" authorId="0" shapeId="0" xr:uid="{E80563B7-0657-419E-A680-0F5CC1071E50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Cycle 23 Imbalance report Incorrect - amount taken from GL breakdown from Janet McCabe</t>
        </r>
      </text>
    </comment>
    <comment ref="Z86" authorId="0" shapeId="0" xr:uid="{DF0631B6-0900-4F94-A75B-305B5D0045BA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Net of the double bill cancel from Jan offset by the current month bill</t>
        </r>
      </text>
    </comment>
    <comment ref="AD86" authorId="0" shapeId="0" xr:uid="{45B0DDBE-5F9C-448D-BFF5-5B8A2C41EEBD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Double billed in the system. Reversal booked by accounting</t>
        </r>
      </text>
    </comment>
    <comment ref="AG86" authorId="2" shapeId="0" xr:uid="{C5B47C53-C663-4CCE-85A6-FF207676EFA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H87" authorId="3" shapeId="0" xr:uid="{BB8C2E84-7013-4FB9-80B9-CF51E1AE3ECE}">
      <text>
        <r>
          <rPr>
            <b/>
            <sz val="9"/>
            <color indexed="81"/>
            <rFont val="Tahoma"/>
            <family val="2"/>
          </rPr>
          <t>Cox, Doreen:</t>
        </r>
        <r>
          <rPr>
            <sz val="9"/>
            <color indexed="81"/>
            <rFont val="Tahoma"/>
            <family val="2"/>
          </rPr>
          <t xml:space="preserve">
Bill Correction. Email 3/4/20</t>
        </r>
      </text>
    </comment>
    <comment ref="O87" authorId="2" shapeId="0" xr:uid="{0948D2DB-2FBC-4D25-A9DA-4A5298301AAC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Depends on # of days in the month
</t>
        </r>
      </text>
    </comment>
    <comment ref="P87" authorId="2" shapeId="0" xr:uid="{15B0FD7C-1B56-4FCB-BBDC-FA965734899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AG87" authorId="2" shapeId="0" xr:uid="{10886537-4BD5-4F29-B16F-9115A462ABE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Depends on # of days in the month
</t>
        </r>
      </text>
    </comment>
    <comment ref="AH87" authorId="2" shapeId="0" xr:uid="{C273BB7A-6AEF-4D36-B294-14C76FBAF2F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O88" authorId="2" shapeId="0" xr:uid="{26137820-CC67-4D29-9757-DBD339D9FCD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Depends on # of days in the month
</t>
        </r>
      </text>
    </comment>
    <comment ref="P88" authorId="2" shapeId="0" xr:uid="{40101720-2B99-4736-9D34-2CA2B87AAB95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Y88" authorId="0" shapeId="0" xr:uid="{5352098E-E6A7-4F4D-9249-87C0406D12DF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Cycle 23 Imbalance report Incorrect - amount taken from GL breakdown from Janet McCabe</t>
        </r>
      </text>
    </comment>
    <comment ref="AG88" authorId="2" shapeId="0" xr:uid="{27E025E6-24F8-4FDD-9359-C5E281B2B5C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Depends on # of days in the month
</t>
        </r>
      </text>
    </comment>
    <comment ref="AH88" authorId="2" shapeId="0" xr:uid="{A53FADDA-E097-4330-B086-F0E5B09ED4A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ECIS-ORP400 Cycle 23 Imbalance Report.  Account # Detail tab</t>
        </r>
      </text>
    </comment>
    <comment ref="O90" authorId="2" shapeId="0" xr:uid="{8B86F53B-F444-454D-A660-B43F60CA5AF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P90" authorId="0" shapeId="0" xr:uid="{585B5512-6088-409D-973F-17CD578EAF2B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RTU Failed in August. Physical reads didn't reconcile with the electronic reads, so the bills were cancelled in ECIS and rebilled in November</t>
        </r>
      </text>
    </comment>
    <comment ref="AG90" authorId="2" shapeId="0" xr:uid="{45727A22-D12E-4A5E-B8D1-6B2EC5E32598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AU90" authorId="2" shapeId="0" xr:uid="{14EDFC92-5A5F-43A1-A611-96E5E2BAEF9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G91" authorId="2" shapeId="0" xr:uid="{C8F134B9-CC54-4CD3-B65D-0CA722742CBA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To be cancelled &amp; re-billed email 2/6</t>
        </r>
      </text>
    </comment>
    <comment ref="O91" authorId="2" shapeId="0" xr:uid="{366B592B-EAD6-42E2-8925-1F6184CA24E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AG91" authorId="2" shapeId="0" xr:uid="{541C98B3-C491-402A-9DB7-71B6A7EB145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AU91" authorId="2" shapeId="0" xr:uid="{49B8746F-32F1-447C-B707-94DB84F1740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F92" authorId="4" shapeId="0" xr:uid="{74F92C69-32FD-42B9-8259-EEA1BF1FA1FA}">
      <text>
        <r>
          <rPr>
            <b/>
            <sz val="9"/>
            <color indexed="81"/>
            <rFont val="Tahoma"/>
            <family val="2"/>
          </rPr>
          <t>Wight, Alex:</t>
        </r>
        <r>
          <rPr>
            <sz val="9"/>
            <color indexed="81"/>
            <rFont val="Tahoma"/>
            <family val="2"/>
          </rPr>
          <t xml:space="preserve">
Account 482536</t>
        </r>
      </text>
    </comment>
    <comment ref="O92" authorId="2" shapeId="0" xr:uid="{89453EF8-8B8F-41AC-B049-697E82B6D7A8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CCOUNT_CFG file or Cycle 23 Imbalance file</t>
        </r>
      </text>
    </comment>
    <comment ref="AG92" authorId="2" shapeId="0" xr:uid="{6300DD0E-9404-4C94-AF55-78EE7749C5B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CCOUNT_CFG file or Cycle 23 Imbalance file</t>
        </r>
      </text>
    </comment>
    <comment ref="AU96" authorId="2" shapeId="0" xr:uid="{E138CC63-AE56-4D7F-8415-1BD2231CF372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O97" authorId="2" shapeId="0" xr:uid="{AE8A7303-EDD0-4469-AFB3-20F4FD962FF0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AG97" authorId="2" shapeId="0" xr:uid="{3184EBDA-C0C4-4E7F-A483-0B7CF86F628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AU97" authorId="2" shapeId="0" xr:uid="{5FDA847E-5380-44DF-B78A-E07434D9217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H98" authorId="3" shapeId="0" xr:uid="{5094792B-113C-4BB7-B634-250AAA0C0369}">
      <text>
        <r>
          <rPr>
            <b/>
            <sz val="9"/>
            <color indexed="81"/>
            <rFont val="Tahoma"/>
            <family val="2"/>
          </rPr>
          <t>Cox, Doreen:</t>
        </r>
        <r>
          <rPr>
            <sz val="9"/>
            <color indexed="81"/>
            <rFont val="Tahoma"/>
            <family val="2"/>
          </rPr>
          <t xml:space="preserve">
Confirmed with Janie William - no usage</t>
        </r>
      </text>
    </comment>
    <comment ref="O98" authorId="2" shapeId="0" xr:uid="{907CE05E-DDC8-4B37-85D8-F9DFFE84E30C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Z98" authorId="0" shapeId="0" xr:uid="{6E163D76-5BAD-4DEB-9155-61E2133B90A6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No usage in Feb - confirmed with Janie Williams</t>
        </r>
      </text>
    </comment>
    <comment ref="AG98" authorId="2" shapeId="0" xr:uid="{26CF1F7B-589D-4A55-87E7-A775CE0673E9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</t>
        </r>
      </text>
    </comment>
    <comment ref="AU98" authorId="2" shapeId="0" xr:uid="{29C83E89-9238-4CF6-8E56-B180D2147A2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AU106" authorId="2" shapeId="0" xr:uid="{D727EF7A-F14B-4E2A-8389-F30DB38ED51D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AU107" authorId="2" shapeId="0" xr:uid="{E599F66B-4EEC-4598-82BE-DA4EE1EF5477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O108" authorId="2" shapeId="0" xr:uid="{86261655-5E0D-4A64-8833-84698DC4B013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
Account 322805 billed annually in Feb $39,000.
Monthly amount of $3,250 booled in GL.</t>
        </r>
      </text>
    </comment>
    <comment ref="AG108" authorId="2" shapeId="0" xr:uid="{FCA685C2-78D2-4597-98CA-BDD5C6AF946D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GL
Account 322805 billed annually in Feb $39,000.
Monthly amount of $3,250 booled in GL.</t>
        </r>
      </text>
    </comment>
    <comment ref="AU108" authorId="2" shapeId="0" xr:uid="{9C55C8B9-FECF-43A5-AF25-FCB827F68F89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Kathy advised 111519 that these are flex rate contracts
</t>
        </r>
      </text>
    </comment>
    <comment ref="O164" authorId="2" shapeId="0" xr:uid="{D892A1F1-6F23-40E7-88E5-66E42CECBA05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Pass Thru file</t>
        </r>
      </text>
    </comment>
    <comment ref="AB164" authorId="0" shapeId="0" xr:uid="{907C04E4-87B6-40C3-93B1-3E002F238F85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$5822 is for a IGC account that wasn't set up to code correctly and shows as FN revenue</t>
        </r>
      </text>
    </comment>
    <comment ref="AG164" authorId="2" shapeId="0" xr:uid="{C14677E0-9EEF-4874-BAAE-0D2CA222AA39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Pass Thru file</t>
        </r>
      </text>
    </comment>
    <comment ref="AV164" authorId="0" shapeId="0" xr:uid="{0055E716-F92F-4E9C-809E-AD985F83585F}">
      <text>
        <r>
          <rPr>
            <b/>
            <sz val="9"/>
            <color indexed="81"/>
            <rFont val="Tahoma"/>
            <family val="2"/>
          </rPr>
          <t>Zimic, Amina:</t>
        </r>
        <r>
          <rPr>
            <sz val="9"/>
            <color indexed="81"/>
            <rFont val="Tahoma"/>
            <family val="2"/>
          </rPr>
          <t xml:space="preserve">
GMS Maintanence Fee recovered thru PGA</t>
        </r>
      </text>
    </comment>
    <comment ref="G169" authorId="2" shapeId="0" xr:uid="{47A8F70C-CA9F-47AB-9160-344100174E4D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State Tax Reserve</t>
        </r>
      </text>
    </comment>
    <comment ref="Y169" authorId="2" shapeId="0" xr:uid="{6A8E20AD-2B7F-4E13-ADFF-B13F50C55CD4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State Tax Reserve</t>
        </r>
      </text>
    </comment>
    <comment ref="O176" authorId="2" shapeId="0" xr:uid="{DE8AA983-2F68-4412-BA7F-4E2FEA1F575F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Pass Thru file</t>
        </r>
      </text>
    </comment>
    <comment ref="AG176" authorId="2" shapeId="0" xr:uid="{CDA0CB3A-2469-46C3-9061-6B95E6084B6B}">
      <text>
        <r>
          <rPr>
            <b/>
            <sz val="9"/>
            <color indexed="81"/>
            <rFont val="Tahoma"/>
            <family val="2"/>
          </rPr>
          <t>Doreen Cox:</t>
        </r>
        <r>
          <rPr>
            <sz val="9"/>
            <color indexed="81"/>
            <rFont val="Tahoma"/>
            <family val="2"/>
          </rPr>
          <t xml:space="preserve">
Pass Thru file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<sst xmlns="http://schemas.openxmlformats.org/spreadsheetml/2006/main" count="6184" uniqueCount="745">
  <si>
    <t>Residential</t>
  </si>
  <si>
    <t>Total</t>
  </si>
  <si>
    <t>Rate Code</t>
  </si>
  <si>
    <t>Indiantown</t>
  </si>
  <si>
    <t>IGC</t>
  </si>
  <si>
    <t>FT</t>
  </si>
  <si>
    <t>FPUC</t>
  </si>
  <si>
    <t>FPU</t>
  </si>
  <si>
    <t>CFG</t>
  </si>
  <si>
    <t>Miscellaneous Revenues</t>
  </si>
  <si>
    <t>Code</t>
  </si>
  <si>
    <t>Service Revenues</t>
  </si>
  <si>
    <t>Shipper Fees</t>
  </si>
  <si>
    <t>Unbilled</t>
  </si>
  <si>
    <t>Reserve for Overearning</t>
  </si>
  <si>
    <t>Tax Reform</t>
  </si>
  <si>
    <t>2023 Forecasted Bills</t>
  </si>
  <si>
    <t>Adjustment</t>
  </si>
  <si>
    <t>FPUC - Residential Service</t>
  </si>
  <si>
    <t>FPU - FPU - RS</t>
  </si>
  <si>
    <t xml:space="preserve"> </t>
  </si>
  <si>
    <t>FPUC - Residential Standby Generator Service</t>
  </si>
  <si>
    <t>FPU - FPU - RS-GS</t>
  </si>
  <si>
    <t>FPUC - Commercial Standby Generator Service</t>
  </si>
  <si>
    <t>FPU - FPU - CS - GS</t>
  </si>
  <si>
    <t>FPUC - General Service-1</t>
  </si>
  <si>
    <t>FPU - FPU - GS - 1</t>
  </si>
  <si>
    <t>FPUC - General Transportation Service -1</t>
  </si>
  <si>
    <t>FPU - FPU - GSTS - 1</t>
  </si>
  <si>
    <t>FPUC - General Service - 2</t>
  </si>
  <si>
    <t>FPU - FPU - GS - 2</t>
  </si>
  <si>
    <t>FPUC - General Transportation Service-2</t>
  </si>
  <si>
    <t>FPU - FPU - GSTS - 2</t>
  </si>
  <si>
    <t>FPUC - Large Volume Service</t>
  </si>
  <si>
    <t>FPU - FPU - LVS</t>
  </si>
  <si>
    <t>FPUC - Large Volume Transportation Service</t>
  </si>
  <si>
    <t>FPU - FPU - LVTS &gt;50k</t>
  </si>
  <si>
    <t>FPUC - Interruptible Service (IS)</t>
  </si>
  <si>
    <t>FPU - FPU - IS</t>
  </si>
  <si>
    <t>FPUC - Interruptible Transportation Service (ITS)</t>
  </si>
  <si>
    <t>FPU - FPU - ITS</t>
  </si>
  <si>
    <t>FPUC - Natural Gas Vehicle Service</t>
  </si>
  <si>
    <t>FPU - FPU-NGVS</t>
  </si>
  <si>
    <t>FPUC - Natural Gas Vehicle Transportation Service</t>
  </si>
  <si>
    <t>FPU - FPU- NGVTS</t>
  </si>
  <si>
    <t>FPUC - Gas Lighting Service</t>
  </si>
  <si>
    <t>FPU - FPU - GLS</t>
  </si>
  <si>
    <t>FPUC - Gas Lighting Transportation Service</t>
  </si>
  <si>
    <t>CFG - FTS-1 - Fixed R</t>
  </si>
  <si>
    <t>CFG - FTS-1 - Fixed NR</t>
  </si>
  <si>
    <t>CFG - FTS-2 - Fixed R</t>
  </si>
  <si>
    <t>CFG - FTS-2 - Fixed NR</t>
  </si>
  <si>
    <t>CFG - FTS-2.1 - Fixed R</t>
  </si>
  <si>
    <t>CFG - FTS-2.1 - Fixed NR</t>
  </si>
  <si>
    <t>CFG - Firm Transportation Service - 4</t>
  </si>
  <si>
    <t>CFG - FTS-4</t>
  </si>
  <si>
    <t>CFG - Firm Transportation Service - 5</t>
  </si>
  <si>
    <t>CFG - FTS-5</t>
  </si>
  <si>
    <t>CFG - Firm Transportation Service - 6</t>
  </si>
  <si>
    <t>CFG - FTS-6</t>
  </si>
  <si>
    <t>CFG - Firm Transportation Service - 7</t>
  </si>
  <si>
    <t>CFG - FTS-7</t>
  </si>
  <si>
    <t>CFG - Firm Transportation Service - 8</t>
  </si>
  <si>
    <t>CFG - FTS-8</t>
  </si>
  <si>
    <t>CFG - Firm Transportation Service - 9</t>
  </si>
  <si>
    <t>CFG - FTS-9</t>
  </si>
  <si>
    <t>CFG - Firm Transportation Service - 10</t>
  </si>
  <si>
    <t>CFG - FTS-10</t>
  </si>
  <si>
    <t>CFG - Firm Transportation Service - 11</t>
  </si>
  <si>
    <t>CFG - FTS-11</t>
  </si>
  <si>
    <t>CFG - Firm Transportation Service - 12</t>
  </si>
  <si>
    <t>CFG - FTS-12</t>
  </si>
  <si>
    <t>CFG - Firm Transportation Service - NGV</t>
  </si>
  <si>
    <t>CFG - FTS-NGV</t>
  </si>
  <si>
    <t>Indiantown - Transportation Service 1</t>
  </si>
  <si>
    <t>IGC - IGC - TS1</t>
  </si>
  <si>
    <t>Indiantown - Transportation Service 2</t>
  </si>
  <si>
    <t>IGC - IGC - TS2</t>
  </si>
  <si>
    <t>Indiantown - Transportation Service 3</t>
  </si>
  <si>
    <t>IGC - IGC - TS3</t>
  </si>
  <si>
    <t>Indiantown - Transportation Service 4</t>
  </si>
  <si>
    <t>IGC - IGC - TS4</t>
  </si>
  <si>
    <t>Indiantown - Transportation Service NGV</t>
  </si>
  <si>
    <t>Ft. Meade - Residential Service</t>
  </si>
  <si>
    <t>FT - FT-RS</t>
  </si>
  <si>
    <t>Ft. Meade - General Service-1</t>
  </si>
  <si>
    <t>Ft. Meade - General Transportation Service-1</t>
  </si>
  <si>
    <t>Ft. Meade - Large Volume Service</t>
  </si>
  <si>
    <t>Ft. Meade - Large Volume Transportation Service</t>
  </si>
  <si>
    <t>GS-1</t>
  </si>
  <si>
    <t>LVS</t>
  </si>
  <si>
    <t>Ft. Meade - Natural Gas Vehicle Transportation Service</t>
  </si>
  <si>
    <t>Rate</t>
  </si>
  <si>
    <t>IGC - TS1</t>
  </si>
  <si>
    <t>UPC</t>
  </si>
  <si>
    <t>IGC - TS2</t>
  </si>
  <si>
    <t>IGC - TS3</t>
  </si>
  <si>
    <t>IGC - TS4</t>
  </si>
  <si>
    <t>FT-RS</t>
  </si>
  <si>
    <t>FPU - GS - 1</t>
  </si>
  <si>
    <t>FTS-A</t>
  </si>
  <si>
    <t>FTS-B</t>
  </si>
  <si>
    <t>FTS-1</t>
  </si>
  <si>
    <t>FTS-2</t>
  </si>
  <si>
    <t>FTS-2.1</t>
  </si>
  <si>
    <t>FTS-3</t>
  </si>
  <si>
    <t>FTS-3.1</t>
  </si>
  <si>
    <t>FTS-4</t>
  </si>
  <si>
    <t>CFG - Firm Transportation Service - 13</t>
  </si>
  <si>
    <t>Date</t>
  </si>
  <si>
    <t>Year</t>
  </si>
  <si>
    <t>FTS-5</t>
  </si>
  <si>
    <t>FTS-6</t>
  </si>
  <si>
    <t>FTS-7</t>
  </si>
  <si>
    <t>FTS-8</t>
  </si>
  <si>
    <t>FTS-9</t>
  </si>
  <si>
    <t>FTS-10</t>
  </si>
  <si>
    <t>FTS-11</t>
  </si>
  <si>
    <t>FTS-12</t>
  </si>
  <si>
    <t>FTS-NGV</t>
  </si>
  <si>
    <t>VOLUMES</t>
  </si>
  <si>
    <t>T</t>
  </si>
  <si>
    <t>CURRENT YEAR ACTUAL</t>
  </si>
  <si>
    <t>1 - RESIDENTIAL</t>
  </si>
  <si>
    <t>Financial Reporting</t>
  </si>
  <si>
    <t>CFG Residential</t>
  </si>
  <si>
    <t>FPU - RS</t>
  </si>
  <si>
    <t>FPU Residential</t>
  </si>
  <si>
    <t>FPU - RS-GS</t>
  </si>
  <si>
    <t>FT Residential</t>
  </si>
  <si>
    <t>FI TS1 - RS</t>
  </si>
  <si>
    <t>TOTAL RESIDENTIAL:</t>
  </si>
  <si>
    <t>2 - RESIDENTIAL - EXPERIMENTAL</t>
  </si>
  <si>
    <t>Fixed R</t>
  </si>
  <si>
    <t>TOTAL RESIDENTIAL - EXPERIMENTAL:</t>
  </si>
  <si>
    <t>3/4 - NON-RESIDENTIAL</t>
  </si>
  <si>
    <t>CFG Commercial</t>
  </si>
  <si>
    <t>FPU Commercial Small</t>
  </si>
  <si>
    <t>FPU - GSTS - 1</t>
  </si>
  <si>
    <t>FPU Commercial Small Transp</t>
  </si>
  <si>
    <t>FPU - GS - 2</t>
  </si>
  <si>
    <t>FPU - GSTS - 2</t>
  </si>
  <si>
    <t>FPU - CS - GS</t>
  </si>
  <si>
    <t>FPU - LVS</t>
  </si>
  <si>
    <t>FPU Commercial Large</t>
  </si>
  <si>
    <t>FPU - LVTS &lt;50k</t>
  </si>
  <si>
    <t>FPU - LVTS &gt;50k</t>
  </si>
  <si>
    <t>FPU Commercial Large Transp</t>
  </si>
  <si>
    <t>FPU - IS</t>
  </si>
  <si>
    <t>FPU - ITS</t>
  </si>
  <si>
    <t>FPU Interruptible Transp</t>
  </si>
  <si>
    <t>FPU - GLS</t>
  </si>
  <si>
    <t>FPU Outdoor Lights</t>
  </si>
  <si>
    <t>FPU-NGVS</t>
  </si>
  <si>
    <t>FPU- NGVTS</t>
  </si>
  <si>
    <t>FT-Comm PA</t>
  </si>
  <si>
    <t>FT Commercial Small Transp</t>
  </si>
  <si>
    <t>FT-Comm Small</t>
  </si>
  <si>
    <t>GS-1; GSTS1; LVS; LVTS</t>
  </si>
  <si>
    <t>FT-Transportation</t>
  </si>
  <si>
    <t>FT Other</t>
  </si>
  <si>
    <t>FI TS2</t>
  </si>
  <si>
    <t>FI TS3</t>
  </si>
  <si>
    <t>FI TS4</t>
  </si>
  <si>
    <t>TOTAL NON-RESIDENTIAL:</t>
  </si>
  <si>
    <t>5/6 - NON-RESIDENTIAL-EXPERIMENTAL</t>
  </si>
  <si>
    <t>Fixed NR</t>
  </si>
  <si>
    <t>TOTAL NON-RESIDENTIAL - EXPERIMENTAL:</t>
  </si>
  <si>
    <t>7 - FIXED RATE</t>
  </si>
  <si>
    <t>Citrosuco</t>
  </si>
  <si>
    <t>CFG Industrial</t>
  </si>
  <si>
    <t>Northwest Florida Reception</t>
  </si>
  <si>
    <t>Polk Power Partners</t>
  </si>
  <si>
    <t>Suwannee American Cement</t>
  </si>
  <si>
    <t>JDC</t>
  </si>
  <si>
    <t>Mosaic</t>
  </si>
  <si>
    <t>Peace River</t>
  </si>
  <si>
    <t>Lake Worth - FPU</t>
  </si>
  <si>
    <t>FPU Interdepartm/Sp Contracts</t>
  </si>
  <si>
    <t>Orange Cogen LP</t>
  </si>
  <si>
    <t>Pensacola (NW Pipeline)</t>
  </si>
  <si>
    <t>Ascend (NW Pipeline)</t>
  </si>
  <si>
    <t>Ascend 2 (NW Pipeline)</t>
  </si>
  <si>
    <t>Lignotech - FPU</t>
  </si>
  <si>
    <t>Rayonier Recovery Boiler - FPU</t>
  </si>
  <si>
    <t>Arcadia/Sebring</t>
  </si>
  <si>
    <t>TOTAL FIXED RATE:</t>
  </si>
  <si>
    <t>8 - VARIABLE RATE</t>
  </si>
  <si>
    <t>Minute Maid</t>
  </si>
  <si>
    <t>8 Flags</t>
  </si>
  <si>
    <t>Ray Duct Burner</t>
  </si>
  <si>
    <t>TOTAL VARIABLE RATE:</t>
  </si>
  <si>
    <t>9 - COMPETITIVE RATE ADJ</t>
  </si>
  <si>
    <t>TOTAL COMP RATE ADJ:</t>
  </si>
  <si>
    <t>SUBTOTAL TRANSPORTATION:</t>
  </si>
  <si>
    <t>10 - FLEXIBLE GAS SERVICE</t>
  </si>
  <si>
    <t xml:space="preserve">Peoples Gas System Callahan </t>
  </si>
  <si>
    <t>Georgia-Pacific Corp</t>
  </si>
  <si>
    <t>People's Interconnect</t>
  </si>
  <si>
    <t>TOTAL FLEXIBLE GAS SERVICE:</t>
  </si>
  <si>
    <t>11 - OFF SYSTEM SALES</t>
  </si>
  <si>
    <t>FGT</t>
  </si>
  <si>
    <t>Polk Power Arc</t>
  </si>
  <si>
    <t>Cutrale</t>
  </si>
  <si>
    <t>TOTAL OFF SYSTEM:</t>
  </si>
  <si>
    <t>SUBTOTAL OTHER:</t>
  </si>
  <si>
    <t>GRAND TOTAL:</t>
  </si>
  <si>
    <t>FPU-NGVTS</t>
  </si>
  <si>
    <t>Interdepartmental</t>
  </si>
  <si>
    <t>Total Therms Per Stat Report</t>
  </si>
  <si>
    <t>Difference-Check Total- Should equal inter-departmental sales</t>
  </si>
  <si>
    <t>Misc service rev adj</t>
  </si>
  <si>
    <t>CFG rounding</t>
  </si>
  <si>
    <t>CUSTOMER</t>
  </si>
  <si>
    <t>TOTAL</t>
  </si>
  <si>
    <t>CURRENT YEAR CUSTOMERS MTD</t>
  </si>
  <si>
    <t>Total (For YTD Analysis)</t>
  </si>
  <si>
    <t>Rayonier - Duct Burner</t>
  </si>
  <si>
    <t>FN</t>
  </si>
  <si>
    <t>Transportation Admin Charge - Accounts</t>
  </si>
  <si>
    <t>FT - Transportation</t>
  </si>
  <si>
    <t>Total Trans. Admin Accounts</t>
  </si>
  <si>
    <t>Telemetry Maint Charge - Accounts</t>
  </si>
  <si>
    <t>Total Telemetry Accounts</t>
  </si>
  <si>
    <t>GROSS MARGIN</t>
  </si>
  <si>
    <t>Rayonier Duct Burner</t>
  </si>
  <si>
    <t>12 - ADDITIONAL REVENUE ITEMS</t>
  </si>
  <si>
    <t>FPU-Service</t>
  </si>
  <si>
    <t>FT-Services</t>
  </si>
  <si>
    <t>FPU-Shiper</t>
  </si>
  <si>
    <t>FT=Shipper</t>
  </si>
  <si>
    <t>FPU-unbilled</t>
  </si>
  <si>
    <t>FT-Unbilled</t>
  </si>
  <si>
    <t>GRIP</t>
  </si>
  <si>
    <t>FPU--Other</t>
  </si>
  <si>
    <t>FT-Other</t>
  </si>
  <si>
    <t>Other (Pass Thru)</t>
  </si>
  <si>
    <t>TOTAL ADDITIONAL REVENUE:</t>
  </si>
  <si>
    <t>GRAND TOTAL REVENUE:</t>
  </si>
  <si>
    <t>9 - COST OF GAS</t>
  </si>
  <si>
    <t>PSC Assessment Fee - FPU</t>
  </si>
  <si>
    <t>FPU-PSC</t>
  </si>
  <si>
    <t>PSC Assessment Fee - CFG</t>
  </si>
  <si>
    <t>PSC Assessment Fee - IGC</t>
  </si>
  <si>
    <t>PSC Assessment Fee - FT</t>
  </si>
  <si>
    <t>FT-PSC</t>
  </si>
  <si>
    <t>TOTAL COST OF GAS:</t>
  </si>
  <si>
    <t>GROSS MARGIN:</t>
  </si>
  <si>
    <t>CCNGV</t>
  </si>
  <si>
    <t>CC245</t>
  </si>
  <si>
    <t>CC601</t>
  </si>
  <si>
    <t>CC602</t>
  </si>
  <si>
    <t>CC603</t>
  </si>
  <si>
    <t>CC605</t>
  </si>
  <si>
    <t>CC801</t>
  </si>
  <si>
    <t>CC804</t>
  </si>
  <si>
    <t>CC805</t>
  </si>
  <si>
    <t>CC807</t>
  </si>
  <si>
    <t>CC810</t>
  </si>
  <si>
    <t>CC812</t>
  </si>
  <si>
    <t>CC815</t>
  </si>
  <si>
    <t>CC816</t>
  </si>
  <si>
    <t>CC820</t>
  </si>
  <si>
    <t>CC824</t>
  </si>
  <si>
    <t>CC826</t>
  </si>
  <si>
    <t>CC827</t>
  </si>
  <si>
    <t>CC828</t>
  </si>
  <si>
    <t>CC905</t>
  </si>
  <si>
    <t>CICID</t>
  </si>
  <si>
    <t>CI107</t>
  </si>
  <si>
    <t>CI108</t>
  </si>
  <si>
    <t>CI406</t>
  </si>
  <si>
    <t>CI905</t>
  </si>
  <si>
    <t>CR245</t>
  </si>
  <si>
    <t>CR801</t>
  </si>
  <si>
    <t>CR804</t>
  </si>
  <si>
    <t>CR807</t>
  </si>
  <si>
    <t>CR810</t>
  </si>
  <si>
    <t>CR814</t>
  </si>
  <si>
    <t>CR817</t>
  </si>
  <si>
    <t>CR821</t>
  </si>
  <si>
    <t>CR825</t>
  </si>
  <si>
    <t>CR827</t>
  </si>
  <si>
    <t>CR828</t>
  </si>
  <si>
    <t>CR839</t>
  </si>
  <si>
    <t>FMCS1</t>
  </si>
  <si>
    <t>FMCT1</t>
  </si>
  <si>
    <t>FMLT1</t>
  </si>
  <si>
    <t>FMLV1</t>
  </si>
  <si>
    <t>FMPA1</t>
  </si>
  <si>
    <t>FMPT1</t>
  </si>
  <si>
    <t>FMRES</t>
  </si>
  <si>
    <t>GCNGV</t>
  </si>
  <si>
    <t>GCPT1</t>
  </si>
  <si>
    <t>GCS11</t>
  </si>
  <si>
    <t>GCS41</t>
  </si>
  <si>
    <t>GCT96</t>
  </si>
  <si>
    <t>GEN11</t>
  </si>
  <si>
    <t>GEN31</t>
  </si>
  <si>
    <t>GIS61</t>
  </si>
  <si>
    <t>GIT92</t>
  </si>
  <si>
    <t>GLT91</t>
  </si>
  <si>
    <t>GLV51</t>
  </si>
  <si>
    <t>GRS31</t>
  </si>
  <si>
    <t>GTNGV</t>
  </si>
  <si>
    <t>LA3MX</t>
  </si>
  <si>
    <t>LITEG</t>
  </si>
  <si>
    <t>TSNGV</t>
  </si>
  <si>
    <t>TS1R</t>
  </si>
  <si>
    <t>TS2C</t>
  </si>
  <si>
    <t>TS3C</t>
  </si>
  <si>
    <t>TS4I</t>
  </si>
  <si>
    <t>Bills</t>
  </si>
  <si>
    <t>FTS-13</t>
  </si>
  <si>
    <t>CFG-NGV</t>
  </si>
  <si>
    <t>Volumes 2021</t>
  </si>
  <si>
    <t>YTD 1-11 2021</t>
  </si>
  <si>
    <t>FPU - LVS Large Customers Non-Residential</t>
  </si>
  <si>
    <t>FPU - LVTS &gt;50k Large Customers Non-Residential</t>
  </si>
  <si>
    <t>FPU - ITS Large Customers Non-Residential</t>
  </si>
  <si>
    <t>TOTAL BASE</t>
  </si>
  <si>
    <t>Total wo Off System</t>
  </si>
  <si>
    <t>Customers 2021</t>
  </si>
  <si>
    <t>FPU - GSTS - 1Transportation Admin Charge</t>
  </si>
  <si>
    <t>FPU - GSTS - 2Transportation Admin Charge</t>
  </si>
  <si>
    <t>FPU - LVTS &lt;50kTransportation Admin Charge</t>
  </si>
  <si>
    <t>FPU - LVTS &gt;50kTransportation Admin Charge</t>
  </si>
  <si>
    <t>FPU - ITSTransportation Admin Charge</t>
  </si>
  <si>
    <t>FT-Transportation Non-ResidentialAdmin</t>
  </si>
  <si>
    <t>2022-2023</t>
  </si>
  <si>
    <t>Service</t>
  </si>
  <si>
    <t>Transportation</t>
  </si>
  <si>
    <t>Sales</t>
  </si>
  <si>
    <t>Ft. Meade - Natural Gas Vehicle Service</t>
  </si>
  <si>
    <t xml:space="preserve">Ft. Meade </t>
  </si>
  <si>
    <t>Service Area</t>
  </si>
  <si>
    <t>N/A</t>
  </si>
  <si>
    <t>CFG - FTS-13</t>
  </si>
  <si>
    <t xml:space="preserve">Current Customer Class </t>
  </si>
  <si>
    <t>Average</t>
  </si>
  <si>
    <t>Low</t>
  </si>
  <si>
    <t>FPU_RS_Forecast_Average</t>
  </si>
  <si>
    <t>FPU_RS</t>
  </si>
  <si>
    <t>FPU_RS_Forecast_Low95</t>
  </si>
  <si>
    <t>FTS_1</t>
  </si>
  <si>
    <t>FPU_RS_Forecast_High95</t>
  </si>
  <si>
    <t>High</t>
  </si>
  <si>
    <t>FTS_2</t>
  </si>
  <si>
    <t>FTS_1_Forecast_Average</t>
  </si>
  <si>
    <t>FortMeade_RS</t>
  </si>
  <si>
    <t>FTS_1_Forecast_Low95</t>
  </si>
  <si>
    <t>TS_1</t>
  </si>
  <si>
    <t>FTS_1_Forecast_High95</t>
  </si>
  <si>
    <t>FTS_2.1</t>
  </si>
  <si>
    <t>FTS_2_Forecast_Average</t>
  </si>
  <si>
    <t>RS_GS</t>
  </si>
  <si>
    <t>FTS_2_Forecast_Low95</t>
  </si>
  <si>
    <t>FTS_AB</t>
  </si>
  <si>
    <t>FTS_2_Forecast_High95</t>
  </si>
  <si>
    <t>FortMeade_RS_Forecast_Average</t>
  </si>
  <si>
    <t>FortMeade_RS_Forecast_Low95</t>
  </si>
  <si>
    <t>FortMeade_RS_Forecast_High95</t>
  </si>
  <si>
    <t>TS_1_Forecast_Average</t>
  </si>
  <si>
    <t>Customer Growth Rate</t>
  </si>
  <si>
    <t>TS_1_Forecast_Low95</t>
  </si>
  <si>
    <t>2022 - 2023</t>
  </si>
  <si>
    <t>TS_1_Forecast_High95</t>
  </si>
  <si>
    <t>FTS_2.1_Forecast_Average</t>
  </si>
  <si>
    <t>FTS_2.1_Forecast_Low95</t>
  </si>
  <si>
    <t>FTS_2.1_Forecast_High95</t>
  </si>
  <si>
    <t>RS_GS_Forecast_Average</t>
  </si>
  <si>
    <t>RS_GS_Forecast_Low95</t>
  </si>
  <si>
    <t>RS_GS_Forecast_High95</t>
  </si>
  <si>
    <t>FTS_AB_Forecast_Average</t>
  </si>
  <si>
    <t>FTS_AB_Forecast_Low95</t>
  </si>
  <si>
    <t>FTS_AB_Forecast_High95</t>
  </si>
  <si>
    <t>Overall_Forecast_Average</t>
  </si>
  <si>
    <t>Overall_Forecast_Low95</t>
  </si>
  <si>
    <t>Overall_Forecast_High95</t>
  </si>
  <si>
    <t>NA</t>
  </si>
  <si>
    <t>GS2_Forecast_Average</t>
  </si>
  <si>
    <t>GS2</t>
  </si>
  <si>
    <t>GS2_Forecast_Low95</t>
  </si>
  <si>
    <t>GS2_Forecast_High95</t>
  </si>
  <si>
    <t>GS1</t>
  </si>
  <si>
    <t>LVS_Forecast_Average</t>
  </si>
  <si>
    <t>GS1_FortMeade</t>
  </si>
  <si>
    <t>LVS_Forecast_Low95</t>
  </si>
  <si>
    <t>FTS1</t>
  </si>
  <si>
    <t>LVS_Forecast_High95</t>
  </si>
  <si>
    <t>FTS2</t>
  </si>
  <si>
    <t>GS1_Forecast_Average</t>
  </si>
  <si>
    <t>FTS2.1</t>
  </si>
  <si>
    <t>GS1_Forecast_Low95</t>
  </si>
  <si>
    <t>FTS3</t>
  </si>
  <si>
    <t>GS1_Forecast_High95</t>
  </si>
  <si>
    <t>FTS3.1</t>
  </si>
  <si>
    <t>GS1_FortMeade_Forecast_Average</t>
  </si>
  <si>
    <t>FTS4</t>
  </si>
  <si>
    <t>GS1_FortMeade_Forecast_Low95</t>
  </si>
  <si>
    <t>CSGS</t>
  </si>
  <si>
    <t>GS1_FortMeade_Forecast_High95</t>
  </si>
  <si>
    <t>FTS1_Forecast_Average</t>
  </si>
  <si>
    <t>FTS1_Forecast_Low95</t>
  </si>
  <si>
    <t>FTS1_Forecast_High95</t>
  </si>
  <si>
    <t>FTS2_Forecast_Average</t>
  </si>
  <si>
    <t>FTS2_Forecast_Low95</t>
  </si>
  <si>
    <t>FTS2_Forecast_High95</t>
  </si>
  <si>
    <t>FTS2.1_Forecast_Average</t>
  </si>
  <si>
    <t>FTS2.1_Forecast_Low95</t>
  </si>
  <si>
    <t>FTS2.1_Forecast_High95</t>
  </si>
  <si>
    <t>FTS3_Forecast_Average</t>
  </si>
  <si>
    <t>FTS3_Forecast_Low95</t>
  </si>
  <si>
    <t>FTS3_Forecast_High95</t>
  </si>
  <si>
    <t>FTS3.1_Forecast_Average</t>
  </si>
  <si>
    <t>FTS3.1_Forecast_Low95</t>
  </si>
  <si>
    <t>FTS3.1_Forecast_High95</t>
  </si>
  <si>
    <t>FTS4_Forecast_Average</t>
  </si>
  <si>
    <t>FTS4_Forecast_Low95</t>
  </si>
  <si>
    <t>FTS4_Forecast_High95</t>
  </si>
  <si>
    <t>CSGS_Forecast_Average</t>
  </si>
  <si>
    <t>CSGS_Forecast_Low95</t>
  </si>
  <si>
    <t>CSGS_Forecast_High95</t>
  </si>
  <si>
    <t>Modeled</t>
  </si>
  <si>
    <t>2023 Billing Determinants (Therms)</t>
  </si>
  <si>
    <t>2021 Billing Determinants (Therms)</t>
  </si>
  <si>
    <t>Customer Growth Rate (Modeled)</t>
  </si>
  <si>
    <t>Customer Growth Rate Average</t>
  </si>
  <si>
    <t>Customer Growth Rate Low</t>
  </si>
  <si>
    <t>Customer Growth Rate Select Model</t>
  </si>
  <si>
    <t>UPC Select Model</t>
  </si>
  <si>
    <t>UPC (Modeled)</t>
  </si>
  <si>
    <t>Fcst Code</t>
  </si>
  <si>
    <t>Base Period</t>
  </si>
  <si>
    <t>2019 Billing Determinants (Therms)</t>
  </si>
  <si>
    <t>2020 Billing Determinants (Therms)</t>
  </si>
  <si>
    <t>2022 Forecasted Bills</t>
  </si>
  <si>
    <t>2022 Billing Determinants (Therms)</t>
  </si>
  <si>
    <t>Use Per Customer</t>
  </si>
  <si>
    <t>Use Per Customer Change</t>
  </si>
  <si>
    <t>TY UPC Low</t>
  </si>
  <si>
    <t>TY UPC Average</t>
  </si>
  <si>
    <t>BP to TY UPC Change Low</t>
  </si>
  <si>
    <t>BP to TY UPC Change Average</t>
  </si>
  <si>
    <t>BP to TY UPC Modeled</t>
  </si>
  <si>
    <t>Billing Det Fcst Calc Method</t>
  </si>
  <si>
    <t>2019 Actual Bills</t>
  </si>
  <si>
    <t>2020 Actual Bills</t>
  </si>
  <si>
    <t>2021 Actual Bills</t>
  </si>
  <si>
    <t>PY ACTUAL</t>
  </si>
  <si>
    <t>CY ACTUAL</t>
  </si>
  <si>
    <t>CY BUDGET</t>
  </si>
  <si>
    <t>CY Forecast</t>
  </si>
  <si>
    <t>AvF</t>
  </si>
  <si>
    <t>PY-Q1</t>
  </si>
  <si>
    <t>PY-Q2</t>
  </si>
  <si>
    <t>PY-Q3</t>
  </si>
  <si>
    <t>PY-Q4</t>
  </si>
  <si>
    <t>Q1</t>
  </si>
  <si>
    <t>Q2</t>
  </si>
  <si>
    <t>Q3</t>
  </si>
  <si>
    <t>Q4</t>
  </si>
  <si>
    <t>B-Q1</t>
  </si>
  <si>
    <t>B-Q2</t>
  </si>
  <si>
    <t>B-Q3</t>
  </si>
  <si>
    <t>B-Q4</t>
  </si>
  <si>
    <t>F-Q1</t>
  </si>
  <si>
    <t>F-Q2</t>
  </si>
  <si>
    <t>F-Q3</t>
  </si>
  <si>
    <t>F-Q4</t>
  </si>
  <si>
    <t>First Page</t>
  </si>
  <si>
    <t>2+10</t>
  </si>
  <si>
    <t>3+9</t>
  </si>
  <si>
    <t>4+8</t>
  </si>
  <si>
    <t>5+7</t>
  </si>
  <si>
    <t>8+4</t>
  </si>
  <si>
    <t>10+2</t>
  </si>
  <si>
    <t>11+1</t>
  </si>
  <si>
    <t>Excel to Excel</t>
  </si>
  <si>
    <t>Jan-Bud</t>
  </si>
  <si>
    <t>Feb-Bud</t>
  </si>
  <si>
    <t>Mar-Bud</t>
  </si>
  <si>
    <t>Apr-Bud</t>
  </si>
  <si>
    <t>May-Bud</t>
  </si>
  <si>
    <t>Jun-Bud</t>
  </si>
  <si>
    <t>Jul-Bud</t>
  </si>
  <si>
    <t>Aug-Bud</t>
  </si>
  <si>
    <t>Sep-Bud</t>
  </si>
  <si>
    <t>Oct-Bud</t>
  </si>
  <si>
    <t>Nov-Bud</t>
  </si>
  <si>
    <t>Dec-Bud</t>
  </si>
  <si>
    <t>Jan-Fcst</t>
  </si>
  <si>
    <t>Feb-Fcst</t>
  </si>
  <si>
    <t>Mar-Fcst</t>
  </si>
  <si>
    <t>Apr-Fcst</t>
  </si>
  <si>
    <t>May-Fcst</t>
  </si>
  <si>
    <t>Jun-Fcst</t>
  </si>
  <si>
    <t>Jul-Fcst</t>
  </si>
  <si>
    <t>Aug-Fcst</t>
  </si>
  <si>
    <t>Sep-Fcst</t>
  </si>
  <si>
    <t>Oct-Fcst</t>
  </si>
  <si>
    <t>Nov-Fcst</t>
  </si>
  <si>
    <t>Dec-Fcst</t>
  </si>
  <si>
    <t>Fcst to Margin Workbook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</si>
  <si>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</si>
  <si>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</si>
  <si>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</si>
  <si>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</si>
  <si>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</si>
  <si>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</si>
  <si>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</si>
  <si>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</si>
  <si>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</si>
  <si>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</si>
  <si>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</si>
  <si>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</si>
  <si>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5+7 Fcst</t>
  </si>
  <si>
    <t>8+4 Fcst</t>
  </si>
  <si>
    <t>Budget</t>
  </si>
  <si>
    <t>8+4F vs 5+7F</t>
  </si>
  <si>
    <t>8+4F vs Budget</t>
  </si>
  <si>
    <t>FTS-A Residential</t>
  </si>
  <si>
    <t>FTS-B Residential</t>
  </si>
  <si>
    <t>FTS-1 Residential</t>
  </si>
  <si>
    <t>FTS-2 Residential</t>
  </si>
  <si>
    <t>FTS-2.1 Residential</t>
  </si>
  <si>
    <t>FTS-3 Residential</t>
  </si>
  <si>
    <t>FTS-3.1 Residential</t>
  </si>
  <si>
    <t>FPU - RS Residential</t>
  </si>
  <si>
    <t>FPU - RS-GS Residential</t>
  </si>
  <si>
    <t>FT-RS Residential</t>
  </si>
  <si>
    <t>IGC - TS1 Residential</t>
  </si>
  <si>
    <t/>
  </si>
  <si>
    <t>FTS-A Residential - Experimental</t>
  </si>
  <si>
    <t>Residential - Experimental</t>
  </si>
  <si>
    <t>FTS-B Residential - Experimental</t>
  </si>
  <si>
    <t>FTS-1 Residential - Experimental</t>
  </si>
  <si>
    <t>FTS-2 Residential - Experimental</t>
  </si>
  <si>
    <t>FTS-2.1 Residential - Experimental</t>
  </si>
  <si>
    <t>FTS-3 Residential - Experimental</t>
  </si>
  <si>
    <t>FTS-3.1 Residential - Experimental</t>
  </si>
  <si>
    <t>FTS-A Non-Residential</t>
  </si>
  <si>
    <t>Non-Residential</t>
  </si>
  <si>
    <t>FTS-B Non-Residential</t>
  </si>
  <si>
    <t>FTS-1 Non-Residential</t>
  </si>
  <si>
    <t>FTS-2 Non-Residential</t>
  </si>
  <si>
    <t>FTS-2.1 Non-Residential</t>
  </si>
  <si>
    <t>FTS-3 Non-Residential</t>
  </si>
  <si>
    <t>FTS-3.1 Non-Residential</t>
  </si>
  <si>
    <t>FTS-4 Non-Residential</t>
  </si>
  <si>
    <t>FTS-5 Non-Residential</t>
  </si>
  <si>
    <t>FTS-6 Non-Residential</t>
  </si>
  <si>
    <t>FTS-7 Non-Residential</t>
  </si>
  <si>
    <t>FTS-8 Non-Residential</t>
  </si>
  <si>
    <t>FTS-9 Non-Residential</t>
  </si>
  <si>
    <t>FTS-10 Non-Residential</t>
  </si>
  <si>
    <t>FTS-11 Non-Residential</t>
  </si>
  <si>
    <t>FTS-12 Non-Residential</t>
  </si>
  <si>
    <t>FTS-NGV Non-Residential</t>
  </si>
  <si>
    <t>FPU - GS - 1 Non-Residential</t>
  </si>
  <si>
    <t>FPU - GSTS - 1 Non-Residential</t>
  </si>
  <si>
    <t>FPU - GS - 2 Non-Residential</t>
  </si>
  <si>
    <t>FPU - GSTS - 2 Non-Residential</t>
  </si>
  <si>
    <t>FPU - CS - GS Non-Residential</t>
  </si>
  <si>
    <t>FPU - LVS Non-Residential</t>
  </si>
  <si>
    <t>FPU - LVTS &lt;50k Non-Residential</t>
  </si>
  <si>
    <t>FPU - LVTS &gt;50k Non-Residential</t>
  </si>
  <si>
    <t>FPU - IS Non-Residential</t>
  </si>
  <si>
    <t>FPU - ITS Non-Residential</t>
  </si>
  <si>
    <t>FPU - GLS Non-Residential</t>
  </si>
  <si>
    <t>FPU-NGVS Non-Residential</t>
  </si>
  <si>
    <t>FPU- NGVTS Non-Residential</t>
  </si>
  <si>
    <t>FT-Comm PA Non-Residential</t>
  </si>
  <si>
    <t>FT-Comm Small Non-Residential</t>
  </si>
  <si>
    <t>FT-Transportation Non-Residential</t>
  </si>
  <si>
    <t>IGC - TS2 Non-Residential</t>
  </si>
  <si>
    <t>IGC - TS3 Non-Residential</t>
  </si>
  <si>
    <t>IGC - TS4 Non-Residential</t>
  </si>
  <si>
    <t>FTS-A Non-Residential-Experimental</t>
  </si>
  <si>
    <t>Non-Residential-Experimental</t>
  </si>
  <si>
    <t>FTS-B Non-Residential-Experimental</t>
  </si>
  <si>
    <t>FTS-1 Non-Residential-Experimental</t>
  </si>
  <si>
    <t>FTS-2 Non-Residential-Experimental</t>
  </si>
  <si>
    <t>FTS-2.1 Non-Residential-Experimental</t>
  </si>
  <si>
    <t>FTS-3 Non-Residential-Experimental</t>
  </si>
  <si>
    <t>FTS-3.1 Non-Residential-Experimental</t>
  </si>
  <si>
    <t>Industrial</t>
  </si>
  <si>
    <t>Ajax and Florida Can Man SP (JDC in UI)</t>
  </si>
  <si>
    <t>FPUServiceR</t>
  </si>
  <si>
    <t>CFGServiceR</t>
  </si>
  <si>
    <t>IGCService</t>
  </si>
  <si>
    <t>FTService</t>
  </si>
  <si>
    <t>FPUShipper</t>
  </si>
  <si>
    <t>CFGShipper</t>
  </si>
  <si>
    <t>IGCShipper</t>
  </si>
  <si>
    <t>FTShipper</t>
  </si>
  <si>
    <t>FPUUnbilled</t>
  </si>
  <si>
    <t>CFGUnbilled</t>
  </si>
  <si>
    <t>IGCUnbilled</t>
  </si>
  <si>
    <t>FTUnbilled</t>
  </si>
  <si>
    <t>FPUGrip</t>
  </si>
  <si>
    <t>CFGGrip</t>
  </si>
  <si>
    <t>IGCGrip</t>
  </si>
  <si>
    <t>FTGrip</t>
  </si>
  <si>
    <t>FPUOverearning</t>
  </si>
  <si>
    <t>CFGOverearning</t>
  </si>
  <si>
    <t>COVID-19 Impact</t>
  </si>
  <si>
    <t>FPUNon-ResidentialCOVID</t>
  </si>
  <si>
    <t>CFGNon-ResidentialCOVID</t>
  </si>
  <si>
    <t>Covid</t>
  </si>
  <si>
    <t>FPUOther</t>
  </si>
  <si>
    <t>*Convergence Gas Management System - Maintenance fees costs are recovered through PGA</t>
  </si>
  <si>
    <t>CFGOther</t>
  </si>
  <si>
    <t>IGCOther</t>
  </si>
  <si>
    <t>FTOther</t>
  </si>
  <si>
    <t>FPUTaxReform</t>
  </si>
  <si>
    <t>CFGTaxReform</t>
  </si>
  <si>
    <t>IGCTaxReform</t>
  </si>
  <si>
    <t>FTTaxReform</t>
  </si>
  <si>
    <t>FPUpsc</t>
  </si>
  <si>
    <t>COGS</t>
  </si>
  <si>
    <t>CFGpsc</t>
  </si>
  <si>
    <t>IGCpsc</t>
  </si>
  <si>
    <t>FTpsc</t>
  </si>
  <si>
    <t>GM</t>
  </si>
  <si>
    <t>NGD</t>
  </si>
  <si>
    <t>Residential - FPU+FI+FT</t>
  </si>
  <si>
    <t>Residential - Experimental - FPU+FI+FT</t>
  </si>
  <si>
    <t>Non-Residential - FPU+FI+FT</t>
  </si>
  <si>
    <t>Non-Residential-Experimental - FPU+FI+FT</t>
  </si>
  <si>
    <t>Industrial - FPU+FI+FT</t>
  </si>
  <si>
    <t>Miscellaneous Revenues - FPU+FI+FT</t>
  </si>
  <si>
    <t>COGS - FPU+FI+FT</t>
  </si>
  <si>
    <t>TOTAL - FPU+FI+FT</t>
  </si>
  <si>
    <t>Customer Class Code</t>
  </si>
  <si>
    <t>Commercial</t>
  </si>
  <si>
    <t>x</t>
  </si>
  <si>
    <t>CFG - Firm Transportation Service - 1 Residential</t>
  </si>
  <si>
    <t>CFG - Firm Transportation Service - 1 (Fixed Residential)</t>
  </si>
  <si>
    <t>CFG - Firm Transportation Service - 1 Non-Residential</t>
  </si>
  <si>
    <t>CFG - Firm Transportation Service - 2 Residential</t>
  </si>
  <si>
    <t>CFG - Firm Transportation Service - 2 (Fixed Residential)</t>
  </si>
  <si>
    <t>CFG - Firm Transportation Service - 2 Non-Residential</t>
  </si>
  <si>
    <t>CFG - Firm Transportation Service - 2 (Fixed Non-Residential)</t>
  </si>
  <si>
    <t>CFG - Firm Transportation Service - 2.1 Residential</t>
  </si>
  <si>
    <t>CFG - Firm Transportation Service - 2.1 (Fixed Residential)</t>
  </si>
  <si>
    <t>CFG - Firm Transportation Service - 2.1 Non-Residential</t>
  </si>
  <si>
    <t>CFG - Firm Transportation Service - 2.1 (Fixed Non-Residential)</t>
  </si>
  <si>
    <t>Input Sheets -&gt;</t>
  </si>
  <si>
    <t>Bill Counts</t>
  </si>
  <si>
    <t>Regres Results</t>
  </si>
  <si>
    <t>Category</t>
  </si>
  <si>
    <t>Customer Class Type</t>
  </si>
  <si>
    <t>Report_Regression</t>
  </si>
  <si>
    <t>WP_Regression_RES Cust Count</t>
  </si>
  <si>
    <t>WP_Regression_RES UPC</t>
  </si>
  <si>
    <t>WP_Regreession_COM Cust Count</t>
  </si>
  <si>
    <t>WP_Regression_COM UPC</t>
  </si>
  <si>
    <t>Florida Public Utilities Company (“FPUC”)</t>
  </si>
  <si>
    <t>WP_Regression Summary</t>
  </si>
  <si>
    <t>No.</t>
  </si>
  <si>
    <t>Workbook Title</t>
  </si>
  <si>
    <t>Report_Regression Results</t>
  </si>
  <si>
    <t>Customer Class</t>
  </si>
  <si>
    <t>FTS_AB_C</t>
  </si>
  <si>
    <t>FTS_AB_C_Forecast_Average</t>
  </si>
  <si>
    <t>FTS_AB_C_Forecast_Low95</t>
  </si>
  <si>
    <t>FTS_AB_C_Forecast_High95</t>
  </si>
  <si>
    <t>CFG - Firm Transportation Service - A Non-Residential</t>
  </si>
  <si>
    <t>CFG - Firm Transportation Service - B Non-Residential</t>
  </si>
  <si>
    <t>Modeled UPC</t>
  </si>
  <si>
    <t>Fixed (Y/N)</t>
  </si>
  <si>
    <t>N</t>
  </si>
  <si>
    <t>Y</t>
  </si>
  <si>
    <t>CFG - FTS-3 - Fixed R</t>
  </si>
  <si>
    <t>CFG - Firm Transportation Service - 3 Residential</t>
  </si>
  <si>
    <t>CFG - Firm Transportation Service - 3 (Fixed Residential)</t>
  </si>
  <si>
    <t>CFG - Firm Transportation Service - B (Fixed Non-Residential)</t>
  </si>
  <si>
    <t>CFG - FTS-B - Fixed NR</t>
  </si>
  <si>
    <t>CFG - Firm Transportation Service - A Residential</t>
  </si>
  <si>
    <t>CFG - Firm Transportation Service - A (Fixed Residential)</t>
  </si>
  <si>
    <t>CFG - Firm Transportation Service - B (Fixed Residential)</t>
  </si>
  <si>
    <t>CFG - Firm Transportation Service - B Residential</t>
  </si>
  <si>
    <t>CFG - Firm Transportation Service - 3 Non-Residential</t>
  </si>
  <si>
    <t>CFG - Firm Transportation Service - 3 (Fixed Non-Residential)</t>
  </si>
  <si>
    <t>CFG - Firm Transportation Service - 3.1 Non-Residential</t>
  </si>
  <si>
    <t>CFG - Firm Transportation Service - 3.1 (Fixed Non-Residential)</t>
  </si>
  <si>
    <t>CFG - Firm Transportation Service - 1 (Fixed Non-Residential)</t>
  </si>
  <si>
    <t>CFG - FTS-A - Fixed R</t>
  </si>
  <si>
    <t>CFG - FTS-A R</t>
  </si>
  <si>
    <t>CFG - FTS-B R</t>
  </si>
  <si>
    <t>CFG - FTS-B - Fixed R</t>
  </si>
  <si>
    <t>CFG - Firm Transportation Service - A (Fixed Non-Residential)</t>
  </si>
  <si>
    <t>CFG - FTS-A - Fixed NR</t>
  </si>
  <si>
    <t>Replaced with data below</t>
  </si>
  <si>
    <t>UPC Growth Rate</t>
  </si>
  <si>
    <t>Historical Average</t>
  </si>
  <si>
    <t>CFG - FTS-3 - Fixed NR</t>
  </si>
  <si>
    <t>CFG - FTS-3.1 NR</t>
  </si>
  <si>
    <t>CFG - FTS-3.1 - Fixed NR</t>
  </si>
  <si>
    <t>CFG - FTS-3 NR</t>
  </si>
  <si>
    <t>CFG - FTS-A NR</t>
  </si>
  <si>
    <t>CFG - FTS-B NR</t>
  </si>
  <si>
    <t>CFG - FTS-1 R</t>
  </si>
  <si>
    <t>CFG - FTS-1 NR</t>
  </si>
  <si>
    <t>CFG - FTS-2 R</t>
  </si>
  <si>
    <t>CFG - FTS-2 NR</t>
  </si>
  <si>
    <t>CFG - FTS-2.1 R</t>
  </si>
  <si>
    <t>CFG - FTS-2.1 NR</t>
  </si>
  <si>
    <t>CFG - FTS-3 R</t>
  </si>
  <si>
    <t>Admin Charges</t>
  </si>
  <si>
    <t>TBD</t>
  </si>
  <si>
    <t>Adjusted</t>
  </si>
  <si>
    <t xml:space="preserve">2022 Adjusted </t>
  </si>
  <si>
    <t xml:space="preserve">2023 Adjusted </t>
  </si>
  <si>
    <t>Customers Per Stat Report</t>
  </si>
  <si>
    <t>Check Total-If not zero, determine why</t>
  </si>
  <si>
    <t>Max</t>
  </si>
  <si>
    <t>Max Month</t>
  </si>
  <si>
    <t>MaxMonth</t>
  </si>
  <si>
    <t>Regression Category</t>
  </si>
  <si>
    <t>Median</t>
  </si>
  <si>
    <t>Ft. Meade breakdown</t>
  </si>
  <si>
    <t>FT Commercial</t>
  </si>
  <si>
    <t>Service Type</t>
  </si>
  <si>
    <t>FT Commerical</t>
  </si>
  <si>
    <t>Class Classification</t>
  </si>
  <si>
    <t>MEDIAN</t>
  </si>
  <si>
    <t>Customer Growth Rate Median</t>
  </si>
  <si>
    <t>BP to TY UPC Change Median</t>
  </si>
  <si>
    <t>TY UPC Median</t>
  </si>
  <si>
    <t>WP_Customer Bill and Load Forecast</t>
  </si>
  <si>
    <t>Forecast Calc</t>
  </si>
  <si>
    <t>Input_2018CUST-YTD</t>
  </si>
  <si>
    <t>Input_2018VOL-YTD</t>
  </si>
  <si>
    <t>Input_2019CUST-YTD</t>
  </si>
  <si>
    <t>Input_2019VOL-YTD</t>
  </si>
  <si>
    <t>Input_2020CUST-YTD</t>
  </si>
  <si>
    <t>Input_2020VOL-YTD</t>
  </si>
  <si>
    <t>Input_2021CUST-YTD</t>
  </si>
  <si>
    <t>Input_2021VOL-YTD</t>
  </si>
  <si>
    <t>Input_2021MARG-YTD</t>
  </si>
  <si>
    <t>Input_Fcst Inputs</t>
  </si>
  <si>
    <t>Proceeding No. 20220067-GU</t>
  </si>
  <si>
    <t>Proceeding No.20220067-GU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</si>
</sst>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."/>
    <numFmt numFmtId="167" formatCode="mmmm\ d\,\ yyyy"/>
    <numFmt numFmtId="168" formatCode="_(&quot;$&quot;* #,##0.0000_);_(&quot;$&quot;* \(#,##0.0000\);_(&quot;$&quot;* &quot;-&quot;????_);_(@_)"/>
    <numFmt numFmtId="169" formatCode="&quot;$&quot;#,##0.00"/>
    <numFmt numFmtId="170" formatCode="[$-409]mmmm\-yy;@"/>
    <numFmt numFmtId="171" formatCode="0.0%"/>
    <numFmt numFmtId="172" formatCode="mmm\-yyyy"/>
    <numFmt numFmtId="173" formatCode="0.0"/>
    <numFmt numFmtId="174" formatCode="#,##0_)"/>
    <numFmt numFmtId="175" formatCode="[$-409]mmm\-yy;@"/>
  </numFmts>
  <fonts count="9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sz val="10"/>
      <name val="Arial Unicode MS"/>
      <family val="2"/>
    </font>
    <font>
      <sz val="10"/>
      <color theme="1"/>
      <name val="Tahoma"/>
      <family val="2"/>
    </font>
    <font>
      <sz val="12"/>
      <name val="Arial MT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2"/>
      <name val="Tech"/>
    </font>
    <font>
      <u/>
      <sz val="8.6999999999999993"/>
      <color indexed="12"/>
      <name val="Arial"/>
      <family val="2"/>
    </font>
    <font>
      <sz val="12"/>
      <name val="SWISS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8"/>
      <color indexed="81"/>
      <name val="Calibri"/>
      <family val="2"/>
      <scheme val="minor"/>
    </font>
    <font>
      <sz val="8"/>
      <color indexed="8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rgb="FF0000CC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CC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8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7" fillId="2" borderId="0"/>
    <xf numFmtId="41" fontId="27" fillId="3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/>
    <xf numFmtId="0" fontId="30" fillId="0" borderId="0"/>
    <xf numFmtId="166" fontId="31" fillId="0" borderId="0">
      <protection locked="0"/>
    </xf>
    <xf numFmtId="0" fontId="30" fillId="0" borderId="0"/>
    <xf numFmtId="0" fontId="30" fillId="0" borderId="0"/>
    <xf numFmtId="0" fontId="30" fillId="0" borderId="0"/>
    <xf numFmtId="44" fontId="27" fillId="0" borderId="0" applyFont="0" applyFill="0" applyBorder="0" applyAlignment="0" applyProtection="0"/>
    <xf numFmtId="5" fontId="28" fillId="0" borderId="0" applyFill="0" applyBorder="0" applyAlignment="0" applyProtection="0"/>
    <xf numFmtId="167" fontId="28" fillId="0" borderId="0" applyFill="0" applyBorder="0" applyAlignment="0" applyProtection="0"/>
    <xf numFmtId="2" fontId="28" fillId="0" borderId="0" applyFill="0" applyBorder="0" applyAlignment="0" applyProtection="0"/>
    <xf numFmtId="41" fontId="32" fillId="4" borderId="3">
      <alignment horizontal="left"/>
      <protection locked="0"/>
    </xf>
    <xf numFmtId="10" fontId="32" fillId="4" borderId="3">
      <alignment horizontal="right"/>
      <protection locked="0"/>
    </xf>
    <xf numFmtId="41" fontId="33" fillId="5" borderId="3">
      <alignment horizontal="left"/>
      <protection locked="0"/>
    </xf>
    <xf numFmtId="3" fontId="34" fillId="0" borderId="0" applyFill="0" applyBorder="0" applyAlignment="0" applyProtection="0"/>
    <xf numFmtId="0" fontId="27" fillId="0" borderId="0"/>
    <xf numFmtId="0" fontId="27" fillId="2" borderId="0"/>
    <xf numFmtId="0" fontId="29" fillId="0" borderId="0"/>
    <xf numFmtId="0" fontId="30" fillId="0" borderId="0"/>
    <xf numFmtId="9" fontId="27" fillId="0" borderId="0" applyFont="0" applyFill="0" applyBorder="0" applyAlignment="0" applyProtection="0"/>
    <xf numFmtId="10" fontId="27" fillId="0" borderId="3"/>
    <xf numFmtId="41" fontId="27" fillId="6" borderId="3"/>
    <xf numFmtId="0" fontId="30" fillId="0" borderId="0"/>
    <xf numFmtId="3" fontId="35" fillId="0" borderId="0" applyFill="0" applyBorder="0" applyAlignment="0" applyProtection="0"/>
    <xf numFmtId="0" fontId="36" fillId="0" borderId="0"/>
    <xf numFmtId="42" fontId="27" fillId="2" borderId="0"/>
    <xf numFmtId="42" fontId="37" fillId="5" borderId="4">
      <alignment vertical="center"/>
    </xf>
    <xf numFmtId="0" fontId="38" fillId="2" borderId="2" applyNumberFormat="0">
      <alignment horizontal="center" vertical="center" wrapText="1"/>
    </xf>
    <xf numFmtId="10" fontId="27" fillId="2" borderId="0"/>
    <xf numFmtId="168" fontId="27" fillId="2" borderId="0"/>
    <xf numFmtId="42" fontId="39" fillId="2" borderId="1">
      <alignment horizontal="left"/>
    </xf>
    <xf numFmtId="168" fontId="39" fillId="2" borderId="1">
      <alignment horizontal="left"/>
    </xf>
    <xf numFmtId="41" fontId="37" fillId="2" borderId="0">
      <alignment horizontal="left"/>
    </xf>
    <xf numFmtId="169" fontId="40" fillId="2" borderId="0">
      <alignment horizontal="left" vertical="center"/>
    </xf>
    <xf numFmtId="0" fontId="38" fillId="2" borderId="0">
      <alignment horizontal="left" wrapText="1"/>
    </xf>
    <xf numFmtId="0" fontId="41" fillId="0" borderId="0">
      <alignment horizontal="left" vertical="center"/>
    </xf>
    <xf numFmtId="0" fontId="30" fillId="0" borderId="5"/>
    <xf numFmtId="0" fontId="42" fillId="2" borderId="0"/>
    <xf numFmtId="4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0" fontId="42" fillId="0" borderId="3"/>
    <xf numFmtId="41" fontId="42" fillId="2" borderId="0"/>
    <xf numFmtId="168" fontId="42" fillId="2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7" fillId="0" borderId="0"/>
    <xf numFmtId="0" fontId="23" fillId="0" borderId="0"/>
    <xf numFmtId="9" fontId="23" fillId="0" borderId="0" applyFont="0" applyFill="0" applyBorder="0" applyAlignment="0" applyProtection="0"/>
    <xf numFmtId="0" fontId="48" fillId="0" borderId="0"/>
    <xf numFmtId="170" fontId="49" fillId="0" borderId="2"/>
    <xf numFmtId="0" fontId="28" fillId="0" borderId="0"/>
    <xf numFmtId="170" fontId="49" fillId="0" borderId="2"/>
    <xf numFmtId="170" fontId="49" fillId="0" borderId="7"/>
    <xf numFmtId="0" fontId="50" fillId="0" borderId="0"/>
    <xf numFmtId="0" fontId="27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2" fillId="0" borderId="0"/>
    <xf numFmtId="43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43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8"/>
    <xf numFmtId="170" fontId="49" fillId="0" borderId="6"/>
    <xf numFmtId="170" fontId="49" fillId="0" borderId="6"/>
    <xf numFmtId="170" fontId="49" fillId="0" borderId="7"/>
    <xf numFmtId="170" fontId="49" fillId="0" borderId="8"/>
    <xf numFmtId="170" fontId="49" fillId="0" borderId="9"/>
    <xf numFmtId="170" fontId="49" fillId="0" borderId="9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7" fillId="3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0" borderId="0"/>
    <xf numFmtId="3" fontId="28" fillId="0" borderId="0" applyFill="0" applyBorder="0" applyAlignment="0" applyProtection="0"/>
    <xf numFmtId="0" fontId="30" fillId="0" borderId="0"/>
    <xf numFmtId="0" fontId="54" fillId="0" borderId="0">
      <alignment horizontal="centerContinuous"/>
    </xf>
    <xf numFmtId="0" fontId="30" fillId="0" borderId="0"/>
    <xf numFmtId="0" fontId="30" fillId="0" borderId="0"/>
    <xf numFmtId="44" fontId="27" fillId="0" borderId="0" applyFont="0" applyFill="0" applyBorder="0" applyAlignment="0" applyProtection="0"/>
    <xf numFmtId="5" fontId="28" fillId="0" borderId="0" applyFill="0" applyBorder="0" applyAlignment="0" applyProtection="0"/>
    <xf numFmtId="167" fontId="28" fillId="0" borderId="0" applyFill="0" applyBorder="0" applyAlignment="0" applyProtection="0"/>
    <xf numFmtId="2" fontId="28" fillId="0" borderId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41" fontId="32" fillId="4" borderId="3">
      <alignment horizontal="left"/>
      <protection locked="0"/>
    </xf>
    <xf numFmtId="10" fontId="32" fillId="4" borderId="3">
      <alignment horizontal="right"/>
      <protection locked="0"/>
    </xf>
    <xf numFmtId="0" fontId="27" fillId="0" borderId="0"/>
    <xf numFmtId="0" fontId="27" fillId="0" borderId="0"/>
    <xf numFmtId="0" fontId="21" fillId="0" borderId="0"/>
    <xf numFmtId="0" fontId="27" fillId="2" borderId="0"/>
    <xf numFmtId="0" fontId="27" fillId="2" borderId="0"/>
    <xf numFmtId="0" fontId="27" fillId="0" borderId="0"/>
    <xf numFmtId="0" fontId="27" fillId="0" borderId="0"/>
    <xf numFmtId="0" fontId="28" fillId="0" borderId="0"/>
    <xf numFmtId="4" fontId="56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30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7" fillId="6" borderId="3"/>
    <xf numFmtId="0" fontId="30" fillId="0" borderId="0"/>
    <xf numFmtId="0" fontId="36" fillId="0" borderId="0"/>
    <xf numFmtId="42" fontId="27" fillId="2" borderId="0"/>
    <xf numFmtId="42" fontId="37" fillId="5" borderId="4">
      <alignment vertical="center"/>
    </xf>
    <xf numFmtId="42" fontId="39" fillId="2" borderId="1">
      <alignment horizontal="left"/>
    </xf>
    <xf numFmtId="0" fontId="27" fillId="0" borderId="0" applyNumberFormat="0" applyBorder="0" applyAlignment="0"/>
    <xf numFmtId="0" fontId="27" fillId="0" borderId="0" applyNumberFormat="0" applyBorder="0" applyAlignment="0"/>
    <xf numFmtId="41" fontId="38" fillId="2" borderId="0">
      <alignment horizontal="left"/>
    </xf>
    <xf numFmtId="0" fontId="30" fillId="0" borderId="5"/>
    <xf numFmtId="0" fontId="20" fillId="0" borderId="0"/>
    <xf numFmtId="0" fontId="57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0" fontId="60" fillId="0" borderId="0" applyNumberFormat="0" applyFill="0" applyBorder="0" applyAlignment="0" applyProtection="0"/>
    <xf numFmtId="0" fontId="6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1" fillId="0" borderId="0"/>
    <xf numFmtId="44" fontId="6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98">
    <xf numFmtId="0" fontId="0" fillId="0" borderId="0" xfId="0"/>
    <xf numFmtId="0" fontId="60" fillId="0" borderId="0" xfId="152"/>
    <xf numFmtId="164" fontId="26" fillId="0" borderId="0" xfId="1" applyNumberFormat="1" applyFont="1" applyFill="1" applyBorder="1"/>
    <xf numFmtId="164" fontId="24" fillId="0" borderId="0" xfId="1" applyNumberFormat="1" applyFont="1" applyFill="1" applyBorder="1"/>
    <xf numFmtId="0" fontId="43" fillId="0" borderId="0" xfId="0" applyFont="1" applyBorder="1"/>
    <xf numFmtId="164" fontId="24" fillId="0" borderId="0" xfId="1" applyNumberFormat="1" applyFont="1"/>
    <xf numFmtId="10" fontId="24" fillId="0" borderId="0" xfId="169" applyNumberFormat="1" applyFont="1" applyFill="1" applyBorder="1"/>
    <xf numFmtId="10" fontId="24" fillId="0" borderId="0" xfId="169" applyNumberFormat="1" applyFont="1" applyBorder="1"/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Border="1" applyAlignment="1"/>
    <xf numFmtId="164" fontId="24" fillId="0" borderId="0" xfId="1" applyNumberFormat="1" applyFont="1" applyBorder="1"/>
    <xf numFmtId="0" fontId="43" fillId="0" borderId="0" xfId="0" applyFont="1" applyAlignment="1">
      <alignment horizontal="center" vertical="center"/>
    </xf>
    <xf numFmtId="164" fontId="43" fillId="0" borderId="20" xfId="0" applyNumberFormat="1" applyFont="1" applyFill="1" applyBorder="1"/>
    <xf numFmtId="164" fontId="66" fillId="0" borderId="0" xfId="1" applyNumberFormat="1" applyFont="1" applyFill="1"/>
    <xf numFmtId="0" fontId="24" fillId="0" borderId="18" xfId="167" applyFont="1" applyFill="1" applyBorder="1"/>
    <xf numFmtId="10" fontId="24" fillId="0" borderId="18" xfId="169" applyNumberFormat="1" applyFont="1" applyFill="1" applyBorder="1"/>
    <xf numFmtId="0" fontId="43" fillId="15" borderId="18" xfId="167" applyFont="1" applyFill="1" applyBorder="1" applyAlignment="1">
      <alignment horizontal="center"/>
    </xf>
    <xf numFmtId="10" fontId="24" fillId="0" borderId="18" xfId="3" applyNumberFormat="1" applyFont="1" applyFill="1" applyBorder="1"/>
    <xf numFmtId="0" fontId="24" fillId="0" borderId="18" xfId="0" applyFont="1" applyFill="1" applyBorder="1"/>
    <xf numFmtId="164" fontId="43" fillId="15" borderId="18" xfId="1" applyNumberFormat="1" applyFont="1" applyFill="1" applyBorder="1" applyAlignment="1">
      <alignment horizontal="center"/>
    </xf>
    <xf numFmtId="164" fontId="24" fillId="0" borderId="18" xfId="1" applyNumberFormat="1" applyFont="1" applyFill="1" applyBorder="1"/>
    <xf numFmtId="0" fontId="24" fillId="0" borderId="18" xfId="0" applyFont="1" applyBorder="1"/>
    <xf numFmtId="164" fontId="24" fillId="0" borderId="18" xfId="1" applyNumberFormat="1" applyFont="1" applyBorder="1"/>
    <xf numFmtId="164" fontId="43" fillId="26" borderId="18" xfId="1" applyNumberFormat="1" applyFont="1" applyFill="1" applyBorder="1" applyAlignment="1">
      <alignment horizontal="center"/>
    </xf>
    <xf numFmtId="164" fontId="43" fillId="15" borderId="16" xfId="1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Fill="1"/>
    <xf numFmtId="164" fontId="26" fillId="0" borderId="0" xfId="1" applyNumberFormat="1" applyFont="1" applyFill="1"/>
    <xf numFmtId="10" fontId="26" fillId="0" borderId="0" xfId="3" applyNumberFormat="1" applyFont="1" applyFill="1"/>
    <xf numFmtId="0" fontId="26" fillId="0" borderId="0" xfId="0" applyFont="1" applyFill="1" applyAlignment="1"/>
    <xf numFmtId="0" fontId="26" fillId="0" borderId="0" xfId="0" applyFont="1" applyFill="1" applyBorder="1"/>
    <xf numFmtId="164" fontId="25" fillId="0" borderId="0" xfId="1" applyNumberFormat="1" applyFont="1" applyFill="1"/>
    <xf numFmtId="164" fontId="25" fillId="0" borderId="0" xfId="1" applyNumberFormat="1" applyFont="1"/>
    <xf numFmtId="0" fontId="43" fillId="26" borderId="16" xfId="1" applyNumberFormat="1" applyFont="1" applyFill="1" applyBorder="1" applyAlignment="1">
      <alignment horizontal="center" vertical="center" wrapText="1"/>
    </xf>
    <xf numFmtId="0" fontId="43" fillId="15" borderId="18" xfId="167" applyFont="1" applyFill="1" applyBorder="1" applyAlignment="1">
      <alignment horizontal="center" vertical="center"/>
    </xf>
    <xf numFmtId="0" fontId="43" fillId="15" borderId="16" xfId="1" applyNumberFormat="1" applyFont="1" applyFill="1" applyBorder="1" applyAlignment="1">
      <alignment horizontal="center" vertical="center" wrapText="1"/>
    </xf>
    <xf numFmtId="0" fontId="62" fillId="0" borderId="0" xfId="23" applyFont="1"/>
    <xf numFmtId="0" fontId="24" fillId="0" borderId="0" xfId="0" applyFont="1"/>
    <xf numFmtId="0" fontId="24" fillId="0" borderId="0" xfId="0" applyFont="1" applyAlignment="1"/>
    <xf numFmtId="0" fontId="24" fillId="0" borderId="0" xfId="0" applyFont="1" applyFill="1"/>
    <xf numFmtId="0" fontId="24" fillId="0" borderId="18" xfId="0" applyFont="1" applyFill="1" applyBorder="1" applyAlignment="1"/>
    <xf numFmtId="164" fontId="24" fillId="0" borderId="0" xfId="168" applyNumberFormat="1" applyFont="1"/>
    <xf numFmtId="9" fontId="24" fillId="0" borderId="0" xfId="169" applyFont="1"/>
    <xf numFmtId="0" fontId="24" fillId="0" borderId="0" xfId="167" applyFont="1"/>
    <xf numFmtId="43" fontId="24" fillId="0" borderId="0" xfId="167" applyNumberFormat="1" applyFont="1"/>
    <xf numFmtId="0" fontId="43" fillId="15" borderId="0" xfId="167" applyFont="1" applyFill="1"/>
    <xf numFmtId="0" fontId="43" fillId="19" borderId="0" xfId="167" applyFont="1" applyFill="1"/>
    <xf numFmtId="0" fontId="43" fillId="20" borderId="0" xfId="167" applyFont="1" applyFill="1"/>
    <xf numFmtId="0" fontId="43" fillId="18" borderId="18" xfId="167" applyFont="1" applyFill="1" applyBorder="1" applyAlignment="1">
      <alignment horizontal="center" vertical="center"/>
    </xf>
    <xf numFmtId="0" fontId="43" fillId="18" borderId="18" xfId="167" applyFont="1" applyFill="1" applyBorder="1" applyAlignment="1">
      <alignment horizontal="center"/>
    </xf>
    <xf numFmtId="0" fontId="43" fillId="20" borderId="11" xfId="167" applyFont="1" applyFill="1" applyBorder="1"/>
    <xf numFmtId="10" fontId="24" fillId="17" borderId="18" xfId="169" applyNumberFormat="1" applyFont="1" applyFill="1" applyBorder="1"/>
    <xf numFmtId="0" fontId="43" fillId="0" borderId="0" xfId="0" applyFont="1" applyFill="1" applyBorder="1"/>
    <xf numFmtId="43" fontId="24" fillId="0" borderId="0" xfId="1" applyFont="1" applyFill="1" applyBorder="1"/>
    <xf numFmtId="0" fontId="24" fillId="0" borderId="0" xfId="0" applyFont="1" applyFill="1" applyAlignment="1"/>
    <xf numFmtId="164" fontId="24" fillId="0" borderId="0" xfId="1" applyNumberFormat="1" applyFont="1" applyFill="1"/>
    <xf numFmtId="0" fontId="24" fillId="0" borderId="0" xfId="0" applyFont="1" applyAlignment="1">
      <alignment horizontal="center"/>
    </xf>
    <xf numFmtId="0" fontId="26" fillId="2" borderId="0" xfId="146" applyFont="1" applyFill="1"/>
    <xf numFmtId="0" fontId="62" fillId="0" borderId="0" xfId="146" applyFont="1"/>
    <xf numFmtId="0" fontId="62" fillId="2" borderId="0" xfId="146" applyFont="1" applyFill="1" applyAlignment="1">
      <alignment horizontal="center"/>
    </xf>
    <xf numFmtId="165" fontId="26" fillId="0" borderId="0" xfId="75" applyNumberFormat="1" applyFont="1" applyFill="1"/>
    <xf numFmtId="0" fontId="62" fillId="2" borderId="0" xfId="146" applyFont="1" applyFill="1"/>
    <xf numFmtId="0" fontId="26" fillId="11" borderId="0" xfId="146" applyFont="1" applyFill="1" applyAlignment="1">
      <alignment horizontal="left" indent="3"/>
    </xf>
    <xf numFmtId="0" fontId="26" fillId="11" borderId="15" xfId="146" applyFont="1" applyFill="1" applyBorder="1" applyAlignment="1">
      <alignment horizontal="left" indent="3"/>
    </xf>
    <xf numFmtId="0" fontId="26" fillId="2" borderId="0" xfId="146" applyFont="1" applyFill="1" applyAlignment="1">
      <alignment horizontal="left" indent="3"/>
    </xf>
    <xf numFmtId="37" fontId="26" fillId="0" borderId="0" xfId="76" applyNumberFormat="1" applyFont="1" applyFill="1" applyBorder="1" applyAlignment="1">
      <alignment horizontal="left" indent="3"/>
    </xf>
    <xf numFmtId="37" fontId="26" fillId="0" borderId="15" xfId="76" applyNumberFormat="1" applyFont="1" applyFill="1" applyBorder="1" applyAlignment="1">
      <alignment horizontal="left" indent="3"/>
    </xf>
    <xf numFmtId="0" fontId="62" fillId="18" borderId="16" xfId="146" applyFont="1" applyFill="1" applyBorder="1" applyAlignment="1">
      <alignment horizontal="right"/>
    </xf>
    <xf numFmtId="164" fontId="62" fillId="18" borderId="14" xfId="76" applyNumberFormat="1" applyFont="1" applyFill="1" applyBorder="1" applyAlignment="1">
      <alignment horizontal="right"/>
    </xf>
    <xf numFmtId="164" fontId="62" fillId="7" borderId="0" xfId="76" applyNumberFormat="1" applyFont="1" applyFill="1" applyBorder="1" applyAlignment="1" applyProtection="1">
      <alignment horizontal="right"/>
      <protection locked="0"/>
    </xf>
    <xf numFmtId="0" fontId="62" fillId="7" borderId="0" xfId="146" applyFont="1" applyFill="1" applyAlignment="1">
      <alignment horizontal="right"/>
    </xf>
    <xf numFmtId="164" fontId="62" fillId="7" borderId="0" xfId="76" applyNumberFormat="1" applyFont="1" applyFill="1" applyBorder="1" applyAlignment="1">
      <alignment horizontal="right"/>
    </xf>
    <xf numFmtId="164" fontId="62" fillId="16" borderId="14" xfId="76" applyNumberFormat="1" applyFont="1" applyFill="1" applyBorder="1" applyAlignment="1">
      <alignment horizontal="right"/>
    </xf>
    <xf numFmtId="0" fontId="24" fillId="0" borderId="0" xfId="163" applyFont="1"/>
    <xf numFmtId="37" fontId="62" fillId="2" borderId="0" xfId="164" applyNumberFormat="1" applyFont="1" applyFill="1"/>
    <xf numFmtId="172" fontId="73" fillId="2" borderId="0" xfId="164" applyNumberFormat="1" applyFont="1" applyFill="1" applyBorder="1" applyAlignment="1">
      <alignment horizontal="center"/>
    </xf>
    <xf numFmtId="43" fontId="26" fillId="2" borderId="0" xfId="164" applyFont="1" applyFill="1" applyAlignment="1">
      <alignment horizontal="left" indent="2"/>
    </xf>
    <xf numFmtId="164" fontId="78" fillId="12" borderId="0" xfId="164" applyNumberFormat="1" applyFont="1" applyFill="1" applyBorder="1" applyProtection="1">
      <protection locked="0"/>
    </xf>
    <xf numFmtId="164" fontId="78" fillId="17" borderId="0" xfId="164" applyNumberFormat="1" applyFont="1" applyFill="1" applyBorder="1" applyProtection="1">
      <protection locked="0"/>
    </xf>
    <xf numFmtId="164" fontId="62" fillId="2" borderId="0" xfId="164" applyNumberFormat="1" applyFont="1" applyFill="1"/>
    <xf numFmtId="43" fontId="24" fillId="0" borderId="0" xfId="163" applyNumberFormat="1" applyFont="1"/>
    <xf numFmtId="0" fontId="26" fillId="8" borderId="0" xfId="146" applyFont="1" applyFill="1"/>
    <xf numFmtId="43" fontId="26" fillId="2" borderId="0" xfId="164" applyFont="1" applyFill="1" applyBorder="1" applyAlignment="1">
      <alignment horizontal="left" indent="2"/>
    </xf>
    <xf numFmtId="164" fontId="78" fillId="12" borderId="15" xfId="164" applyNumberFormat="1" applyFont="1" applyFill="1" applyBorder="1" applyProtection="1">
      <protection locked="0"/>
    </xf>
    <xf numFmtId="164" fontId="78" fillId="17" borderId="15" xfId="164" applyNumberFormat="1" applyFont="1" applyFill="1" applyBorder="1" applyProtection="1">
      <protection locked="0"/>
    </xf>
    <xf numFmtId="37" fontId="62" fillId="17" borderId="12" xfId="164" applyNumberFormat="1" applyFont="1" applyFill="1" applyBorder="1" applyAlignment="1">
      <alignment horizontal="right"/>
    </xf>
    <xf numFmtId="164" fontId="62" fillId="17" borderId="0" xfId="164" applyNumberFormat="1" applyFont="1" applyFill="1"/>
    <xf numFmtId="164" fontId="26" fillId="2" borderId="0" xfId="164" applyNumberFormat="1" applyFont="1" applyFill="1"/>
    <xf numFmtId="164" fontId="26" fillId="7" borderId="0" xfId="164" applyNumberFormat="1" applyFont="1" applyFill="1"/>
    <xf numFmtId="164" fontId="72" fillId="2" borderId="0" xfId="164" applyNumberFormat="1" applyFont="1" applyFill="1" applyBorder="1" applyProtection="1">
      <protection locked="0"/>
    </xf>
    <xf numFmtId="164" fontId="72" fillId="7" borderId="0" xfId="164" applyNumberFormat="1" applyFont="1" applyFill="1" applyBorder="1" applyProtection="1">
      <protection locked="0"/>
    </xf>
    <xf numFmtId="164" fontId="58" fillId="12" borderId="0" xfId="164" applyNumberFormat="1" applyFont="1" applyFill="1" applyBorder="1" applyProtection="1">
      <protection locked="0"/>
    </xf>
    <xf numFmtId="43" fontId="26" fillId="11" borderId="0" xfId="164" applyFont="1" applyFill="1" applyBorder="1" applyAlignment="1">
      <alignment horizontal="left" indent="2"/>
    </xf>
    <xf numFmtId="43" fontId="58" fillId="11" borderId="0" xfId="164" applyFont="1" applyFill="1" applyBorder="1" applyAlignment="1">
      <alignment horizontal="left" indent="2"/>
    </xf>
    <xf numFmtId="164" fontId="78" fillId="10" borderId="0" xfId="164" applyNumberFormat="1" applyFont="1" applyFill="1" applyBorder="1" applyProtection="1">
      <protection locked="0"/>
    </xf>
    <xf numFmtId="0" fontId="26" fillId="0" borderId="0" xfId="146" applyFont="1" applyFill="1"/>
    <xf numFmtId="43" fontId="58" fillId="2" borderId="0" xfId="164" applyFont="1" applyFill="1" applyBorder="1" applyAlignment="1">
      <alignment horizontal="left" indent="2"/>
    </xf>
    <xf numFmtId="43" fontId="26" fillId="2" borderId="15" xfId="164" applyFont="1" applyFill="1" applyBorder="1" applyAlignment="1">
      <alignment horizontal="left" indent="2"/>
    </xf>
    <xf numFmtId="0" fontId="24" fillId="0" borderId="0" xfId="163" applyFont="1" applyFill="1"/>
    <xf numFmtId="164" fontId="26" fillId="2" borderId="0" xfId="164" applyNumberFormat="1" applyFont="1" applyFill="1" applyProtection="1">
      <protection locked="0"/>
    </xf>
    <xf numFmtId="164" fontId="26" fillId="0" borderId="0" xfId="164" applyNumberFormat="1" applyFont="1" applyFill="1" applyProtection="1">
      <protection locked="0"/>
    </xf>
    <xf numFmtId="37" fontId="26" fillId="11" borderId="0" xfId="164" applyNumberFormat="1" applyFont="1" applyFill="1" applyBorder="1" applyAlignment="1">
      <alignment horizontal="left" indent="3"/>
    </xf>
    <xf numFmtId="164" fontId="78" fillId="9" borderId="0" xfId="164" applyNumberFormat="1" applyFont="1" applyFill="1" applyBorder="1" applyProtection="1">
      <protection locked="0"/>
    </xf>
    <xf numFmtId="164" fontId="62" fillId="17" borderId="12" xfId="164" applyNumberFormat="1" applyFont="1" applyFill="1" applyBorder="1"/>
    <xf numFmtId="164" fontId="78" fillId="2" borderId="0" xfId="164" applyNumberFormat="1" applyFont="1" applyFill="1" applyProtection="1">
      <protection locked="0"/>
    </xf>
    <xf numFmtId="164" fontId="78" fillId="7" borderId="0" xfId="164" applyNumberFormat="1" applyFont="1" applyFill="1" applyBorder="1" applyProtection="1">
      <protection locked="0"/>
    </xf>
    <xf numFmtId="37" fontId="26" fillId="0" borderId="0" xfId="164" applyNumberFormat="1" applyFont="1" applyFill="1" applyBorder="1" applyAlignment="1">
      <alignment horizontal="left" indent="3"/>
    </xf>
    <xf numFmtId="37" fontId="26" fillId="2" borderId="0" xfId="164" applyNumberFormat="1" applyFont="1" applyFill="1" applyBorder="1" applyAlignment="1">
      <alignment horizontal="left" indent="3"/>
    </xf>
    <xf numFmtId="37" fontId="26" fillId="2" borderId="15" xfId="164" applyNumberFormat="1" applyFont="1" applyFill="1" applyBorder="1" applyAlignment="1">
      <alignment horizontal="left" indent="3"/>
    </xf>
    <xf numFmtId="37" fontId="26" fillId="0" borderId="15" xfId="164" applyNumberFormat="1" applyFont="1" applyFill="1" applyBorder="1" applyAlignment="1">
      <alignment horizontal="left" indent="3"/>
    </xf>
    <xf numFmtId="164" fontId="78" fillId="7" borderId="15" xfId="164" applyNumberFormat="1" applyFont="1" applyFill="1" applyBorder="1" applyProtection="1">
      <protection locked="0"/>
    </xf>
    <xf numFmtId="37" fontId="62" fillId="2" borderId="0" xfId="164" applyNumberFormat="1" applyFont="1" applyFill="1" applyBorder="1"/>
    <xf numFmtId="37" fontId="26" fillId="7" borderId="0" xfId="164" applyNumberFormat="1" applyFont="1" applyFill="1" applyBorder="1" applyAlignment="1">
      <alignment horizontal="left" indent="3"/>
    </xf>
    <xf numFmtId="164" fontId="78" fillId="13" borderId="0" xfId="164" applyNumberFormat="1" applyFont="1" applyFill="1" applyBorder="1" applyAlignment="1" applyProtection="1">
      <alignment vertical="center"/>
      <protection locked="0"/>
    </xf>
    <xf numFmtId="37" fontId="26" fillId="7" borderId="15" xfId="164" applyNumberFormat="1" applyFont="1" applyFill="1" applyBorder="1" applyAlignment="1">
      <alignment horizontal="left" indent="3"/>
    </xf>
    <xf numFmtId="37" fontId="62" fillId="17" borderId="14" xfId="164" applyNumberFormat="1" applyFont="1" applyFill="1" applyBorder="1" applyAlignment="1">
      <alignment horizontal="right"/>
    </xf>
    <xf numFmtId="164" fontId="62" fillId="17" borderId="14" xfId="164" applyNumberFormat="1" applyFont="1" applyFill="1" applyBorder="1"/>
    <xf numFmtId="164" fontId="62" fillId="2" borderId="0" xfId="164" applyNumberFormat="1" applyFont="1" applyFill="1" applyBorder="1"/>
    <xf numFmtId="164" fontId="78" fillId="14" borderId="0" xfId="164" applyNumberFormat="1" applyFont="1" applyFill="1" applyBorder="1" applyAlignment="1" applyProtection="1">
      <alignment vertical="center"/>
      <protection locked="0"/>
    </xf>
    <xf numFmtId="164" fontId="78" fillId="9" borderId="0" xfId="76" applyNumberFormat="1" applyFont="1" applyFill="1" applyBorder="1" applyProtection="1">
      <protection locked="0"/>
    </xf>
    <xf numFmtId="164" fontId="62" fillId="18" borderId="14" xfId="164" applyNumberFormat="1" applyFont="1" applyFill="1" applyBorder="1" applyAlignment="1">
      <alignment horizontal="right"/>
    </xf>
    <xf numFmtId="164" fontId="62" fillId="7" borderId="0" xfId="164" applyNumberFormat="1" applyFont="1" applyFill="1" applyBorder="1" applyAlignment="1">
      <alignment horizontal="right"/>
    </xf>
    <xf numFmtId="0" fontId="62" fillId="7" borderId="0" xfId="165" applyFont="1" applyFill="1"/>
    <xf numFmtId="43" fontId="26" fillId="7" borderId="0" xfId="166" applyFont="1" applyFill="1" applyBorder="1" applyAlignment="1">
      <alignment horizontal="left" indent="2"/>
    </xf>
    <xf numFmtId="0" fontId="62" fillId="7" borderId="0" xfId="165" applyFont="1" applyFill="1" applyAlignment="1">
      <alignment horizontal="left" indent="4"/>
    </xf>
    <xf numFmtId="0" fontId="62" fillId="16" borderId="16" xfId="165" applyFont="1" applyFill="1" applyBorder="1" applyAlignment="1">
      <alignment horizontal="left" indent="4"/>
    </xf>
    <xf numFmtId="164" fontId="62" fillId="16" borderId="14" xfId="164" applyNumberFormat="1" applyFont="1" applyFill="1" applyBorder="1" applyAlignment="1">
      <alignment horizontal="right"/>
    </xf>
    <xf numFmtId="0" fontId="26" fillId="7" borderId="0" xfId="165" applyFont="1" applyFill="1" applyAlignment="1">
      <alignment horizontal="left" indent="4"/>
    </xf>
    <xf numFmtId="164" fontId="26" fillId="7" borderId="0" xfId="164" applyNumberFormat="1" applyFont="1" applyFill="1" applyBorder="1" applyAlignment="1">
      <alignment horizontal="right"/>
    </xf>
    <xf numFmtId="164" fontId="26" fillId="7" borderId="0" xfId="76" applyNumberFormat="1" applyFont="1" applyFill="1" applyBorder="1" applyAlignment="1">
      <alignment horizontal="right"/>
    </xf>
    <xf numFmtId="0" fontId="66" fillId="0" borderId="0" xfId="146" applyFont="1" applyFill="1"/>
    <xf numFmtId="0" fontId="24" fillId="0" borderId="0" xfId="165" applyFont="1"/>
    <xf numFmtId="164" fontId="78" fillId="12" borderId="0" xfId="76" applyNumberFormat="1" applyFont="1" applyFill="1" applyBorder="1" applyProtection="1">
      <protection locked="0"/>
    </xf>
    <xf numFmtId="164" fontId="78" fillId="12" borderId="15" xfId="76" applyNumberFormat="1" applyFont="1" applyFill="1" applyBorder="1" applyProtection="1">
      <protection locked="0"/>
    </xf>
    <xf numFmtId="164" fontId="62" fillId="17" borderId="0" xfId="76" applyNumberFormat="1" applyFont="1" applyFill="1"/>
    <xf numFmtId="164" fontId="26" fillId="7" borderId="0" xfId="164" applyNumberFormat="1" applyFont="1" applyFill="1" applyProtection="1">
      <protection locked="0"/>
    </xf>
    <xf numFmtId="164" fontId="26" fillId="2" borderId="0" xfId="76" applyNumberFormat="1" applyFont="1" applyFill="1" applyProtection="1">
      <protection locked="0"/>
    </xf>
    <xf numFmtId="164" fontId="72" fillId="2" borderId="0" xfId="76" applyNumberFormat="1" applyFont="1" applyFill="1" applyBorder="1" applyProtection="1">
      <protection locked="0"/>
    </xf>
    <xf numFmtId="164" fontId="78" fillId="10" borderId="0" xfId="76" applyNumberFormat="1" applyFont="1" applyFill="1" applyBorder="1" applyProtection="1">
      <protection locked="0"/>
    </xf>
    <xf numFmtId="164" fontId="24" fillId="0" borderId="0" xfId="165" applyNumberFormat="1" applyFont="1"/>
    <xf numFmtId="164" fontId="62" fillId="17" borderId="12" xfId="76" applyNumberFormat="1" applyFont="1" applyFill="1" applyBorder="1"/>
    <xf numFmtId="164" fontId="78" fillId="7" borderId="0" xfId="76" applyNumberFormat="1" applyFont="1" applyFill="1" applyBorder="1" applyProtection="1">
      <protection locked="0"/>
    </xf>
    <xf numFmtId="164" fontId="78" fillId="7" borderId="15" xfId="76" applyNumberFormat="1" applyFont="1" applyFill="1" applyBorder="1" applyProtection="1">
      <protection locked="0"/>
    </xf>
    <xf numFmtId="164" fontId="62" fillId="17" borderId="14" xfId="76" applyNumberFormat="1" applyFont="1" applyFill="1" applyBorder="1"/>
    <xf numFmtId="164" fontId="78" fillId="14" borderId="0" xfId="76" applyNumberFormat="1" applyFont="1" applyFill="1" applyBorder="1" applyAlignment="1" applyProtection="1">
      <alignment vertical="center"/>
      <protection locked="0"/>
    </xf>
    <xf numFmtId="0" fontId="58" fillId="7" borderId="0" xfId="146" applyFont="1" applyFill="1" applyAlignment="1">
      <alignment horizontal="right"/>
    </xf>
    <xf numFmtId="164" fontId="62" fillId="7" borderId="0" xfId="164" applyNumberFormat="1" applyFont="1" applyFill="1" applyBorder="1" applyAlignment="1" applyProtection="1">
      <alignment horizontal="right"/>
      <protection locked="0"/>
    </xf>
    <xf numFmtId="164" fontId="26" fillId="9" borderId="0" xfId="164" applyNumberFormat="1" applyFont="1" applyFill="1" applyBorder="1" applyAlignment="1" applyProtection="1">
      <alignment horizontal="right"/>
      <protection locked="0"/>
    </xf>
    <xf numFmtId="164" fontId="26" fillId="9" borderId="0" xfId="76" applyNumberFormat="1" applyFont="1" applyFill="1" applyBorder="1" applyAlignment="1" applyProtection="1">
      <alignment horizontal="right"/>
      <protection locked="0"/>
    </xf>
    <xf numFmtId="0" fontId="66" fillId="0" borderId="0" xfId="165" applyFont="1"/>
    <xf numFmtId="37" fontId="26" fillId="0" borderId="0" xfId="6" applyNumberFormat="1" applyFont="1" applyFill="1" applyBorder="1" applyAlignment="1">
      <alignment horizontal="left" indent="3"/>
    </xf>
    <xf numFmtId="37" fontId="26" fillId="0" borderId="15" xfId="6" applyNumberFormat="1" applyFont="1" applyFill="1" applyBorder="1" applyAlignment="1">
      <alignment horizontal="left" indent="3"/>
    </xf>
    <xf numFmtId="0" fontId="43" fillId="21" borderId="0" xfId="167" applyFont="1" applyFill="1"/>
    <xf numFmtId="14" fontId="24" fillId="0" borderId="0" xfId="167" applyNumberFormat="1" applyFont="1"/>
    <xf numFmtId="173" fontId="24" fillId="0" borderId="0" xfId="167" applyNumberFormat="1" applyFont="1"/>
    <xf numFmtId="1" fontId="24" fillId="0" borderId="0" xfId="167" applyNumberFormat="1" applyFont="1"/>
    <xf numFmtId="2" fontId="24" fillId="0" borderId="0" xfId="167" applyNumberFormat="1" applyFont="1"/>
    <xf numFmtId="0" fontId="0" fillId="0" borderId="0" xfId="0" quotePrefix="1" applyFont="1" applyBorder="1"/>
    <xf numFmtId="164" fontId="43" fillId="0" borderId="0" xfId="1" applyNumberFormat="1" applyFont="1" applyBorder="1"/>
    <xf numFmtId="164" fontId="43" fillId="0" borderId="0" xfId="1" applyNumberFormat="1" applyFont="1" applyFill="1" applyBorder="1"/>
    <xf numFmtId="0" fontId="43" fillId="18" borderId="16" xfId="0" applyFont="1" applyFill="1" applyBorder="1"/>
    <xf numFmtId="0" fontId="43" fillId="18" borderId="17" xfId="0" applyFont="1" applyFill="1" applyBorder="1"/>
    <xf numFmtId="0" fontId="0" fillId="0" borderId="0" xfId="0" quotePrefix="1" applyNumberFormat="1" applyAlignment="1">
      <alignment horizontal="center"/>
    </xf>
    <xf numFmtId="0" fontId="60" fillId="0" borderId="0" xfId="152" applyAlignment="1">
      <alignment horizontal="left" indent="1"/>
    </xf>
    <xf numFmtId="0" fontId="26" fillId="0" borderId="0" xfId="0" applyFont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3" fillId="8" borderId="0" xfId="167" applyFont="1" applyFill="1"/>
    <xf numFmtId="0" fontId="24" fillId="0" borderId="0" xfId="167" applyFont="1" applyFill="1"/>
    <xf numFmtId="164" fontId="24" fillId="0" borderId="0" xfId="168" applyNumberFormat="1" applyFont="1" applyFill="1"/>
    <xf numFmtId="0" fontId="24" fillId="0" borderId="11" xfId="167" applyFont="1" applyFill="1" applyBorder="1"/>
    <xf numFmtId="164" fontId="24" fillId="0" borderId="11" xfId="168" applyNumberFormat="1" applyFont="1" applyFill="1" applyBorder="1"/>
    <xf numFmtId="43" fontId="26" fillId="0" borderId="0" xfId="76" applyFont="1" applyFill="1" applyAlignment="1">
      <alignment horizontal="left" indent="2"/>
    </xf>
    <xf numFmtId="165" fontId="26" fillId="0" borderId="0" xfId="75" applyNumberFormat="1" applyFont="1" applyFill="1" applyBorder="1"/>
    <xf numFmtId="165" fontId="26" fillId="0" borderId="0" xfId="75" applyNumberFormat="1" applyFont="1" applyFill="1" applyBorder="1" applyAlignment="1">
      <alignment vertical="center"/>
    </xf>
    <xf numFmtId="165" fontId="62" fillId="0" borderId="0" xfId="75" applyNumberFormat="1" applyFont="1" applyFill="1"/>
    <xf numFmtId="165" fontId="26" fillId="0" borderId="0" xfId="75" applyNumberFormat="1" applyFont="1" applyFill="1" applyBorder="1" applyProtection="1">
      <protection locked="0"/>
    </xf>
    <xf numFmtId="165" fontId="78" fillId="0" borderId="0" xfId="75" applyNumberFormat="1" applyFont="1" applyFill="1" applyBorder="1" applyProtection="1">
      <protection locked="0"/>
    </xf>
    <xf numFmtId="0" fontId="72" fillId="0" borderId="0" xfId="146" applyFont="1" applyFill="1"/>
    <xf numFmtId="0" fontId="72" fillId="0" borderId="0" xfId="146" applyFont="1" applyFill="1" applyProtection="1">
      <protection locked="0"/>
    </xf>
    <xf numFmtId="0" fontId="26" fillId="0" borderId="0" xfId="0" applyFont="1" applyFill="1" applyAlignment="1">
      <alignment horizontal="center"/>
    </xf>
    <xf numFmtId="0" fontId="82" fillId="0" borderId="0" xfId="0" applyFont="1"/>
    <xf numFmtId="0" fontId="26" fillId="0" borderId="0" xfId="0" applyFont="1" applyFill="1" applyBorder="1" applyAlignment="1">
      <alignment horizontal="center"/>
    </xf>
    <xf numFmtId="0" fontId="62" fillId="0" borderId="0" xfId="0" applyFont="1" applyFill="1"/>
    <xf numFmtId="164" fontId="43" fillId="0" borderId="0" xfId="0" applyNumberFormat="1" applyFont="1" applyFill="1" applyBorder="1"/>
    <xf numFmtId="164" fontId="67" fillId="0" borderId="20" xfId="0" applyNumberFormat="1" applyFont="1" applyFill="1" applyBorder="1" applyAlignment="1">
      <alignment horizontal="center"/>
    </xf>
    <xf numFmtId="44" fontId="24" fillId="0" borderId="0" xfId="2" applyNumberFormat="1" applyFont="1"/>
    <xf numFmtId="0" fontId="43" fillId="15" borderId="0" xfId="0" applyFont="1" applyFill="1"/>
    <xf numFmtId="44" fontId="43" fillId="15" borderId="0" xfId="2" applyNumberFormat="1" applyFont="1" applyFill="1"/>
    <xf numFmtId="164" fontId="43" fillId="15" borderId="0" xfId="1" applyNumberFormat="1" applyFont="1" applyFill="1"/>
    <xf numFmtId="0" fontId="43" fillId="15" borderId="0" xfId="2" applyNumberFormat="1" applyFont="1" applyFill="1"/>
    <xf numFmtId="164" fontId="0" fillId="0" borderId="0" xfId="0" applyNumberFormat="1"/>
    <xf numFmtId="0" fontId="60" fillId="0" borderId="0" xfId="152" applyBorder="1"/>
    <xf numFmtId="164" fontId="83" fillId="0" borderId="0" xfId="0" applyNumberFormat="1" applyFont="1"/>
    <xf numFmtId="37" fontId="59" fillId="0" borderId="0" xfId="6" applyNumberFormat="1" applyFont="1" applyFill="1" applyBorder="1" applyAlignment="1">
      <alignment horizontal="left" indent="3"/>
    </xf>
    <xf numFmtId="37" fontId="59" fillId="0" borderId="15" xfId="6" applyNumberFormat="1" applyFont="1" applyFill="1" applyBorder="1" applyAlignment="1">
      <alignment horizontal="left" indent="3"/>
    </xf>
    <xf numFmtId="0" fontId="59" fillId="0" borderId="0" xfId="146" applyFont="1" applyFill="1"/>
    <xf numFmtId="0" fontId="84" fillId="0" borderId="13" xfId="146" applyFont="1" applyFill="1" applyBorder="1" applyAlignment="1">
      <alignment horizontal="center"/>
    </xf>
    <xf numFmtId="0" fontId="59" fillId="0" borderId="0" xfId="146" applyFont="1" applyFill="1" applyAlignment="1">
      <alignment horizontal="center"/>
    </xf>
    <xf numFmtId="164" fontId="59" fillId="0" borderId="0" xfId="6" applyNumberFormat="1" applyFont="1" applyFill="1" applyBorder="1" applyAlignment="1"/>
    <xf numFmtId="0" fontId="85" fillId="0" borderId="13" xfId="146" applyFont="1" applyFill="1" applyBorder="1" applyAlignment="1">
      <alignment horizontal="center"/>
    </xf>
    <xf numFmtId="164" fontId="59" fillId="0" borderId="0" xfId="6" applyNumberFormat="1" applyFont="1" applyFill="1" applyBorder="1" applyAlignment="1">
      <alignment horizontal="center"/>
    </xf>
    <xf numFmtId="164" fontId="59" fillId="0" borderId="0" xfId="6" applyNumberFormat="1" applyFont="1" applyFill="1" applyBorder="1"/>
    <xf numFmtId="0" fontId="84" fillId="0" borderId="0" xfId="146" applyFont="1" applyFill="1" applyAlignment="1">
      <alignment horizontal="center"/>
    </xf>
    <xf numFmtId="37" fontId="84" fillId="0" borderId="0" xfId="6" applyNumberFormat="1" applyFont="1" applyFill="1"/>
    <xf numFmtId="43" fontId="59" fillId="0" borderId="0" xfId="6" applyFont="1" applyFill="1" applyAlignment="1">
      <alignment horizontal="left" indent="2"/>
    </xf>
    <xf numFmtId="164" fontId="86" fillId="0" borderId="0" xfId="6" applyNumberFormat="1" applyFont="1" applyFill="1"/>
    <xf numFmtId="164" fontId="59" fillId="0" borderId="0" xfId="146" applyNumberFormat="1" applyFont="1" applyFill="1"/>
    <xf numFmtId="43" fontId="59" fillId="0" borderId="0" xfId="146" applyNumberFormat="1" applyFont="1" applyFill="1"/>
    <xf numFmtId="171" fontId="59" fillId="0" borderId="0" xfId="27" applyNumberFormat="1" applyFont="1" applyFill="1" applyBorder="1"/>
    <xf numFmtId="43" fontId="59" fillId="0" borderId="0" xfId="6" applyFont="1" applyFill="1" applyBorder="1" applyAlignment="1">
      <alignment horizontal="left" indent="2"/>
    </xf>
    <xf numFmtId="37" fontId="59" fillId="0" borderId="12" xfId="6" applyNumberFormat="1" applyFont="1" applyFill="1" applyBorder="1" applyAlignment="1">
      <alignment horizontal="right"/>
    </xf>
    <xf numFmtId="164" fontId="59" fillId="0" borderId="12" xfId="6" applyNumberFormat="1" applyFont="1" applyFill="1" applyBorder="1"/>
    <xf numFmtId="164" fontId="59" fillId="0" borderId="0" xfId="6" applyNumberFormat="1" applyFont="1" applyFill="1" applyBorder="1" applyAlignment="1" applyProtection="1">
      <alignment horizontal="left"/>
      <protection locked="0"/>
    </xf>
    <xf numFmtId="164" fontId="59" fillId="0" borderId="15" xfId="6" applyNumberFormat="1" applyFont="1" applyFill="1" applyBorder="1"/>
    <xf numFmtId="0" fontId="84" fillId="0" borderId="0" xfId="146" applyFont="1" applyFill="1"/>
    <xf numFmtId="43" fontId="59" fillId="0" borderId="15" xfId="6" applyFont="1" applyFill="1" applyBorder="1" applyAlignment="1">
      <alignment horizontal="left" indent="2"/>
    </xf>
    <xf numFmtId="37" fontId="59" fillId="0" borderId="0" xfId="6" applyNumberFormat="1" applyFont="1" applyFill="1" applyBorder="1" applyAlignment="1">
      <alignment horizontal="right"/>
    </xf>
    <xf numFmtId="0" fontId="59" fillId="0" borderId="0" xfId="146" applyFont="1" applyFill="1" applyAlignment="1">
      <alignment horizontal="left" indent="3"/>
    </xf>
    <xf numFmtId="0" fontId="84" fillId="0" borderId="16" xfId="146" applyFont="1" applyFill="1" applyBorder="1" applyAlignment="1">
      <alignment horizontal="right"/>
    </xf>
    <xf numFmtId="164" fontId="84" fillId="0" borderId="14" xfId="6" applyNumberFormat="1" applyFont="1" applyFill="1" applyBorder="1" applyAlignment="1">
      <alignment horizontal="right"/>
    </xf>
    <xf numFmtId="164" fontId="84" fillId="0" borderId="17" xfId="6" applyNumberFormat="1" applyFont="1" applyFill="1" applyBorder="1" applyAlignment="1">
      <alignment horizontal="right"/>
    </xf>
    <xf numFmtId="37" fontId="84" fillId="0" borderId="0" xfId="6" applyNumberFormat="1" applyFont="1" applyFill="1" applyBorder="1"/>
    <xf numFmtId="0" fontId="84" fillId="0" borderId="0" xfId="146" applyFont="1" applyFill="1" applyAlignment="1">
      <alignment horizontal="right"/>
    </xf>
    <xf numFmtId="164" fontId="84" fillId="0" borderId="0" xfId="6" applyNumberFormat="1" applyFont="1" applyFill="1" applyBorder="1" applyAlignment="1">
      <alignment horizontal="right"/>
    </xf>
    <xf numFmtId="0" fontId="84" fillId="0" borderId="0" xfId="182" applyFont="1" applyFill="1"/>
    <xf numFmtId="43" fontId="59" fillId="0" borderId="0" xfId="183" applyFont="1" applyFill="1" applyBorder="1" applyAlignment="1">
      <alignment horizontal="left" indent="2"/>
    </xf>
    <xf numFmtId="0" fontId="84" fillId="0" borderId="0" xfId="182" applyFont="1" applyFill="1" applyAlignment="1">
      <alignment horizontal="left" indent="4"/>
    </xf>
    <xf numFmtId="0" fontId="59" fillId="0" borderId="0" xfId="146" applyFont="1" applyFill="1" applyAlignment="1">
      <alignment horizontal="left"/>
    </xf>
    <xf numFmtId="0" fontId="59" fillId="0" borderId="0" xfId="146" applyFont="1" applyFill="1" applyBorder="1"/>
    <xf numFmtId="164" fontId="59" fillId="0" borderId="0" xfId="146" applyNumberFormat="1" applyFont="1" applyFill="1" applyBorder="1"/>
    <xf numFmtId="164" fontId="86" fillId="0" borderId="0" xfId="6" applyNumberFormat="1" applyFont="1" applyFill="1" applyBorder="1"/>
    <xf numFmtId="1" fontId="86" fillId="0" borderId="0" xfId="146" applyNumberFormat="1" applyFont="1" applyFill="1"/>
    <xf numFmtId="38" fontId="87" fillId="0" borderId="0" xfId="146" applyNumberFormat="1" applyFont="1" applyFill="1"/>
    <xf numFmtId="164" fontId="87" fillId="0" borderId="0" xfId="6" applyNumberFormat="1" applyFont="1" applyFill="1" applyBorder="1" applyProtection="1">
      <protection locked="0"/>
    </xf>
    <xf numFmtId="164" fontId="87" fillId="0" borderId="0" xfId="6" applyNumberFormat="1" applyFont="1" applyFill="1" applyBorder="1" applyAlignment="1">
      <alignment horizontal="right"/>
    </xf>
    <xf numFmtId="164" fontId="86" fillId="0" borderId="0" xfId="6" applyNumberFormat="1" applyFont="1" applyFill="1" applyProtection="1">
      <protection locked="0"/>
    </xf>
    <xf numFmtId="164" fontId="86" fillId="0" borderId="0" xfId="6" applyNumberFormat="1" applyFont="1" applyFill="1" applyAlignment="1" applyProtection="1">
      <alignment horizontal="left" vertical="top"/>
      <protection locked="0"/>
    </xf>
    <xf numFmtId="164" fontId="87" fillId="0" borderId="0" xfId="6" applyNumberFormat="1" applyFont="1" applyFill="1" applyBorder="1"/>
    <xf numFmtId="164" fontId="87" fillId="0" borderId="0" xfId="6" applyNumberFormat="1" applyFont="1" applyFill="1" applyProtection="1">
      <protection locked="0"/>
    </xf>
    <xf numFmtId="164" fontId="87" fillId="0" borderId="0" xfId="6" applyNumberFormat="1" applyFont="1" applyFill="1" applyAlignment="1">
      <alignment vertical="center"/>
    </xf>
    <xf numFmtId="43" fontId="59" fillId="0" borderId="0" xfId="6" applyFont="1" applyFill="1" applyBorder="1"/>
    <xf numFmtId="164" fontId="86" fillId="0" borderId="15" xfId="6" applyNumberFormat="1" applyFont="1" applyFill="1" applyBorder="1"/>
    <xf numFmtId="164" fontId="86" fillId="0" borderId="15" xfId="6" applyNumberFormat="1" applyFont="1" applyFill="1" applyBorder="1" applyProtection="1">
      <protection locked="0"/>
    </xf>
    <xf numFmtId="164" fontId="86" fillId="0" borderId="15" xfId="6" applyNumberFormat="1" applyFont="1" applyFill="1" applyBorder="1" applyAlignment="1">
      <alignment vertical="center"/>
    </xf>
    <xf numFmtId="164" fontId="86" fillId="0" borderId="15" xfId="6" applyNumberFormat="1" applyFont="1" applyFill="1" applyBorder="1" applyAlignment="1">
      <alignment horizontal="right"/>
    </xf>
    <xf numFmtId="164" fontId="86" fillId="0" borderId="0" xfId="6" applyNumberFormat="1" applyFont="1" applyFill="1" applyBorder="1" applyProtection="1">
      <protection locked="0"/>
    </xf>
    <xf numFmtId="164" fontId="26" fillId="0" borderId="0" xfId="146" applyNumberFormat="1" applyFont="1" applyFill="1"/>
    <xf numFmtId="0" fontId="62" fillId="0" borderId="0" xfId="146" applyFont="1" applyFill="1" applyAlignment="1">
      <alignment horizontal="center"/>
    </xf>
    <xf numFmtId="0" fontId="26" fillId="0" borderId="0" xfId="146" applyFont="1" applyFill="1" applyAlignment="1">
      <alignment horizontal="center"/>
    </xf>
    <xf numFmtId="0" fontId="0" fillId="0" borderId="0" xfId="0" applyFill="1"/>
    <xf numFmtId="0" fontId="91" fillId="0" borderId="0" xfId="164" applyNumberFormat="1" applyFont="1" applyFill="1" applyBorder="1" applyAlignment="1">
      <alignment horizontal="center"/>
    </xf>
    <xf numFmtId="164" fontId="0" fillId="0" borderId="0" xfId="0" applyNumberFormat="1" applyFill="1"/>
    <xf numFmtId="0" fontId="24" fillId="0" borderId="0" xfId="165" applyFont="1" applyAlignment="1">
      <alignment horizontal="center"/>
    </xf>
    <xf numFmtId="175" fontId="0" fillId="0" borderId="0" xfId="0" applyNumberFormat="1" applyFill="1"/>
    <xf numFmtId="0" fontId="25" fillId="0" borderId="0" xfId="163" applyFont="1"/>
    <xf numFmtId="0" fontId="68" fillId="17" borderId="0" xfId="163" applyFont="1" applyFill="1"/>
    <xf numFmtId="0" fontId="24" fillId="17" borderId="0" xfId="163" applyFont="1" applyFill="1"/>
    <xf numFmtId="0" fontId="0" fillId="17" borderId="0" xfId="0" applyFill="1" applyAlignment="1">
      <alignment horizontal="left"/>
    </xf>
    <xf numFmtId="164" fontId="0" fillId="17" borderId="0" xfId="0" applyNumberFormat="1" applyFill="1"/>
    <xf numFmtId="0" fontId="26" fillId="17" borderId="0" xfId="146" applyFont="1" applyFill="1"/>
    <xf numFmtId="164" fontId="26" fillId="17" borderId="0" xfId="146" applyNumberFormat="1" applyFont="1" applyFill="1"/>
    <xf numFmtId="0" fontId="59" fillId="17" borderId="0" xfId="146" applyFont="1" applyFill="1"/>
    <xf numFmtId="0" fontId="0" fillId="17" borderId="0" xfId="0" applyFill="1"/>
    <xf numFmtId="164" fontId="59" fillId="17" borderId="0" xfId="6" applyNumberFormat="1" applyFont="1" applyFill="1" applyBorder="1"/>
    <xf numFmtId="0" fontId="59" fillId="17" borderId="0" xfId="146" applyFont="1" applyFill="1" applyBorder="1"/>
    <xf numFmtId="164" fontId="59" fillId="17" borderId="0" xfId="1" applyNumberFormat="1" applyFont="1" applyFill="1"/>
    <xf numFmtId="164" fontId="59" fillId="17" borderId="0" xfId="146" applyNumberFormat="1" applyFont="1" applyFill="1"/>
    <xf numFmtId="0" fontId="62" fillId="0" borderId="13" xfId="146" applyFont="1" applyFill="1" applyBorder="1" applyAlignment="1">
      <alignment horizontal="center"/>
    </xf>
    <xf numFmtId="164" fontId="26" fillId="0" borderId="0" xfId="6" applyNumberFormat="1" applyFont="1" applyFill="1" applyBorder="1" applyAlignment="1"/>
    <xf numFmtId="0" fontId="74" fillId="0" borderId="13" xfId="146" applyFont="1" applyFill="1" applyBorder="1" applyAlignment="1">
      <alignment horizontal="center"/>
    </xf>
    <xf numFmtId="164" fontId="26" fillId="0" borderId="0" xfId="6" applyNumberFormat="1" applyFont="1" applyFill="1" applyBorder="1" applyAlignment="1">
      <alignment horizontal="center"/>
    </xf>
    <xf numFmtId="164" fontId="26" fillId="0" borderId="0" xfId="6" applyNumberFormat="1" applyFont="1" applyFill="1" applyBorder="1"/>
    <xf numFmtId="37" fontId="62" fillId="0" borderId="0" xfId="6" applyNumberFormat="1" applyFont="1" applyFill="1"/>
    <xf numFmtId="43" fontId="26" fillId="0" borderId="0" xfId="6" applyFont="1" applyFill="1" applyAlignment="1">
      <alignment horizontal="left" indent="2"/>
    </xf>
    <xf numFmtId="164" fontId="78" fillId="0" borderId="0" xfId="6" applyNumberFormat="1" applyFont="1" applyFill="1"/>
    <xf numFmtId="171" fontId="26" fillId="0" borderId="0" xfId="27" applyNumberFormat="1" applyFont="1" applyFill="1" applyBorder="1"/>
    <xf numFmtId="43" fontId="26" fillId="0" borderId="0" xfId="6" applyFont="1" applyFill="1" applyBorder="1" applyAlignment="1">
      <alignment horizontal="left" indent="2"/>
    </xf>
    <xf numFmtId="37" fontId="26" fillId="0" borderId="12" xfId="6" applyNumberFormat="1" applyFont="1" applyFill="1" applyBorder="1" applyAlignment="1">
      <alignment horizontal="right"/>
    </xf>
    <xf numFmtId="164" fontId="26" fillId="0" borderId="12" xfId="6" applyNumberFormat="1" applyFont="1" applyFill="1" applyBorder="1"/>
    <xf numFmtId="164" fontId="26" fillId="0" borderId="0" xfId="6" applyNumberFormat="1" applyFont="1" applyFill="1" applyBorder="1" applyAlignment="1" applyProtection="1">
      <alignment horizontal="left"/>
      <protection locked="0"/>
    </xf>
    <xf numFmtId="164" fontId="26" fillId="0" borderId="15" xfId="6" applyNumberFormat="1" applyFont="1" applyFill="1" applyBorder="1"/>
    <xf numFmtId="0" fontId="62" fillId="0" borderId="0" xfId="146" applyFont="1" applyFill="1"/>
    <xf numFmtId="43" fontId="26" fillId="0" borderId="15" xfId="6" applyFont="1" applyFill="1" applyBorder="1" applyAlignment="1">
      <alignment horizontal="left" indent="2"/>
    </xf>
    <xf numFmtId="37" fontId="26" fillId="0" borderId="0" xfId="6" applyNumberFormat="1" applyFont="1" applyFill="1" applyBorder="1" applyAlignment="1">
      <alignment horizontal="right"/>
    </xf>
    <xf numFmtId="164" fontId="58" fillId="0" borderId="0" xfId="6" applyNumberFormat="1" applyFont="1" applyFill="1"/>
    <xf numFmtId="0" fontId="26" fillId="0" borderId="0" xfId="146" applyFont="1" applyFill="1" applyAlignment="1">
      <alignment horizontal="left" indent="3"/>
    </xf>
    <xf numFmtId="0" fontId="62" fillId="0" borderId="16" xfId="146" applyFont="1" applyFill="1" applyBorder="1" applyAlignment="1">
      <alignment horizontal="right"/>
    </xf>
    <xf numFmtId="164" fontId="62" fillId="0" borderId="14" xfId="6" applyNumberFormat="1" applyFont="1" applyFill="1" applyBorder="1" applyAlignment="1">
      <alignment horizontal="right"/>
    </xf>
    <xf numFmtId="164" fontId="62" fillId="0" borderId="17" xfId="6" applyNumberFormat="1" applyFont="1" applyFill="1" applyBorder="1" applyAlignment="1">
      <alignment horizontal="right"/>
    </xf>
    <xf numFmtId="37" fontId="62" fillId="0" borderId="0" xfId="6" applyNumberFormat="1" applyFont="1" applyFill="1" applyBorder="1"/>
    <xf numFmtId="0" fontId="62" fillId="0" borderId="0" xfId="146" applyFont="1" applyFill="1" applyAlignment="1">
      <alignment horizontal="right"/>
    </xf>
    <xf numFmtId="164" fontId="62" fillId="0" borderId="0" xfId="6" applyNumberFormat="1" applyFont="1" applyFill="1" applyBorder="1" applyAlignment="1">
      <alignment horizontal="right"/>
    </xf>
    <xf numFmtId="0" fontId="62" fillId="0" borderId="0" xfId="161" applyFont="1" applyFill="1"/>
    <xf numFmtId="43" fontId="26" fillId="0" borderId="0" xfId="162" applyFont="1" applyFill="1" applyBorder="1" applyAlignment="1">
      <alignment horizontal="left" indent="2"/>
    </xf>
    <xf numFmtId="0" fontId="62" fillId="0" borderId="0" xfId="161" applyFont="1" applyFill="1" applyAlignment="1">
      <alignment horizontal="left" indent="4"/>
    </xf>
    <xf numFmtId="164" fontId="66" fillId="0" borderId="0" xfId="6" applyNumberFormat="1" applyFont="1" applyFill="1" applyBorder="1"/>
    <xf numFmtId="164" fontId="26" fillId="17" borderId="0" xfId="6" applyNumberFormat="1" applyFont="1" applyFill="1" applyBorder="1"/>
    <xf numFmtId="164" fontId="78" fillId="0" borderId="0" xfId="6" applyNumberFormat="1" applyFont="1" applyFill="1" applyBorder="1"/>
    <xf numFmtId="164" fontId="58" fillId="0" borderId="0" xfId="6" applyNumberFormat="1" applyFont="1" applyFill="1" applyBorder="1"/>
    <xf numFmtId="43" fontId="26" fillId="0" borderId="0" xfId="6" applyFont="1" applyFill="1" applyBorder="1"/>
    <xf numFmtId="1" fontId="78" fillId="0" borderId="0" xfId="146" applyNumberFormat="1" applyFont="1" applyFill="1"/>
    <xf numFmtId="38" fontId="81" fillId="0" borderId="0" xfId="146" applyNumberFormat="1" applyFont="1" applyFill="1"/>
    <xf numFmtId="164" fontId="81" fillId="0" borderId="0" xfId="6" applyNumberFormat="1" applyFont="1" applyFill="1" applyBorder="1" applyProtection="1">
      <protection locked="0"/>
    </xf>
    <xf numFmtId="164" fontId="81" fillId="0" borderId="0" xfId="6" applyNumberFormat="1" applyFont="1" applyFill="1" applyBorder="1" applyAlignment="1">
      <alignment horizontal="right"/>
    </xf>
    <xf numFmtId="164" fontId="78" fillId="0" borderId="0" xfId="6" applyNumberFormat="1" applyFont="1" applyFill="1" applyProtection="1">
      <protection locked="0"/>
    </xf>
    <xf numFmtId="164" fontId="58" fillId="0" borderId="0" xfId="6" applyNumberFormat="1" applyFont="1" applyFill="1" applyProtection="1">
      <protection locked="0"/>
    </xf>
    <xf numFmtId="164" fontId="78" fillId="0" borderId="0" xfId="6" applyNumberFormat="1" applyFont="1" applyFill="1" applyAlignment="1" applyProtection="1">
      <alignment horizontal="left" vertical="top"/>
      <protection locked="0"/>
    </xf>
    <xf numFmtId="164" fontId="81" fillId="0" borderId="0" xfId="6" applyNumberFormat="1" applyFont="1" applyFill="1" applyBorder="1"/>
    <xf numFmtId="164" fontId="81" fillId="0" borderId="0" xfId="6" applyNumberFormat="1" applyFont="1" applyFill="1" applyProtection="1">
      <protection locked="0"/>
    </xf>
    <xf numFmtId="164" fontId="81" fillId="0" borderId="0" xfId="6" applyNumberFormat="1" applyFont="1" applyFill="1" applyAlignment="1">
      <alignment vertical="center"/>
    </xf>
    <xf numFmtId="164" fontId="78" fillId="0" borderId="15" xfId="6" applyNumberFormat="1" applyFont="1" applyFill="1" applyBorder="1"/>
    <xf numFmtId="164" fontId="78" fillId="0" borderId="15" xfId="6" applyNumberFormat="1" applyFont="1" applyFill="1" applyBorder="1" applyProtection="1">
      <protection locked="0"/>
    </xf>
    <xf numFmtId="164" fontId="78" fillId="0" borderId="15" xfId="6" applyNumberFormat="1" applyFont="1" applyFill="1" applyBorder="1" applyAlignment="1">
      <alignment vertical="center"/>
    </xf>
    <xf numFmtId="164" fontId="78" fillId="0" borderId="15" xfId="6" applyNumberFormat="1" applyFont="1" applyFill="1" applyBorder="1" applyAlignment="1">
      <alignment horizontal="right"/>
    </xf>
    <xf numFmtId="164" fontId="78" fillId="0" borderId="0" xfId="6" applyNumberFormat="1" applyFont="1" applyFill="1" applyBorder="1" applyProtection="1">
      <protection locked="0"/>
    </xf>
    <xf numFmtId="43" fontId="26" fillId="0" borderId="0" xfId="146" applyNumberFormat="1" applyFont="1" applyFill="1"/>
    <xf numFmtId="164" fontId="26" fillId="17" borderId="0" xfId="1" applyNumberFormat="1" applyFont="1" applyFill="1"/>
    <xf numFmtId="0" fontId="26" fillId="0" borderId="0" xfId="146" applyFont="1" applyFill="1" applyAlignment="1">
      <alignment horizontal="right"/>
    </xf>
    <xf numFmtId="0" fontId="62" fillId="0" borderId="0" xfId="147" applyFont="1" applyFill="1"/>
    <xf numFmtId="43" fontId="26" fillId="0" borderId="0" xfId="148" applyFont="1" applyFill="1" applyBorder="1" applyAlignment="1">
      <alignment horizontal="left" indent="2"/>
    </xf>
    <xf numFmtId="0" fontId="62" fillId="0" borderId="0" xfId="147" applyFont="1" applyFill="1" applyAlignment="1">
      <alignment horizontal="left" indent="4"/>
    </xf>
    <xf numFmtId="164" fontId="66" fillId="0" borderId="0" xfId="6" applyNumberFormat="1" applyFont="1" applyFill="1"/>
    <xf numFmtId="164" fontId="26" fillId="0" borderId="0" xfId="76" applyNumberFormat="1" applyFont="1" applyFill="1" applyBorder="1" applyAlignment="1">
      <alignment horizontal="center"/>
    </xf>
    <xf numFmtId="164" fontId="26" fillId="0" borderId="0" xfId="76" applyNumberFormat="1" applyFont="1" applyFill="1" applyBorder="1"/>
    <xf numFmtId="37" fontId="62" fillId="0" borderId="0" xfId="76" applyNumberFormat="1" applyFont="1" applyFill="1"/>
    <xf numFmtId="164" fontId="78" fillId="0" borderId="0" xfId="76" applyNumberFormat="1" applyFont="1" applyFill="1" applyBorder="1"/>
    <xf numFmtId="43" fontId="26" fillId="0" borderId="0" xfId="76" applyFont="1" applyFill="1" applyBorder="1" applyAlignment="1">
      <alignment horizontal="left" indent="2"/>
    </xf>
    <xf numFmtId="164" fontId="78" fillId="0" borderId="15" xfId="76" applyNumberFormat="1" applyFont="1" applyFill="1" applyBorder="1"/>
    <xf numFmtId="164" fontId="26" fillId="0" borderId="15" xfId="76" applyNumberFormat="1" applyFont="1" applyFill="1" applyBorder="1"/>
    <xf numFmtId="37" fontId="26" fillId="0" borderId="12" xfId="76" applyNumberFormat="1" applyFont="1" applyFill="1" applyBorder="1" applyAlignment="1">
      <alignment horizontal="right"/>
    </xf>
    <xf numFmtId="164" fontId="81" fillId="0" borderId="0" xfId="76" applyNumberFormat="1" applyFont="1" applyFill="1" applyBorder="1" applyProtection="1">
      <protection locked="0"/>
    </xf>
    <xf numFmtId="164" fontId="81" fillId="0" borderId="0" xfId="76" applyNumberFormat="1" applyFont="1" applyFill="1" applyBorder="1" applyAlignment="1">
      <alignment horizontal="right"/>
    </xf>
    <xf numFmtId="43" fontId="26" fillId="0" borderId="15" xfId="76" applyFont="1" applyFill="1" applyBorder="1" applyAlignment="1">
      <alignment horizontal="left" indent="2"/>
    </xf>
    <xf numFmtId="37" fontId="26" fillId="0" borderId="0" xfId="76" applyNumberFormat="1" applyFont="1" applyFill="1" applyBorder="1" applyAlignment="1">
      <alignment horizontal="right"/>
    </xf>
    <xf numFmtId="164" fontId="78" fillId="0" borderId="0" xfId="76" applyNumberFormat="1" applyFont="1" applyFill="1" applyProtection="1">
      <protection locked="0"/>
    </xf>
    <xf numFmtId="164" fontId="78" fillId="0" borderId="15" xfId="76" applyNumberFormat="1" applyFont="1" applyFill="1" applyBorder="1" applyProtection="1">
      <protection locked="0"/>
    </xf>
    <xf numFmtId="164" fontId="78" fillId="0" borderId="0" xfId="76" applyNumberFormat="1" applyFont="1" applyFill="1" applyAlignment="1" applyProtection="1">
      <alignment horizontal="left" vertical="top"/>
      <protection locked="0"/>
    </xf>
    <xf numFmtId="164" fontId="58" fillId="0" borderId="0" xfId="76" applyNumberFormat="1" applyFont="1" applyFill="1" applyProtection="1">
      <protection locked="0"/>
    </xf>
    <xf numFmtId="164" fontId="26" fillId="0" borderId="12" xfId="76" applyNumberFormat="1" applyFont="1" applyFill="1" applyBorder="1"/>
    <xf numFmtId="164" fontId="81" fillId="0" borderId="0" xfId="76" applyNumberFormat="1" applyFont="1" applyFill="1" applyBorder="1"/>
    <xf numFmtId="164" fontId="81" fillId="0" borderId="0" xfId="76" applyNumberFormat="1" applyFont="1" applyFill="1" applyProtection="1">
      <protection locked="0"/>
    </xf>
    <xf numFmtId="164" fontId="81" fillId="0" borderId="0" xfId="76" applyNumberFormat="1" applyFont="1" applyFill="1" applyAlignment="1">
      <alignment vertical="center"/>
    </xf>
    <xf numFmtId="43" fontId="26" fillId="0" borderId="0" xfId="76" applyFont="1" applyFill="1" applyBorder="1"/>
    <xf numFmtId="164" fontId="78" fillId="0" borderId="15" xfId="76" applyNumberFormat="1" applyFont="1" applyFill="1" applyBorder="1" applyAlignment="1">
      <alignment vertical="center"/>
    </xf>
    <xf numFmtId="164" fontId="78" fillId="0" borderId="15" xfId="76" applyNumberFormat="1" applyFont="1" applyFill="1" applyBorder="1" applyAlignment="1">
      <alignment horizontal="right"/>
    </xf>
    <xf numFmtId="164" fontId="62" fillId="0" borderId="14" xfId="76" applyNumberFormat="1" applyFont="1" applyFill="1" applyBorder="1" applyAlignment="1">
      <alignment horizontal="right"/>
    </xf>
    <xf numFmtId="164" fontId="62" fillId="0" borderId="17" xfId="76" applyNumberFormat="1" applyFont="1" applyFill="1" applyBorder="1" applyAlignment="1">
      <alignment horizontal="right"/>
    </xf>
    <xf numFmtId="37" fontId="62" fillId="0" borderId="0" xfId="76" applyNumberFormat="1" applyFont="1" applyFill="1" applyBorder="1"/>
    <xf numFmtId="164" fontId="78" fillId="0" borderId="0" xfId="76" applyNumberFormat="1" applyFont="1" applyFill="1" applyBorder="1" applyProtection="1">
      <protection locked="0"/>
    </xf>
    <xf numFmtId="43" fontId="66" fillId="0" borderId="0" xfId="146" applyNumberFormat="1" applyFont="1" applyFill="1"/>
    <xf numFmtId="0" fontId="73" fillId="0" borderId="13" xfId="146" applyFont="1" applyFill="1" applyBorder="1" applyAlignment="1">
      <alignment horizontal="center"/>
    </xf>
    <xf numFmtId="0" fontId="74" fillId="0" borderId="21" xfId="146" applyFont="1" applyFill="1" applyBorder="1" applyAlignment="1" applyProtection="1">
      <alignment horizontal="center"/>
      <protection locked="0"/>
    </xf>
    <xf numFmtId="0" fontId="74" fillId="0" borderId="22" xfId="146" applyFont="1" applyFill="1" applyBorder="1" applyAlignment="1">
      <alignment horizontal="center"/>
    </xf>
    <xf numFmtId="0" fontId="74" fillId="0" borderId="0" xfId="146" applyFont="1" applyFill="1" applyAlignment="1" applyProtection="1">
      <alignment horizontal="center"/>
      <protection locked="0"/>
    </xf>
    <xf numFmtId="0" fontId="62" fillId="0" borderId="23" xfId="146" applyFont="1" applyFill="1" applyBorder="1" applyAlignment="1">
      <alignment horizontal="center"/>
    </xf>
    <xf numFmtId="0" fontId="62" fillId="0" borderId="22" xfId="146" applyFont="1" applyFill="1" applyBorder="1" applyAlignment="1">
      <alignment horizontal="center"/>
    </xf>
    <xf numFmtId="0" fontId="69" fillId="0" borderId="0" xfId="146" applyFont="1" applyFill="1" applyAlignment="1">
      <alignment horizontal="center"/>
    </xf>
    <xf numFmtId="0" fontId="75" fillId="0" borderId="0" xfId="146" applyFont="1" applyFill="1" applyAlignment="1">
      <alignment horizontal="center"/>
    </xf>
    <xf numFmtId="0" fontId="76" fillId="0" borderId="0" xfId="146" applyFont="1" applyFill="1" applyAlignment="1">
      <alignment horizontal="center"/>
    </xf>
    <xf numFmtId="0" fontId="76" fillId="0" borderId="0" xfId="146" applyFont="1" applyFill="1" applyAlignment="1" applyProtection="1">
      <alignment horizontal="center"/>
      <protection locked="0"/>
    </xf>
    <xf numFmtId="0" fontId="26" fillId="0" borderId="0" xfId="146" applyFont="1" applyFill="1" applyAlignment="1" applyProtection="1">
      <alignment horizontal="center"/>
      <protection locked="0"/>
    </xf>
    <xf numFmtId="0" fontId="60" fillId="0" borderId="0" xfId="170" applyFont="1" applyFill="1" applyAlignment="1">
      <alignment horizontal="center"/>
    </xf>
    <xf numFmtId="0" fontId="77" fillId="0" borderId="0" xfId="146" applyFont="1" applyFill="1" applyAlignment="1">
      <alignment horizontal="center"/>
    </xf>
    <xf numFmtId="165" fontId="72" fillId="0" borderId="0" xfId="146" applyNumberFormat="1" applyFont="1" applyFill="1"/>
    <xf numFmtId="0" fontId="26" fillId="0" borderId="0" xfId="146" applyFont="1" applyFill="1" applyProtection="1">
      <protection locked="0"/>
    </xf>
    <xf numFmtId="0" fontId="72" fillId="0" borderId="0" xfId="146" applyFont="1" applyFill="1" applyAlignment="1">
      <alignment horizontal="center"/>
    </xf>
    <xf numFmtId="0" fontId="65" fillId="0" borderId="0" xfId="146" applyFont="1" applyFill="1" applyAlignment="1">
      <alignment horizontal="center"/>
    </xf>
    <xf numFmtId="172" fontId="62" fillId="0" borderId="0" xfId="76" applyNumberFormat="1" applyFont="1" applyFill="1" applyBorder="1" applyAlignment="1">
      <alignment horizontal="center"/>
    </xf>
    <xf numFmtId="172" fontId="62" fillId="0" borderId="0" xfId="76" applyNumberFormat="1" applyFont="1" applyFill="1" applyBorder="1" applyAlignment="1" applyProtection="1">
      <alignment horizontal="center"/>
      <protection locked="0"/>
    </xf>
    <xf numFmtId="172" fontId="73" fillId="0" borderId="0" xfId="76" applyNumberFormat="1" applyFont="1" applyFill="1" applyBorder="1" applyAlignment="1">
      <alignment horizontal="center"/>
    </xf>
    <xf numFmtId="44" fontId="62" fillId="0" borderId="0" xfId="75" applyFont="1" applyFill="1"/>
    <xf numFmtId="165" fontId="79" fillId="0" borderId="0" xfId="75" applyNumberFormat="1" applyFont="1" applyFill="1" applyBorder="1" applyProtection="1">
      <protection locked="0"/>
    </xf>
    <xf numFmtId="165" fontId="62" fillId="0" borderId="0" xfId="75" applyNumberFormat="1" applyFont="1" applyFill="1" applyBorder="1"/>
    <xf numFmtId="165" fontId="26" fillId="0" borderId="0" xfId="75" applyNumberFormat="1" applyFont="1" applyFill="1" applyAlignment="1">
      <alignment vertical="center"/>
    </xf>
    <xf numFmtId="165" fontId="26" fillId="0" borderId="0" xfId="75" applyNumberFormat="1" applyFont="1" applyFill="1" applyAlignment="1" applyProtection="1">
      <alignment vertical="center"/>
      <protection locked="0"/>
    </xf>
    <xf numFmtId="165" fontId="26" fillId="0" borderId="0" xfId="75" applyNumberFormat="1" applyFont="1" applyFill="1" applyBorder="1" applyAlignment="1" applyProtection="1">
      <alignment vertical="center"/>
      <protection locked="0"/>
    </xf>
    <xf numFmtId="165" fontId="26" fillId="0" borderId="15" xfId="75" applyNumberFormat="1" applyFont="1" applyFill="1" applyBorder="1"/>
    <xf numFmtId="165" fontId="26" fillId="0" borderId="15" xfId="75" applyNumberFormat="1" applyFont="1" applyFill="1" applyBorder="1" applyAlignment="1">
      <alignment vertical="center"/>
    </xf>
    <xf numFmtId="165" fontId="62" fillId="0" borderId="15" xfId="75" applyNumberFormat="1" applyFont="1" applyFill="1" applyBorder="1"/>
    <xf numFmtId="165" fontId="78" fillId="0" borderId="15" xfId="75" applyNumberFormat="1" applyFont="1" applyFill="1" applyBorder="1" applyProtection="1">
      <protection locked="0"/>
    </xf>
    <xf numFmtId="165" fontId="26" fillId="0" borderId="15" xfId="75" applyNumberFormat="1" applyFont="1" applyFill="1" applyBorder="1" applyProtection="1">
      <protection locked="0"/>
    </xf>
    <xf numFmtId="165" fontId="26" fillId="0" borderId="15" xfId="75" applyNumberFormat="1" applyFont="1" applyFill="1" applyBorder="1" applyAlignment="1" applyProtection="1">
      <alignment vertical="center"/>
      <protection locked="0"/>
    </xf>
    <xf numFmtId="37" fontId="62" fillId="0" borderId="12" xfId="76" applyNumberFormat="1" applyFont="1" applyFill="1" applyBorder="1" applyAlignment="1">
      <alignment horizontal="right"/>
    </xf>
    <xf numFmtId="165" fontId="62" fillId="0" borderId="0" xfId="75" applyNumberFormat="1" applyFont="1" applyFill="1" applyBorder="1" applyProtection="1">
      <protection locked="0"/>
    </xf>
    <xf numFmtId="0" fontId="69" fillId="0" borderId="0" xfId="146" applyFont="1" applyFill="1"/>
    <xf numFmtId="165" fontId="58" fillId="0" borderId="0" xfId="75" applyNumberFormat="1" applyFont="1" applyFill="1" applyBorder="1" applyProtection="1">
      <protection locked="0"/>
    </xf>
    <xf numFmtId="165" fontId="79" fillId="0" borderId="0" xfId="75" applyNumberFormat="1" applyFont="1" applyFill="1" applyBorder="1"/>
    <xf numFmtId="165" fontId="26" fillId="0" borderId="0" xfId="150" applyNumberFormat="1" applyFont="1" applyFill="1" applyBorder="1"/>
    <xf numFmtId="43" fontId="58" fillId="0" borderId="0" xfId="76" applyFont="1" applyFill="1" applyBorder="1" applyAlignment="1">
      <alignment horizontal="left" indent="2"/>
    </xf>
    <xf numFmtId="165" fontId="78" fillId="0" borderId="0" xfId="75" applyNumberFormat="1" applyFont="1" applyFill="1" applyBorder="1"/>
    <xf numFmtId="165" fontId="78" fillId="0" borderId="0" xfId="150" applyNumberFormat="1" applyFont="1" applyFill="1" applyBorder="1"/>
    <xf numFmtId="165" fontId="78" fillId="0" borderId="0" xfId="75" applyNumberFormat="1" applyFont="1" applyFill="1" applyBorder="1" applyAlignment="1">
      <alignment vertical="center"/>
    </xf>
    <xf numFmtId="165" fontId="58" fillId="0" borderId="15" xfId="75" applyNumberFormat="1" applyFont="1" applyFill="1" applyBorder="1" applyProtection="1">
      <protection locked="0"/>
    </xf>
    <xf numFmtId="165" fontId="62" fillId="0" borderId="0" xfId="146" applyNumberFormat="1" applyFont="1" applyFill="1"/>
    <xf numFmtId="165" fontId="72" fillId="0" borderId="0" xfId="146" applyNumberFormat="1" applyFont="1" applyFill="1" applyProtection="1">
      <protection locked="0"/>
    </xf>
    <xf numFmtId="165" fontId="78" fillId="0" borderId="0" xfId="75" applyNumberFormat="1" applyFont="1" applyFill="1" applyBorder="1" applyAlignment="1" applyProtection="1">
      <alignment vertical="center"/>
      <protection locked="0"/>
    </xf>
    <xf numFmtId="0" fontId="26" fillId="0" borderId="15" xfId="146" applyFont="1" applyFill="1" applyBorder="1" applyAlignment="1">
      <alignment horizontal="left" indent="3"/>
    </xf>
    <xf numFmtId="165" fontId="62" fillId="0" borderId="12" xfId="75" applyNumberFormat="1" applyFont="1" applyFill="1" applyBorder="1"/>
    <xf numFmtId="165" fontId="62" fillId="0" borderId="12" xfId="75" applyNumberFormat="1" applyFont="1" applyFill="1" applyBorder="1" applyProtection="1">
      <protection locked="0"/>
    </xf>
    <xf numFmtId="165" fontId="78" fillId="0" borderId="0" xfId="75" applyNumberFormat="1" applyFont="1" applyFill="1"/>
    <xf numFmtId="165" fontId="78" fillId="0" borderId="15" xfId="75" applyNumberFormat="1" applyFont="1" applyFill="1" applyBorder="1"/>
    <xf numFmtId="43" fontId="62" fillId="0" borderId="15" xfId="76" applyFont="1" applyFill="1" applyBorder="1"/>
    <xf numFmtId="164" fontId="62" fillId="0" borderId="0" xfId="76" applyNumberFormat="1" applyFont="1" applyFill="1" applyBorder="1" applyAlignment="1" applyProtection="1">
      <alignment horizontal="right"/>
      <protection locked="0"/>
    </xf>
    <xf numFmtId="37" fontId="62" fillId="0" borderId="14" xfId="76" applyNumberFormat="1" applyFont="1" applyFill="1" applyBorder="1" applyAlignment="1">
      <alignment horizontal="right"/>
    </xf>
    <xf numFmtId="165" fontId="62" fillId="0" borderId="14" xfId="75" applyNumberFormat="1" applyFont="1" applyFill="1" applyBorder="1"/>
    <xf numFmtId="165" fontId="26" fillId="0" borderId="0" xfId="75" applyNumberFormat="1" applyFont="1" applyFill="1" applyProtection="1">
      <protection locked="0"/>
    </xf>
    <xf numFmtId="164" fontId="62" fillId="0" borderId="0" xfId="76" applyNumberFormat="1" applyFont="1" applyFill="1" applyBorder="1" applyAlignment="1">
      <alignment horizontal="right"/>
    </xf>
    <xf numFmtId="0" fontId="62" fillId="0" borderId="0" xfId="171" applyFont="1" applyFill="1"/>
    <xf numFmtId="43" fontId="26" fillId="0" borderId="0" xfId="172" applyFont="1" applyFill="1" applyBorder="1" applyAlignment="1">
      <alignment horizontal="left" indent="2"/>
    </xf>
    <xf numFmtId="164" fontId="26" fillId="0" borderId="0" xfId="76" applyNumberFormat="1" applyFont="1" applyFill="1" applyBorder="1" applyAlignment="1" applyProtection="1">
      <alignment horizontal="right"/>
      <protection locked="0"/>
    </xf>
    <xf numFmtId="0" fontId="62" fillId="0" borderId="0" xfId="171" applyFont="1" applyFill="1" applyAlignment="1">
      <alignment horizontal="left" indent="4"/>
    </xf>
    <xf numFmtId="0" fontId="62" fillId="0" borderId="16" xfId="171" applyFont="1" applyFill="1" applyBorder="1" applyAlignment="1">
      <alignment horizontal="left" indent="4"/>
    </xf>
    <xf numFmtId="165" fontId="26" fillId="0" borderId="0" xfId="146" applyNumberFormat="1" applyFont="1" applyFill="1"/>
    <xf numFmtId="165" fontId="26" fillId="0" borderId="0" xfId="146" applyNumberFormat="1" applyFont="1" applyFill="1" applyProtection="1">
      <protection locked="0"/>
    </xf>
    <xf numFmtId="37" fontId="62" fillId="0" borderId="0" xfId="76" applyNumberFormat="1" applyFont="1" applyFill="1" applyBorder="1" applyAlignment="1">
      <alignment horizontal="left" indent="2"/>
    </xf>
    <xf numFmtId="165" fontId="62" fillId="0" borderId="0" xfId="75" applyNumberFormat="1" applyFont="1" applyFill="1" applyProtection="1">
      <protection locked="0"/>
    </xf>
    <xf numFmtId="165" fontId="26" fillId="0" borderId="0" xfId="75" quotePrefix="1" applyNumberFormat="1" applyFont="1" applyFill="1" applyBorder="1" applyAlignment="1">
      <alignment vertical="center"/>
    </xf>
    <xf numFmtId="165" fontId="26" fillId="0" borderId="0" xfId="75" quotePrefix="1" applyNumberFormat="1" applyFont="1" applyFill="1" applyBorder="1" applyAlignment="1" applyProtection="1">
      <alignment vertical="center"/>
      <protection locked="0"/>
    </xf>
    <xf numFmtId="165" fontId="26" fillId="0" borderId="0" xfId="75" applyNumberFormat="1" applyFont="1" applyFill="1" applyBorder="1" applyAlignment="1">
      <alignment horizontal="center"/>
    </xf>
    <xf numFmtId="165" fontId="26" fillId="0" borderId="0" xfId="75" applyNumberFormat="1" applyFont="1" applyFill="1" applyBorder="1" applyAlignment="1" applyProtection="1">
      <alignment horizontal="center"/>
      <protection locked="0"/>
    </xf>
    <xf numFmtId="165" fontId="78" fillId="0" borderId="0" xfId="75" applyNumberFormat="1" applyFont="1" applyFill="1" applyBorder="1" applyAlignment="1" applyProtection="1">
      <alignment horizontal="center"/>
      <protection locked="0"/>
    </xf>
    <xf numFmtId="165" fontId="58" fillId="0" borderId="0" xfId="75" applyNumberFormat="1" applyFont="1" applyFill="1" applyBorder="1" applyAlignment="1">
      <alignment vertical="center"/>
    </xf>
    <xf numFmtId="165" fontId="58" fillId="0" borderId="0" xfId="75" applyNumberFormat="1" applyFont="1" applyFill="1" applyBorder="1"/>
    <xf numFmtId="37" fontId="62" fillId="0" borderId="0" xfId="173" applyNumberFormat="1" applyFont="1" applyFill="1" applyBorder="1" applyAlignment="1">
      <alignment horizontal="left" indent="2"/>
    </xf>
    <xf numFmtId="165" fontId="79" fillId="0" borderId="0" xfId="75" applyNumberFormat="1" applyFont="1" applyFill="1" applyBorder="1" applyAlignment="1">
      <alignment horizontal="center"/>
    </xf>
    <xf numFmtId="0" fontId="80" fillId="0" borderId="0" xfId="146" applyFont="1" applyFill="1" applyProtection="1">
      <protection locked="0"/>
    </xf>
    <xf numFmtId="44" fontId="72" fillId="0" borderId="0" xfId="146" applyNumberFormat="1" applyFont="1" applyFill="1" applyProtection="1">
      <protection locked="0"/>
    </xf>
    <xf numFmtId="165" fontId="26" fillId="0" borderId="14" xfId="75" applyNumberFormat="1" applyFont="1" applyFill="1" applyBorder="1"/>
    <xf numFmtId="37" fontId="26" fillId="0" borderId="0" xfId="76" applyNumberFormat="1" applyFont="1" applyFill="1" applyBorder="1" applyAlignment="1">
      <alignment horizontal="left" indent="2"/>
    </xf>
    <xf numFmtId="0" fontId="62" fillId="0" borderId="10" xfId="146" applyFont="1" applyFill="1" applyBorder="1" applyAlignment="1">
      <alignment horizontal="right"/>
    </xf>
    <xf numFmtId="165" fontId="62" fillId="0" borderId="10" xfId="146" applyNumberFormat="1" applyFont="1" applyFill="1" applyBorder="1"/>
    <xf numFmtId="165" fontId="62" fillId="0" borderId="0" xfId="146" applyNumberFormat="1" applyFont="1" applyFill="1" applyProtection="1">
      <protection locked="0"/>
    </xf>
    <xf numFmtId="165" fontId="75" fillId="0" borderId="0" xfId="75" applyNumberFormat="1" applyFont="1" applyFill="1" applyBorder="1"/>
    <xf numFmtId="165" fontId="76" fillId="0" borderId="0" xfId="75" applyNumberFormat="1" applyFont="1" applyFill="1" applyBorder="1"/>
    <xf numFmtId="164" fontId="62" fillId="0" borderId="0" xfId="76" applyNumberFormat="1" applyFont="1" applyFill="1" applyBorder="1"/>
    <xf numFmtId="174" fontId="62" fillId="0" borderId="0" xfId="174" applyNumberFormat="1" applyFont="1" applyFill="1" applyAlignment="1" applyProtection="1">
      <alignment horizontal="right"/>
      <protection locked="0"/>
    </xf>
    <xf numFmtId="0" fontId="26" fillId="0" borderId="0" xfId="146" quotePrefix="1" applyNumberFormat="1" applyFont="1" applyFill="1"/>
    <xf numFmtId="44" fontId="24" fillId="0" borderId="0" xfId="2" applyNumberFormat="1" applyFont="1" applyFill="1"/>
    <xf numFmtId="0" fontId="0" fillId="0" borderId="0" xfId="0" applyAlignment="1">
      <alignment horizontal="left" indent="1"/>
    </xf>
    <xf numFmtId="0" fontId="59" fillId="0" borderId="0" xfId="146" applyFont="1"/>
    <xf numFmtId="164" fontId="0" fillId="0" borderId="0" xfId="165" applyNumberFormat="1" applyFont="1"/>
    <xf numFmtId="0" fontId="43" fillId="27" borderId="18" xfId="167" applyFont="1" applyFill="1" applyBorder="1" applyAlignment="1">
      <alignment horizontal="center"/>
    </xf>
    <xf numFmtId="0" fontId="43" fillId="21" borderId="0" xfId="167" applyFont="1" applyFill="1" applyAlignment="1">
      <alignment wrapText="1"/>
    </xf>
    <xf numFmtId="0" fontId="43" fillId="15" borderId="0" xfId="167" applyFont="1" applyFill="1" applyAlignment="1">
      <alignment wrapText="1"/>
    </xf>
    <xf numFmtId="0" fontId="43" fillId="19" borderId="0" xfId="167" applyFont="1" applyFill="1" applyAlignment="1">
      <alignment wrapText="1"/>
    </xf>
    <xf numFmtId="0" fontId="43" fillId="20" borderId="0" xfId="167" applyFont="1" applyFill="1" applyAlignment="1">
      <alignment wrapText="1"/>
    </xf>
    <xf numFmtId="0" fontId="24" fillId="0" borderId="0" xfId="167" applyFont="1" applyAlignment="1">
      <alignment wrapText="1"/>
    </xf>
    <xf numFmtId="0" fontId="65" fillId="15" borderId="0" xfId="167" applyFont="1" applyFill="1" applyAlignment="1">
      <alignment wrapText="1"/>
    </xf>
    <xf numFmtId="0" fontId="65" fillId="19" borderId="0" xfId="167" applyFont="1" applyFill="1" applyAlignment="1">
      <alignment wrapText="1"/>
    </xf>
    <xf numFmtId="0" fontId="65" fillId="20" borderId="0" xfId="167" applyFont="1" applyFill="1" applyAlignment="1">
      <alignment wrapText="1"/>
    </xf>
    <xf numFmtId="2" fontId="58" fillId="0" borderId="0" xfId="167" applyNumberFormat="1" applyFont="1"/>
    <xf numFmtId="0" fontId="58" fillId="0" borderId="0" xfId="167" applyFont="1"/>
    <xf numFmtId="175" fontId="58" fillId="0" borderId="0" xfId="0" applyNumberFormat="1" applyFont="1" applyFill="1"/>
    <xf numFmtId="165" fontId="62" fillId="8" borderId="0" xfId="75" applyNumberFormat="1" applyFont="1" applyFill="1" applyBorder="1"/>
    <xf numFmtId="172" fontId="73" fillId="0" borderId="0" xfId="164" applyNumberFormat="1" applyFont="1" applyFill="1" applyBorder="1" applyAlignment="1">
      <alignment horizontal="center"/>
    </xf>
    <xf numFmtId="0" fontId="24" fillId="0" borderId="0" xfId="165" applyFont="1" applyFill="1"/>
    <xf numFmtId="164" fontId="24" fillId="0" borderId="0" xfId="165" applyNumberFormat="1" applyFont="1" applyFill="1"/>
    <xf numFmtId="0" fontId="66" fillId="0" borderId="0" xfId="165" applyFont="1" applyFill="1"/>
    <xf numFmtId="164" fontId="62" fillId="0" borderId="0" xfId="146" applyNumberFormat="1" applyFont="1" applyFill="1"/>
    <xf numFmtId="0" fontId="43" fillId="0" borderId="18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/>
    </xf>
    <xf numFmtId="0" fontId="43" fillId="19" borderId="18" xfId="0" applyFont="1" applyFill="1" applyBorder="1" applyAlignment="1">
      <alignment horizontal="center" vertical="center" wrapText="1"/>
    </xf>
    <xf numFmtId="0" fontId="43" fillId="23" borderId="18" xfId="0" applyFont="1" applyFill="1" applyBorder="1" applyAlignment="1">
      <alignment horizontal="center" vertical="center" wrapText="1"/>
    </xf>
    <xf numFmtId="0" fontId="43" fillId="24" borderId="18" xfId="0" applyFont="1" applyFill="1" applyBorder="1" applyAlignment="1">
      <alignment horizontal="center" vertical="center" wrapText="1"/>
    </xf>
    <xf numFmtId="164" fontId="43" fillId="24" borderId="18" xfId="1" applyNumberFormat="1" applyFont="1" applyFill="1" applyBorder="1" applyAlignment="1">
      <alignment horizontal="center" vertical="center" wrapText="1"/>
    </xf>
    <xf numFmtId="164" fontId="68" fillId="24" borderId="18" xfId="1" applyNumberFormat="1" applyFont="1" applyFill="1" applyBorder="1" applyAlignment="1">
      <alignment horizontal="center" vertical="center" wrapText="1"/>
    </xf>
    <xf numFmtId="0" fontId="43" fillId="22" borderId="18" xfId="0" applyFont="1" applyFill="1" applyBorder="1" applyAlignment="1">
      <alignment horizontal="center" vertical="center" wrapText="1"/>
    </xf>
    <xf numFmtId="0" fontId="43" fillId="25" borderId="18" xfId="0" applyFont="1" applyFill="1" applyBorder="1" applyAlignment="1">
      <alignment horizontal="center" vertical="center" wrapText="1"/>
    </xf>
    <xf numFmtId="0" fontId="43" fillId="18" borderId="16" xfId="167" applyFont="1" applyFill="1" applyBorder="1" applyAlignment="1">
      <alignment horizontal="center"/>
    </xf>
    <xf numFmtId="0" fontId="24" fillId="0" borderId="0" xfId="167" applyFont="1" applyFill="1" applyBorder="1"/>
    <xf numFmtId="0" fontId="43" fillId="0" borderId="0" xfId="167" applyFont="1" applyFill="1" applyBorder="1" applyAlignment="1">
      <alignment horizontal="center"/>
    </xf>
    <xf numFmtId="164" fontId="24" fillId="0" borderId="0" xfId="168" applyNumberFormat="1" applyFont="1" applyFill="1" applyBorder="1"/>
    <xf numFmtId="0" fontId="43" fillId="0" borderId="0" xfId="0" quotePrefix="1" applyFont="1" applyFill="1" applyBorder="1"/>
    <xf numFmtId="0" fontId="0" fillId="0" borderId="0" xfId="0" quotePrefix="1" applyFont="1" applyFill="1" applyBorder="1"/>
    <xf numFmtId="0" fontId="43" fillId="0" borderId="0" xfId="0" applyFont="1" applyFill="1" applyBorder="1" applyAlignment="1">
      <alignment horizontal="center" vertical="center"/>
    </xf>
    <xf numFmtId="0" fontId="43" fillId="0" borderId="0" xfId="1" applyNumberFormat="1" applyFont="1" applyFill="1" applyBorder="1" applyAlignment="1">
      <alignment horizontal="center" vertical="center" wrapText="1"/>
    </xf>
    <xf numFmtId="164" fontId="43" fillId="0" borderId="0" xfId="1" applyNumberFormat="1" applyFont="1" applyFill="1" applyBorder="1" applyAlignment="1">
      <alignment horizontal="center"/>
    </xf>
    <xf numFmtId="10" fontId="24" fillId="0" borderId="0" xfId="3" applyNumberFormat="1" applyFont="1" applyFill="1" applyBorder="1"/>
    <xf numFmtId="0" fontId="43" fillId="0" borderId="0" xfId="167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43" fillId="0" borderId="0" xfId="1" applyNumberFormat="1" applyFont="1" applyFill="1" applyBorder="1" applyAlignment="1">
      <alignment vertical="center" wrapText="1"/>
    </xf>
    <xf numFmtId="0" fontId="43" fillId="15" borderId="16" xfId="0" applyFont="1" applyFill="1" applyBorder="1" applyAlignment="1">
      <alignment horizontal="center" vertical="center"/>
    </xf>
    <xf numFmtId="0" fontId="43" fillId="15" borderId="14" xfId="0" applyFont="1" applyFill="1" applyBorder="1" applyAlignment="1">
      <alignment horizontal="center" vertical="center"/>
    </xf>
    <xf numFmtId="0" fontId="43" fillId="15" borderId="17" xfId="0" applyFont="1" applyFill="1" applyBorder="1" applyAlignment="1">
      <alignment horizontal="center" vertical="center"/>
    </xf>
    <xf numFmtId="0" fontId="43" fillId="15" borderId="16" xfId="1" applyNumberFormat="1" applyFont="1" applyFill="1" applyBorder="1" applyAlignment="1">
      <alignment horizontal="center" vertical="center" wrapText="1"/>
    </xf>
    <xf numFmtId="0" fontId="43" fillId="15" borderId="14" xfId="1" applyNumberFormat="1" applyFont="1" applyFill="1" applyBorder="1" applyAlignment="1">
      <alignment horizontal="center" vertical="center" wrapText="1"/>
    </xf>
    <xf numFmtId="0" fontId="43" fillId="15" borderId="17" xfId="1" applyNumberFormat="1" applyFont="1" applyFill="1" applyBorder="1" applyAlignment="1">
      <alignment horizontal="center" vertical="center" wrapText="1"/>
    </xf>
    <xf numFmtId="0" fontId="43" fillId="15" borderId="18" xfId="167" applyFont="1" applyFill="1" applyBorder="1" applyAlignment="1">
      <alignment horizontal="center" vertical="center"/>
    </xf>
    <xf numFmtId="0" fontId="43" fillId="15" borderId="16" xfId="167" applyFont="1" applyFill="1" applyBorder="1" applyAlignment="1">
      <alignment horizontal="center" vertical="center"/>
    </xf>
    <xf numFmtId="0" fontId="43" fillId="15" borderId="14" xfId="167" applyFont="1" applyFill="1" applyBorder="1" applyAlignment="1">
      <alignment horizontal="center" vertical="center"/>
    </xf>
    <xf numFmtId="0" fontId="43" fillId="15" borderId="17" xfId="167" applyFont="1" applyFill="1" applyBorder="1" applyAlignment="1">
      <alignment horizontal="center" vertical="center"/>
    </xf>
    <xf numFmtId="0" fontId="43" fillId="15" borderId="19" xfId="167" applyFont="1" applyFill="1" applyBorder="1" applyAlignment="1">
      <alignment horizontal="center" vertical="center" wrapText="1"/>
    </xf>
    <xf numFmtId="0" fontId="43" fillId="15" borderId="25" xfId="167" applyFont="1" applyFill="1" applyBorder="1" applyAlignment="1">
      <alignment horizontal="center" vertical="center" wrapText="1"/>
    </xf>
    <xf numFmtId="0" fontId="43" fillId="15" borderId="24" xfId="167" applyFont="1" applyFill="1" applyBorder="1" applyAlignment="1">
      <alignment horizontal="center" vertical="center" wrapText="1"/>
    </xf>
  </cellXfs>
  <cellStyles count="188">
    <cellStyle name="Calculation 2" xfId="4" xr:uid="{00000000-0005-0000-0000-000000000000}"/>
    <cellStyle name="Calculation 3" xfId="49" xr:uid="{00000000-0005-0000-0000-000001000000}"/>
    <cellStyle name="CheckCell" xfId="5" xr:uid="{00000000-0005-0000-0000-000002000000}"/>
    <cellStyle name="CheckCell 2" xfId="86" xr:uid="{00000000-0005-0000-0000-000003000000}"/>
    <cellStyle name="Comma" xfId="1" builtinId="3"/>
    <cellStyle name="Comma 10" xfId="159" xr:uid="{F0B06351-0C06-46DB-9DE5-52FF2BDA8053}"/>
    <cellStyle name="Comma 10 2" xfId="173" xr:uid="{4BA2D8EE-FA0F-4503-808D-2A46F9801FF6}"/>
    <cellStyle name="Comma 10 3" xfId="76" xr:uid="{00000000-0005-0000-0000-000005000000}"/>
    <cellStyle name="Comma 11" xfId="164" xr:uid="{012CC4EB-286E-4024-BFC7-0B40AB1E697B}"/>
    <cellStyle name="Comma 12" xfId="168" xr:uid="{644C474A-4954-424A-98ED-BB46298C3E5E}"/>
    <cellStyle name="Comma 13" xfId="177" xr:uid="{E48B34DD-5875-4B54-8EB3-7E41A86DE4B5}"/>
    <cellStyle name="Comma 14" xfId="180" xr:uid="{AE68B630-A989-43A7-A972-728C58394E7F}"/>
    <cellStyle name="Comma 15" xfId="185" xr:uid="{18953E2F-5825-4635-BC5B-270679CBD75F}"/>
    <cellStyle name="Comma 16" xfId="186" xr:uid="{847C351B-139B-419F-A1FE-42CBC3A0674B}"/>
    <cellStyle name="Comma 2" xfId="6" xr:uid="{00000000-0005-0000-0000-000006000000}"/>
    <cellStyle name="Comma 2 2" xfId="72" xr:uid="{00000000-0005-0000-0000-000007000000}"/>
    <cellStyle name="Comma 2 2 2" xfId="87" xr:uid="{00000000-0005-0000-0000-000008000000}"/>
    <cellStyle name="Comma 2 3" xfId="55" xr:uid="{00000000-0005-0000-0000-000009000000}"/>
    <cellStyle name="Comma 21 4" xfId="148" xr:uid="{04BDC56C-9579-4C21-924F-EC5A1AC45862}"/>
    <cellStyle name="Comma 21 4 2" xfId="162" xr:uid="{7CD0C684-FC3C-43C7-BFEF-C128A19AED15}"/>
    <cellStyle name="Comma 21 4 3" xfId="166" xr:uid="{1FFBD91B-B579-4E5F-A6BE-81C8C2CADB8E}"/>
    <cellStyle name="Comma 21 4 4" xfId="172" xr:uid="{79F9735F-92A7-419E-96EA-49AE5A29B7BD}"/>
    <cellStyle name="Comma 21 4 5" xfId="183" xr:uid="{0A177658-399F-49AB-B56C-EDCF76FB4A7A}"/>
    <cellStyle name="Comma 3" xfId="7" xr:uid="{00000000-0005-0000-0000-00000A000000}"/>
    <cellStyle name="Comma 3 2" xfId="88" xr:uid="{00000000-0005-0000-0000-00000B000000}"/>
    <cellStyle name="Comma 4" xfId="47" xr:uid="{00000000-0005-0000-0000-00000C000000}"/>
    <cellStyle name="Comma 4 2" xfId="66" xr:uid="{00000000-0005-0000-0000-00000D000000}"/>
    <cellStyle name="Comma 5" xfId="69" xr:uid="{00000000-0005-0000-0000-00000E000000}"/>
    <cellStyle name="Comma 6" xfId="52" xr:uid="{00000000-0005-0000-0000-00000F000000}"/>
    <cellStyle name="Comma 7" xfId="89" xr:uid="{00000000-0005-0000-0000-000010000000}"/>
    <cellStyle name="Comma 8" xfId="137" xr:uid="{00000000-0005-0000-0000-000011000000}"/>
    <cellStyle name="Comma 9" xfId="155" xr:uid="{13C3F9FB-F27F-4B63-8DE2-0CD3FABCF1BC}"/>
    <cellStyle name="Comma0" xfId="8" xr:uid="{00000000-0005-0000-0000-000012000000}"/>
    <cellStyle name="Comma0 - Style2" xfId="9" xr:uid="{00000000-0005-0000-0000-000013000000}"/>
    <cellStyle name="Comma0 - Style5" xfId="10" xr:uid="{00000000-0005-0000-0000-000014000000}"/>
    <cellStyle name="Comma0 - Style5 2" xfId="90" xr:uid="{00000000-0005-0000-0000-000015000000}"/>
    <cellStyle name="Comma0 2" xfId="91" xr:uid="{00000000-0005-0000-0000-000016000000}"/>
    <cellStyle name="Comma0_00COS Ind Allocators" xfId="11" xr:uid="{00000000-0005-0000-0000-000017000000}"/>
    <cellStyle name="Comma1 - Style1" xfId="12" xr:uid="{00000000-0005-0000-0000-000018000000}"/>
    <cellStyle name="Comma1 - Style1 2" xfId="92" xr:uid="{00000000-0005-0000-0000-000019000000}"/>
    <cellStyle name="COPY" xfId="93" xr:uid="{00000000-0005-0000-0000-00001A000000}"/>
    <cellStyle name="Curren - Style2" xfId="13" xr:uid="{00000000-0005-0000-0000-00001B000000}"/>
    <cellStyle name="Curren - Style2 2" xfId="94" xr:uid="{00000000-0005-0000-0000-00001C000000}"/>
    <cellStyle name="Curren - Style6" xfId="14" xr:uid="{00000000-0005-0000-0000-00001D000000}"/>
    <cellStyle name="Curren - Style6 2" xfId="95" xr:uid="{00000000-0005-0000-0000-00001E000000}"/>
    <cellStyle name="Currency" xfId="2" builtinId="4"/>
    <cellStyle name="Currency 10" xfId="75" xr:uid="{00000000-0005-0000-0000-000020000000}"/>
    <cellStyle name="Currency 2" xfId="15" xr:uid="{00000000-0005-0000-0000-000021000000}"/>
    <cellStyle name="Currency 2 2" xfId="96" xr:uid="{00000000-0005-0000-0000-000022000000}"/>
    <cellStyle name="Currency 3" xfId="46" xr:uid="{00000000-0005-0000-0000-000023000000}"/>
    <cellStyle name="Currency 3 2" xfId="67" xr:uid="{00000000-0005-0000-0000-000024000000}"/>
    <cellStyle name="Currency 3 2 2" xfId="150" xr:uid="{788F182C-4926-4C7F-B9D0-EB3B74AA5935}"/>
    <cellStyle name="Currency 3 3" xfId="84" xr:uid="{00000000-0005-0000-0000-000025000000}"/>
    <cellStyle name="Currency 3 3 2" xfId="143" xr:uid="{DD95544B-0F63-483B-9EC1-448AF8FDC532}"/>
    <cellStyle name="Currency 3 4" xfId="141" xr:uid="{6B5F7AF6-63DC-4BA8-AE30-F5C50ED922FE}"/>
    <cellStyle name="Currency 4" xfId="73" xr:uid="{00000000-0005-0000-0000-000026000000}"/>
    <cellStyle name="Currency 40 82" xfId="149" xr:uid="{4C0C2F78-74AD-4587-8D0F-1D9231E3ADC3}"/>
    <cellStyle name="Currency 5" xfId="53" xr:uid="{00000000-0005-0000-0000-000027000000}"/>
    <cellStyle name="Currency 6" xfId="139" xr:uid="{00000000-0005-0000-0000-000028000000}"/>
    <cellStyle name="Currency 7" xfId="156" xr:uid="{711EE509-4C62-4EC7-99EB-BEBC007B6C06}"/>
    <cellStyle name="Currency 8" xfId="175" xr:uid="{19CB62E2-1B34-43A6-81BA-C38558741AB1}"/>
    <cellStyle name="Currency0" xfId="16" xr:uid="{00000000-0005-0000-0000-000029000000}"/>
    <cellStyle name="Currency0 2" xfId="97" xr:uid="{00000000-0005-0000-0000-00002A000000}"/>
    <cellStyle name="Date" xfId="17" xr:uid="{00000000-0005-0000-0000-00002B000000}"/>
    <cellStyle name="Date 2" xfId="98" xr:uid="{00000000-0005-0000-0000-00002C000000}"/>
    <cellStyle name="Fixed" xfId="18" xr:uid="{00000000-0005-0000-0000-00002D000000}"/>
    <cellStyle name="Fixed 2" xfId="99" xr:uid="{00000000-0005-0000-0000-00002E000000}"/>
    <cellStyle name="Hyperlink" xfId="152" builtinId="8"/>
    <cellStyle name="Hyperlink 2" xfId="100" xr:uid="{00000000-0005-0000-0000-000030000000}"/>
    <cellStyle name="Hyperlink 3" xfId="170" xr:uid="{9125365A-5E7D-4B7D-8983-B6C82FDA9E6A}"/>
    <cellStyle name="Input Cells" xfId="19" xr:uid="{00000000-0005-0000-0000-000031000000}"/>
    <cellStyle name="Input Cells 2" xfId="101" xr:uid="{00000000-0005-0000-0000-000032000000}"/>
    <cellStyle name="Input Cells Percent" xfId="20" xr:uid="{00000000-0005-0000-0000-000033000000}"/>
    <cellStyle name="Input Cells Percent 2" xfId="102" xr:uid="{00000000-0005-0000-0000-000034000000}"/>
    <cellStyle name="Input Cells_ACCOUNTALLOC" xfId="21" xr:uid="{00000000-0005-0000-0000-000035000000}"/>
    <cellStyle name="LINKED" xfId="22" xr:uid="{00000000-0005-0000-0000-000036000000}"/>
    <cellStyle name="Normal" xfId="0" builtinId="0"/>
    <cellStyle name="Normal 10" xfId="103" xr:uid="{00000000-0005-0000-0000-000038000000}"/>
    <cellStyle name="Normal 10 2" xfId="146" xr:uid="{7A9566D3-7FF1-4CED-AF35-CFD65D42BED2}"/>
    <cellStyle name="Normal 11" xfId="104" xr:uid="{00000000-0005-0000-0000-000039000000}"/>
    <cellStyle name="Normal 12" xfId="105" xr:uid="{00000000-0005-0000-0000-00003A000000}"/>
    <cellStyle name="Normal 13" xfId="106" xr:uid="{00000000-0005-0000-0000-00003B000000}"/>
    <cellStyle name="Normal 14" xfId="107" xr:uid="{00000000-0005-0000-0000-00003C000000}"/>
    <cellStyle name="Normal 15" xfId="108" xr:uid="{00000000-0005-0000-0000-00003D000000}"/>
    <cellStyle name="Normal 16" xfId="109" xr:uid="{00000000-0005-0000-0000-00003E000000}"/>
    <cellStyle name="Normal 164" xfId="174" xr:uid="{F8EF30B6-24DB-404A-9E39-A7EE8C7AB170}"/>
    <cellStyle name="Normal 17" xfId="110" xr:uid="{00000000-0005-0000-0000-00003F000000}"/>
    <cellStyle name="Normal 18" xfId="111" xr:uid="{00000000-0005-0000-0000-000040000000}"/>
    <cellStyle name="Normal 19" xfId="112" xr:uid="{00000000-0005-0000-0000-000041000000}"/>
    <cellStyle name="Normal 2" xfId="23" xr:uid="{00000000-0005-0000-0000-000042000000}"/>
    <cellStyle name="Normal 2 2" xfId="57" xr:uid="{00000000-0005-0000-0000-000043000000}"/>
    <cellStyle name="Normal 2 2 2" xfId="113" xr:uid="{00000000-0005-0000-0000-000044000000}"/>
    <cellStyle name="Normal 2 2 3" xfId="114" xr:uid="{00000000-0005-0000-0000-000045000000}"/>
    <cellStyle name="Normal 2 3" xfId="54" xr:uid="{00000000-0005-0000-0000-000046000000}"/>
    <cellStyle name="Normal 2 4" xfId="115" xr:uid="{00000000-0005-0000-0000-000047000000}"/>
    <cellStyle name="Normal 2 5" xfId="116" xr:uid="{00000000-0005-0000-0000-000048000000}"/>
    <cellStyle name="Normal 20" xfId="117" xr:uid="{00000000-0005-0000-0000-000049000000}"/>
    <cellStyle name="Normal 20 2" xfId="134" xr:uid="{00000000-0005-0000-0000-00004A000000}"/>
    <cellStyle name="Normal 21" xfId="135" xr:uid="{00000000-0005-0000-0000-00004B000000}"/>
    <cellStyle name="Normal 21 3" xfId="147" xr:uid="{85A7257D-922D-4D17-AC53-24309765CF7A}"/>
    <cellStyle name="Normal 21 3 2" xfId="161" xr:uid="{15138A17-D5B5-4C63-9DA0-87578D1B6CD1}"/>
    <cellStyle name="Normal 21 3 3" xfId="165" xr:uid="{0943529E-61F5-43A2-A60C-A3ABB83C76F7}"/>
    <cellStyle name="Normal 21 3 4" xfId="171" xr:uid="{DB9BD4DD-B41F-498F-AA2E-4F7520844DEB}"/>
    <cellStyle name="Normal 21 3 5" xfId="182" xr:uid="{036A0BDB-D942-4E7E-B007-3323B1BE54A7}"/>
    <cellStyle name="Normal 22" xfId="136" xr:uid="{00000000-0005-0000-0000-00004C000000}"/>
    <cellStyle name="Normal 23" xfId="140" xr:uid="{1B938467-BD70-47AC-A5F8-7F6075D16F4C}"/>
    <cellStyle name="Normal 24" xfId="142" xr:uid="{A9745F36-BC4E-4396-9C13-3CFA3B836D3F}"/>
    <cellStyle name="Normal 25" xfId="145" xr:uid="{3E2BAC1A-9E21-4FD5-93B3-46A679AFD51A}"/>
    <cellStyle name="Normal 26" xfId="151" xr:uid="{98B1F67C-FE70-4B3A-A355-7A308FF30EFC}"/>
    <cellStyle name="Normal 27" xfId="153" xr:uid="{8379E4DC-BF94-4536-9E46-D7315CC02DBC}"/>
    <cellStyle name="Normal 28" xfId="154" xr:uid="{7446D8D5-96DA-4507-8223-AB2BA5B4E37D}"/>
    <cellStyle name="Normal 29" xfId="157" xr:uid="{2A5F2EC3-86A9-4766-A0A6-B3006E5775F3}"/>
    <cellStyle name="Normal 3" xfId="24" xr:uid="{00000000-0005-0000-0000-00004D000000}"/>
    <cellStyle name="Normal 3 2" xfId="74" xr:uid="{00000000-0005-0000-0000-00004E000000}"/>
    <cellStyle name="Normal 3 3" xfId="56" xr:uid="{00000000-0005-0000-0000-00004F000000}"/>
    <cellStyle name="Normal 30" xfId="158" xr:uid="{2B82143F-D340-4848-B44D-13ACF6352E40}"/>
    <cellStyle name="Normal 31" xfId="163" xr:uid="{ABC98400-920C-44BC-BC3A-B4B0721338A5}"/>
    <cellStyle name="Normal 32" xfId="167" xr:uid="{EB4B49BB-0C33-42DC-BBB6-BF66A439AF10}"/>
    <cellStyle name="Normal 33" xfId="176" xr:uid="{1E34EB46-61C3-403F-A834-4051877B267C}"/>
    <cellStyle name="Normal 338" xfId="60" xr:uid="{00000000-0005-0000-0000-000050000000}"/>
    <cellStyle name="Normal 338 2" xfId="79" xr:uid="{00000000-0005-0000-0000-000051000000}"/>
    <cellStyle name="Normal 338 3" xfId="63" xr:uid="{00000000-0005-0000-0000-000052000000}"/>
    <cellStyle name="Normal 338 4" xfId="81" xr:uid="{00000000-0005-0000-0000-000053000000}"/>
    <cellStyle name="Normal 338 5" xfId="82" xr:uid="{00000000-0005-0000-0000-000054000000}"/>
    <cellStyle name="Normal 34" xfId="179" xr:uid="{9C34D8D3-878F-480C-B686-8E92574BEA2A}"/>
    <cellStyle name="Normal 35" xfId="184" xr:uid="{CD28C3A7-D80E-4FDF-BB09-5BBC0AE5730E}"/>
    <cellStyle name="Normal 36" xfId="187" xr:uid="{536313AC-5A2E-4AFB-8AC2-B28C8CFFE0F6}"/>
    <cellStyle name="Normal 4" xfId="45" xr:uid="{00000000-0005-0000-0000-000055000000}"/>
    <cellStyle name="Normal 4 2" xfId="71" xr:uid="{00000000-0005-0000-0000-000056000000}"/>
    <cellStyle name="Normal 4 2 2" xfId="118" xr:uid="{00000000-0005-0000-0000-000057000000}"/>
    <cellStyle name="Normal 4 3" xfId="59" xr:uid="{00000000-0005-0000-0000-000058000000}"/>
    <cellStyle name="Normal 4 5" xfId="62" xr:uid="{00000000-0005-0000-0000-000059000000}"/>
    <cellStyle name="Normal 4 5 2" xfId="78" xr:uid="{00000000-0005-0000-0000-00005A000000}"/>
    <cellStyle name="Normal 4 5 3" xfId="80" xr:uid="{00000000-0005-0000-0000-00005B000000}"/>
    <cellStyle name="Normal 4 5 4" xfId="77" xr:uid="{00000000-0005-0000-0000-00005C000000}"/>
    <cellStyle name="Normal 4 5 5" xfId="83" xr:uid="{00000000-0005-0000-0000-00005D000000}"/>
    <cellStyle name="Normal 5" xfId="61" xr:uid="{00000000-0005-0000-0000-00005E000000}"/>
    <cellStyle name="Normal 5 2" xfId="119" xr:uid="{00000000-0005-0000-0000-00005F000000}"/>
    <cellStyle name="Normal 6" xfId="64" xr:uid="{00000000-0005-0000-0000-000060000000}"/>
    <cellStyle name="Normal 7" xfId="65" xr:uid="{00000000-0005-0000-0000-000061000000}"/>
    <cellStyle name="Normal 8" xfId="68" xr:uid="{00000000-0005-0000-0000-000062000000}"/>
    <cellStyle name="Normal 9" xfId="51" xr:uid="{00000000-0005-0000-0000-000063000000}"/>
    <cellStyle name="Percen - Style1" xfId="25" xr:uid="{00000000-0005-0000-0000-000064000000}"/>
    <cellStyle name="Percen - Style3" xfId="26" xr:uid="{00000000-0005-0000-0000-000065000000}"/>
    <cellStyle name="Percen - Style3 2" xfId="120" xr:uid="{00000000-0005-0000-0000-000066000000}"/>
    <cellStyle name="Percent" xfId="3" builtinId="5"/>
    <cellStyle name="Percent 10" xfId="160" xr:uid="{BC1F7DCF-3564-4F70-AD96-6A12044A1E94}"/>
    <cellStyle name="Percent 11" xfId="169" xr:uid="{CA7BADFB-96A6-45E3-9E2A-FAE98BCE1116}"/>
    <cellStyle name="Percent 12" xfId="178" xr:uid="{65BA1061-7751-4A4F-8037-701FD7CC1748}"/>
    <cellStyle name="Percent 13" xfId="181" xr:uid="{7247D0C7-BBD2-4919-9BC4-14F84C9DFF99}"/>
    <cellStyle name="Percent 2" xfId="27" xr:uid="{00000000-0005-0000-0000-000068000000}"/>
    <cellStyle name="Percent 2 2" xfId="121" xr:uid="{00000000-0005-0000-0000-000069000000}"/>
    <cellStyle name="Percent 3" xfId="28" xr:uid="{00000000-0005-0000-0000-00006A000000}"/>
    <cellStyle name="Percent 3 2" xfId="70" xr:uid="{00000000-0005-0000-0000-00006B000000}"/>
    <cellStyle name="Percent 4" xfId="48" xr:uid="{00000000-0005-0000-0000-00006C000000}"/>
    <cellStyle name="Percent 4 2" xfId="85" xr:uid="{00000000-0005-0000-0000-00006D000000}"/>
    <cellStyle name="Percent 5" xfId="58" xr:uid="{00000000-0005-0000-0000-00006E000000}"/>
    <cellStyle name="Percent 6" xfId="122" xr:uid="{00000000-0005-0000-0000-00006F000000}"/>
    <cellStyle name="Percent 7" xfId="123" xr:uid="{00000000-0005-0000-0000-000070000000}"/>
    <cellStyle name="Percent 8" xfId="138" xr:uid="{00000000-0005-0000-0000-000071000000}"/>
    <cellStyle name="Percent 9" xfId="144" xr:uid="{823144C0-6CC0-4AC3-B18D-F39BF6BA1014}"/>
    <cellStyle name="Processing" xfId="29" xr:uid="{00000000-0005-0000-0000-000072000000}"/>
    <cellStyle name="Processing 2" xfId="124" xr:uid="{00000000-0005-0000-0000-000073000000}"/>
    <cellStyle name="purple - Style8" xfId="30" xr:uid="{00000000-0005-0000-0000-000074000000}"/>
    <cellStyle name="purple - Style8 2" xfId="125" xr:uid="{00000000-0005-0000-0000-000075000000}"/>
    <cellStyle name="RED" xfId="31" xr:uid="{00000000-0005-0000-0000-000076000000}"/>
    <cellStyle name="Red - Style7" xfId="32" xr:uid="{00000000-0005-0000-0000-000077000000}"/>
    <cellStyle name="Red - Style7 2" xfId="126" xr:uid="{00000000-0005-0000-0000-000078000000}"/>
    <cellStyle name="Report" xfId="33" xr:uid="{00000000-0005-0000-0000-000079000000}"/>
    <cellStyle name="Report 2" xfId="127" xr:uid="{00000000-0005-0000-0000-00007A000000}"/>
    <cellStyle name="Report Bar" xfId="34" xr:uid="{00000000-0005-0000-0000-00007B000000}"/>
    <cellStyle name="Report Bar 2" xfId="128" xr:uid="{00000000-0005-0000-0000-00007C000000}"/>
    <cellStyle name="Report Heading" xfId="35" xr:uid="{00000000-0005-0000-0000-00007D000000}"/>
    <cellStyle name="Report Percent" xfId="36" xr:uid="{00000000-0005-0000-0000-00007E000000}"/>
    <cellStyle name="Report Unit Cost" xfId="37" xr:uid="{00000000-0005-0000-0000-00007F000000}"/>
    <cellStyle name="Report Unit Cost 2" xfId="50" xr:uid="{00000000-0005-0000-0000-000080000000}"/>
    <cellStyle name="Reports Total" xfId="38" xr:uid="{00000000-0005-0000-0000-000081000000}"/>
    <cellStyle name="Reports Total 2" xfId="129" xr:uid="{00000000-0005-0000-0000-000082000000}"/>
    <cellStyle name="Reports Unit Cost Total" xfId="39" xr:uid="{00000000-0005-0000-0000-000083000000}"/>
    <cellStyle name="Sub-total" xfId="40" xr:uid="{00000000-0005-0000-0000-000084000000}"/>
    <cellStyle name="Test" xfId="130" xr:uid="{00000000-0005-0000-0000-000085000000}"/>
    <cellStyle name="Test 2" xfId="131" xr:uid="{00000000-0005-0000-0000-000086000000}"/>
    <cellStyle name="Title: Major" xfId="41" xr:uid="{00000000-0005-0000-0000-000087000000}"/>
    <cellStyle name="Title: Minor" xfId="42" xr:uid="{00000000-0005-0000-0000-000088000000}"/>
    <cellStyle name="Title: Worksheet" xfId="43" xr:uid="{00000000-0005-0000-0000-000089000000}"/>
    <cellStyle name="Total 2" xfId="132" xr:uid="{00000000-0005-0000-0000-00008A000000}"/>
    <cellStyle name="Total4 - Style4" xfId="44" xr:uid="{00000000-0005-0000-0000-00008B000000}"/>
    <cellStyle name="Total4 - Style4 2" xfId="133" xr:uid="{00000000-0005-0000-0000-00008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33CC"/>
      <color rgb="FFFF99CC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26" /><Relationship Type="http://schemas.openxmlformats.org/officeDocument/2006/relationships/externalLink" Target="externalLinks/externalLink2.xml" Id="rId21" /><Relationship Type="http://schemas.openxmlformats.org/officeDocument/2006/relationships/externalLink" Target="externalLinks/externalLink23.xml" Id="rId42" /><Relationship Type="http://schemas.openxmlformats.org/officeDocument/2006/relationships/externalLink" Target="externalLinks/externalLink28.xml" Id="rId47" /><Relationship Type="http://schemas.openxmlformats.org/officeDocument/2006/relationships/externalLink" Target="externalLinks/externalLink44.xml" Id="rId63" /><Relationship Type="http://schemas.openxmlformats.org/officeDocument/2006/relationships/externalLink" Target="externalLinks/externalLink49.xml" Id="rId68" /><Relationship Type="http://schemas.openxmlformats.org/officeDocument/2006/relationships/worksheet" Target="worksheets/sheet16.xml" Id="rId16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5.xml" Id="rId24" /><Relationship Type="http://schemas.openxmlformats.org/officeDocument/2006/relationships/externalLink" Target="externalLinks/externalLink13.xml" Id="rId32" /><Relationship Type="http://schemas.openxmlformats.org/officeDocument/2006/relationships/externalLink" Target="externalLinks/externalLink18.xml" Id="rId37" /><Relationship Type="http://schemas.openxmlformats.org/officeDocument/2006/relationships/externalLink" Target="externalLinks/externalLink21.xml" Id="rId40" /><Relationship Type="http://schemas.openxmlformats.org/officeDocument/2006/relationships/externalLink" Target="externalLinks/externalLink26.xml" Id="rId45" /><Relationship Type="http://schemas.openxmlformats.org/officeDocument/2006/relationships/externalLink" Target="externalLinks/externalLink34.xml" Id="rId53" /><Relationship Type="http://schemas.openxmlformats.org/officeDocument/2006/relationships/externalLink" Target="externalLinks/externalLink39.xml" Id="rId58" /><Relationship Type="http://schemas.openxmlformats.org/officeDocument/2006/relationships/externalLink" Target="externalLinks/externalLink47.xml" Id="rId66" /><Relationship Type="http://schemas.openxmlformats.org/officeDocument/2006/relationships/sheetMetadata" Target="metadata.xml" Id="rId74" /><Relationship Type="http://schemas.openxmlformats.org/officeDocument/2006/relationships/customXml" Target="../customXml/item3.xml" Id="rId79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42.xml" Id="rId61" /><Relationship Type="http://schemas.openxmlformats.org/officeDocument/2006/relationships/worksheet" Target="worksheets/sheet19.xml" Id="rId1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3.xml" Id="rId22" /><Relationship Type="http://schemas.openxmlformats.org/officeDocument/2006/relationships/externalLink" Target="externalLinks/externalLink8.xml" Id="rId27" /><Relationship Type="http://schemas.openxmlformats.org/officeDocument/2006/relationships/externalLink" Target="externalLinks/externalLink11.xml" Id="rId30" /><Relationship Type="http://schemas.openxmlformats.org/officeDocument/2006/relationships/externalLink" Target="externalLinks/externalLink16.xml" Id="rId35" /><Relationship Type="http://schemas.openxmlformats.org/officeDocument/2006/relationships/externalLink" Target="externalLinks/externalLink24.xml" Id="rId43" /><Relationship Type="http://schemas.openxmlformats.org/officeDocument/2006/relationships/externalLink" Target="externalLinks/externalLink29.xml" Id="rId48" /><Relationship Type="http://schemas.openxmlformats.org/officeDocument/2006/relationships/externalLink" Target="externalLinks/externalLink37.xml" Id="rId56" /><Relationship Type="http://schemas.openxmlformats.org/officeDocument/2006/relationships/externalLink" Target="externalLinks/externalLink45.xml" Id="rId64" /><Relationship Type="http://schemas.openxmlformats.org/officeDocument/2006/relationships/externalLink" Target="externalLinks/externalLink50.xml" Id="rId69" /><Relationship Type="http://schemas.openxmlformats.org/officeDocument/2006/relationships/customXml" Target="../customXml/item1.xml" Id="rId77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32.xml" Id="rId51" /><Relationship Type="http://schemas.openxmlformats.org/officeDocument/2006/relationships/styles" Target="styles.xml" Id="rId72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6.xml" Id="rId25" /><Relationship Type="http://schemas.openxmlformats.org/officeDocument/2006/relationships/externalLink" Target="externalLinks/externalLink14.xml" Id="rId33" /><Relationship Type="http://schemas.openxmlformats.org/officeDocument/2006/relationships/externalLink" Target="externalLinks/externalLink19.xml" Id="rId38" /><Relationship Type="http://schemas.openxmlformats.org/officeDocument/2006/relationships/externalLink" Target="externalLinks/externalLink27.xml" Id="rId46" /><Relationship Type="http://schemas.openxmlformats.org/officeDocument/2006/relationships/externalLink" Target="externalLinks/externalLink40.xml" Id="rId59" /><Relationship Type="http://schemas.openxmlformats.org/officeDocument/2006/relationships/externalLink" Target="externalLinks/externalLink48.xml" Id="rId67" /><Relationship Type="http://schemas.openxmlformats.org/officeDocument/2006/relationships/externalLink" Target="externalLinks/externalLink1.xml" Id="rId20" /><Relationship Type="http://schemas.openxmlformats.org/officeDocument/2006/relationships/externalLink" Target="externalLinks/externalLink22.xml" Id="rId41" /><Relationship Type="http://schemas.openxmlformats.org/officeDocument/2006/relationships/externalLink" Target="externalLinks/externalLink35.xml" Id="rId54" /><Relationship Type="http://schemas.openxmlformats.org/officeDocument/2006/relationships/externalLink" Target="externalLinks/externalLink43.xml" Id="rId62" /><Relationship Type="http://schemas.openxmlformats.org/officeDocument/2006/relationships/externalLink" Target="externalLinks/externalLink51.xml" Id="rId70" /><Relationship Type="http://schemas.microsoft.com/office/2017/10/relationships/person" Target="persons/person.xml" Id="rId75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5.xml" Id="rId15" /><Relationship Type="http://schemas.openxmlformats.org/officeDocument/2006/relationships/externalLink" Target="externalLinks/externalLink4.xml" Id="rId23" /><Relationship Type="http://schemas.openxmlformats.org/officeDocument/2006/relationships/externalLink" Target="externalLinks/externalLink9.xml" Id="rId28" /><Relationship Type="http://schemas.openxmlformats.org/officeDocument/2006/relationships/externalLink" Target="externalLinks/externalLink17.xml" Id="rId36" /><Relationship Type="http://schemas.openxmlformats.org/officeDocument/2006/relationships/externalLink" Target="externalLinks/externalLink30.xml" Id="rId49" /><Relationship Type="http://schemas.openxmlformats.org/officeDocument/2006/relationships/externalLink" Target="externalLinks/externalLink38.xml" Id="rId57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12.xml" Id="rId31" /><Relationship Type="http://schemas.openxmlformats.org/officeDocument/2006/relationships/externalLink" Target="externalLinks/externalLink25.xml" Id="rId44" /><Relationship Type="http://schemas.openxmlformats.org/officeDocument/2006/relationships/externalLink" Target="externalLinks/externalLink33.xml" Id="rId52" /><Relationship Type="http://schemas.openxmlformats.org/officeDocument/2006/relationships/externalLink" Target="externalLinks/externalLink41.xml" Id="rId60" /><Relationship Type="http://schemas.openxmlformats.org/officeDocument/2006/relationships/externalLink" Target="externalLinks/externalLink46.xml" Id="rId65" /><Relationship Type="http://schemas.openxmlformats.org/officeDocument/2006/relationships/sharedStrings" Target="sharedStrings.xml" Id="rId73" /><Relationship Type="http://schemas.openxmlformats.org/officeDocument/2006/relationships/customXml" Target="../customXml/item2.xml" Id="rId78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20.xml" Id="rId39" /><Relationship Type="http://schemas.openxmlformats.org/officeDocument/2006/relationships/externalLink" Target="externalLinks/externalLink15.xml" Id="rId34" /><Relationship Type="http://schemas.openxmlformats.org/officeDocument/2006/relationships/externalLink" Target="externalLinks/externalLink31.xml" Id="rId50" /><Relationship Type="http://schemas.openxmlformats.org/officeDocument/2006/relationships/externalLink" Target="externalLinks/externalLink36.xml" Id="rId55" /><Relationship Type="http://schemas.openxmlformats.org/officeDocument/2006/relationships/calcChain" Target="calcChain.xml" Id="rId76" /><Relationship Type="http://schemas.openxmlformats.org/officeDocument/2006/relationships/worksheet" Target="worksheets/sheet7.xml" Id="rId7" /><Relationship Type="http://schemas.openxmlformats.org/officeDocument/2006/relationships/theme" Target="theme/theme1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0.xml" Id="rId29" /><Relationship Type="http://schemas.openxmlformats.org/officeDocument/2006/relationships/customXml" Target="/customXML/item4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0557-NIPSCO2021RateCaseSupport/Shared%20Documents/General/COSA%20Model/NIPSCO%20COSA%20Model%20DRAFT_2021_09_0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Accounting\Plant%20-%20Capital\2001%20Budget\Sharpgas%20Budget%20Summary\Revised%202001%20SHG%20Cap%20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8\Electric%20Gross%20Margin%20Forecast%20-%204+8%20Tie%20Ou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TPG/LBO/Bally/BFT%20Forecast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Accounting\Plant%20-%20Capital\2001%20Project%20Accounting\November\2001%20Project%20Accounting%20-%20Novembe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Template"/>
      <sheetName val="Accts_Cust"/>
      <sheetName val="OnSite_Cust"/>
      <sheetName val="Dist_Cust"/>
      <sheetName val="Storage_Comm"/>
      <sheetName val="Dist_Dem"/>
      <sheetName val="Trans_Dem"/>
      <sheetName val="LNG_Dem"/>
      <sheetName val="Storage_Dem"/>
      <sheetName val="DemandTotal"/>
      <sheetName val="EnergyTotal"/>
      <sheetName val="CustomerTotal"/>
      <sheetName val="GrandTotal"/>
      <sheetName val="Summary"/>
      <sheetName val="UnitCost"/>
      <sheetName val="Rev Apportionment"/>
      <sheetName val="Last Case v. This Case"/>
      <sheetName val="Revenue Aport. Values"/>
      <sheetName val="Summary Values"/>
      <sheetName val="Rev Apportionment_alternate"/>
      <sheetName val="Comparison"/>
      <sheetName val="Tables for Testimony"/>
      <sheetName val="ErrorCheck"/>
      <sheetName val="Required Sheets"/>
    </sheetNames>
    <sheetDataSet>
      <sheetData sheetId="0"/>
      <sheetData sheetId="1">
        <row r="19">
          <cell r="D19">
            <v>6.8699999999999997E-2</v>
          </cell>
        </row>
        <row r="32">
          <cell r="D32">
            <v>1</v>
          </cell>
        </row>
      </sheetData>
      <sheetData sheetId="2">
        <row r="9">
          <cell r="B9" t="str">
            <v>STORAGE</v>
          </cell>
        </row>
        <row r="10">
          <cell r="B10" t="str">
            <v>LNG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ON-SITE</v>
          </cell>
        </row>
        <row r="14">
          <cell r="B14" t="str">
            <v>CUST. ACCOUNTS</v>
          </cell>
        </row>
        <row r="15">
          <cell r="B15"/>
        </row>
        <row r="16">
          <cell r="B16"/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22">
          <cell r="B22" t="str">
            <v>MIN_SYS</v>
          </cell>
        </row>
        <row r="23">
          <cell r="B23"/>
        </row>
        <row r="24">
          <cell r="B24"/>
        </row>
        <row r="27">
          <cell r="B27"/>
        </row>
        <row r="28">
          <cell r="B28" t="str">
            <v>DESIGN_DAY</v>
          </cell>
        </row>
        <row r="29">
          <cell r="B29" t="str">
            <v>DIST_DESIGN_DAY</v>
          </cell>
        </row>
        <row r="30">
          <cell r="B30" t="str">
            <v>PEAK_AVG</v>
          </cell>
        </row>
        <row r="31">
          <cell r="B31" t="str">
            <v>SEASxTRANSPORT</v>
          </cell>
        </row>
        <row r="32">
          <cell r="B32" t="str">
            <v>3-DAYxTRANSPORT</v>
          </cell>
        </row>
        <row r="33">
          <cell r="B33" t="str">
            <v>CUSTOMERS</v>
          </cell>
        </row>
        <row r="34">
          <cell r="B34" t="str">
            <v>DIST_CUST</v>
          </cell>
        </row>
        <row r="35">
          <cell r="B35" t="str">
            <v>METERS</v>
          </cell>
        </row>
        <row r="36">
          <cell r="B36" t="str">
            <v>SERVICES</v>
          </cell>
        </row>
        <row r="37">
          <cell r="B37" t="str">
            <v>ACCT_385</v>
          </cell>
        </row>
        <row r="38">
          <cell r="B38" t="str">
            <v>UNCOLLECT</v>
          </cell>
        </row>
        <row r="39">
          <cell r="B39" t="str">
            <v>METER_READ</v>
          </cell>
        </row>
        <row r="40">
          <cell r="B40" t="str">
            <v>CUST_RECORDS</v>
          </cell>
        </row>
        <row r="41">
          <cell r="B41" t="str">
            <v>ACCT_901</v>
          </cell>
        </row>
        <row r="42">
          <cell r="B42" t="str">
            <v>ACCT_910</v>
          </cell>
        </row>
        <row r="43">
          <cell r="B43" t="str">
            <v>ACCT_879</v>
          </cell>
        </row>
        <row r="44">
          <cell r="B44" t="str">
            <v>TOTAL_VOLUME</v>
          </cell>
        </row>
        <row r="45">
          <cell r="B45" t="str">
            <v>WINTER_SEASxT</v>
          </cell>
        </row>
        <row r="46">
          <cell r="B46" t="str">
            <v>BASE_REVENUE</v>
          </cell>
        </row>
        <row r="47">
          <cell r="B47" t="str">
            <v>TDSIC_REVENUE</v>
          </cell>
        </row>
        <row r="48">
          <cell r="B48" t="str">
            <v>FMCA_REVENUE</v>
          </cell>
        </row>
        <row r="49">
          <cell r="B49" t="str">
            <v>RIDERS</v>
          </cell>
        </row>
        <row r="50">
          <cell r="B50" t="str">
            <v>GAS_REVENUE</v>
          </cell>
        </row>
        <row r="51">
          <cell r="B51" t="str">
            <v>TOTAL_REVENUE</v>
          </cell>
        </row>
        <row r="52">
          <cell r="B52" t="str">
            <v>NONGAS_REVENUE</v>
          </cell>
        </row>
        <row r="53">
          <cell r="B53" t="str">
            <v>LATE_FEES</v>
          </cell>
        </row>
        <row r="54">
          <cell r="B54" t="str">
            <v>MISC_REVENUE</v>
          </cell>
        </row>
        <row r="55">
          <cell r="B55" t="str">
            <v>DEFERRED</v>
          </cell>
        </row>
        <row r="56">
          <cell r="B56" t="str">
            <v>SHUTOFF_RECONNECT</v>
          </cell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G24" t="str">
            <v>Storage_Dem</v>
          </cell>
          <cell r="H24" t="str">
            <v>Storage_Comm</v>
          </cell>
          <cell r="I24" t="str">
            <v>Dist_Cust</v>
          </cell>
        </row>
        <row r="25">
          <cell r="G25" t="str">
            <v>LNG_Dem</v>
          </cell>
          <cell r="H25" t="str">
            <v/>
          </cell>
          <cell r="I25" t="str">
            <v>OnSite_Cust</v>
          </cell>
        </row>
        <row r="26">
          <cell r="G26" t="str">
            <v>Trans_Dem</v>
          </cell>
          <cell r="H26" t="str">
            <v/>
          </cell>
          <cell r="I26" t="str">
            <v>Accts_Cust</v>
          </cell>
        </row>
        <row r="27">
          <cell r="G27" t="str">
            <v>Dist_Dem</v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 refreshError="1"/>
      <sheetData sheetId="12" refreshError="1"/>
      <sheetData sheetId="13">
        <row r="14">
          <cell r="BA14">
            <v>24037.666666666668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ustin Garza" id="{822A146E-2AFA-4239-BDD1-04A6278E04B0}" userId="S::jgarza@atriumecon.com::cb560ee2-a70e-4cab-af2e-5e1ecf76742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1" dT="2022-01-23T16:46:40.69" personId="{822A146E-2AFA-4239-BDD1-04A6278E04B0}" id="{DD45D0F8-8CC3-473E-9015-F84526523389}">
    <text>Forecasts include customers with volume greater than or equal to zero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J1" dT="2022-01-20T12:45:56.09" personId="{822A146E-2AFA-4239-BDD1-04A6278E04B0}" id="{EA63DE98-C2D2-41C6-8B8B-9E4C1D2D17AC}">
    <text xml:space="preserve">CSGS forecasts include all clients including those with zero volume. </text>
  </threadedComment>
  <threadedComment ref="AK1" dT="2022-01-23T16:49:07.30" personId="{822A146E-2AFA-4239-BDD1-04A6278E04B0}" id="{F39B9983-DF98-4004-8094-4FEA465F0FC3}">
    <text xml:space="preserve">CSGS forecasts include all clients including those with zero volume. </text>
  </threadedComment>
  <threadedComment ref="AL1" dT="2022-01-23T16:49:13.00" personId="{822A146E-2AFA-4239-BDD1-04A6278E04B0}" id="{0B2FF347-F2E1-49C5-9634-9F885281F1A5}">
    <text xml:space="preserve">CSGS forecasts include all clients including those with zero volume. 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A26B-26DE-41FF-AD68-4521F1C20127}">
  <dimension ref="A1:F24"/>
  <sheetViews>
    <sheetView tabSelected="1" workbookViewId="0">
      <selection sqref="A1:XFD3"/>
    </sheetView>
  </sheetViews>
  <sheetFormatPr defaultRowHeight="12.75"/>
  <cols>
    <col min="1" max="1" width="9" customWidth="1"/>
    <col min="2" max="2" width="35.7109375" customWidth="1"/>
    <col min="5" max="6" width="28.140625" bestFit="1" customWidth="1"/>
  </cols>
  <sheetData>
    <row r="1" spans="1:6">
      <c r="A1" s="38" t="s">
        <v>658</v>
      </c>
    </row>
    <row r="2" spans="1:6">
      <c r="A2" s="38" t="s">
        <v>743</v>
      </c>
    </row>
    <row r="3" spans="1:6">
      <c r="A3" s="4" t="s">
        <v>731</v>
      </c>
    </row>
    <row r="5" spans="1:6">
      <c r="A5" s="162" t="s">
        <v>660</v>
      </c>
      <c r="B5" s="163" t="s">
        <v>661</v>
      </c>
    </row>
    <row r="6" spans="1:6">
      <c r="A6" s="164">
        <v>1</v>
      </c>
      <c r="B6" s="1" t="s">
        <v>732</v>
      </c>
      <c r="E6" s="1"/>
    </row>
    <row r="7" spans="1:6">
      <c r="A7" s="164">
        <f>A6+1</f>
        <v>2</v>
      </c>
      <c r="B7" s="1" t="s">
        <v>653</v>
      </c>
      <c r="E7" s="1"/>
      <c r="F7" s="165"/>
    </row>
    <row r="8" spans="1:6">
      <c r="A8" s="164">
        <f t="shared" ref="A8:A23" si="0">A7+1</f>
        <v>3</v>
      </c>
      <c r="B8" s="165" t="s">
        <v>659</v>
      </c>
      <c r="E8" s="1"/>
      <c r="F8" s="165"/>
    </row>
    <row r="9" spans="1:6">
      <c r="A9" s="164">
        <f t="shared" si="0"/>
        <v>4</v>
      </c>
      <c r="B9" s="165" t="s">
        <v>654</v>
      </c>
      <c r="E9" s="1"/>
      <c r="F9" s="165"/>
    </row>
    <row r="10" spans="1:6">
      <c r="A10" s="164">
        <f t="shared" si="0"/>
        <v>5</v>
      </c>
      <c r="B10" s="165" t="s">
        <v>655</v>
      </c>
      <c r="E10" s="1"/>
      <c r="F10" s="165"/>
    </row>
    <row r="11" spans="1:6">
      <c r="A11" s="164">
        <f t="shared" si="0"/>
        <v>6</v>
      </c>
      <c r="B11" s="165" t="s">
        <v>656</v>
      </c>
      <c r="E11" s="1"/>
      <c r="F11" s="165"/>
    </row>
    <row r="12" spans="1:6">
      <c r="A12" s="164">
        <f t="shared" si="0"/>
        <v>7</v>
      </c>
      <c r="B12" s="165" t="s">
        <v>657</v>
      </c>
      <c r="E12" s="1"/>
      <c r="F12" s="165"/>
    </row>
    <row r="13" spans="1:6">
      <c r="A13" s="164">
        <f t="shared" si="0"/>
        <v>8</v>
      </c>
      <c r="B13" s="1" t="s">
        <v>648</v>
      </c>
      <c r="E13" s="1"/>
      <c r="F13" s="165"/>
    </row>
    <row r="14" spans="1:6">
      <c r="A14" s="164">
        <f t="shared" si="0"/>
        <v>9</v>
      </c>
      <c r="B14" s="165" t="s">
        <v>733</v>
      </c>
      <c r="E14" s="1"/>
      <c r="F14" s="1"/>
    </row>
    <row r="15" spans="1:6">
      <c r="A15" s="164">
        <f t="shared" si="0"/>
        <v>10</v>
      </c>
      <c r="B15" s="165" t="s">
        <v>734</v>
      </c>
      <c r="E15" s="1"/>
      <c r="F15" s="165"/>
    </row>
    <row r="16" spans="1:6">
      <c r="A16" s="164">
        <f t="shared" si="0"/>
        <v>11</v>
      </c>
      <c r="B16" s="165" t="s">
        <v>735</v>
      </c>
      <c r="E16" s="1"/>
      <c r="F16" s="165"/>
    </row>
    <row r="17" spans="1:6">
      <c r="A17" s="164">
        <f t="shared" si="0"/>
        <v>12</v>
      </c>
      <c r="B17" s="165" t="s">
        <v>736</v>
      </c>
      <c r="C17" s="183"/>
      <c r="E17" s="1"/>
      <c r="F17" s="165"/>
    </row>
    <row r="18" spans="1:6">
      <c r="A18" s="164">
        <f t="shared" si="0"/>
        <v>13</v>
      </c>
      <c r="B18" s="165" t="s">
        <v>737</v>
      </c>
      <c r="C18" s="183"/>
      <c r="E18" s="1"/>
      <c r="F18" s="165"/>
    </row>
    <row r="19" spans="1:6">
      <c r="A19" s="164">
        <f t="shared" si="0"/>
        <v>14</v>
      </c>
      <c r="B19" s="165" t="s">
        <v>738</v>
      </c>
      <c r="C19" s="183"/>
      <c r="E19" s="1"/>
      <c r="F19" s="165"/>
    </row>
    <row r="20" spans="1:6">
      <c r="A20" s="164">
        <f t="shared" si="0"/>
        <v>15</v>
      </c>
      <c r="B20" s="165" t="s">
        <v>739</v>
      </c>
      <c r="C20" s="183"/>
      <c r="E20" s="165"/>
      <c r="F20" s="165"/>
    </row>
    <row r="21" spans="1:6">
      <c r="A21" s="164">
        <f t="shared" si="0"/>
        <v>16</v>
      </c>
      <c r="B21" s="165" t="s">
        <v>740</v>
      </c>
      <c r="C21" s="183"/>
      <c r="E21" s="165"/>
      <c r="F21" s="165"/>
    </row>
    <row r="22" spans="1:6">
      <c r="A22" s="164">
        <f t="shared" si="0"/>
        <v>17</v>
      </c>
      <c r="B22" s="165" t="s">
        <v>741</v>
      </c>
      <c r="E22" s="165"/>
      <c r="F22" s="165"/>
    </row>
    <row r="23" spans="1:6">
      <c r="A23" s="164">
        <f t="shared" si="0"/>
        <v>18</v>
      </c>
      <c r="B23" s="165" t="s">
        <v>742</v>
      </c>
      <c r="E23" s="165"/>
      <c r="F23" s="165"/>
    </row>
    <row r="24" spans="1:6">
      <c r="A24" s="164"/>
      <c r="B24" s="1"/>
      <c r="E24" s="165"/>
      <c r="F24" s="165"/>
    </row>
  </sheetData>
  <phoneticPr fontId="59" type="noConversion"/>
  <hyperlinks>
    <hyperlink ref="B6" location="'Forecast Calc'!A1" display="Forecast Calc" xr:uid="{CCF18415-9892-4781-886F-54731EACB3BA}"/>
    <hyperlink ref="B7" location="'Report_Regression'!A1" display="Report_Regression" xr:uid="{46A346C9-3781-42F3-9BA3-82A001E9A0B9}"/>
    <hyperlink ref="B8" location="'WP_Regression Summary'!A1" display="WP_Regression Summary" xr:uid="{CC0663F1-F7D5-421A-B167-8D1711765E46}"/>
    <hyperlink ref="B9" location="'WP_Regression_RES Cust Count'!A1" display="WP_Regression_RES Cust Count" xr:uid="{E7B03488-F4DB-4438-BEB0-16085B1F62D4}"/>
    <hyperlink ref="B10" location="'WP_Regression_RES UPC'!A1" display="WP_Regression_RES UPC" xr:uid="{5E2A046A-9B9E-4DB3-B20A-4967F2F72A00}"/>
    <hyperlink ref="B11" location="'WP_Regreession_COM Cust Count'!A1" display="WP_Regreession_COM Cust Count" xr:uid="{43208EDB-C0BA-4E95-A54C-CB25656FC3FD}"/>
    <hyperlink ref="B12" location="'WP_Regression_COM UPC'!A1" display="WP_Regression_COM UPC" xr:uid="{A68B4A1F-850F-4B50-B158-229C669BA9C6}"/>
    <hyperlink ref="B13" location="'Input Sheets -&gt;'!A1" display="Input Sheets -&gt;" xr:uid="{74FFA6F2-F931-4863-8889-531C94EF603B}"/>
    <hyperlink ref="B14" location="'Input_2018CUST-YTD'!A1" display="Input_2018CUST-YTD" xr:uid="{AD342168-5644-421E-9953-A4AAD354CB2A}"/>
    <hyperlink ref="B15" location="'Input_2018VOL-YTD'!A1" display="Input_2018VOL-YTD" xr:uid="{A4F32E47-4909-4042-86FF-8B6D2E1A4DC5}"/>
    <hyperlink ref="B16" location="'Input_2019CUST-YTD'!A1" display="Input_2019CUST-YTD" xr:uid="{A6E32BE2-79EE-410D-AAB4-57B1E1591DA1}"/>
    <hyperlink ref="B17" location="'Input_2019VOL-YTD'!A1" display="Input_2019VOL-YTD" xr:uid="{19708E13-F13C-45BC-BBD8-44901AA1668C}"/>
    <hyperlink ref="B18" location="'Input_2020CUST-YTD'!A1" display="Input_2020CUST-YTD" xr:uid="{96486AD1-B496-474B-B2F4-55A77B0DA8DB}"/>
    <hyperlink ref="B19" location="'Input_2020VOL-YTD'!A1" display="Input_2020VOL-YTD" xr:uid="{5A78CF64-7705-47F8-A7FB-744A38EE441D}"/>
    <hyperlink ref="B20" location="'Input_2021CUST-YTD'!A1" display="Input_2021CUST-YTD" xr:uid="{299DFB48-5D61-4CB7-94EE-553C596C283C}"/>
    <hyperlink ref="B21" location="'Input_2021VOL-YTD'!A1" display="Input_2021VOL-YTD" xr:uid="{A44017C0-7392-41B3-92A0-AC70EC5911C2}"/>
    <hyperlink ref="B22" location="'Input_2021MARG-YTD'!A1" display="Input_2021MARG-YTD" xr:uid="{7FA72326-6280-43E6-B211-B73D09D3DBB0}"/>
    <hyperlink ref="B23" location="'Input_Fcst Inputs'!A1" display="Input_Fcst Inputs" xr:uid="{8933D332-4A82-42F3-94E7-26D6F35CF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629D-0650-4E7C-8209-BAEC9579CD22}">
  <sheetPr codeName="Sheet16"/>
  <dimension ref="A1:AN67"/>
  <sheetViews>
    <sheetView workbookViewId="0">
      <selection activeCell="J29" sqref="J29:J32"/>
    </sheetView>
  </sheetViews>
  <sheetFormatPr defaultColWidth="8.85546875" defaultRowHeight="12.75" outlineLevelCol="1"/>
  <cols>
    <col min="1" max="1" width="11.42578125" style="39" customWidth="1"/>
    <col min="2" max="3" width="14.140625" style="39" customWidth="1"/>
    <col min="4" max="4" width="41.85546875" style="39" customWidth="1"/>
    <col min="5" max="5" width="8.7109375" style="39" customWidth="1"/>
    <col min="6" max="6" width="8.28515625" style="58" customWidth="1"/>
    <col min="7" max="7" width="14.28515625" style="40" customWidth="1"/>
    <col min="8" max="8" width="13.42578125" style="40" customWidth="1"/>
    <col min="9" max="9" width="15.42578125" style="41" hidden="1" customWidth="1"/>
    <col min="10" max="10" width="15.42578125" style="41" hidden="1" customWidth="1" outlineLevel="1"/>
    <col min="11" max="11" width="14.7109375" style="41" hidden="1" customWidth="1" outlineLevel="1"/>
    <col min="12" max="12" width="13.42578125" style="41" hidden="1" customWidth="1" outlineLevel="1"/>
    <col min="13" max="13" width="11.28515625" style="41" hidden="1" customWidth="1" outlineLevel="1"/>
    <col min="14" max="14" width="12" style="41" customWidth="1" collapsed="1"/>
    <col min="15" max="15" width="9.7109375" style="41" hidden="1" customWidth="1" outlineLevel="1"/>
    <col min="16" max="18" width="12.140625" style="41" hidden="1" customWidth="1" outlineLevel="1"/>
    <col min="19" max="19" width="12.140625" style="41" customWidth="1" collapsed="1"/>
    <col min="20" max="20" width="12" style="41" hidden="1" customWidth="1" outlineLevel="1"/>
    <col min="21" max="22" width="12" style="57" hidden="1" customWidth="1" outlineLevel="1"/>
    <col min="23" max="23" width="13.85546875" style="57" customWidth="1" collapsed="1"/>
    <col min="24" max="24" width="8.5703125" style="34" hidden="1" customWidth="1"/>
    <col min="25" max="26" width="12" style="41" customWidth="1"/>
    <col min="27" max="28" width="12.5703125" style="41" customWidth="1"/>
    <col min="29" max="29" width="12.5703125" style="5" customWidth="1"/>
    <col min="30" max="30" width="18.7109375" style="5" customWidth="1"/>
    <col min="31" max="31" width="16.140625" style="5" customWidth="1"/>
    <col min="32" max="32" width="15.85546875" style="5" customWidth="1"/>
    <col min="33" max="35" width="15.85546875" style="39" customWidth="1"/>
    <col min="36" max="16384" width="8.85546875" style="39"/>
  </cols>
  <sheetData>
    <row r="1" spans="1:40" s="12" customFormat="1" ht="38.25">
      <c r="A1" s="462" t="s">
        <v>335</v>
      </c>
      <c r="B1" s="462" t="s">
        <v>330</v>
      </c>
      <c r="C1" s="463" t="s">
        <v>634</v>
      </c>
      <c r="D1" s="462" t="s">
        <v>338</v>
      </c>
      <c r="E1" s="462" t="s">
        <v>2</v>
      </c>
      <c r="F1" s="463" t="s">
        <v>671</v>
      </c>
      <c r="G1" s="462" t="s">
        <v>92</v>
      </c>
      <c r="H1" s="462" t="s">
        <v>432</v>
      </c>
      <c r="I1" s="464" t="s">
        <v>636</v>
      </c>
      <c r="J1" s="465" t="s">
        <v>429</v>
      </c>
      <c r="K1" s="465" t="s">
        <v>728</v>
      </c>
      <c r="L1" s="465" t="s">
        <v>428</v>
      </c>
      <c r="M1" s="465" t="s">
        <v>427</v>
      </c>
      <c r="N1" s="465" t="s">
        <v>426</v>
      </c>
      <c r="O1" s="466" t="s">
        <v>430</v>
      </c>
      <c r="P1" s="466" t="s">
        <v>729</v>
      </c>
      <c r="Q1" s="466" t="s">
        <v>442</v>
      </c>
      <c r="R1" s="466" t="s">
        <v>443</v>
      </c>
      <c r="S1" s="466" t="s">
        <v>444</v>
      </c>
      <c r="T1" s="467" t="s">
        <v>730</v>
      </c>
      <c r="U1" s="468" t="s">
        <v>440</v>
      </c>
      <c r="V1" s="468" t="s">
        <v>441</v>
      </c>
      <c r="W1" s="468" t="s">
        <v>431</v>
      </c>
      <c r="X1" s="469" t="s">
        <v>636</v>
      </c>
      <c r="Y1" s="470" t="s">
        <v>446</v>
      </c>
      <c r="Z1" s="470" t="s">
        <v>447</v>
      </c>
      <c r="AA1" s="470" t="s">
        <v>448</v>
      </c>
      <c r="AB1" s="470" t="s">
        <v>436</v>
      </c>
      <c r="AC1" s="470" t="s">
        <v>16</v>
      </c>
      <c r="AD1" s="471" t="s">
        <v>445</v>
      </c>
      <c r="AE1" s="471" t="s">
        <v>434</v>
      </c>
      <c r="AF1" s="471" t="s">
        <v>435</v>
      </c>
      <c r="AG1" s="471" t="s">
        <v>425</v>
      </c>
      <c r="AH1" s="471" t="s">
        <v>437</v>
      </c>
      <c r="AI1" s="471" t="s">
        <v>424</v>
      </c>
      <c r="AJ1" s="39"/>
      <c r="AK1" s="39"/>
      <c r="AL1" s="39"/>
      <c r="AM1" s="39"/>
      <c r="AN1" s="39"/>
    </row>
    <row r="2" spans="1:40" s="26" customFormat="1">
      <c r="A2" s="26" t="s">
        <v>3</v>
      </c>
      <c r="B2" s="26" t="s">
        <v>331</v>
      </c>
      <c r="C2" s="26" t="s">
        <v>0</v>
      </c>
      <c r="D2" s="26" t="s">
        <v>74</v>
      </c>
      <c r="E2" s="26" t="s">
        <v>308</v>
      </c>
      <c r="F2" s="166" t="s">
        <v>672</v>
      </c>
      <c r="G2" s="27" t="s">
        <v>75</v>
      </c>
      <c r="H2" s="27" t="s">
        <v>351</v>
      </c>
      <c r="I2" s="28"/>
      <c r="J2" s="29" t="str">
        <f>IFERROR(VLOOKUP(H2,Report_Regression!B:L,11,FALSE),"")</f>
        <v>Median</v>
      </c>
      <c r="K2" s="30">
        <f>_xlfn.IFNA(VLOOKUP($H2,Report_Regression!$B:$L,9,FALSE),0)</f>
        <v>2.5051703091705339E-3</v>
      </c>
      <c r="L2" s="30">
        <f>_xlfn.IFNA(VLOOKUP($H2,Report_Regression!$B:$L,10,FALSE),0)</f>
        <v>2.1962264791334546E-3</v>
      </c>
      <c r="M2" s="30">
        <f>_xlfn.IFNA(VLOOKUP($H2,Report_Regression!$B:$L,8,FALSE),0)</f>
        <v>2.8092644708525663E-3</v>
      </c>
      <c r="N2" s="30">
        <f>IF(J2="Median",K2,IF(J2="Low",L2,IF(J2="Average",M2,0)))</f>
        <v>2.5051703091705339E-3</v>
      </c>
      <c r="O2" s="30" t="str">
        <f>IFERROR(VLOOKUP(H2,Report_Regression!O:Y,11,FALSE),"")</f>
        <v>Median</v>
      </c>
      <c r="P2" s="30">
        <f>IFERROR(VLOOKUP($H2,Report_Regression!$O:$Y,9,FALSE),0)</f>
        <v>-4.3943718717954036E-2</v>
      </c>
      <c r="Q2" s="30">
        <f>IFERROR(VLOOKUP($H2,Report_Regression!$O:$Y,10,FALSE),0)</f>
        <v>-6.1471465285679532E-2</v>
      </c>
      <c r="R2" s="30">
        <f>IFERROR(VLOOKUP($H2,Report_Regression!$O:$Y,8,FALSE),0)</f>
        <v>-2.9141040695421366E-2</v>
      </c>
      <c r="S2" s="30">
        <f>IF(O2="Median",P2,IF(O2="Low",Q2,IF(O2="Average",R2,0)))</f>
        <v>-4.3943718717954036E-2</v>
      </c>
      <c r="T2" s="29">
        <f>_xlfn.IFNA(VLOOKUP($H2,Report_Regression!$O:$Y,6,FALSE),0)</f>
        <v>147.81172002816606</v>
      </c>
      <c r="U2" s="29">
        <f>_xlfn.IFNA(VLOOKUP($H2,Report_Regression!$O:$Y,7,FALSE),0)</f>
        <v>132.87148021723644</v>
      </c>
      <c r="V2" s="29">
        <f>_xlfn.IFNA(VLOOKUP($H2,Report_Regression!$O:$Y,5,FALSE),0)</f>
        <v>162.75195983909569</v>
      </c>
      <c r="W2" s="2">
        <f>IFERROR(IF(O2="Median",T2,IF(O2="Low",U2,IF(O2="Average",V2,IF(O2="Base Period",AG2/AA2*12,0)))),0)</f>
        <v>147.81172002816606</v>
      </c>
      <c r="X2" s="33"/>
      <c r="Y2" s="29">
        <f>SUMIF('Input_2019CUST-YTD'!S:S,G2,'Input_2019CUST-YTD'!R:R)</f>
        <v>8032</v>
      </c>
      <c r="Z2" s="29">
        <f>SUMIF('Input_2020CUST-YTD'!S:S,G2,'Input_2020CUST-YTD'!R:R)</f>
        <v>8086</v>
      </c>
      <c r="AA2" s="29">
        <f>SUMIF('Input_2021CUST-YTD'!S:S,G2,'Input_2021CUST-YTD'!R:R)</f>
        <v>8098</v>
      </c>
      <c r="AB2" s="29">
        <f>AA2*(1+N2)</f>
        <v>8118.2868691636631</v>
      </c>
      <c r="AC2" s="29">
        <f>AB2*(1+N2)</f>
        <v>8138.6245603896205</v>
      </c>
      <c r="AD2" s="29" t="str">
        <f>VLOOKUP(D2,'Input_Fcst Inputs'!A:F,2,FALSE)</f>
        <v>Modeled UPC</v>
      </c>
      <c r="AE2" s="29">
        <f>SUMIF('Input_2019VOL-YTD'!R:R,G2,'Input_2019VOL-YTD'!O:O)</f>
        <v>114642.48000000004</v>
      </c>
      <c r="AF2" s="29">
        <f>SUMIF('Input_2020VOL-YTD'!R:R,G2,'Input_2020VOL-YTD'!O:O)</f>
        <v>120526.06999999999</v>
      </c>
      <c r="AG2" s="29">
        <f>SUMIF('Input_2021VOL-YTD'!R:R,G2,'Input_2021VOL-YTD'!O:O)</f>
        <v>115897.47999999994</v>
      </c>
      <c r="AH2" s="29">
        <f>IFERROR(IF($AD2="Historical Average",(AVERAGE($AE2:$AG2)/AVERAGE($Y2:$AA2))*AB2,IF($AD2="UPC Growth Rate",((AG2/AA2)*(1+$S2)*AB2),IF($AD2="Modeled UPC",AB2/12*$W2,IF(AD2="Base Period",AG2,IF(AD2="Adjusted",SUMIF('Input_Fcst Inputs'!A:A,D2,'Input_Fcst Inputs'!F:F),0))))),0)</f>
        <v>99998.162151096345</v>
      </c>
      <c r="AI2" s="29">
        <f>IFERROR(IF($AD2="Historical Average",(AVERAGE($AE2:$AG2)/AVERAGE($Y2:$AA2))*AC2,IF($AD2="UPC Growth Rate",((AH2/AB2)*(1+$S2)*AC2),IF($AD2="Modeled UPC",AC2/12*$W2,IF(AD2="Base Period",AG2,IF(AD2="Adjusted",SUMIF('Input_Fcst Inputs'!A:A,D2,'Input_Fcst Inputs'!G:G),0))))),0)</f>
        <v>100248.67457788889</v>
      </c>
      <c r="AJ2" s="39"/>
      <c r="AK2" s="39"/>
      <c r="AL2" s="39"/>
      <c r="AM2" s="39"/>
      <c r="AN2" s="39"/>
    </row>
    <row r="3" spans="1:40" s="26" customFormat="1">
      <c r="A3" s="26" t="s">
        <v>3</v>
      </c>
      <c r="B3" s="26" t="s">
        <v>331</v>
      </c>
      <c r="C3" s="26" t="s">
        <v>635</v>
      </c>
      <c r="D3" s="26" t="s">
        <v>76</v>
      </c>
      <c r="E3" s="26" t="s">
        <v>309</v>
      </c>
      <c r="F3" s="166" t="s">
        <v>672</v>
      </c>
      <c r="G3" s="27" t="s">
        <v>77</v>
      </c>
      <c r="H3" s="27" t="s">
        <v>433</v>
      </c>
      <c r="I3" s="28"/>
      <c r="J3" s="29" t="str">
        <f>IFERROR(VLOOKUP(H3,Report_Regression!B:L,11,FALSE),"")</f>
        <v>Base Period</v>
      </c>
      <c r="K3" s="30">
        <f>_xlfn.IFNA(VLOOKUP($H3,Report_Regression!$B:$L,9,FALSE),0)</f>
        <v>0</v>
      </c>
      <c r="L3" s="30">
        <f>_xlfn.IFNA(VLOOKUP($H3,Report_Regression!$B:$L,10,FALSE),0)</f>
        <v>0</v>
      </c>
      <c r="M3" s="30">
        <f>_xlfn.IFNA(VLOOKUP($H3,Report_Regression!$B:$L,8,FALSE),0)</f>
        <v>0</v>
      </c>
      <c r="N3" s="30">
        <f t="shared" ref="N3:N65" si="0">IF(J3="Median",K3,IF(J3="Low",L3,IF(J3="Average",M3,0)))</f>
        <v>0</v>
      </c>
      <c r="O3" s="30" t="str">
        <f>IFERROR(VLOOKUP(H3,Report_Regression!O:Y,11,FALSE),"")</f>
        <v>Base Period</v>
      </c>
      <c r="P3" s="30">
        <f>IFERROR(VLOOKUP($H3,Report_Regression!$O:$Y,9,FALSE),0)</f>
        <v>0</v>
      </c>
      <c r="Q3" s="30">
        <f>IFERROR(VLOOKUP($H3,Report_Regression!$O:$Y,10,FALSE),0)</f>
        <v>0</v>
      </c>
      <c r="R3" s="30">
        <f>IFERROR(VLOOKUP($H3,Report_Regression!$O:$Y,8,FALSE),0)</f>
        <v>0</v>
      </c>
      <c r="S3" s="30">
        <f t="shared" ref="S3:S65" si="1">IF(O3="Median",P3,IF(O3="Low",Q3,IF(O3="Average",R3,0)))</f>
        <v>0</v>
      </c>
      <c r="T3" s="29">
        <f>_xlfn.IFNA(VLOOKUP($H3,Report_Regression!$O:$Y,6,FALSE),0)</f>
        <v>0</v>
      </c>
      <c r="U3" s="29">
        <f>_xlfn.IFNA(VLOOKUP($H3,Report_Regression!$O:$Y,7,FALSE),0)</f>
        <v>0</v>
      </c>
      <c r="V3" s="29">
        <f>_xlfn.IFNA(VLOOKUP($H3,Report_Regression!$O:$Y,5,FALSE),0)</f>
        <v>0</v>
      </c>
      <c r="W3" s="2">
        <f t="shared" ref="W3:W65" si="2">IFERROR(IF(O3="Median",T3,IF(O3="Low",U3,IF(O3="Average",V3,IF(O3="Base Period",AG3/AA3*12,0)))),0)</f>
        <v>3722.1586206896554</v>
      </c>
      <c r="X3" s="33"/>
      <c r="Y3" s="29">
        <f>SUMIF('Input_2019CUST-YTD'!S:S,G3,'Input_2019CUST-YTD'!R:R)</f>
        <v>272</v>
      </c>
      <c r="Z3" s="29">
        <f>SUMIF('Input_2020CUST-YTD'!S:S,G3,'Input_2020CUST-YTD'!R:R)</f>
        <v>261</v>
      </c>
      <c r="AA3" s="29">
        <f>SUMIF('Input_2021CUST-YTD'!S:S,G3,'Input_2021CUST-YTD'!R:R)</f>
        <v>261</v>
      </c>
      <c r="AB3" s="29">
        <f>AA3*(1+N3)</f>
        <v>261</v>
      </c>
      <c r="AC3" s="29">
        <f>AB3*(1+N3)</f>
        <v>261</v>
      </c>
      <c r="AD3" s="29" t="str">
        <f>VLOOKUP(D3,'Input_Fcst Inputs'!A:F,2,FALSE)</f>
        <v>Base Period</v>
      </c>
      <c r="AE3" s="29">
        <f>SUMIF('Input_2019VOL-YTD'!R:R,G3,'Input_2019VOL-YTD'!O:O)</f>
        <v>83536.34</v>
      </c>
      <c r="AF3" s="29">
        <f>SUMIF('Input_2020VOL-YTD'!R:R,G3,'Input_2020VOL-YTD'!O:O)</f>
        <v>80460.960000000006</v>
      </c>
      <c r="AG3" s="29">
        <f>SUMIF('Input_2021VOL-YTD'!R:R,G3,'Input_2021VOL-YTD'!O:O)</f>
        <v>80956.95</v>
      </c>
      <c r="AH3" s="29">
        <f>IFERROR(IF($AD3="Historical Average",(AVERAGE($AE3:$AG3)/AVERAGE($Y3:$AA3))*AB3,IF($AD3="UPC Growth Rate",((AG3/AA3)*(1+$S3)*AB3),IF($AD3="Modeled UPC",AB3/12*$W3,IF(AD3="Base Period",AG3,IF(AD3="Adjusted",SUMIF('Input_Fcst Inputs'!A:A,D3,'Input_Fcst Inputs'!F:F),0))))),0)</f>
        <v>80956.95</v>
      </c>
      <c r="AI3" s="29">
        <f>IFERROR(IF($AD3="Historical Average",(AVERAGE($AE3:$AG3)/AVERAGE($Y3:$AA3))*AC3,IF($AD3="UPC Growth Rate",((AH3/AB3)*(1+$S3)*AC3),IF($AD3="Modeled UPC",AC3/12*$W3,IF(AD3="Base Period",AG3,IF(AD3="Adjusted",SUMIF('Input_Fcst Inputs'!A:A,D3,'Input_Fcst Inputs'!G:G),0))))),0)</f>
        <v>80956.95</v>
      </c>
      <c r="AJ3" s="39"/>
      <c r="AK3" s="39"/>
      <c r="AL3" s="39"/>
      <c r="AM3" s="39"/>
      <c r="AN3" s="39"/>
    </row>
    <row r="4" spans="1:40" s="26" customFormat="1">
      <c r="A4" s="26" t="s">
        <v>3</v>
      </c>
      <c r="B4" s="26" t="s">
        <v>331</v>
      </c>
      <c r="C4" s="26" t="s">
        <v>635</v>
      </c>
      <c r="D4" s="26" t="s">
        <v>78</v>
      </c>
      <c r="E4" s="26" t="s">
        <v>310</v>
      </c>
      <c r="F4" s="166" t="s">
        <v>672</v>
      </c>
      <c r="G4" s="27" t="s">
        <v>79</v>
      </c>
      <c r="H4" s="27" t="s">
        <v>433</v>
      </c>
      <c r="I4" s="28"/>
      <c r="J4" s="29" t="str">
        <f>IFERROR(VLOOKUP(H4,Report_Regression!B:L,11,FALSE),"")</f>
        <v>Base Period</v>
      </c>
      <c r="K4" s="30">
        <f>_xlfn.IFNA(VLOOKUP($H4,Report_Regression!$B:$L,9,FALSE),0)</f>
        <v>0</v>
      </c>
      <c r="L4" s="30">
        <f>_xlfn.IFNA(VLOOKUP($H4,Report_Regression!$B:$L,10,FALSE),0)</f>
        <v>0</v>
      </c>
      <c r="M4" s="30">
        <f>_xlfn.IFNA(VLOOKUP($H4,Report_Regression!$B:$L,8,FALSE),0)</f>
        <v>0</v>
      </c>
      <c r="N4" s="30">
        <f t="shared" si="0"/>
        <v>0</v>
      </c>
      <c r="O4" s="30" t="str">
        <f>IFERROR(VLOOKUP(H4,Report_Regression!O:Y,11,FALSE),"")</f>
        <v>Base Period</v>
      </c>
      <c r="P4" s="30">
        <f>IFERROR(VLOOKUP($H4,Report_Regression!$O:$Y,9,FALSE),0)</f>
        <v>0</v>
      </c>
      <c r="Q4" s="30">
        <f>IFERROR(VLOOKUP($H4,Report_Regression!$O:$Y,10,FALSE),0)</f>
        <v>0</v>
      </c>
      <c r="R4" s="30">
        <f>IFERROR(VLOOKUP($H4,Report_Regression!$O:$Y,8,FALSE),0)</f>
        <v>0</v>
      </c>
      <c r="S4" s="30">
        <f t="shared" si="1"/>
        <v>0</v>
      </c>
      <c r="T4" s="29">
        <f>_xlfn.IFNA(VLOOKUP($H4,Report_Regression!$O:$Y,6,FALSE),0)</f>
        <v>0</v>
      </c>
      <c r="U4" s="29">
        <f>_xlfn.IFNA(VLOOKUP($H4,Report_Regression!$O:$Y,7,FALSE),0)</f>
        <v>0</v>
      </c>
      <c r="V4" s="29">
        <f>_xlfn.IFNA(VLOOKUP($H4,Report_Regression!$O:$Y,5,FALSE),0)</f>
        <v>0</v>
      </c>
      <c r="W4" s="2">
        <f t="shared" si="2"/>
        <v>7985.92</v>
      </c>
      <c r="X4" s="33"/>
      <c r="Y4" s="29">
        <f>SUMIF('Input_2019CUST-YTD'!S:S,G4,'Input_2019CUST-YTD'!R:R)</f>
        <v>12</v>
      </c>
      <c r="Z4" s="29">
        <f>SUMIF('Input_2020CUST-YTD'!S:S,G4,'Input_2020CUST-YTD'!R:R)</f>
        <v>12</v>
      </c>
      <c r="AA4" s="29">
        <f>SUMIF('Input_2021CUST-YTD'!S:S,G4,'Input_2021CUST-YTD'!R:R)</f>
        <v>12</v>
      </c>
      <c r="AB4" s="29">
        <f>AA4*(1+N4)</f>
        <v>12</v>
      </c>
      <c r="AC4" s="29">
        <f>AB4*(1+N4)</f>
        <v>12</v>
      </c>
      <c r="AD4" s="29" t="str">
        <f>VLOOKUP(D4,'Input_Fcst Inputs'!A:F,2,FALSE)</f>
        <v>Base Period</v>
      </c>
      <c r="AE4" s="29">
        <f>SUMIF('Input_2019VOL-YTD'!R:R,G4,'Input_2019VOL-YTD'!O:O)</f>
        <v>3870.09</v>
      </c>
      <c r="AF4" s="29">
        <f>SUMIF('Input_2020VOL-YTD'!R:R,G4,'Input_2020VOL-YTD'!O:O)</f>
        <v>4666.6000000000004</v>
      </c>
      <c r="AG4" s="29">
        <f>SUMIF('Input_2021VOL-YTD'!R:R,G4,'Input_2021VOL-YTD'!O:O)</f>
        <v>7985.92</v>
      </c>
      <c r="AH4" s="29">
        <f>IFERROR(IF($AD4="Historical Average",(AVERAGE($AE4:$AG4)/AVERAGE($Y4:$AA4))*AB4,IF($AD4="UPC Growth Rate",((AG4/AA4)*(1+$S4)*AB4),IF($AD4="Modeled UPC",AB4/12*$W4,IF(AD4="Base Period",AG4,IF(AD4="Adjusted",SUMIF('Input_Fcst Inputs'!A:A,D4,'Input_Fcst Inputs'!F:F),0))))),0)</f>
        <v>7985.92</v>
      </c>
      <c r="AI4" s="29">
        <f>IFERROR(IF($AD4="Historical Average",(AVERAGE($AE4:$AG4)/AVERAGE($Y4:$AA4))*AC4,IF($AD4="UPC Growth Rate",((AH4/AB4)*(1+$S4)*AC4),IF($AD4="Modeled UPC",AC4/12*$W4,IF(AD4="Base Period",AG4,IF(AD4="Adjusted",SUMIF('Input_Fcst Inputs'!A:A,D4,'Input_Fcst Inputs'!G:G),0))))),0)</f>
        <v>7985.92</v>
      </c>
      <c r="AJ4" s="39"/>
      <c r="AK4" s="39"/>
      <c r="AL4" s="39"/>
      <c r="AM4" s="39"/>
      <c r="AN4" s="39"/>
    </row>
    <row r="5" spans="1:40" s="28" customFormat="1">
      <c r="A5" s="28" t="s">
        <v>3</v>
      </c>
      <c r="B5" s="28" t="s">
        <v>331</v>
      </c>
      <c r="C5" s="28" t="s">
        <v>635</v>
      </c>
      <c r="D5" s="28" t="s">
        <v>80</v>
      </c>
      <c r="E5" s="28" t="s">
        <v>311</v>
      </c>
      <c r="F5" s="182" t="s">
        <v>672</v>
      </c>
      <c r="G5" s="31" t="s">
        <v>81</v>
      </c>
      <c r="H5" s="31" t="s">
        <v>433</v>
      </c>
      <c r="J5" s="29" t="str">
        <f>IFERROR(VLOOKUP(H5,Report_Regression!B:L,11,FALSE),"")</f>
        <v>Base Period</v>
      </c>
      <c r="K5" s="30">
        <f>_xlfn.IFNA(VLOOKUP($H5,Report_Regression!$B:$L,9,FALSE),0)</f>
        <v>0</v>
      </c>
      <c r="L5" s="30">
        <f>_xlfn.IFNA(VLOOKUP($H5,Report_Regression!$B:$L,10,FALSE),0)</f>
        <v>0</v>
      </c>
      <c r="M5" s="30">
        <f>_xlfn.IFNA(VLOOKUP($H5,Report_Regression!$B:$L,8,FALSE),0)</f>
        <v>0</v>
      </c>
      <c r="N5" s="30">
        <f t="shared" si="0"/>
        <v>0</v>
      </c>
      <c r="O5" s="30" t="str">
        <f>IFERROR(VLOOKUP(H5,Report_Regression!O:Y,11,FALSE),"")</f>
        <v>Base Period</v>
      </c>
      <c r="P5" s="30">
        <f>IFERROR(VLOOKUP($H5,Report_Regression!$O:$Y,9,FALSE),0)</f>
        <v>0</v>
      </c>
      <c r="Q5" s="30">
        <f>IFERROR(VLOOKUP($H5,Report_Regression!$O:$Y,10,FALSE),0)</f>
        <v>0</v>
      </c>
      <c r="R5" s="30">
        <f>IFERROR(VLOOKUP($H5,Report_Regression!$O:$Y,8,FALSE),0)</f>
        <v>0</v>
      </c>
      <c r="S5" s="30">
        <f t="shared" si="1"/>
        <v>0</v>
      </c>
      <c r="T5" s="29">
        <f>_xlfn.IFNA(VLOOKUP($H5,Report_Regression!$O:$Y,6,FALSE),0)</f>
        <v>0</v>
      </c>
      <c r="U5" s="29">
        <f>_xlfn.IFNA(VLOOKUP($H5,Report_Regression!$O:$Y,7,FALSE),0)</f>
        <v>0</v>
      </c>
      <c r="V5" s="29">
        <f>_xlfn.IFNA(VLOOKUP($H5,Report_Regression!$O:$Y,5,FALSE),0)</f>
        <v>0</v>
      </c>
      <c r="W5" s="2">
        <f t="shared" si="2"/>
        <v>0</v>
      </c>
      <c r="X5" s="33"/>
      <c r="Y5" s="29">
        <f>SUMIF('Input_2019CUST-YTD'!S:S,G5,'Input_2019CUST-YTD'!R:R)</f>
        <v>24</v>
      </c>
      <c r="Z5" s="29">
        <f>SUMIF('Input_2020CUST-YTD'!S:S,G5,'Input_2020CUST-YTD'!R:R)</f>
        <v>24</v>
      </c>
      <c r="AA5" s="29"/>
      <c r="AB5" s="29"/>
      <c r="AC5" s="29">
        <f t="shared" ref="AC5" si="3">ROUND(AB5*(1+N5)/12,0)*12</f>
        <v>0</v>
      </c>
      <c r="AD5" s="29" t="str">
        <f>VLOOKUP(D5,'Input_Fcst Inputs'!A:F,2,FALSE)</f>
        <v>Base Period</v>
      </c>
      <c r="AE5" s="29">
        <f>SUMIF('Input_2019VOL-YTD'!R:R,G5,'Input_2019VOL-YTD'!O:O)</f>
        <v>0</v>
      </c>
      <c r="AF5" s="29">
        <f>SUMIF('Input_2020VOL-YTD'!R:R,G5,'Input_2020VOL-YTD'!O:O)</f>
        <v>0</v>
      </c>
      <c r="AG5" s="29">
        <f>SUMIF('Input_2021VOL-YTD'!R:R,G5,'Input_2021VOL-YTD'!O:O)</f>
        <v>0</v>
      </c>
      <c r="AH5" s="29">
        <f>IFERROR(IF($AD5="Historical Average",(AVERAGE($AE5:$AG5)/AVERAGE($Y5:$AA5))*AB5,IF($AD5="UPC Growth Rate",((AG5/AA5)*(1+$S5)*AB5),IF($AD5="Modeled UPC",AB5/12*$W5,IF(AD5="Base Period",AG5,IF(AD5="Adjusted",SUMIF('Input_Fcst Inputs'!A:A,D5,'Input_Fcst Inputs'!F:F),0))))),0)</f>
        <v>0</v>
      </c>
      <c r="AI5" s="29">
        <f>IFERROR(IF($AD5="Historical Average",(AVERAGE($AE5:$AG5)/AVERAGE($Y5:$AA5))*AC5,IF($AD5="UPC Growth Rate",((AH5/AB5)*(1+$S5)*AC5),IF($AD5="Modeled UPC",AC5/12*$W5,IF(AD5="Base Period",AG5,IF(AD5="Adjusted",SUMIF('Input_Fcst Inputs'!A:A,D5,'Input_Fcst Inputs'!G:G),0))))),0)</f>
        <v>0</v>
      </c>
    </row>
    <row r="6" spans="1:40" s="28" customFormat="1">
      <c r="A6" s="26" t="s">
        <v>3</v>
      </c>
      <c r="B6" s="28" t="s">
        <v>331</v>
      </c>
      <c r="C6" s="26" t="s">
        <v>635</v>
      </c>
      <c r="D6" s="28" t="s">
        <v>82</v>
      </c>
      <c r="E6" s="26" t="s">
        <v>307</v>
      </c>
      <c r="F6" s="166" t="s">
        <v>672</v>
      </c>
      <c r="G6" s="27" t="s">
        <v>307</v>
      </c>
      <c r="H6" s="27" t="s">
        <v>433</v>
      </c>
      <c r="J6" s="29" t="str">
        <f>IFERROR(VLOOKUP(H6,Report_Regression!B:L,11,FALSE),"")</f>
        <v>Base Period</v>
      </c>
      <c r="K6" s="30">
        <f>_xlfn.IFNA(VLOOKUP($H6,Report_Regression!$B:$L,9,FALSE),0)</f>
        <v>0</v>
      </c>
      <c r="L6" s="30">
        <f>_xlfn.IFNA(VLOOKUP($H6,Report_Regression!$B:$L,10,FALSE),0)</f>
        <v>0</v>
      </c>
      <c r="M6" s="30">
        <f>_xlfn.IFNA(VLOOKUP($H6,Report_Regression!$B:$L,8,FALSE),0)</f>
        <v>0</v>
      </c>
      <c r="N6" s="30">
        <f t="shared" si="0"/>
        <v>0</v>
      </c>
      <c r="O6" s="30" t="str">
        <f>IFERROR(VLOOKUP(H6,Report_Regression!O:Y,11,FALSE),"")</f>
        <v>Base Period</v>
      </c>
      <c r="P6" s="30">
        <f>IFERROR(VLOOKUP($H6,Report_Regression!$O:$Y,9,FALSE),0)</f>
        <v>0</v>
      </c>
      <c r="Q6" s="30">
        <f>IFERROR(VLOOKUP($H6,Report_Regression!$O:$Y,10,FALSE),0)</f>
        <v>0</v>
      </c>
      <c r="R6" s="30">
        <f>IFERROR(VLOOKUP($H6,Report_Regression!$O:$Y,8,FALSE),0)</f>
        <v>0</v>
      </c>
      <c r="S6" s="30">
        <f t="shared" si="1"/>
        <v>0</v>
      </c>
      <c r="T6" s="29">
        <f>_xlfn.IFNA(VLOOKUP($H6,Report_Regression!$O:$Y,6,FALSE),0)</f>
        <v>0</v>
      </c>
      <c r="U6" s="29">
        <f>_xlfn.IFNA(VLOOKUP($H6,Report_Regression!$O:$Y,7,FALSE),0)</f>
        <v>0</v>
      </c>
      <c r="V6" s="29">
        <f>_xlfn.IFNA(VLOOKUP($H6,Report_Regression!$O:$Y,5,FALSE),0)</f>
        <v>0</v>
      </c>
      <c r="W6" s="2">
        <f t="shared" si="2"/>
        <v>0</v>
      </c>
      <c r="X6" s="33"/>
      <c r="Y6" s="29">
        <f>SUMIF('Input_2019CUST-YTD'!S:S,G6,'Input_2019CUST-YTD'!R:R)</f>
        <v>0</v>
      </c>
      <c r="Z6" s="29">
        <f>SUMIF('Input_2020CUST-YTD'!S:S,G6,'Input_2020CUST-YTD'!R:R)</f>
        <v>0</v>
      </c>
      <c r="AA6" s="29">
        <f>SUMIF('Input_2021CUST-YTD'!S:S,G6,'Input_2021CUST-YTD'!R:R)</f>
        <v>0</v>
      </c>
      <c r="AB6" s="29">
        <f t="shared" ref="AB6:AB58" si="4">AA6*(1+N6)</f>
        <v>0</v>
      </c>
      <c r="AC6" s="29">
        <f t="shared" ref="AC6:AC58" si="5">AB6*(1+N6)</f>
        <v>0</v>
      </c>
      <c r="AD6" s="29" t="str">
        <f>VLOOKUP(D6,'Input_Fcst Inputs'!A:F,2,FALSE)</f>
        <v>Base Period</v>
      </c>
      <c r="AE6" s="29">
        <f>SUMIF('Input_2019VOL-YTD'!R:R,G6,'Input_2019VOL-YTD'!O:O)</f>
        <v>0</v>
      </c>
      <c r="AF6" s="29">
        <f>SUMIF('Input_2020VOL-YTD'!R:R,G6,'Input_2020VOL-YTD'!O:O)</f>
        <v>0</v>
      </c>
      <c r="AG6" s="29">
        <f>SUMIF('Input_2021VOL-YTD'!R:R,G6,'Input_2021VOL-YTD'!O:O)</f>
        <v>0</v>
      </c>
      <c r="AH6" s="29">
        <f>IFERROR(IF($AD6="Historical Average",(AVERAGE($AE6:$AG6)/AVERAGE($Y6:$AA6))*AB6,IF($AD6="UPC Growth Rate",((AG6/AA6)*(1+$S6)*AB6),IF($AD6="Modeled UPC",AB6/12*$W6,IF(AD6="Base Period",AG6,IF(AD6="Adjusted",SUMIF('Input_Fcst Inputs'!A:A,D6,'Input_Fcst Inputs'!F:F),0))))),0)</f>
        <v>0</v>
      </c>
      <c r="AI6" s="29">
        <f>IFERROR(IF($AD6="Historical Average",(AVERAGE($AE6:$AG6)/AVERAGE($Y6:$AA6))*AC6,IF($AD6="UPC Growth Rate",((AH6/AB6)*(1+$S6)*AC6),IF($AD6="Modeled UPC",AC6/12*$W6,IF(AD6="Base Period",AG6,IF(AD6="Adjusted",SUMIF('Input_Fcst Inputs'!A:A,D6,'Input_Fcst Inputs'!G:G),0))))),0)</f>
        <v>0</v>
      </c>
    </row>
    <row r="7" spans="1:40" s="28" customFormat="1">
      <c r="A7" s="28" t="s">
        <v>334</v>
      </c>
      <c r="B7" s="28" t="s">
        <v>332</v>
      </c>
      <c r="C7" s="28" t="s">
        <v>0</v>
      </c>
      <c r="D7" s="28" t="s">
        <v>83</v>
      </c>
      <c r="E7" s="28" t="s">
        <v>291</v>
      </c>
      <c r="F7" s="182" t="s">
        <v>672</v>
      </c>
      <c r="G7" s="31" t="s">
        <v>84</v>
      </c>
      <c r="H7" s="31" t="s">
        <v>349</v>
      </c>
      <c r="J7" s="29" t="str">
        <f>IFERROR(VLOOKUP(H7,Report_Regression!B:L,11,FALSE),"")</f>
        <v>Median</v>
      </c>
      <c r="K7" s="30">
        <f>_xlfn.IFNA(VLOOKUP($H7,Report_Regression!$B:$L,9,FALSE),0)</f>
        <v>-5.2281762574494024E-2</v>
      </c>
      <c r="L7" s="30">
        <f>_xlfn.IFNA(VLOOKUP($H7,Report_Regression!$B:$L,10,FALSE),0)</f>
        <v>-9.3566278230524977E-2</v>
      </c>
      <c r="M7" s="30">
        <f>_xlfn.IFNA(VLOOKUP($H7,Report_Regression!$B:$L,8,FALSE),0)</f>
        <v>-1.3984642768931832E-2</v>
      </c>
      <c r="N7" s="30">
        <f t="shared" si="0"/>
        <v>-5.2281762574494024E-2</v>
      </c>
      <c r="O7" s="30" t="str">
        <f>IFERROR(VLOOKUP(H7,Report_Regression!O:Y,11,FALSE),"")</f>
        <v>Median</v>
      </c>
      <c r="P7" s="30">
        <f>IFERROR(VLOOKUP($H7,Report_Regression!$O:$Y,9,FALSE),0)</f>
        <v>-1.1031629750926494E-2</v>
      </c>
      <c r="Q7" s="30">
        <f>IFERROR(VLOOKUP($H7,Report_Regression!$O:$Y,10,FALSE),0)</f>
        <v>-3.148573302722199E-2</v>
      </c>
      <c r="R7" s="30">
        <f>IFERROR(VLOOKUP($H7,Report_Regression!$O:$Y,8,FALSE),0)</f>
        <v>2.2761220570452607E-3</v>
      </c>
      <c r="S7" s="30">
        <f t="shared" si="1"/>
        <v>-1.1031629750926494E-2</v>
      </c>
      <c r="T7" s="29">
        <f>_xlfn.IFNA(VLOOKUP($H7,Report_Regression!$O:$Y,6,FALSE),0)</f>
        <v>114.75</v>
      </c>
      <c r="U7" s="29">
        <f>_xlfn.IFNA(VLOOKUP($H7,Report_Regression!$O:$Y,7,FALSE),0)</f>
        <v>88.59</v>
      </c>
      <c r="V7" s="29">
        <f>_xlfn.IFNA(VLOOKUP($H7,Report_Regression!$O:$Y,5,FALSE),0)</f>
        <v>140.91</v>
      </c>
      <c r="W7" s="2">
        <f t="shared" si="2"/>
        <v>114.75</v>
      </c>
      <c r="X7" s="33"/>
      <c r="Y7" s="29">
        <f>SUMIF('Input_2019CUST-YTD'!S:S,G7,'Input_2019CUST-YTD'!R:R)</f>
        <v>6720</v>
      </c>
      <c r="Z7" s="29">
        <f>SUMIF('Input_2020CUST-YTD'!S:S,G7,'Input_2020CUST-YTD'!R:R)</f>
        <v>6652</v>
      </c>
      <c r="AA7" s="29">
        <f>SUMIF('Input_2021CUST-YTD'!S:S,G7,'Input_2021CUST-YTD'!R:R)</f>
        <v>6631</v>
      </c>
      <c r="AB7" s="29">
        <f t="shared" si="4"/>
        <v>6284.3196323685306</v>
      </c>
      <c r="AC7" s="29">
        <f t="shared" si="5"/>
        <v>5955.764325406808</v>
      </c>
      <c r="AD7" s="29" t="str">
        <f>VLOOKUP(D7,'Input_Fcst Inputs'!A:F,2,FALSE)</f>
        <v>Modeled UPC</v>
      </c>
      <c r="AE7" s="29">
        <f>SUMIF('Input_2019VOL-YTD'!R:R,G7,'Input_2019VOL-YTD'!O:O)</f>
        <v>69507.229999999952</v>
      </c>
      <c r="AF7" s="29">
        <f>SUMIF('Input_2020VOL-YTD'!R:R,G7,'Input_2020VOL-YTD'!O:O)</f>
        <v>69665.909999999887</v>
      </c>
      <c r="AG7" s="29">
        <f>SUMIF('Input_2021VOL-YTD'!R:R,G7,'Input_2021VOL-YTD'!O:O)</f>
        <v>67421.709999999992</v>
      </c>
      <c r="AH7" s="29">
        <f>IFERROR(IF($AD7="Historical Average",(AVERAGE($AE7:$AG7)/AVERAGE($Y7:$AA7))*AB7,IF($AD7="UPC Growth Rate",((AG7/AA7)*(1+$S7)*AB7),IF($AD7="Modeled UPC",AB7/12*$W7,IF(AD7="Base Period",AG7,IF(AD7="Adjusted",SUMIF('Input_Fcst Inputs'!A:A,D7,'Input_Fcst Inputs'!F:F),0))))),0)</f>
        <v>60093.806484524081</v>
      </c>
      <c r="AI7" s="29">
        <f>IFERROR(IF($AD7="Historical Average",(AVERAGE($AE7:$AG7)/AVERAGE($Y7:$AA7))*AC7,IF($AD7="UPC Growth Rate",((AH7/AB7)*(1+$S7)*AC7),IF($AD7="Modeled UPC",AC7/12*$W7,IF(AD7="Base Period",AG7,IF(AD7="Adjusted",SUMIF('Input_Fcst Inputs'!A:A,D7,'Input_Fcst Inputs'!G:G),0))))),0)</f>
        <v>56951.996361702601</v>
      </c>
    </row>
    <row r="8" spans="1:40" s="28" customFormat="1">
      <c r="A8" s="28" t="s">
        <v>334</v>
      </c>
      <c r="B8" s="28" t="s">
        <v>332</v>
      </c>
      <c r="C8" s="28" t="s">
        <v>635</v>
      </c>
      <c r="D8" s="28" t="s">
        <v>85</v>
      </c>
      <c r="E8" s="28" t="s">
        <v>285</v>
      </c>
      <c r="F8" s="182" t="s">
        <v>672</v>
      </c>
      <c r="G8" s="31" t="s">
        <v>285</v>
      </c>
      <c r="H8" s="31" t="s">
        <v>386</v>
      </c>
      <c r="J8" s="29" t="str">
        <f>IFERROR(VLOOKUP(H8,Report_Regression!B:L,11,FALSE),"")</f>
        <v>Median</v>
      </c>
      <c r="K8" s="30">
        <f>_xlfn.IFNA(VLOOKUP($H8,Report_Regression!$B:$L,9,FALSE),0)</f>
        <v>-2.7622859351881829E-2</v>
      </c>
      <c r="L8" s="30">
        <f>_xlfn.IFNA(VLOOKUP($H8,Report_Regression!$B:$L,10,FALSE),0)</f>
        <v>-6.0693781438392269E-2</v>
      </c>
      <c r="M8" s="30">
        <f>_xlfn.IFNA(VLOOKUP($H8,Report_Regression!$B:$L,8,FALSE),0)</f>
        <v>-1.4200244051049466E-4</v>
      </c>
      <c r="N8" s="30">
        <f t="shared" si="0"/>
        <v>-2.7622859351881829E-2</v>
      </c>
      <c r="O8" s="30" t="str">
        <f>IFERROR(VLOOKUP(H8,Report_Regression!O:Y,11,FALSE),"")</f>
        <v>Median</v>
      </c>
      <c r="P8" s="30">
        <f>IFERROR(VLOOKUP($H8,Report_Regression!$O:$Y,9,FALSE),0)</f>
        <v>-6.3629918468627502E-3</v>
      </c>
      <c r="Q8" s="30">
        <f>IFERROR(VLOOKUP($H8,Report_Regression!$O:$Y,10,FALSE),0)</f>
        <v>4.9025615884296754E-4</v>
      </c>
      <c r="R8" s="30">
        <f>IFERROR(VLOOKUP($H8,Report_Regression!$O:$Y,8,FALSE),0)</f>
        <v>4.9025615884296754E-4</v>
      </c>
      <c r="S8" s="30">
        <f t="shared" si="1"/>
        <v>-6.3629918468627502E-3</v>
      </c>
      <c r="T8" s="29">
        <f>_xlfn.IFNA(VLOOKUP($H8,Report_Regression!$O:$Y,6,FALSE),0)</f>
        <v>2803.05</v>
      </c>
      <c r="U8" s="29">
        <f>_xlfn.IFNA(VLOOKUP($H8,Report_Regression!$O:$Y,7,FALSE),0)</f>
        <v>2340.9</v>
      </c>
      <c r="V8" s="29">
        <f>_xlfn.IFNA(VLOOKUP($H8,Report_Regression!$O:$Y,5,FALSE),0)</f>
        <v>3265.2000000000003</v>
      </c>
      <c r="W8" s="2">
        <f t="shared" si="2"/>
        <v>2803.05</v>
      </c>
      <c r="X8" s="33"/>
      <c r="Y8" s="29">
        <f>SUMIF('Input_2019CUST-YTD'!S:S,G8,'Input_2019CUST-YTD'!R:R)</f>
        <v>238</v>
      </c>
      <c r="Z8" s="29">
        <f>SUMIF('Input_2020CUST-YTD'!S:S,G8,'Input_2020CUST-YTD'!R:R)</f>
        <v>255</v>
      </c>
      <c r="AA8" s="29">
        <f>SUMIF('Input_2021CUST-YTD'!S:S,G8,'Input_2021CUST-YTD'!R:R)</f>
        <v>276</v>
      </c>
      <c r="AB8" s="29">
        <f t="shared" si="4"/>
        <v>268.37609081888064</v>
      </c>
      <c r="AC8" s="29">
        <f t="shared" si="5"/>
        <v>260.96277580878285</v>
      </c>
      <c r="AD8" s="29" t="str">
        <f>VLOOKUP(D8,'Input_Fcst Inputs'!A:F,2,FALSE)</f>
        <v>UPC Growth Rate</v>
      </c>
      <c r="AE8" s="29">
        <f>SUMIF('Input_2019VOL-YTD'!R:R,G8,'Input_2019VOL-YTD'!O:O)</f>
        <v>42766.890000000007</v>
      </c>
      <c r="AF8" s="29">
        <f>SUMIF('Input_2020VOL-YTD'!R:R,G8,'Input_2020VOL-YTD'!O:O)</f>
        <v>40341.090000000004</v>
      </c>
      <c r="AG8" s="29">
        <f>SUMIF('Input_2021VOL-YTD'!R:R,G8,'Input_2021VOL-YTD'!O:O)</f>
        <v>44446.350000000006</v>
      </c>
      <c r="AH8" s="29">
        <f>IFERROR(IF($AD8="Historical Average",(AVERAGE($AE8:$AG8)/AVERAGE($Y8:$AA8))*AB8,IF($AD8="UPC Growth Rate",((AG8/AA8)*(1+$S8)*AB8),IF($AD8="Modeled UPC",AB8/12*$W8,IF(AD8="Base Period",AG8,IF(AD8="Adjusted",SUMIF('Input_Fcst Inputs'!A:A,D8,'Input_Fcst Inputs'!F:F),0))))),0)</f>
        <v>42943.615032116053</v>
      </c>
      <c r="AI8" s="29">
        <f>IFERROR(IF($AD8="Historical Average",(AVERAGE($AE8:$AG8)/AVERAGE($Y8:$AA8))*AC8,IF($AD8="UPC Growth Rate",((AH8/AB8)*(1+$S8)*AC8),IF($AD8="Modeled UPC",AC8/12*$W8,IF(AD8="Base Period",AG8,IF(AD8="Adjusted",SUMIF('Input_Fcst Inputs'!A:A,D8,'Input_Fcst Inputs'!G:G),0))))),0)</f>
        <v>41491.687664489524</v>
      </c>
    </row>
    <row r="9" spans="1:40" s="28" customFormat="1">
      <c r="A9" s="28" t="s">
        <v>334</v>
      </c>
      <c r="B9" s="28" t="s">
        <v>331</v>
      </c>
      <c r="C9" s="28" t="s">
        <v>635</v>
      </c>
      <c r="D9" s="28" t="s">
        <v>86</v>
      </c>
      <c r="E9" s="28" t="s">
        <v>286</v>
      </c>
      <c r="F9" s="182" t="s">
        <v>672</v>
      </c>
      <c r="G9" s="31" t="s">
        <v>286</v>
      </c>
      <c r="H9" s="31" t="s">
        <v>386</v>
      </c>
      <c r="J9" s="29" t="str">
        <f>IFERROR(VLOOKUP(H9,Report_Regression!B:L,11,FALSE),"")</f>
        <v>Median</v>
      </c>
      <c r="K9" s="30">
        <f>_xlfn.IFNA(VLOOKUP($H9,Report_Regression!$B:$L,9,FALSE),0)</f>
        <v>-2.7622859351881829E-2</v>
      </c>
      <c r="L9" s="30">
        <f>_xlfn.IFNA(VLOOKUP($H9,Report_Regression!$B:$L,10,FALSE),0)</f>
        <v>-6.0693781438392269E-2</v>
      </c>
      <c r="M9" s="30">
        <f>_xlfn.IFNA(VLOOKUP($H9,Report_Regression!$B:$L,8,FALSE),0)</f>
        <v>-1.4200244051049466E-4</v>
      </c>
      <c r="N9" s="30">
        <f t="shared" si="0"/>
        <v>-2.7622859351881829E-2</v>
      </c>
      <c r="O9" s="30" t="str">
        <f>IFERROR(VLOOKUP(H9,Report_Regression!O:Y,11,FALSE),"")</f>
        <v>Median</v>
      </c>
      <c r="P9" s="30">
        <f>IFERROR(VLOOKUP($H9,Report_Regression!$O:$Y,9,FALSE),0)</f>
        <v>-6.3629918468627502E-3</v>
      </c>
      <c r="Q9" s="30">
        <f>IFERROR(VLOOKUP($H9,Report_Regression!$O:$Y,10,FALSE),0)</f>
        <v>4.9025615884296754E-4</v>
      </c>
      <c r="R9" s="30">
        <f>IFERROR(VLOOKUP($H9,Report_Regression!$O:$Y,8,FALSE),0)</f>
        <v>4.9025615884296754E-4</v>
      </c>
      <c r="S9" s="30">
        <f t="shared" si="1"/>
        <v>-6.3629918468627502E-3</v>
      </c>
      <c r="T9" s="29">
        <f>_xlfn.IFNA(VLOOKUP($H9,Report_Regression!$O:$Y,6,FALSE),0)</f>
        <v>2803.05</v>
      </c>
      <c r="U9" s="29">
        <f>_xlfn.IFNA(VLOOKUP($H9,Report_Regression!$O:$Y,7,FALSE),0)</f>
        <v>2340.9</v>
      </c>
      <c r="V9" s="29">
        <f>_xlfn.IFNA(VLOOKUP($H9,Report_Regression!$O:$Y,5,FALSE),0)</f>
        <v>3265.2000000000003</v>
      </c>
      <c r="W9" s="2">
        <f t="shared" si="2"/>
        <v>2803.05</v>
      </c>
      <c r="X9" s="33"/>
      <c r="Y9" s="29">
        <f>SUMIF('Input_2019CUST-YTD'!S:S,G9,'Input_2019CUST-YTD'!R:R)</f>
        <v>92</v>
      </c>
      <c r="Z9" s="29">
        <f>SUMIF('Input_2020CUST-YTD'!S:S,G9,'Input_2020CUST-YTD'!R:R)</f>
        <v>96</v>
      </c>
      <c r="AA9" s="29">
        <f>SUMIF('Input_2021CUST-YTD'!S:S,G9,'Input_2021CUST-YTD'!R:R)</f>
        <v>108</v>
      </c>
      <c r="AB9" s="29">
        <f t="shared" si="4"/>
        <v>105.01673118999676</v>
      </c>
      <c r="AC9" s="29">
        <f t="shared" si="5"/>
        <v>102.1158687947411</v>
      </c>
      <c r="AD9" s="29" t="str">
        <f>VLOOKUP(D9,'Input_Fcst Inputs'!A:F,2,FALSE)</f>
        <v>UPC Growth Rate</v>
      </c>
      <c r="AE9" s="29">
        <f>SUMIF('Input_2019VOL-YTD'!R:R,G9,'Input_2019VOL-YTD'!O:O)</f>
        <v>31338.15</v>
      </c>
      <c r="AF9" s="29">
        <f>SUMIF('Input_2020VOL-YTD'!R:R,G9,'Input_2020VOL-YTD'!O:O)</f>
        <v>29489.78</v>
      </c>
      <c r="AG9" s="29">
        <f>SUMIF('Input_2021VOL-YTD'!R:R,G9,'Input_2021VOL-YTD'!O:O)</f>
        <v>34583.86</v>
      </c>
      <c r="AH9" s="29">
        <f>IFERROR(IF($AD9="Historical Average",(AVERAGE($AE9:$AG9)/AVERAGE($Y9:$AA9))*AB9,IF($AD9="UPC Growth Rate",((AG9/AA9)*(1+$S9)*AB9),IF($AD9="Modeled UPC",AB9/12*$W9,IF(AD9="Base Period",AG9,IF(AD9="Adjusted",SUMIF('Input_Fcst Inputs'!A:A,D9,'Input_Fcst Inputs'!F:F),0))))),0)</f>
        <v>33414.576678728336</v>
      </c>
      <c r="AI9" s="29">
        <f>IFERROR(IF($AD9="Historical Average",(AVERAGE($AE9:$AG9)/AVERAGE($Y9:$AA9))*AC9,IF($AD9="UPC Growth Rate",((AH9/AB9)*(1+$S9)*AC9),IF($AD9="Modeled UPC",AC9/12*$W9,IF(AD9="Base Period",AG9,IF(AD9="Adjusted",SUMIF('Input_Fcst Inputs'!A:A,D9,'Input_Fcst Inputs'!G:G),0))))),0)</f>
        <v>32284.826928475177</v>
      </c>
    </row>
    <row r="10" spans="1:40" s="28" customFormat="1">
      <c r="A10" s="28" t="s">
        <v>334</v>
      </c>
      <c r="B10" s="28" t="s">
        <v>332</v>
      </c>
      <c r="C10" s="28" t="s">
        <v>635</v>
      </c>
      <c r="D10" s="28" t="s">
        <v>87</v>
      </c>
      <c r="E10" s="28" t="s">
        <v>288</v>
      </c>
      <c r="F10" s="182" t="s">
        <v>672</v>
      </c>
      <c r="G10" s="31" t="s">
        <v>288</v>
      </c>
      <c r="H10" s="31" t="s">
        <v>433</v>
      </c>
      <c r="J10" s="29" t="str">
        <f>IFERROR(VLOOKUP(H10,Report_Regression!B:L,11,FALSE),"")</f>
        <v>Base Period</v>
      </c>
      <c r="K10" s="30">
        <f>_xlfn.IFNA(VLOOKUP($H10,Report_Regression!$B:$L,9,FALSE),0)</f>
        <v>0</v>
      </c>
      <c r="L10" s="30">
        <f>_xlfn.IFNA(VLOOKUP($H10,Report_Regression!$B:$L,10,FALSE),0)</f>
        <v>0</v>
      </c>
      <c r="M10" s="30">
        <f>_xlfn.IFNA(VLOOKUP($H10,Report_Regression!$B:$L,8,FALSE),0)</f>
        <v>0</v>
      </c>
      <c r="N10" s="30">
        <f t="shared" si="0"/>
        <v>0</v>
      </c>
      <c r="O10" s="30" t="str">
        <f>IFERROR(VLOOKUP(H10,Report_Regression!O:Y,11,FALSE),"")</f>
        <v>Base Period</v>
      </c>
      <c r="P10" s="30">
        <f>IFERROR(VLOOKUP($H10,Report_Regression!$O:$Y,9,FALSE),0)</f>
        <v>0</v>
      </c>
      <c r="Q10" s="30">
        <f>IFERROR(VLOOKUP($H10,Report_Regression!$O:$Y,10,FALSE),0)</f>
        <v>0</v>
      </c>
      <c r="R10" s="30">
        <f>IFERROR(VLOOKUP($H10,Report_Regression!$O:$Y,8,FALSE),0)</f>
        <v>0</v>
      </c>
      <c r="S10" s="30">
        <f t="shared" si="1"/>
        <v>0</v>
      </c>
      <c r="T10" s="29">
        <f>_xlfn.IFNA(VLOOKUP($H10,Report_Regression!$O:$Y,6,FALSE),0)</f>
        <v>0</v>
      </c>
      <c r="U10" s="29">
        <f>_xlfn.IFNA(VLOOKUP($H10,Report_Regression!$O:$Y,7,FALSE),0)</f>
        <v>0</v>
      </c>
      <c r="V10" s="29">
        <f>_xlfn.IFNA(VLOOKUP($H10,Report_Regression!$O:$Y,5,FALSE),0)</f>
        <v>0</v>
      </c>
      <c r="W10" s="2">
        <f t="shared" si="2"/>
        <v>13662.630000000001</v>
      </c>
      <c r="X10" s="33"/>
      <c r="Y10" s="29">
        <f>SUMIF('Input_2019CUST-YTD'!S:S,G10,'Input_2019CUST-YTD'!R:R)</f>
        <v>27</v>
      </c>
      <c r="Z10" s="29">
        <f>SUMIF('Input_2020CUST-YTD'!S:S,G10,'Input_2020CUST-YTD'!R:R)</f>
        <v>48</v>
      </c>
      <c r="AA10" s="29">
        <f>SUMIF('Input_2021CUST-YTD'!S:S,G10,'Input_2021CUST-YTD'!R:R)</f>
        <v>24</v>
      </c>
      <c r="AB10" s="29">
        <f t="shared" si="4"/>
        <v>24</v>
      </c>
      <c r="AC10" s="29">
        <f t="shared" si="5"/>
        <v>24</v>
      </c>
      <c r="AD10" s="29" t="str">
        <f>VLOOKUP(D10,'Input_Fcst Inputs'!A:F,2,FALSE)</f>
        <v>Base Period</v>
      </c>
      <c r="AE10" s="29">
        <f>SUMIF('Input_2019VOL-YTD'!R:R,G10,'Input_2019VOL-YTD'!O:O)</f>
        <v>77382.11</v>
      </c>
      <c r="AF10" s="29">
        <f>SUMIF('Input_2020VOL-YTD'!R:R,G10,'Input_2020VOL-YTD'!O:O)</f>
        <v>125833.67000000001</v>
      </c>
      <c r="AG10" s="29">
        <f>SUMIF('Input_2021VOL-YTD'!R:R,G10,'Input_2021VOL-YTD'!O:O)</f>
        <v>27325.26</v>
      </c>
      <c r="AH10" s="29">
        <f>IFERROR(IF($AD10="Historical Average",(AVERAGE($AE10:$AG10)/AVERAGE($Y10:$AA10))*AB10,IF($AD10="UPC Growth Rate",((AG10/AA10)*(1+$S10)*AB10),IF($AD10="Modeled UPC",AB10/12*$W10,IF(AD10="Base Period",AG10,IF(AD10="Adjusted",SUMIF('Input_Fcst Inputs'!A:A,D10,'Input_Fcst Inputs'!F:F),0))))),0)</f>
        <v>27325.26</v>
      </c>
      <c r="AI10" s="29">
        <f>IFERROR(IF($AD10="Historical Average",(AVERAGE($AE10:$AG10)/AVERAGE($Y10:$AA10))*AC10,IF($AD10="UPC Growth Rate",((AH10/AB10)*(1+$S10)*AC10),IF($AD10="Modeled UPC",AC10/12*$W10,IF(AD10="Base Period",AG10,IF(AD10="Adjusted",SUMIF('Input_Fcst Inputs'!A:A,D10,'Input_Fcst Inputs'!G:G),0))))),0)</f>
        <v>27325.26</v>
      </c>
    </row>
    <row r="11" spans="1:40" s="32" customFormat="1">
      <c r="A11" s="32" t="s">
        <v>334</v>
      </c>
      <c r="B11" s="32" t="s">
        <v>331</v>
      </c>
      <c r="C11" s="28" t="s">
        <v>635</v>
      </c>
      <c r="D11" s="32" t="s">
        <v>88</v>
      </c>
      <c r="E11" s="28" t="s">
        <v>287</v>
      </c>
      <c r="F11" s="182" t="s">
        <v>672</v>
      </c>
      <c r="G11" s="31" t="s">
        <v>287</v>
      </c>
      <c r="H11" s="31" t="s">
        <v>433</v>
      </c>
      <c r="I11" s="28"/>
      <c r="J11" s="29" t="str">
        <f>IFERROR(VLOOKUP(H11,Report_Regression!B:L,11,FALSE),"")</f>
        <v>Base Period</v>
      </c>
      <c r="K11" s="30">
        <f>_xlfn.IFNA(VLOOKUP($H11,Report_Regression!$B:$L,9,FALSE),0)</f>
        <v>0</v>
      </c>
      <c r="L11" s="30">
        <f>_xlfn.IFNA(VLOOKUP($H11,Report_Regression!$B:$L,10,FALSE),0)</f>
        <v>0</v>
      </c>
      <c r="M11" s="30">
        <f>_xlfn.IFNA(VLOOKUP($H11,Report_Regression!$B:$L,8,FALSE),0)</f>
        <v>0</v>
      </c>
      <c r="N11" s="30">
        <f t="shared" si="0"/>
        <v>0</v>
      </c>
      <c r="O11" s="30" t="str">
        <f>IFERROR(VLOOKUP(H11,Report_Regression!O:Y,11,FALSE),"")</f>
        <v>Base Period</v>
      </c>
      <c r="P11" s="30">
        <f>IFERROR(VLOOKUP($H11,Report_Regression!$O:$Y,9,FALSE),0)</f>
        <v>0</v>
      </c>
      <c r="Q11" s="30">
        <f>IFERROR(VLOOKUP($H11,Report_Regression!$O:$Y,10,FALSE),0)</f>
        <v>0</v>
      </c>
      <c r="R11" s="30">
        <f>IFERROR(VLOOKUP($H11,Report_Regression!$O:$Y,8,FALSE),0)</f>
        <v>0</v>
      </c>
      <c r="S11" s="30">
        <f t="shared" si="1"/>
        <v>0</v>
      </c>
      <c r="T11" s="29">
        <f>_xlfn.IFNA(VLOOKUP($H11,Report_Regression!$O:$Y,6,FALSE),0)</f>
        <v>0</v>
      </c>
      <c r="U11" s="29">
        <f>_xlfn.IFNA(VLOOKUP($H11,Report_Regression!$O:$Y,7,FALSE),0)</f>
        <v>0</v>
      </c>
      <c r="V11" s="29">
        <f>_xlfn.IFNA(VLOOKUP($H11,Report_Regression!$O:$Y,5,FALSE),0)</f>
        <v>0</v>
      </c>
      <c r="W11" s="2">
        <f t="shared" si="2"/>
        <v>70919.389999999985</v>
      </c>
      <c r="X11" s="33"/>
      <c r="Y11" s="29">
        <f>SUMIF('Input_2019CUST-YTD'!S:S,G11,'Input_2019CUST-YTD'!R:R)</f>
        <v>0</v>
      </c>
      <c r="Z11" s="29">
        <f>SUMIF('Input_2020CUST-YTD'!S:S,G11,'Input_2020CUST-YTD'!R:R)</f>
        <v>0</v>
      </c>
      <c r="AA11" s="29">
        <f>SUMIF('Input_2021CUST-YTD'!S:S,G11,'Input_2021CUST-YTD'!R:R)</f>
        <v>24</v>
      </c>
      <c r="AB11" s="29">
        <f t="shared" si="4"/>
        <v>24</v>
      </c>
      <c r="AC11" s="29">
        <f t="shared" si="5"/>
        <v>24</v>
      </c>
      <c r="AD11" s="29" t="str">
        <f>VLOOKUP(D11,'Input_Fcst Inputs'!A:F,2,FALSE)</f>
        <v>Base Period</v>
      </c>
      <c r="AE11" s="29">
        <f>SUMIF('Input_2019VOL-YTD'!R:R,G11,'Input_2019VOL-YTD'!O:O)</f>
        <v>0</v>
      </c>
      <c r="AF11" s="29">
        <f>SUMIF('Input_2020VOL-YTD'!R:R,G11,'Input_2020VOL-YTD'!O:O)</f>
        <v>0</v>
      </c>
      <c r="AG11" s="29">
        <f>SUMIF('Input_2021VOL-YTD'!R:R,G11,'Input_2021VOL-YTD'!O:O)</f>
        <v>141838.77999999997</v>
      </c>
      <c r="AH11" s="29">
        <f>IFERROR(IF($AD11="Historical Average",(AVERAGE($AE11:$AG11)/AVERAGE($Y11:$AA11))*AB11,IF($AD11="UPC Growth Rate",((AG11/AA11)*(1+$S11)*AB11),IF($AD11="Modeled UPC",AB11/12*$W11,IF(AD11="Base Period",AG11,IF(AD11="Adjusted",SUMIF('Input_Fcst Inputs'!A:A,D11,'Input_Fcst Inputs'!F:F),0))))),0)</f>
        <v>141838.77999999997</v>
      </c>
      <c r="AI11" s="29">
        <f>IFERROR(IF($AD11="Historical Average",(AVERAGE($AE11:$AG11)/AVERAGE($Y11:$AA11))*AC11,IF($AD11="UPC Growth Rate",((AH11/AB11)*(1+$S11)*AC11),IF($AD11="Modeled UPC",AC11/12*$W11,IF(AD11="Base Period",AG11,IF(AD11="Adjusted",SUMIF('Input_Fcst Inputs'!A:A,D11,'Input_Fcst Inputs'!G:G),0))))),0)</f>
        <v>141838.77999999997</v>
      </c>
    </row>
    <row r="12" spans="1:40" s="32" customFormat="1">
      <c r="A12" s="32" t="s">
        <v>334</v>
      </c>
      <c r="B12" s="32" t="s">
        <v>332</v>
      </c>
      <c r="C12" s="28" t="s">
        <v>0</v>
      </c>
      <c r="D12" s="32" t="s">
        <v>333</v>
      </c>
      <c r="E12" s="28" t="s">
        <v>289</v>
      </c>
      <c r="F12" s="182" t="s">
        <v>672</v>
      </c>
      <c r="G12" s="31" t="s">
        <v>292</v>
      </c>
      <c r="H12" s="31" t="s">
        <v>433</v>
      </c>
      <c r="I12" s="28"/>
      <c r="J12" s="29" t="str">
        <f>IFERROR(VLOOKUP(H12,Report_Regression!B:L,11,FALSE),"")</f>
        <v>Base Period</v>
      </c>
      <c r="K12" s="30">
        <f>_xlfn.IFNA(VLOOKUP($H12,Report_Regression!$B:$L,9,FALSE),0)</f>
        <v>0</v>
      </c>
      <c r="L12" s="30">
        <f>_xlfn.IFNA(VLOOKUP($H12,Report_Regression!$B:$L,10,FALSE),0)</f>
        <v>0</v>
      </c>
      <c r="M12" s="30">
        <f>_xlfn.IFNA(VLOOKUP($H12,Report_Regression!$B:$L,8,FALSE),0)</f>
        <v>0</v>
      </c>
      <c r="N12" s="30">
        <f t="shared" si="0"/>
        <v>0</v>
      </c>
      <c r="O12" s="30" t="str">
        <f>IFERROR(VLOOKUP(H12,Report_Regression!O:Y,11,FALSE),"")</f>
        <v>Base Period</v>
      </c>
      <c r="P12" s="30">
        <f>IFERROR(VLOOKUP($H12,Report_Regression!$O:$Y,9,FALSE),0)</f>
        <v>0</v>
      </c>
      <c r="Q12" s="30">
        <f>IFERROR(VLOOKUP($H12,Report_Regression!$O:$Y,10,FALSE),0)</f>
        <v>0</v>
      </c>
      <c r="R12" s="30">
        <f>IFERROR(VLOOKUP($H12,Report_Regression!$O:$Y,8,FALSE),0)</f>
        <v>0</v>
      </c>
      <c r="S12" s="30">
        <f t="shared" si="1"/>
        <v>0</v>
      </c>
      <c r="T12" s="29">
        <f>_xlfn.IFNA(VLOOKUP($H12,Report_Regression!$O:$Y,6,FALSE),0)</f>
        <v>0</v>
      </c>
      <c r="U12" s="29">
        <f>_xlfn.IFNA(VLOOKUP($H12,Report_Regression!$O:$Y,7,FALSE),0)</f>
        <v>0</v>
      </c>
      <c r="V12" s="29">
        <f>_xlfn.IFNA(VLOOKUP($H12,Report_Regression!$O:$Y,5,FALSE),0)</f>
        <v>0</v>
      </c>
      <c r="W12" s="2">
        <f t="shared" si="2"/>
        <v>0</v>
      </c>
      <c r="X12" s="33"/>
      <c r="Y12" s="29">
        <f>SUMIF('Input_2019CUST-YTD'!S:S,G12,'Input_2019CUST-YTD'!R:R)</f>
        <v>0</v>
      </c>
      <c r="Z12" s="29">
        <f>SUMIF('Input_2020CUST-YTD'!S:S,G12,'Input_2020CUST-YTD'!R:R)</f>
        <v>0</v>
      </c>
      <c r="AA12" s="29">
        <f>SUMIF('Input_2021CUST-YTD'!S:S,G12,'Input_2021CUST-YTD'!R:R)</f>
        <v>0</v>
      </c>
      <c r="AB12" s="29">
        <f t="shared" si="4"/>
        <v>0</v>
      </c>
      <c r="AC12" s="29">
        <f t="shared" si="5"/>
        <v>0</v>
      </c>
      <c r="AD12" s="29" t="str">
        <f>VLOOKUP(D12,'Input_Fcst Inputs'!A:F,2,FALSE)</f>
        <v>Base Period</v>
      </c>
      <c r="AE12" s="29">
        <f>SUMIF('Input_2019VOL-YTD'!R:R,G12,'Input_2019VOL-YTD'!O:O)</f>
        <v>0</v>
      </c>
      <c r="AF12" s="29">
        <f>SUMIF('Input_2020VOL-YTD'!R:R,G12,'Input_2020VOL-YTD'!O:O)</f>
        <v>0</v>
      </c>
      <c r="AG12" s="29">
        <f>SUMIF('Input_2021VOL-YTD'!R:R,G12,'Input_2021VOL-YTD'!O:O)</f>
        <v>0</v>
      </c>
      <c r="AH12" s="29">
        <f>IFERROR(IF($AD12="Historical Average",(AVERAGE($AE12:$AG12)/AVERAGE($Y12:$AA12))*AB12,IF($AD12="UPC Growth Rate",((AG12/AA12)*(1+$S12)*AB12),IF($AD12="Modeled UPC",AB12/12*$W12,IF(AD12="Base Period",AG12,IF(AD12="Adjusted",SUMIF('Input_Fcst Inputs'!A:A,D12,'Input_Fcst Inputs'!F:F),0))))),0)</f>
        <v>0</v>
      </c>
      <c r="AI12" s="29">
        <f>IFERROR(IF($AD12="Historical Average",(AVERAGE($AE12:$AG12)/AVERAGE($Y12:$AA12))*AC12,IF($AD12="UPC Growth Rate",((AH12/AB12)*(1+$S12)*AC12),IF($AD12="Modeled UPC",AC12/12*$W12,IF(AD12="Base Period",AG12,IF(AD12="Adjusted",SUMIF('Input_Fcst Inputs'!A:A,D12,'Input_Fcst Inputs'!G:G),0))))),0)</f>
        <v>0</v>
      </c>
    </row>
    <row r="13" spans="1:40" s="32" customFormat="1">
      <c r="A13" s="32" t="s">
        <v>334</v>
      </c>
      <c r="B13" s="32" t="s">
        <v>331</v>
      </c>
      <c r="C13" s="28" t="s">
        <v>635</v>
      </c>
      <c r="D13" s="32" t="s">
        <v>91</v>
      </c>
      <c r="E13" s="28" t="s">
        <v>290</v>
      </c>
      <c r="F13" s="182" t="s">
        <v>672</v>
      </c>
      <c r="G13" s="31" t="s">
        <v>304</v>
      </c>
      <c r="H13" s="31" t="s">
        <v>433</v>
      </c>
      <c r="I13" s="28"/>
      <c r="J13" s="29" t="str">
        <f>IFERROR(VLOOKUP(H13,Report_Regression!B:L,11,FALSE),"")</f>
        <v>Base Period</v>
      </c>
      <c r="K13" s="30">
        <f>_xlfn.IFNA(VLOOKUP($H13,Report_Regression!$B:$L,9,FALSE),0)</f>
        <v>0</v>
      </c>
      <c r="L13" s="30">
        <f>_xlfn.IFNA(VLOOKUP($H13,Report_Regression!$B:$L,10,FALSE),0)</f>
        <v>0</v>
      </c>
      <c r="M13" s="30">
        <f>_xlfn.IFNA(VLOOKUP($H13,Report_Regression!$B:$L,8,FALSE),0)</f>
        <v>0</v>
      </c>
      <c r="N13" s="30">
        <f t="shared" si="0"/>
        <v>0</v>
      </c>
      <c r="O13" s="30" t="str">
        <f>IFERROR(VLOOKUP(H13,Report_Regression!O:Y,11,FALSE),"")</f>
        <v>Base Period</v>
      </c>
      <c r="P13" s="30">
        <f>IFERROR(VLOOKUP($H13,Report_Regression!$O:$Y,9,FALSE),0)</f>
        <v>0</v>
      </c>
      <c r="Q13" s="30">
        <f>IFERROR(VLOOKUP($H13,Report_Regression!$O:$Y,10,FALSE),0)</f>
        <v>0</v>
      </c>
      <c r="R13" s="30">
        <f>IFERROR(VLOOKUP($H13,Report_Regression!$O:$Y,8,FALSE),0)</f>
        <v>0</v>
      </c>
      <c r="S13" s="30">
        <f t="shared" si="1"/>
        <v>0</v>
      </c>
      <c r="T13" s="29">
        <f>_xlfn.IFNA(VLOOKUP($H13,Report_Regression!$O:$Y,6,FALSE),0)</f>
        <v>0</v>
      </c>
      <c r="U13" s="29">
        <f>_xlfn.IFNA(VLOOKUP($H13,Report_Regression!$O:$Y,7,FALSE),0)</f>
        <v>0</v>
      </c>
      <c r="V13" s="29">
        <f>_xlfn.IFNA(VLOOKUP($H13,Report_Regression!$O:$Y,5,FALSE),0)</f>
        <v>0</v>
      </c>
      <c r="W13" s="2">
        <f t="shared" si="2"/>
        <v>0</v>
      </c>
      <c r="X13" s="33"/>
      <c r="Y13" s="29">
        <f>SUMIF('Input_2019CUST-YTD'!S:S,G13,'Input_2019CUST-YTD'!R:R)</f>
        <v>0</v>
      </c>
      <c r="Z13" s="29">
        <f>SUMIF('Input_2020CUST-YTD'!S:S,G13,'Input_2020CUST-YTD'!R:R)</f>
        <v>0</v>
      </c>
      <c r="AA13" s="29">
        <f>SUMIF('Input_2021CUST-YTD'!S:S,G13,'Input_2021CUST-YTD'!R:R)</f>
        <v>0</v>
      </c>
      <c r="AB13" s="29">
        <f t="shared" si="4"/>
        <v>0</v>
      </c>
      <c r="AC13" s="29">
        <f t="shared" si="5"/>
        <v>0</v>
      </c>
      <c r="AD13" s="29" t="str">
        <f>VLOOKUP(D13,'Input_Fcst Inputs'!A:F,2,FALSE)</f>
        <v>Base Period</v>
      </c>
      <c r="AE13" s="29">
        <f>SUMIF('Input_2019VOL-YTD'!R:R,G13,'Input_2019VOL-YTD'!O:O)</f>
        <v>0</v>
      </c>
      <c r="AF13" s="29">
        <f>SUMIF('Input_2020VOL-YTD'!R:R,G13,'Input_2020VOL-YTD'!O:O)</f>
        <v>0</v>
      </c>
      <c r="AG13" s="29">
        <f>SUMIF('Input_2021VOL-YTD'!R:R,G13,'Input_2021VOL-YTD'!O:O)</f>
        <v>0</v>
      </c>
      <c r="AH13" s="29">
        <f>IFERROR(IF($AD13="Historical Average",(AVERAGE($AE13:$AG13)/AVERAGE($Y13:$AA13))*AB13,IF($AD13="UPC Growth Rate",((AG13/AA13)*(1+$S13)*AB13),IF($AD13="Modeled UPC",AB13/12*$W13,IF(AD13="Base Period",AG13,IF(AD13="Adjusted",SUMIF('Input_Fcst Inputs'!A:A,D13,'Input_Fcst Inputs'!F:F),0))))),0)</f>
        <v>0</v>
      </c>
      <c r="AI13" s="29">
        <f>IFERROR(IF($AD13="Historical Average",(AVERAGE($AE13:$AG13)/AVERAGE($Y13:$AA13))*AC13,IF($AD13="UPC Growth Rate",((AH13/AB13)*(1+$S13)*AC13),IF($AD13="Modeled UPC",AC13/12*$W13,IF(AD13="Base Period",AG13,IF(AD13="Adjusted",SUMIF('Input_Fcst Inputs'!A:A,D13,'Input_Fcst Inputs'!G:G),0))))),0)</f>
        <v>0</v>
      </c>
    </row>
    <row r="14" spans="1:40" s="32" customFormat="1">
      <c r="A14" s="32" t="s">
        <v>6</v>
      </c>
      <c r="B14" s="32" t="s">
        <v>332</v>
      </c>
      <c r="C14" s="28" t="s">
        <v>0</v>
      </c>
      <c r="D14" s="32" t="s">
        <v>18</v>
      </c>
      <c r="E14" s="28" t="s">
        <v>303</v>
      </c>
      <c r="F14" s="182" t="s">
        <v>672</v>
      </c>
      <c r="G14" s="31" t="s">
        <v>19</v>
      </c>
      <c r="H14" s="31" t="s">
        <v>342</v>
      </c>
      <c r="I14" s="28"/>
      <c r="J14" s="29" t="str">
        <f>IFERROR(VLOOKUP(H14,Report_Regression!B:L,11,FALSE),"")</f>
        <v>Median</v>
      </c>
      <c r="K14" s="30">
        <f>_xlfn.IFNA(VLOOKUP($H14,Report_Regression!$B:$L,9,FALSE),0)</f>
        <v>2.8823680628474693E-2</v>
      </c>
      <c r="L14" s="30">
        <f>_xlfn.IFNA(VLOOKUP($H14,Report_Regression!$B:$L,10,FALSE),0)</f>
        <v>2.3852475637664031E-2</v>
      </c>
      <c r="M14" s="30">
        <f>_xlfn.IFNA(VLOOKUP($H14,Report_Regression!$B:$L,8,FALSE),0)</f>
        <v>3.3743559110069571E-2</v>
      </c>
      <c r="N14" s="30">
        <f t="shared" si="0"/>
        <v>2.8823680628474693E-2</v>
      </c>
      <c r="O14" s="30" t="str">
        <f>IFERROR(VLOOKUP(H14,Report_Regression!O:Y,11,FALSE),"")</f>
        <v>Median</v>
      </c>
      <c r="P14" s="30">
        <f>IFERROR(VLOOKUP($H14,Report_Regression!$O:$Y,9,FALSE),0)</f>
        <v>0</v>
      </c>
      <c r="Q14" s="30">
        <f>IFERROR(VLOOKUP($H14,Report_Regression!$O:$Y,10,FALSE),0)</f>
        <v>0</v>
      </c>
      <c r="R14" s="30">
        <f>IFERROR(VLOOKUP($H14,Report_Regression!$O:$Y,8,FALSE),0)</f>
        <v>0</v>
      </c>
      <c r="S14" s="30">
        <f t="shared" si="1"/>
        <v>0</v>
      </c>
      <c r="T14" s="29">
        <f>_xlfn.IFNA(VLOOKUP($H14,Report_Regression!$O:$Y,6,FALSE),0)</f>
        <v>250.70017607354299</v>
      </c>
      <c r="U14" s="29">
        <f>_xlfn.IFNA(VLOOKUP($H14,Report_Regression!$O:$Y,7,FALSE),0)</f>
        <v>232.63967216629609</v>
      </c>
      <c r="V14" s="29">
        <f>_xlfn.IFNA(VLOOKUP($H14,Report_Regression!$O:$Y,5,FALSE),0)</f>
        <v>268.76067998078992</v>
      </c>
      <c r="W14" s="2">
        <f t="shared" si="2"/>
        <v>250.70017607354299</v>
      </c>
      <c r="X14" s="33"/>
      <c r="Y14" s="29">
        <f>SUMIF('Input_2019CUST-YTD'!S:S,G14,'Input_2019CUST-YTD'!R:R)</f>
        <v>670256</v>
      </c>
      <c r="Z14" s="29">
        <f>SUMIF('Input_2020CUST-YTD'!S:S,G14,'Input_2020CUST-YTD'!R:R)</f>
        <v>698292</v>
      </c>
      <c r="AA14" s="29">
        <f>SUMIF('Input_2021CUST-YTD'!S:S,G14,'Input_2021CUST-YTD'!R:R)</f>
        <v>732742</v>
      </c>
      <c r="AB14" s="29">
        <f t="shared" si="4"/>
        <v>753862.3213910698</v>
      </c>
      <c r="AC14" s="29">
        <f t="shared" si="5"/>
        <v>775591.40818068653</v>
      </c>
      <c r="AD14" s="29" t="str">
        <f>VLOOKUP(D14,'Input_Fcst Inputs'!A:F,2,FALSE)</f>
        <v>Modeled UPC</v>
      </c>
      <c r="AE14" s="29">
        <f>SUMIF('Input_2019VOL-YTD'!R:R,G14,'Input_2019VOL-YTD'!O:O)</f>
        <v>13679044.58000033</v>
      </c>
      <c r="AF14" s="29">
        <f>SUMIF('Input_2020VOL-YTD'!R:R,G14,'Input_2020VOL-YTD'!O:O)</f>
        <v>15075452.140000366</v>
      </c>
      <c r="AG14" s="29">
        <f>SUMIF('Input_2021VOL-YTD'!R:R,G14,'Input_2021VOL-YTD'!O:O)</f>
        <v>16009999.460000172</v>
      </c>
      <c r="AH14" s="29">
        <f>IFERROR(IF($AD14="Historical Average",(AVERAGE($AE14:$AG14)/AVERAGE($Y14:$AA14))*AB14,IF($AD14="UPC Growth Rate",((AG14/AA14)*(1+$S14)*AB14),IF($AD14="Modeled UPC",AB14/12*$W14,IF(AD14="Base Period",AG14,IF(AD14="Adjusted",SUMIF('Input_Fcst Inputs'!A:A,D14,'Input_Fcst Inputs'!F:F),0))))),0)</f>
        <v>15749451.392329255</v>
      </c>
      <c r="AI14" s="29">
        <f>IFERROR(IF($AD14="Historical Average",(AVERAGE($AE14:$AG14)/AVERAGE($Y14:$AA14))*AC14,IF($AD14="UPC Growth Rate",((AH14/AB14)*(1+$S14)*AC14),IF($AD14="Modeled UPC",AC14/12*$W14,IF(AD14="Base Period",AG14,IF(AD14="Adjusted",SUMIF('Input_Fcst Inputs'!A:A,D14,'Input_Fcst Inputs'!G:G),0))))),0)</f>
        <v>16203408.549335439</v>
      </c>
    </row>
    <row r="15" spans="1:40" s="32" customFormat="1">
      <c r="A15" s="32" t="s">
        <v>6</v>
      </c>
      <c r="B15" s="32" t="s">
        <v>332</v>
      </c>
      <c r="C15" s="28" t="s">
        <v>0</v>
      </c>
      <c r="D15" s="32" t="s">
        <v>21</v>
      </c>
      <c r="E15" s="28" t="s">
        <v>298</v>
      </c>
      <c r="F15" s="182" t="s">
        <v>672</v>
      </c>
      <c r="G15" s="31" t="s">
        <v>22</v>
      </c>
      <c r="H15" s="31" t="s">
        <v>355</v>
      </c>
      <c r="I15" s="28"/>
      <c r="J15" s="29" t="str">
        <f>IFERROR(VLOOKUP(H15,Report_Regression!B:L,11,FALSE),"")</f>
        <v>Median</v>
      </c>
      <c r="K15" s="30">
        <f>_xlfn.IFNA(VLOOKUP($H15,Report_Regression!$B:$L,9,FALSE),0)</f>
        <v>0.10817508987692429</v>
      </c>
      <c r="L15" s="30">
        <f>_xlfn.IFNA(VLOOKUP($H15,Report_Regression!$B:$L,10,FALSE),0)</f>
        <v>7.5972852686745126E-2</v>
      </c>
      <c r="M15" s="30">
        <f>_xlfn.IFNA(VLOOKUP($H15,Report_Regression!$B:$L,8,FALSE),0)</f>
        <v>0.13893700428480263</v>
      </c>
      <c r="N15" s="30">
        <f t="shared" si="0"/>
        <v>0.10817508987692429</v>
      </c>
      <c r="O15" s="30" t="str">
        <f>IFERROR(VLOOKUP(H15,Report_Regression!O:Y,11,FALSE),"")</f>
        <v>Median</v>
      </c>
      <c r="P15" s="30">
        <f>IFERROR(VLOOKUP($H15,Report_Regression!$O:$Y,9,FALSE),0)</f>
        <v>-6.5016495904125227E-3</v>
      </c>
      <c r="Q15" s="30">
        <f>IFERROR(VLOOKUP($H15,Report_Regression!$O:$Y,10,FALSE),0)</f>
        <v>-3.741269434140309E-2</v>
      </c>
      <c r="R15" s="30">
        <f>IFERROR(VLOOKUP($H15,Report_Regression!$O:$Y,8,FALSE),0)</f>
        <v>1.1806468915858643E-2</v>
      </c>
      <c r="S15" s="30">
        <f t="shared" si="1"/>
        <v>-6.5016495904125227E-3</v>
      </c>
      <c r="T15" s="29">
        <f>_xlfn.IFNA(VLOOKUP($H15,Report_Regression!$O:$Y,6,FALSE),0)</f>
        <v>80.956336657055985</v>
      </c>
      <c r="U15" s="29">
        <f>_xlfn.IFNA(VLOOKUP($H15,Report_Regression!$O:$Y,7,FALSE),0)</f>
        <v>58.353016544855414</v>
      </c>
      <c r="V15" s="29">
        <f>_xlfn.IFNA(VLOOKUP($H15,Report_Regression!$O:$Y,5,FALSE),0)</f>
        <v>103.55965676925655</v>
      </c>
      <c r="W15" s="2">
        <f t="shared" si="2"/>
        <v>80.956336657055985</v>
      </c>
      <c r="X15" s="33"/>
      <c r="Y15" s="29">
        <f>SUMIF('Input_2019CUST-YTD'!S:S,G15,'Input_2019CUST-YTD'!R:R)</f>
        <v>6827</v>
      </c>
      <c r="Z15" s="29">
        <f>SUMIF('Input_2020CUST-YTD'!S:S,G15,'Input_2020CUST-YTD'!R:R)</f>
        <v>7161</v>
      </c>
      <c r="AA15" s="29">
        <f>SUMIF('Input_2021CUST-YTD'!S:S,G15,'Input_2021CUST-YTD'!R:R)</f>
        <v>8628</v>
      </c>
      <c r="AB15" s="29">
        <f t="shared" si="4"/>
        <v>9561.3346754581016</v>
      </c>
      <c r="AC15" s="29">
        <f t="shared" si="5"/>
        <v>10595.632913319134</v>
      </c>
      <c r="AD15" s="29" t="str">
        <f>VLOOKUP(D15,'Input_Fcst Inputs'!A:F,2,FALSE)</f>
        <v>Historical Average</v>
      </c>
      <c r="AE15" s="29">
        <f>SUMIF('Input_2019VOL-YTD'!R:R,G15,'Input_2019VOL-YTD'!O:O)</f>
        <v>60641.200000000026</v>
      </c>
      <c r="AF15" s="29">
        <f>SUMIF('Input_2020VOL-YTD'!R:R,G15,'Input_2020VOL-YTD'!O:O)</f>
        <v>67503.669999999984</v>
      </c>
      <c r="AG15" s="29">
        <f>SUMIF('Input_2021VOL-YTD'!R:R,G15,'Input_2021VOL-YTD'!O:O)</f>
        <v>76940.160000000018</v>
      </c>
      <c r="AH15" s="29">
        <f>IFERROR(IF($AD15="Historical Average",(AVERAGE($AE15:$AG15)/AVERAGE($Y15:$AA15))*AB15,IF($AD15="UPC Growth Rate",((AG15/AA15)*(1+$S15)*AB15),IF($AD15="Modeled UPC",AB15/12*$W15,IF(AD15="Base Period",AG15,IF(AD15="Adjusted",SUMIF('Input_Fcst Inputs'!A:A,D15,'Input_Fcst Inputs'!F:F),0))))),0)+207</f>
        <v>86910.511175997774</v>
      </c>
      <c r="AI15" s="29">
        <f>IFERROR(IF($AD15="Historical Average",(AVERAGE($AE15:$AG15)/AVERAGE($Y15:$AA15))*AC15,IF($AD15="UPC Growth Rate",((AH15/AB15)*(1+$S15)*AC15),IF($AD15="Modeled UPC",AC15/12*$W15,IF(AD15="Base Period",AG15,IF(AD15="Adjusted",SUMIF('Input_Fcst Inputs'!A:A,D15,'Input_Fcst Inputs'!G:G),0))))),0)+229</f>
        <v>96311.671290106227</v>
      </c>
    </row>
    <row r="16" spans="1:40" s="32" customFormat="1">
      <c r="A16" s="32" t="s">
        <v>6</v>
      </c>
      <c r="B16" s="32" t="s">
        <v>332</v>
      </c>
      <c r="C16" s="28" t="s">
        <v>635</v>
      </c>
      <c r="D16" s="32" t="s">
        <v>23</v>
      </c>
      <c r="E16" s="28" t="s">
        <v>297</v>
      </c>
      <c r="F16" s="182" t="s">
        <v>672</v>
      </c>
      <c r="G16" s="31" t="s">
        <v>24</v>
      </c>
      <c r="H16" s="31" t="s">
        <v>400</v>
      </c>
      <c r="I16" s="28"/>
      <c r="J16" s="29" t="str">
        <f>IFERROR(VLOOKUP(H16,Report_Regression!B:L,11,FALSE),"")</f>
        <v>Median</v>
      </c>
      <c r="K16" s="30">
        <f>_xlfn.IFNA(VLOOKUP($H16,Report_Regression!$B:$L,9,FALSE),0)</f>
        <v>6.0576162758234124E-2</v>
      </c>
      <c r="L16" s="30">
        <f>_xlfn.IFNA(VLOOKUP($H16,Report_Regression!$B:$L,10,FALSE),0)</f>
        <v>5.2586431702868877E-2</v>
      </c>
      <c r="M16" s="30">
        <f>_xlfn.IFNA(VLOOKUP($H16,Report_Regression!$B:$L,8,FALSE),0)</f>
        <v>6.8444875878733269E-2</v>
      </c>
      <c r="N16" s="30">
        <f t="shared" si="0"/>
        <v>6.0576162758234124E-2</v>
      </c>
      <c r="O16" s="30" t="str">
        <f>IFERROR(VLOOKUP(H16,Report_Regression!O:Y,11,FALSE),"")</f>
        <v>Median</v>
      </c>
      <c r="P16" s="30">
        <f>IFERROR(VLOOKUP($H16,Report_Regression!$O:$Y,9,FALSE),0)</f>
        <v>-3.2834133097367192E-2</v>
      </c>
      <c r="Q16" s="30">
        <f>IFERROR(VLOOKUP($H16,Report_Regression!$O:$Y,10,FALSE),0)</f>
        <v>-6.4512138571494793E-2</v>
      </c>
      <c r="R16" s="30">
        <f>IFERROR(VLOOKUP($H16,Report_Regression!$O:$Y,8,FALSE),0)</f>
        <v>-1.3997876852005481E-2</v>
      </c>
      <c r="S16" s="30">
        <f t="shared" si="1"/>
        <v>-3.2834133097367192E-2</v>
      </c>
      <c r="T16" s="29">
        <f>_xlfn.IFNA(VLOOKUP($H16,Report_Regression!$O:$Y,6,FALSE),0)</f>
        <v>113.23523775289279</v>
      </c>
      <c r="U16" s="29">
        <f>_xlfn.IFNA(VLOOKUP($H16,Report_Regression!$O:$Y,7,FALSE),0)</f>
        <v>81.682565062384668</v>
      </c>
      <c r="V16" s="29">
        <f>_xlfn.IFNA(VLOOKUP($H16,Report_Regression!$O:$Y,5,FALSE),0)</f>
        <v>144.7879104434009</v>
      </c>
      <c r="W16" s="2">
        <f t="shared" si="2"/>
        <v>113.23523775289279</v>
      </c>
      <c r="X16" s="33"/>
      <c r="Y16" s="29">
        <f>SUMIF('Input_2019CUST-YTD'!S:S,G16,'Input_2019CUST-YTD'!R:R)</f>
        <v>2890</v>
      </c>
      <c r="Z16" s="29">
        <f>SUMIF('Input_2020CUST-YTD'!S:S,G16,'Input_2020CUST-YTD'!R:R)</f>
        <v>3064</v>
      </c>
      <c r="AA16" s="29">
        <f>SUMIF('Input_2021CUST-YTD'!S:S,G16,'Input_2021CUST-YTD'!R:R)</f>
        <v>3236</v>
      </c>
      <c r="AB16" s="29">
        <f t="shared" si="4"/>
        <v>3432.0244626856456</v>
      </c>
      <c r="AC16" s="29">
        <f t="shared" si="5"/>
        <v>3639.9233351275325</v>
      </c>
      <c r="AD16" s="29" t="str">
        <f>VLOOKUP(D16,'Input_Fcst Inputs'!A:F,2,FALSE)</f>
        <v>Historical Average</v>
      </c>
      <c r="AE16" s="29">
        <f>SUMIF('Input_2019VOL-YTD'!R:R,G16,'Input_2019VOL-YTD'!O:O)</f>
        <v>47649.58</v>
      </c>
      <c r="AF16" s="29">
        <f>SUMIF('Input_2020VOL-YTD'!R:R,G16,'Input_2020VOL-YTD'!O:O)</f>
        <v>60220.289999999994</v>
      </c>
      <c r="AG16" s="29">
        <f>SUMIF('Input_2021VOL-YTD'!R:R,G16,'Input_2021VOL-YTD'!O:O)</f>
        <v>50076.090000000004</v>
      </c>
      <c r="AH16" s="29">
        <f>IFERROR(IF($AD16="Historical Average",(AVERAGE($AE16:$AG16)/AVERAGE($Y16:$AA16))*AB16,IF($AD16="UPC Growth Rate",((AG16/AA16)*(1+$S16)*AB16),IF($AD16="Modeled UPC",AB16/12*$W16,IF(AD16="Base Period",AG16,IF(AD16="Adjusted",SUMIF('Input_Fcst Inputs'!A:A,D16,'Input_Fcst Inputs'!F:F),0))))),0)+129</f>
        <v>59114.244668375228</v>
      </c>
      <c r="AI16" s="29">
        <f>IFERROR(IF($AD16="Historical Average",(AVERAGE($AE16:$AG16)/AVERAGE($Y16:$AA16))*AC16,IF($AD16="UPC Growth Rate",((AH16/AB16)*(1+$S16)*AC16),IF($AD16="Modeled UPC",AC16/12*$W16,IF(AD16="Base Period",AG16,IF(AD16="Adjusted",SUMIF('Input_Fcst Inputs'!A:A,D16,'Input_Fcst Inputs'!G:G),0))))),0)+137</f>
        <v>62695.344449740995</v>
      </c>
    </row>
    <row r="17" spans="1:35" s="32" customFormat="1">
      <c r="A17" s="32" t="s">
        <v>6</v>
      </c>
      <c r="B17" s="32" t="s">
        <v>332</v>
      </c>
      <c r="C17" s="28" t="s">
        <v>635</v>
      </c>
      <c r="D17" s="32" t="s">
        <v>25</v>
      </c>
      <c r="E17" s="28" t="s">
        <v>294</v>
      </c>
      <c r="F17" s="182" t="s">
        <v>672</v>
      </c>
      <c r="G17" s="31" t="s">
        <v>26</v>
      </c>
      <c r="H17" s="31" t="s">
        <v>384</v>
      </c>
      <c r="I17" s="28"/>
      <c r="J17" s="29" t="str">
        <f>IFERROR(VLOOKUP(H17,Report_Regression!B:L,11,FALSE),"")</f>
        <v>Median</v>
      </c>
      <c r="K17" s="30">
        <f>_xlfn.IFNA(VLOOKUP($H17,Report_Regression!$B:$L,9,FALSE),0)</f>
        <v>-3.3336450138164629E-2</v>
      </c>
      <c r="L17" s="30">
        <f>_xlfn.IFNA(VLOOKUP($H17,Report_Regression!$B:$L,10,FALSE),0)</f>
        <v>-4.7282751453629437E-2</v>
      </c>
      <c r="M17" s="30">
        <f>_xlfn.IFNA(VLOOKUP($H17,Report_Regression!$B:$L,8,FALSE),0)</f>
        <v>-2.0003514486837203E-2</v>
      </c>
      <c r="N17" s="30">
        <f t="shared" si="0"/>
        <v>-3.3336450138164629E-2</v>
      </c>
      <c r="O17" s="30" t="str">
        <f>IFERROR(VLOOKUP(H17,Report_Regression!O:Y,11,FALSE),"")</f>
        <v>Median</v>
      </c>
      <c r="P17" s="30">
        <f>IFERROR(VLOOKUP($H17,Report_Regression!$O:$Y,9,FALSE),0)</f>
        <v>3.989071854052504E-2</v>
      </c>
      <c r="Q17" s="30">
        <f>IFERROR(VLOOKUP($H17,Report_Regression!$O:$Y,10,FALSE),0)</f>
        <v>1.5873015873015931E-2</v>
      </c>
      <c r="R17" s="30">
        <f>IFERROR(VLOOKUP($H17,Report_Regression!$O:$Y,8,FALSE),0)</f>
        <v>6.1455204850682725E-2</v>
      </c>
      <c r="S17" s="30">
        <f t="shared" si="1"/>
        <v>3.989071854052504E-2</v>
      </c>
      <c r="T17" s="29">
        <f>_xlfn.IFNA(VLOOKUP($H17,Report_Regression!$O:$Y,6,FALSE),0)</f>
        <v>3482.75</v>
      </c>
      <c r="U17" s="29">
        <f>_xlfn.IFNA(VLOOKUP($H17,Report_Regression!$O:$Y,7,FALSE),0)</f>
        <v>3219.2000000000003</v>
      </c>
      <c r="V17" s="29">
        <f>_xlfn.IFNA(VLOOKUP($H17,Report_Regression!$O:$Y,5,FALSE),0)</f>
        <v>3746.3</v>
      </c>
      <c r="W17" s="2">
        <f t="shared" si="2"/>
        <v>3482.75</v>
      </c>
      <c r="X17" s="33"/>
      <c r="Y17" s="29">
        <f>SUMIF('Input_2019CUST-YTD'!S:S,G17,'Input_2019CUST-YTD'!R:R)</f>
        <v>10765</v>
      </c>
      <c r="Z17" s="29">
        <f>SUMIF('Input_2020CUST-YTD'!S:S,G17,'Input_2020CUST-YTD'!R:R)</f>
        <v>10713</v>
      </c>
      <c r="AA17" s="29">
        <f>SUMIF('Input_2021CUST-YTD'!S:S,G17,'Input_2021CUST-YTD'!R:R)</f>
        <v>10542</v>
      </c>
      <c r="AB17" s="29">
        <f t="shared" si="4"/>
        <v>10190.567142643467</v>
      </c>
      <c r="AC17" s="29">
        <f t="shared" si="5"/>
        <v>9850.849809213114</v>
      </c>
      <c r="AD17" s="29" t="str">
        <f>VLOOKUP(D17,'Input_Fcst Inputs'!A:F,2,FALSE)</f>
        <v>UPC Growth Rate</v>
      </c>
      <c r="AE17" s="29">
        <f>SUMIF('Input_2019VOL-YTD'!R:R,G17,'Input_2019VOL-YTD'!O:O)</f>
        <v>981263.19999999984</v>
      </c>
      <c r="AF17" s="29">
        <f>SUMIF('Input_2020VOL-YTD'!R:R,G17,'Input_2020VOL-YTD'!O:O)</f>
        <v>881718.45</v>
      </c>
      <c r="AG17" s="29">
        <f>SUMIF('Input_2021VOL-YTD'!R:R,G17,'Input_2021VOL-YTD'!O:O)</f>
        <v>984167.33999999985</v>
      </c>
      <c r="AH17" s="29">
        <f>IFERROR(IF($AD17="Historical Average",(AVERAGE($AE17:$AG17)/AVERAGE($Y17:$AA17))*AB17,IF($AD17="UPC Growth Rate",((AG17/AA17)*(1+$S17)*AB17),IF($AD17="Modeled UPC",AB17/12*$W17,IF(AD17="Base Period",AG17,IF(AD17="Adjusted",SUMIF('Input_Fcst Inputs'!A:A,D17,'Input_Fcst Inputs'!F:F),0))))),0)</f>
        <v>989309.07645755517</v>
      </c>
      <c r="AI17" s="29">
        <f>IFERROR(IF($AD17="Historical Average",(AVERAGE($AE17:$AG17)/AVERAGE($Y17:$AA17))*AC17,IF($AD17="UPC Growth Rate",((AH17/AB17)*(1+$S17)*AC17),IF($AD17="Modeled UPC",AC17/12*$W17,IF(AD17="Base Period",AG17,IF(AD17="Adjusted",SUMIF('Input_Fcst Inputs'!A:A,D17,'Input_Fcst Inputs'!G:G),0))))),0)</f>
        <v>994477.67567789927</v>
      </c>
    </row>
    <row r="18" spans="1:35" s="32" customFormat="1">
      <c r="A18" s="32" t="s">
        <v>6</v>
      </c>
      <c r="B18" s="32" t="s">
        <v>331</v>
      </c>
      <c r="C18" s="28" t="s">
        <v>635</v>
      </c>
      <c r="D18" s="32" t="s">
        <v>27</v>
      </c>
      <c r="E18" s="28" t="s">
        <v>293</v>
      </c>
      <c r="F18" s="182" t="s">
        <v>672</v>
      </c>
      <c r="G18" s="31" t="s">
        <v>28</v>
      </c>
      <c r="H18" s="31" t="s">
        <v>384</v>
      </c>
      <c r="I18" s="28"/>
      <c r="J18" s="29" t="str">
        <f>IFERROR(VLOOKUP(H18,Report_Regression!B:L,11,FALSE),"")</f>
        <v>Median</v>
      </c>
      <c r="K18" s="30">
        <f>_xlfn.IFNA(VLOOKUP($H18,Report_Regression!$B:$L,9,FALSE),0)</f>
        <v>-3.3336450138164629E-2</v>
      </c>
      <c r="L18" s="30">
        <f>_xlfn.IFNA(VLOOKUP($H18,Report_Regression!$B:$L,10,FALSE),0)</f>
        <v>-4.7282751453629437E-2</v>
      </c>
      <c r="M18" s="30">
        <f>_xlfn.IFNA(VLOOKUP($H18,Report_Regression!$B:$L,8,FALSE),0)</f>
        <v>-2.0003514486837203E-2</v>
      </c>
      <c r="N18" s="30">
        <f t="shared" si="0"/>
        <v>-3.3336450138164629E-2</v>
      </c>
      <c r="O18" s="30" t="str">
        <f>IFERROR(VLOOKUP(H18,Report_Regression!O:Y,11,FALSE),"")</f>
        <v>Median</v>
      </c>
      <c r="P18" s="30">
        <f>IFERROR(VLOOKUP($H18,Report_Regression!$O:$Y,9,FALSE),0)</f>
        <v>3.989071854052504E-2</v>
      </c>
      <c r="Q18" s="30">
        <f>IFERROR(VLOOKUP($H18,Report_Regression!$O:$Y,10,FALSE),0)</f>
        <v>1.5873015873015931E-2</v>
      </c>
      <c r="R18" s="30">
        <f>IFERROR(VLOOKUP($H18,Report_Regression!$O:$Y,8,FALSE),0)</f>
        <v>6.1455204850682725E-2</v>
      </c>
      <c r="S18" s="30">
        <f t="shared" si="1"/>
        <v>3.989071854052504E-2</v>
      </c>
      <c r="T18" s="29">
        <f>_xlfn.IFNA(VLOOKUP($H18,Report_Regression!$O:$Y,6,FALSE),0)</f>
        <v>3482.75</v>
      </c>
      <c r="U18" s="29">
        <f>_xlfn.IFNA(VLOOKUP($H18,Report_Regression!$O:$Y,7,FALSE),0)</f>
        <v>3219.2000000000003</v>
      </c>
      <c r="V18" s="29">
        <f>_xlfn.IFNA(VLOOKUP($H18,Report_Regression!$O:$Y,5,FALSE),0)</f>
        <v>3746.3</v>
      </c>
      <c r="W18" s="2">
        <f t="shared" si="2"/>
        <v>3482.75</v>
      </c>
      <c r="X18" s="33"/>
      <c r="Y18" s="29">
        <f>SUMIF('Input_2019CUST-YTD'!S:S,G18,'Input_2019CUST-YTD'!R:R)</f>
        <v>4362</v>
      </c>
      <c r="Z18" s="29">
        <f>SUMIF('Input_2020CUST-YTD'!S:S,G18,'Input_2020CUST-YTD'!R:R)</f>
        <v>4465</v>
      </c>
      <c r="AA18" s="29">
        <v>2619.5</v>
      </c>
      <c r="AB18" s="29">
        <v>2532.1751688630775</v>
      </c>
      <c r="AC18" s="29">
        <v>2447.7614376051747</v>
      </c>
      <c r="AD18" s="29" t="str">
        <f>VLOOKUP(D18,'Input_Fcst Inputs'!A:F,2,FALSE)</f>
        <v>UPC Growth Rate</v>
      </c>
      <c r="AE18" s="29">
        <f>SUMIF('Input_2019VOL-YTD'!R:R,G18,'Input_2019VOL-YTD'!O:O)</f>
        <v>681290.39000000013</v>
      </c>
      <c r="AF18" s="29">
        <f>SUMIF('Input_2020VOL-YTD'!R:R,G18,'Input_2020VOL-YTD'!O:O)</f>
        <v>639383.85000000009</v>
      </c>
      <c r="AG18" s="29">
        <f>SUMIF('Input_2021VOL-YTD'!R:R,G18,'Input_2021VOL-YTD'!O:O)</f>
        <v>705334.12000000011</v>
      </c>
      <c r="AH18" s="29">
        <f>IFERROR(IF($AD18="Historical Average",(AVERAGE($AE18:$AG18)/AVERAGE($Y18:$AA18))*AB18,IF($AD18="UPC Growth Rate",((AG18/AA18)*(1+$S18)*AB18),IF($AD18="Modeled UPC",AB18/12*$W18,IF(AD18="Base Period",AG18,IF(AD18="Adjusted",SUMIF('Input_Fcst Inputs'!A:A,D18,'Input_Fcst Inputs'!F:F),0))))),0)</f>
        <v>709019.10527858254</v>
      </c>
      <c r="AI18" s="29">
        <f>IFERROR(IF($AD18="Historical Average",(AVERAGE($AE18:$AG18)/AVERAGE($Y18:$AA18))*AC18,IF($AD18="UPC Growth Rate",((AH18/AB18)*(1+$S18)*AC18),IF($AD18="Modeled UPC",AC18/12*$W18,IF(AD18="Base Period",AG18,IF(AD18="Adjusted",SUMIF('Input_Fcst Inputs'!A:A,D18,'Input_Fcst Inputs'!G:G),0))))),0)</f>
        <v>712723.34259122703</v>
      </c>
    </row>
    <row r="19" spans="1:35" s="32" customFormat="1">
      <c r="A19" s="32" t="s">
        <v>6</v>
      </c>
      <c r="B19" s="32" t="s">
        <v>332</v>
      </c>
      <c r="C19" s="28" t="s">
        <v>635</v>
      </c>
      <c r="D19" s="32" t="s">
        <v>29</v>
      </c>
      <c r="E19" s="28" t="s">
        <v>295</v>
      </c>
      <c r="F19" s="182" t="s">
        <v>672</v>
      </c>
      <c r="G19" s="31" t="s">
        <v>30</v>
      </c>
      <c r="H19" s="31" t="s">
        <v>381</v>
      </c>
      <c r="I19" s="28"/>
      <c r="J19" s="29" t="str">
        <f>IFERROR(VLOOKUP(H19,Report_Regression!B:L,11,FALSE),"")</f>
        <v>Median</v>
      </c>
      <c r="K19" s="30">
        <f>_xlfn.IFNA(VLOOKUP($H19,Report_Regression!$B:$L,9,FALSE),0)</f>
        <v>1.8587655739112818E-2</v>
      </c>
      <c r="L19" s="30">
        <f>_xlfn.IFNA(VLOOKUP($H19,Report_Regression!$B:$L,10,FALSE),0)</f>
        <v>8.309696626712066E-3</v>
      </c>
      <c r="M19" s="30">
        <f>_xlfn.IFNA(VLOOKUP($H19,Report_Regression!$B:$L,8,FALSE),0)</f>
        <v>2.8580676964871994E-2</v>
      </c>
      <c r="N19" s="30">
        <f t="shared" si="0"/>
        <v>1.8587655739112818E-2</v>
      </c>
      <c r="O19" s="30" t="str">
        <f>IFERROR(VLOOKUP(H19,Report_Regression!O:Y,11,FALSE),"")</f>
        <v>Median</v>
      </c>
      <c r="P19" s="30">
        <f>IFERROR(VLOOKUP($H19,Report_Regression!$O:$Y,9,FALSE),0)</f>
        <v>-1.8292273161028501E-2</v>
      </c>
      <c r="Q19" s="30">
        <f>IFERROR(VLOOKUP($H19,Report_Regression!$O:$Y,10,FALSE),0)</f>
        <v>-3.0189122518501168E-2</v>
      </c>
      <c r="R19" s="30">
        <f>IFERROR(VLOOKUP($H19,Report_Regression!$O:$Y,8,FALSE),0)</f>
        <v>-8.2525835790934997E-3</v>
      </c>
      <c r="S19" s="30">
        <f t="shared" si="1"/>
        <v>-1.8292273161028501E-2</v>
      </c>
      <c r="T19" s="29">
        <f>_xlfn.IFNA(VLOOKUP($H19,Report_Regression!$O:$Y,6,FALSE),0)</f>
        <v>3652.1</v>
      </c>
      <c r="U19" s="29">
        <f>_xlfn.IFNA(VLOOKUP($H19,Report_Regression!$O:$Y,7,FALSE),0)</f>
        <v>3302.4</v>
      </c>
      <c r="V19" s="29">
        <f>_xlfn.IFNA(VLOOKUP($H19,Report_Regression!$O:$Y,5,FALSE),0)</f>
        <v>4001.7999999999997</v>
      </c>
      <c r="W19" s="2">
        <f t="shared" si="2"/>
        <v>3652.1</v>
      </c>
      <c r="X19" s="33"/>
      <c r="Y19" s="29">
        <f>SUMIF('Input_2019CUST-YTD'!S:S,G19,'Input_2019CUST-YTD'!R:R)</f>
        <v>24964</v>
      </c>
      <c r="Z19" s="29">
        <f>SUMIF('Input_2020CUST-YTD'!S:S,G19,'Input_2020CUST-YTD'!R:R)</f>
        <v>25616</v>
      </c>
      <c r="AA19" s="29">
        <f>SUMIF('Input_2021CUST-YTD'!S:S,G19,'Input_2021CUST-YTD'!R:R)</f>
        <v>26215</v>
      </c>
      <c r="AB19" s="29">
        <f t="shared" si="4"/>
        <v>26702.275395200846</v>
      </c>
      <c r="AC19" s="29">
        <f t="shared" si="5"/>
        <v>27198.608097697826</v>
      </c>
      <c r="AD19" s="29" t="str">
        <f>VLOOKUP(D19,'Input_Fcst Inputs'!A:F,2,FALSE)</f>
        <v>UPC Growth Rate</v>
      </c>
      <c r="AE19" s="29">
        <f>SUMIF('Input_2019VOL-YTD'!R:R,G19,'Input_2019VOL-YTD'!O:O)</f>
        <v>6702935.9999999981</v>
      </c>
      <c r="AF19" s="29">
        <f>SUMIF('Input_2020VOL-YTD'!R:R,G19,'Input_2020VOL-YTD'!O:O)</f>
        <v>5960624.3199999994</v>
      </c>
      <c r="AG19" s="29">
        <f>SUMIF('Input_2021VOL-YTD'!R:R,G19,'Input_2021VOL-YTD'!O:O)</f>
        <v>6615291.8699999936</v>
      </c>
      <c r="AH19" s="29">
        <f>IFERROR(IF($AD19="Historical Average",(AVERAGE($AE19:$AG19)/AVERAGE($Y19:$AA19))*AB19,IF($AD19="UPC Growth Rate",((AG19/AA19)*(1+$S19)*AB19),IF($AD19="Modeled UPC",AB19/12*$W19,IF(AD19="Base Period",AG19,IF(AD19="Adjusted",SUMIF('Input_Fcst Inputs'!A:A,D19,'Input_Fcst Inputs'!F:F),0))))),0)</f>
        <v>6614996.6434283946</v>
      </c>
      <c r="AI19" s="29">
        <f>IFERROR(IF($AD19="Historical Average",(AVERAGE($AE19:$AG19)/AVERAGE($Y19:$AA19))*AC19,IF($AD19="UPC Growth Rate",((AH19/AB19)*(1+$S19)*AC19),IF($AD19="Modeled UPC",AC19/12*$W19,IF(AD19="Base Period",AG19,IF(AD19="Adjusted",SUMIF('Input_Fcst Inputs'!A:A,D19,'Input_Fcst Inputs'!G:G),0))))),0)</f>
        <v>6614701.4300321369</v>
      </c>
    </row>
    <row r="20" spans="1:35" s="32" customFormat="1">
      <c r="A20" s="32" t="s">
        <v>6</v>
      </c>
      <c r="B20" s="32" t="s">
        <v>331</v>
      </c>
      <c r="C20" s="28" t="s">
        <v>635</v>
      </c>
      <c r="D20" s="32" t="s">
        <v>31</v>
      </c>
      <c r="E20" s="28" t="s">
        <v>296</v>
      </c>
      <c r="F20" s="182" t="s">
        <v>672</v>
      </c>
      <c r="G20" s="31" t="s">
        <v>32</v>
      </c>
      <c r="H20" s="31" t="s">
        <v>381</v>
      </c>
      <c r="I20" s="28"/>
      <c r="J20" s="29" t="str">
        <f>IFERROR(VLOOKUP(H20,Report_Regression!B:L,11,FALSE),"")</f>
        <v>Median</v>
      </c>
      <c r="K20" s="30">
        <f>_xlfn.IFNA(VLOOKUP($H20,Report_Regression!$B:$L,9,FALSE),0)</f>
        <v>1.8587655739112818E-2</v>
      </c>
      <c r="L20" s="30">
        <f>_xlfn.IFNA(VLOOKUP($H20,Report_Regression!$B:$L,10,FALSE),0)</f>
        <v>8.309696626712066E-3</v>
      </c>
      <c r="M20" s="30">
        <f>_xlfn.IFNA(VLOOKUP($H20,Report_Regression!$B:$L,8,FALSE),0)</f>
        <v>2.8580676964871994E-2</v>
      </c>
      <c r="N20" s="30">
        <f t="shared" si="0"/>
        <v>1.8587655739112818E-2</v>
      </c>
      <c r="O20" s="30" t="str">
        <f>IFERROR(VLOOKUP(H20,Report_Regression!O:Y,11,FALSE),"")</f>
        <v>Median</v>
      </c>
      <c r="P20" s="30">
        <f>IFERROR(VLOOKUP($H20,Report_Regression!$O:$Y,9,FALSE),0)</f>
        <v>-1.8292273161028501E-2</v>
      </c>
      <c r="Q20" s="30">
        <f>IFERROR(VLOOKUP($H20,Report_Regression!$O:$Y,10,FALSE),0)</f>
        <v>-3.0189122518501168E-2</v>
      </c>
      <c r="R20" s="30">
        <f>IFERROR(VLOOKUP($H20,Report_Regression!$O:$Y,8,FALSE),0)</f>
        <v>-8.2525835790934997E-3</v>
      </c>
      <c r="S20" s="30">
        <f t="shared" si="1"/>
        <v>-1.8292273161028501E-2</v>
      </c>
      <c r="T20" s="29">
        <f>_xlfn.IFNA(VLOOKUP($H20,Report_Regression!$O:$Y,6,FALSE),0)</f>
        <v>3652.1</v>
      </c>
      <c r="U20" s="29">
        <f>_xlfn.IFNA(VLOOKUP($H20,Report_Regression!$O:$Y,7,FALSE),0)</f>
        <v>3302.4</v>
      </c>
      <c r="V20" s="29">
        <f>_xlfn.IFNA(VLOOKUP($H20,Report_Regression!$O:$Y,5,FALSE),0)</f>
        <v>4001.7999999999997</v>
      </c>
      <c r="W20" s="2">
        <f t="shared" si="2"/>
        <v>3652.1</v>
      </c>
      <c r="X20" s="33"/>
      <c r="Y20" s="29">
        <f>SUMIF('Input_2019CUST-YTD'!S:S,G20,'Input_2019CUST-YTD'!R:R)</f>
        <v>9439</v>
      </c>
      <c r="Z20" s="29">
        <f>SUMIF('Input_2020CUST-YTD'!S:S,G20,'Input_2020CUST-YTD'!R:R)</f>
        <v>9817</v>
      </c>
      <c r="AA20" s="29">
        <f>SUMIF('Input_2021CUST-YTD'!S:S,G20,'Input_2021CUST-YTD'!R:R)</f>
        <v>10084</v>
      </c>
      <c r="AB20" s="29">
        <f t="shared" si="4"/>
        <v>10271.437920473214</v>
      </c>
      <c r="AC20" s="29">
        <f t="shared" si="5"/>
        <v>10462.35987248464</v>
      </c>
      <c r="AD20" s="29" t="str">
        <f>VLOOKUP(D20,'Input_Fcst Inputs'!A:F,2,FALSE)</f>
        <v>UPC Growth Rate</v>
      </c>
      <c r="AE20" s="29">
        <f>SUMIF('Input_2019VOL-YTD'!R:R,G20,'Input_2019VOL-YTD'!O:O)</f>
        <v>5285544.8599999994</v>
      </c>
      <c r="AF20" s="29">
        <f>SUMIF('Input_2020VOL-YTD'!R:R,G20,'Input_2020VOL-YTD'!O:O)</f>
        <v>4996441.4899999974</v>
      </c>
      <c r="AG20" s="29">
        <f>SUMIF('Input_2021VOL-YTD'!R:R,G20,'Input_2021VOL-YTD'!O:O)</f>
        <v>5703960.7700000023</v>
      </c>
      <c r="AH20" s="29">
        <f>IFERROR(IF($AD20="Historical Average",(AVERAGE($AE20:$AG20)/AVERAGE($Y20:$AA20))*AB20,IF($AD20="UPC Growth Rate",((AG20/AA20)*(1+$S20)*AB20),IF($AD20="Modeled UPC",AB20/12*$W20,IF(AD20="Base Period",AG20,IF(AD20="Adjusted",SUMIF('Input_Fcst Inputs'!A:A,D20,'Input_Fcst Inputs'!F:F),0))))),0)</f>
        <v>5703706.2142198849</v>
      </c>
      <c r="AI20" s="29">
        <f>IFERROR(IF($AD20="Historical Average",(AVERAGE($AE20:$AG20)/AVERAGE($Y20:$AA20))*AC20,IF($AD20="UPC Growth Rate",((AH20/AB20)*(1+$S20)*AC20),IF($AD20="Modeled UPC",AC20/12*$W20,IF(AD20="Base Period",AG20,IF(AD20="Adjusted",SUMIF('Input_Fcst Inputs'!A:A,D20,'Input_Fcst Inputs'!G:G),0))))),0)</f>
        <v>5703451.669800058</v>
      </c>
    </row>
    <row r="21" spans="1:35" s="32" customFormat="1">
      <c r="A21" s="32" t="s">
        <v>6</v>
      </c>
      <c r="B21" s="32" t="s">
        <v>332</v>
      </c>
      <c r="C21" s="28" t="s">
        <v>635</v>
      </c>
      <c r="D21" s="32" t="s">
        <v>33</v>
      </c>
      <c r="E21" s="28" t="s">
        <v>302</v>
      </c>
      <c r="F21" s="182" t="s">
        <v>672</v>
      </c>
      <c r="G21" s="31" t="s">
        <v>34</v>
      </c>
      <c r="H21" s="31" t="s">
        <v>90</v>
      </c>
      <c r="I21" s="28"/>
      <c r="J21" s="29" t="str">
        <f>IFERROR(VLOOKUP(H21,Report_Regression!B:L,11,FALSE),"")</f>
        <v>Median</v>
      </c>
      <c r="K21" s="30">
        <f>_xlfn.IFNA(VLOOKUP($H21,Report_Regression!$B:$L,9,FALSE),0)</f>
        <v>1.1133093100946111E-2</v>
      </c>
      <c r="L21" s="30">
        <f>_xlfn.IFNA(VLOOKUP($H21,Report_Regression!$B:$L,10,FALSE),0)</f>
        <v>1.0311691202693724E-2</v>
      </c>
      <c r="M21" s="30">
        <f>_xlfn.IFNA(VLOOKUP($H21,Report_Regression!$B:$L,8,FALSE),0)</f>
        <v>1.1943602949465048E-2</v>
      </c>
      <c r="N21" s="30">
        <f t="shared" si="0"/>
        <v>1.1133093100946111E-2</v>
      </c>
      <c r="O21" s="30" t="str">
        <f>IFERROR(VLOOKUP(H21,Report_Regression!O:Y,11,FALSE),"")</f>
        <v>Median</v>
      </c>
      <c r="P21" s="30">
        <f>IFERROR(VLOOKUP($H21,Report_Regression!$O:$Y,9,FALSE),0)</f>
        <v>-1.7360612496315646E-2</v>
      </c>
      <c r="Q21" s="30">
        <f>IFERROR(VLOOKUP($H21,Report_Regression!$O:$Y,10,FALSE),0)</f>
        <v>-3.1097397223485902E-2</v>
      </c>
      <c r="R21" s="30">
        <f>IFERROR(VLOOKUP($H21,Report_Regression!$O:$Y,8,FALSE),0)</f>
        <v>-5.6743474733534482E-3</v>
      </c>
      <c r="S21" s="30">
        <f t="shared" si="1"/>
        <v>-1.7360612496315646E-2</v>
      </c>
      <c r="T21" s="29">
        <f>_xlfn.IFNA(VLOOKUP($H21,Report_Regression!$O:$Y,6,FALSE),0)</f>
        <v>19502.099999999999</v>
      </c>
      <c r="U21" s="29">
        <f>_xlfn.IFNA(VLOOKUP($H21,Report_Regression!$O:$Y,7,FALSE),0)</f>
        <v>17678.5</v>
      </c>
      <c r="V21" s="29">
        <f>_xlfn.IFNA(VLOOKUP($H21,Report_Regression!$O:$Y,5,FALSE),0)</f>
        <v>21325.699999999997</v>
      </c>
      <c r="W21" s="2">
        <f t="shared" si="2"/>
        <v>19502.099999999999</v>
      </c>
      <c r="X21" s="33"/>
      <c r="Y21" s="29">
        <f>SUMIF('Input_2019CUST-YTD'!S:S,G21,'Input_2019CUST-YTD'!R:R)</f>
        <v>7873</v>
      </c>
      <c r="Z21" s="29">
        <f>SUMIF('Input_2020CUST-YTD'!S:S,G21,'Input_2020CUST-YTD'!R:R)</f>
        <v>7824</v>
      </c>
      <c r="AA21" s="29">
        <f>SUMIF('Input_2021CUST-YTD'!S:S,G21,'Input_2021CUST-YTD'!R:R)</f>
        <v>7901</v>
      </c>
      <c r="AB21" s="29">
        <f t="shared" si="4"/>
        <v>7988.9625685905758</v>
      </c>
      <c r="AC21" s="29">
        <f t="shared" si="5"/>
        <v>8077.9044326466683</v>
      </c>
      <c r="AD21" s="29" t="str">
        <f>VLOOKUP(D21,'Input_Fcst Inputs'!A:F,2,FALSE)</f>
        <v>UPC Growth Rate</v>
      </c>
      <c r="AE21" s="29">
        <f>SUMIF('Input_2019VOL-YTD'!R:R,G21,'Input_2019VOL-YTD'!O:O)</f>
        <v>9095256.9100000001</v>
      </c>
      <c r="AF21" s="29">
        <f>SUMIF('Input_2020VOL-YTD'!R:R,G21,'Input_2020VOL-YTD'!O:O)</f>
        <v>7704386.799999997</v>
      </c>
      <c r="AG21" s="29">
        <f>SUMIF('Input_2021VOL-YTD'!R:R,G21,'Input_2021VOL-YTD'!O:O)</f>
        <v>8202818.1799999988</v>
      </c>
      <c r="AH21" s="29">
        <f>IFERROR(IF($AD21="Historical Average",(AVERAGE($AE21:$AG21)/AVERAGE($Y21:$AA21))*AB21,IF($AD21="UPC Growth Rate",((AG21/AA21)*(1+$S21)*AB21),IF($AD21="Modeled UPC",AB21/12*$W21,IF(AD21="Base Period",AG21,IF(AD21="Adjusted",SUMIF('Input_Fcst Inputs'!A:A,D21,'Input_Fcst Inputs'!F:F),0))))),0)</f>
        <v>8150149.5520123653</v>
      </c>
      <c r="AI21" s="29">
        <f>IFERROR(IF($AD21="Historical Average",(AVERAGE($AE21:$AG21)/AVERAGE($Y21:$AA21))*AC21,IF($AD21="UPC Growth Rate",((AH21/AB21)*(1+$S21)*AC21),IF($AD21="Modeled UPC",AC21/12*$W21,IF(AD21="Base Period",AG21,IF(AD21="Adjusted",SUMIF('Input_Fcst Inputs'!A:A,D21,'Input_Fcst Inputs'!G:G),0))))),0)</f>
        <v>8097819.0985780656</v>
      </c>
    </row>
    <row r="22" spans="1:35" s="32" customFormat="1">
      <c r="A22" s="32" t="s">
        <v>6</v>
      </c>
      <c r="B22" s="32" t="s">
        <v>331</v>
      </c>
      <c r="C22" s="28" t="s">
        <v>635</v>
      </c>
      <c r="D22" s="32" t="s">
        <v>35</v>
      </c>
      <c r="E22" s="28" t="s">
        <v>301</v>
      </c>
      <c r="F22" s="182" t="s">
        <v>672</v>
      </c>
      <c r="G22" s="31" t="s">
        <v>36</v>
      </c>
      <c r="H22" s="31" t="s">
        <v>90</v>
      </c>
      <c r="I22" s="28"/>
      <c r="J22" s="29" t="str">
        <f>IFERROR(VLOOKUP(H22,Report_Regression!B:L,11,FALSE),"")</f>
        <v>Median</v>
      </c>
      <c r="K22" s="30">
        <f>_xlfn.IFNA(VLOOKUP($H22,Report_Regression!$B:$L,9,FALSE),0)</f>
        <v>1.1133093100946111E-2</v>
      </c>
      <c r="L22" s="30">
        <f>_xlfn.IFNA(VLOOKUP($H22,Report_Regression!$B:$L,10,FALSE),0)</f>
        <v>1.0311691202693724E-2</v>
      </c>
      <c r="M22" s="30">
        <f>_xlfn.IFNA(VLOOKUP($H22,Report_Regression!$B:$L,8,FALSE),0)</f>
        <v>1.1943602949465048E-2</v>
      </c>
      <c r="N22" s="30">
        <f t="shared" si="0"/>
        <v>1.1133093100946111E-2</v>
      </c>
      <c r="O22" s="30" t="str">
        <f>IFERROR(VLOOKUP(H22,Report_Regression!O:Y,11,FALSE),"")</f>
        <v>Median</v>
      </c>
      <c r="P22" s="30">
        <f>IFERROR(VLOOKUP($H22,Report_Regression!$O:$Y,9,FALSE),0)</f>
        <v>-1.7360612496315646E-2</v>
      </c>
      <c r="Q22" s="30">
        <f>IFERROR(VLOOKUP($H22,Report_Regression!$O:$Y,10,FALSE),0)</f>
        <v>-3.1097397223485902E-2</v>
      </c>
      <c r="R22" s="30">
        <f>IFERROR(VLOOKUP($H22,Report_Regression!$O:$Y,8,FALSE),0)</f>
        <v>-5.6743474733534482E-3</v>
      </c>
      <c r="S22" s="30">
        <f t="shared" si="1"/>
        <v>-1.7360612496315646E-2</v>
      </c>
      <c r="T22" s="29">
        <f>_xlfn.IFNA(VLOOKUP($H22,Report_Regression!$O:$Y,6,FALSE),0)</f>
        <v>19502.099999999999</v>
      </c>
      <c r="U22" s="29">
        <f>_xlfn.IFNA(VLOOKUP($H22,Report_Regression!$O:$Y,7,FALSE),0)</f>
        <v>17678.5</v>
      </c>
      <c r="V22" s="29">
        <f>_xlfn.IFNA(VLOOKUP($H22,Report_Regression!$O:$Y,5,FALSE),0)</f>
        <v>21325.699999999997</v>
      </c>
      <c r="W22" s="2">
        <f t="shared" si="2"/>
        <v>19502.099999999999</v>
      </c>
      <c r="X22" s="33"/>
      <c r="Y22" s="29">
        <f>SUMIF('Input_2019CUST-YTD'!S:S,G22,'Input_2019CUST-YTD'!R:R)</f>
        <v>14923</v>
      </c>
      <c r="Z22" s="29">
        <f>SUMIF('Input_2020CUST-YTD'!S:S,G22,'Input_2020CUST-YTD'!R:R)</f>
        <v>15217</v>
      </c>
      <c r="AA22" s="29">
        <f>SUMIF('Input_2021CUST-YTD'!S:S,G22,'Input_2021CUST-YTD'!R:R)</f>
        <v>15269</v>
      </c>
      <c r="AB22" s="29">
        <f t="shared" si="4"/>
        <v>15438.991198558346</v>
      </c>
      <c r="AC22" s="29">
        <f t="shared" si="5"/>
        <v>15610.874924956584</v>
      </c>
      <c r="AD22" s="29" t="str">
        <f>VLOOKUP(D22,'Input_Fcst Inputs'!A:F,2,FALSE)</f>
        <v>UPC Growth Rate</v>
      </c>
      <c r="AE22" s="29">
        <f>SUMIF('Input_2019VOL-YTD'!R:R,G22,'Input_2019VOL-YTD'!O:O)</f>
        <v>32997446.559999995</v>
      </c>
      <c r="AF22" s="29">
        <f>SUMIF('Input_2020VOL-YTD'!R:R,G22,'Input_2020VOL-YTD'!O:O)</f>
        <v>29910522.709999993</v>
      </c>
      <c r="AG22" s="29">
        <f>SUMIF('Input_2021VOL-YTD'!R:R,G22,'Input_2021VOL-YTD'!O:O)</f>
        <v>32542765.020000007</v>
      </c>
      <c r="AH22" s="29">
        <f>IFERROR(IF($AD22="Historical Average",(AVERAGE($AE22:$AG22)/AVERAGE($Y22:$AA22))*AB22,IF($AD22="UPC Growth Rate",((AG22/AA22)*(1+$S22)*AB22),IF($AD22="Modeled UPC",AB22/12*$W22,IF(AD22="Base Period",AG22,IF(AD22="Adjusted",SUMIF('Input_Fcst Inputs'!A:A,D22,'Input_Fcst Inputs'!F:F),0))))),0)</f>
        <v>32333814.541406397</v>
      </c>
      <c r="AI22" s="29">
        <f>IFERROR(IF($AD22="Historical Average",(AVERAGE($AE22:$AG22)/AVERAGE($Y22:$AA22))*AC22,IF($AD22="UPC Growth Rate",((AH22/AB22)*(1+$S22)*AC22),IF($AD22="Modeled UPC",AC22/12*$W22,IF(AD22="Base Period",AG22,IF(AD22="Adjusted",SUMIF('Input_Fcst Inputs'!A:A,D22,'Input_Fcst Inputs'!G:G),0))))),0)</f>
        <v>32126205.691358417</v>
      </c>
    </row>
    <row r="23" spans="1:35" s="32" customFormat="1">
      <c r="A23" s="32" t="s">
        <v>6</v>
      </c>
      <c r="B23" s="32" t="s">
        <v>332</v>
      </c>
      <c r="C23" s="28" t="s">
        <v>635</v>
      </c>
      <c r="D23" s="32" t="s">
        <v>37</v>
      </c>
      <c r="E23" s="28" t="s">
        <v>299</v>
      </c>
      <c r="F23" s="182" t="s">
        <v>672</v>
      </c>
      <c r="G23" s="31" t="s">
        <v>38</v>
      </c>
      <c r="H23" s="31" t="s">
        <v>433</v>
      </c>
      <c r="I23" s="28"/>
      <c r="J23" s="29" t="str">
        <f>IFERROR(VLOOKUP(H23,Report_Regression!B:L,11,FALSE),"")</f>
        <v>Base Period</v>
      </c>
      <c r="K23" s="30">
        <f>_xlfn.IFNA(VLOOKUP($H23,Report_Regression!$B:$L,9,FALSE),0)</f>
        <v>0</v>
      </c>
      <c r="L23" s="30">
        <f>_xlfn.IFNA(VLOOKUP($H23,Report_Regression!$B:$L,10,FALSE),0)</f>
        <v>0</v>
      </c>
      <c r="M23" s="30">
        <f>_xlfn.IFNA(VLOOKUP($H23,Report_Regression!$B:$L,8,FALSE),0)</f>
        <v>0</v>
      </c>
      <c r="N23" s="30">
        <f t="shared" si="0"/>
        <v>0</v>
      </c>
      <c r="O23" s="30" t="str">
        <f>IFERROR(VLOOKUP(H23,Report_Regression!O:Y,11,FALSE),"")</f>
        <v>Base Period</v>
      </c>
      <c r="P23" s="30">
        <f>IFERROR(VLOOKUP($H23,Report_Regression!$O:$Y,9,FALSE),0)</f>
        <v>0</v>
      </c>
      <c r="Q23" s="30">
        <f>IFERROR(VLOOKUP($H23,Report_Regression!$O:$Y,10,FALSE),0)</f>
        <v>0</v>
      </c>
      <c r="R23" s="30">
        <f>IFERROR(VLOOKUP($H23,Report_Regression!$O:$Y,8,FALSE),0)</f>
        <v>0</v>
      </c>
      <c r="S23" s="30">
        <f t="shared" si="1"/>
        <v>0</v>
      </c>
      <c r="T23" s="29">
        <f>_xlfn.IFNA(VLOOKUP($H23,Report_Regression!$O:$Y,6,FALSE),0)</f>
        <v>0</v>
      </c>
      <c r="U23" s="29">
        <f>_xlfn.IFNA(VLOOKUP($H23,Report_Regression!$O:$Y,7,FALSE),0)</f>
        <v>0</v>
      </c>
      <c r="V23" s="29">
        <f>_xlfn.IFNA(VLOOKUP($H23,Report_Regression!$O:$Y,5,FALSE),0)</f>
        <v>0</v>
      </c>
      <c r="W23" s="2">
        <f t="shared" si="2"/>
        <v>0</v>
      </c>
      <c r="X23" s="33"/>
      <c r="Y23" s="29">
        <f>SUMIF('Input_2019CUST-YTD'!S:S,G23,'Input_2019CUST-YTD'!R:R)</f>
        <v>0</v>
      </c>
      <c r="Z23" s="29">
        <f>SUMIF('Input_2020CUST-YTD'!S:S,G23,'Input_2020CUST-YTD'!R:R)</f>
        <v>0</v>
      </c>
      <c r="AA23" s="29">
        <f>SUMIF('Input_2021CUST-YTD'!S:S,G23,'Input_2021CUST-YTD'!R:R)</f>
        <v>0</v>
      </c>
      <c r="AB23" s="29">
        <f t="shared" si="4"/>
        <v>0</v>
      </c>
      <c r="AC23" s="29">
        <f t="shared" si="5"/>
        <v>0</v>
      </c>
      <c r="AD23" s="29" t="str">
        <f>VLOOKUP(D23,'Input_Fcst Inputs'!A:F,2,FALSE)</f>
        <v>Base Period</v>
      </c>
      <c r="AE23" s="29">
        <f>SUMIF('Input_2019VOL-YTD'!R:R,G23,'Input_2019VOL-YTD'!O:O)</f>
        <v>0</v>
      </c>
      <c r="AF23" s="29">
        <f>SUMIF('Input_2020VOL-YTD'!R:R,G23,'Input_2020VOL-YTD'!O:O)</f>
        <v>0</v>
      </c>
      <c r="AG23" s="29">
        <f>SUMIF('Input_2021VOL-YTD'!R:R,G23,'Input_2021VOL-YTD'!O:O)</f>
        <v>0</v>
      </c>
      <c r="AH23" s="29">
        <f>IFERROR(IF($AD23="Historical Average",(AVERAGE($AE23:$AG23)/AVERAGE($Y23:$AA23))*AB23,IF($AD23="UPC Growth Rate",((AG23/AA23)*(1+$S23)*AB23),IF($AD23="Modeled UPC",AB23/12*$W23,IF(AD23="Base Period",AG23,IF(AD23="Adjusted",SUMIF('Input_Fcst Inputs'!A:A,D23,'Input_Fcst Inputs'!F:F),0))))),0)</f>
        <v>0</v>
      </c>
      <c r="AI23" s="29">
        <f>IFERROR(IF($AD23="Historical Average",(AVERAGE($AE23:$AG23)/AVERAGE($Y23:$AA23))*AC23,IF($AD23="UPC Growth Rate",((AH23/AB23)*(1+$S23)*AC23),IF($AD23="Modeled UPC",AC23/12*$W23,IF(AD23="Base Period",AG23,IF(AD23="Adjusted",SUMIF('Input_Fcst Inputs'!A:A,D23,'Input_Fcst Inputs'!G:G),0))))),0)</f>
        <v>0</v>
      </c>
    </row>
    <row r="24" spans="1:35" s="32" customFormat="1">
      <c r="A24" s="32" t="s">
        <v>6</v>
      </c>
      <c r="B24" s="32" t="s">
        <v>331</v>
      </c>
      <c r="C24" s="28" t="s">
        <v>635</v>
      </c>
      <c r="D24" s="32" t="s">
        <v>39</v>
      </c>
      <c r="E24" s="28" t="s">
        <v>300</v>
      </c>
      <c r="F24" s="182" t="s">
        <v>672</v>
      </c>
      <c r="G24" s="31" t="s">
        <v>40</v>
      </c>
      <c r="H24" s="31" t="s">
        <v>433</v>
      </c>
      <c r="I24" s="28"/>
      <c r="J24" s="29" t="str">
        <f>IFERROR(VLOOKUP(H24,Report_Regression!B:L,11,FALSE),"")</f>
        <v>Base Period</v>
      </c>
      <c r="K24" s="30">
        <f>_xlfn.IFNA(VLOOKUP($H24,Report_Regression!$B:$L,9,FALSE),0)</f>
        <v>0</v>
      </c>
      <c r="L24" s="30">
        <f>_xlfn.IFNA(VLOOKUP($H24,Report_Regression!$B:$L,10,FALSE),0)</f>
        <v>0</v>
      </c>
      <c r="M24" s="30">
        <f>_xlfn.IFNA(VLOOKUP($H24,Report_Regression!$B:$L,8,FALSE),0)</f>
        <v>0</v>
      </c>
      <c r="N24" s="30">
        <f t="shared" si="0"/>
        <v>0</v>
      </c>
      <c r="O24" s="30" t="str">
        <f>IFERROR(VLOOKUP(H24,Report_Regression!O:Y,11,FALSE),"")</f>
        <v>Base Period</v>
      </c>
      <c r="P24" s="30">
        <f>IFERROR(VLOOKUP($H24,Report_Regression!$O:$Y,9,FALSE),0)</f>
        <v>0</v>
      </c>
      <c r="Q24" s="30">
        <f>IFERROR(VLOOKUP($H24,Report_Regression!$O:$Y,10,FALSE),0)</f>
        <v>0</v>
      </c>
      <c r="R24" s="30">
        <f>IFERROR(VLOOKUP($H24,Report_Regression!$O:$Y,8,FALSE),0)</f>
        <v>0</v>
      </c>
      <c r="S24" s="30">
        <f t="shared" si="1"/>
        <v>0</v>
      </c>
      <c r="T24" s="29">
        <f>_xlfn.IFNA(VLOOKUP($H24,Report_Regression!$O:$Y,6,FALSE),0)</f>
        <v>0</v>
      </c>
      <c r="U24" s="29">
        <f>_xlfn.IFNA(VLOOKUP($H24,Report_Regression!$O:$Y,7,FALSE),0)</f>
        <v>0</v>
      </c>
      <c r="V24" s="29">
        <f>_xlfn.IFNA(VLOOKUP($H24,Report_Regression!$O:$Y,5,FALSE),0)</f>
        <v>0</v>
      </c>
      <c r="W24" s="2">
        <f>IFERROR(IF(O24="Median",T24,IF(O24="Low",U24,IF(O24="Average",V24,IF(O24="Base Period",AG24/AA24*12,0)))),0)</f>
        <v>530317.79888888879</v>
      </c>
      <c r="X24" s="33"/>
      <c r="Y24" s="29">
        <f>SUMIF('Input_2019CUST-YTD'!S:S,G24,'Input_2019CUST-YTD'!R:R)</f>
        <v>216</v>
      </c>
      <c r="Z24" s="29">
        <f>SUMIF('Input_2020CUST-YTD'!S:S,G24,'Input_2020CUST-YTD'!R:R)</f>
        <v>217</v>
      </c>
      <c r="AA24" s="29">
        <f>SUMIF('Input_2021CUST-YTD'!S:S,G24,'Input_2021CUST-YTD'!R:R)</f>
        <v>216</v>
      </c>
      <c r="AB24" s="29">
        <f t="shared" si="4"/>
        <v>216</v>
      </c>
      <c r="AC24" s="29">
        <f t="shared" si="5"/>
        <v>216</v>
      </c>
      <c r="AD24" s="29" t="str">
        <f>VLOOKUP(D24,'Input_Fcst Inputs'!A:F,2,FALSE)</f>
        <v>Base Period</v>
      </c>
      <c r="AE24" s="29">
        <f>SUMIF('Input_2019VOL-YTD'!R:R,G24,'Input_2019VOL-YTD'!O:O)</f>
        <v>9991202.8100000005</v>
      </c>
      <c r="AF24" s="29">
        <f>SUMIF('Input_2020VOL-YTD'!R:R,G24,'Input_2020VOL-YTD'!O:O)</f>
        <v>10047394.789999999</v>
      </c>
      <c r="AG24" s="29">
        <f>SUMIF('Input_2021VOL-YTD'!R:R,G24,'Input_2021VOL-YTD'!O:O)</f>
        <v>9545720.379999999</v>
      </c>
      <c r="AH24" s="29">
        <f>IFERROR(IF($AD24="Historical Average",(AVERAGE($AE24:$AG24)/AVERAGE($Y24:$AA24))*AB24,IF($AD24="UPC Growth Rate",((AG24/AA24)*(1+$S24)*AB24),IF($AD24="Modeled UPC",AB24/12*$W24,IF(AD24="Base Period",AG24,IF(AD24="Adjusted",SUMIF('Input_Fcst Inputs'!A:A,D24,'Input_Fcst Inputs'!F:F),0))))),0)</f>
        <v>9545720.379999999</v>
      </c>
      <c r="AI24" s="29">
        <f>IFERROR(IF($AD24="Historical Average",(AVERAGE($AE24:$AG24)/AVERAGE($Y24:$AA24))*AC24,IF($AD24="UPC Growth Rate",((AH24/AB24)*(1+$S24)*AC24),IF($AD24="Modeled UPC",AC24/12*$W24,IF(AD24="Base Period",AG24,IF(AD24="Adjusted",SUMIF('Input_Fcst Inputs'!A:A,D24,'Input_Fcst Inputs'!G:G),0))))),0)</f>
        <v>9545720.379999999</v>
      </c>
    </row>
    <row r="25" spans="1:35" s="32" customFormat="1">
      <c r="A25" s="32" t="s">
        <v>6</v>
      </c>
      <c r="B25" s="32" t="s">
        <v>332</v>
      </c>
      <c r="C25" s="28" t="s">
        <v>635</v>
      </c>
      <c r="D25" s="32" t="s">
        <v>41</v>
      </c>
      <c r="E25" s="28" t="s">
        <v>292</v>
      </c>
      <c r="F25" s="182" t="s">
        <v>672</v>
      </c>
      <c r="G25" s="31" t="s">
        <v>42</v>
      </c>
      <c r="H25" s="31" t="s">
        <v>433</v>
      </c>
      <c r="I25" s="28"/>
      <c r="J25" s="29" t="str">
        <f>IFERROR(VLOOKUP(H25,Report_Regression!B:L,11,FALSE),"")</f>
        <v>Base Period</v>
      </c>
      <c r="K25" s="30">
        <f>_xlfn.IFNA(VLOOKUP($H25,Report_Regression!$B:$L,9,FALSE),0)</f>
        <v>0</v>
      </c>
      <c r="L25" s="30">
        <f>_xlfn.IFNA(VLOOKUP($H25,Report_Regression!$B:$L,10,FALSE),0)</f>
        <v>0</v>
      </c>
      <c r="M25" s="30">
        <f>_xlfn.IFNA(VLOOKUP($H25,Report_Regression!$B:$L,8,FALSE),0)</f>
        <v>0</v>
      </c>
      <c r="N25" s="30">
        <f t="shared" si="0"/>
        <v>0</v>
      </c>
      <c r="O25" s="30" t="str">
        <f>IFERROR(VLOOKUP(H25,Report_Regression!O:Y,11,FALSE),"")</f>
        <v>Base Period</v>
      </c>
      <c r="P25" s="30">
        <f>IFERROR(VLOOKUP($H25,Report_Regression!$O:$Y,9,FALSE),0)</f>
        <v>0</v>
      </c>
      <c r="Q25" s="30">
        <f>IFERROR(VLOOKUP($H25,Report_Regression!$O:$Y,10,FALSE),0)</f>
        <v>0</v>
      </c>
      <c r="R25" s="30">
        <f>IFERROR(VLOOKUP($H25,Report_Regression!$O:$Y,8,FALSE),0)</f>
        <v>0</v>
      </c>
      <c r="S25" s="30">
        <f t="shared" si="1"/>
        <v>0</v>
      </c>
      <c r="T25" s="29">
        <f>_xlfn.IFNA(VLOOKUP($H25,Report_Regression!$O:$Y,6,FALSE),0)</f>
        <v>0</v>
      </c>
      <c r="U25" s="29">
        <f>_xlfn.IFNA(VLOOKUP($H25,Report_Regression!$O:$Y,7,FALSE),0)</f>
        <v>0</v>
      </c>
      <c r="V25" s="29">
        <f>_xlfn.IFNA(VLOOKUP($H25,Report_Regression!$O:$Y,5,FALSE),0)</f>
        <v>0</v>
      </c>
      <c r="W25" s="2">
        <f t="shared" si="2"/>
        <v>0</v>
      </c>
      <c r="X25" s="33"/>
      <c r="Y25" s="29">
        <f>SUMIF('Input_2019CUST-YTD'!S:S,G25,'Input_2019CUST-YTD'!R:R)</f>
        <v>0</v>
      </c>
      <c r="Z25" s="29">
        <f>SUMIF('Input_2020CUST-YTD'!S:S,G25,'Input_2020CUST-YTD'!R:R)</f>
        <v>0</v>
      </c>
      <c r="AA25" s="29">
        <f>SUMIF('Input_2021CUST-YTD'!S:S,G25,'Input_2021CUST-YTD'!R:R)</f>
        <v>0</v>
      </c>
      <c r="AB25" s="29">
        <f t="shared" si="4"/>
        <v>0</v>
      </c>
      <c r="AC25" s="29">
        <f t="shared" si="5"/>
        <v>0</v>
      </c>
      <c r="AD25" s="29" t="str">
        <f>VLOOKUP(D25,'Input_Fcst Inputs'!A:F,2,FALSE)</f>
        <v>Base Period</v>
      </c>
      <c r="AE25" s="29">
        <f>SUMIF('Input_2019VOL-YTD'!R:R,G25,'Input_2019VOL-YTD'!O:O)</f>
        <v>0</v>
      </c>
      <c r="AF25" s="29">
        <f>SUMIF('Input_2020VOL-YTD'!R:R,G25,'Input_2020VOL-YTD'!O:O)</f>
        <v>0</v>
      </c>
      <c r="AG25" s="29">
        <f>SUMIF('Input_2021VOL-YTD'!R:R,G25,'Input_2021VOL-YTD'!O:O)</f>
        <v>0</v>
      </c>
      <c r="AH25" s="29">
        <f>IFERROR(IF($AD25="Historical Average",(AVERAGE($AE25:$AG25)/AVERAGE($Y25:$AA25))*AB25,IF($AD25="UPC Growth Rate",((AG25/AA25)*(1+$S25)*AB25),IF($AD25="Modeled UPC",AB25/12*$W25,IF(AD25="Base Period",AG25,IF(AD25="Adjusted",SUMIF('Input_Fcst Inputs'!A:A,D25,'Input_Fcst Inputs'!F:F),0))))),0)</f>
        <v>0</v>
      </c>
      <c r="AI25" s="29">
        <f>IFERROR(IF($AD25="Historical Average",(AVERAGE($AE25:$AG25)/AVERAGE($Y25:$AA25))*AC25,IF($AD25="UPC Growth Rate",((AH25/AB25)*(1+$S25)*AC25),IF($AD25="Modeled UPC",AC25/12*$W25,IF(AD25="Base Period",AG25,IF(AD25="Adjusted",SUMIF('Input_Fcst Inputs'!A:A,D25,'Input_Fcst Inputs'!G:G),0))))),0)</f>
        <v>0</v>
      </c>
    </row>
    <row r="26" spans="1:35" s="32" customFormat="1">
      <c r="A26" s="32" t="s">
        <v>6</v>
      </c>
      <c r="B26" s="32" t="s">
        <v>331</v>
      </c>
      <c r="C26" s="28" t="s">
        <v>635</v>
      </c>
      <c r="D26" s="32" t="s">
        <v>43</v>
      </c>
      <c r="E26" s="28" t="s">
        <v>304</v>
      </c>
      <c r="F26" s="182" t="s">
        <v>672</v>
      </c>
      <c r="G26" s="31" t="s">
        <v>44</v>
      </c>
      <c r="H26" s="31" t="s">
        <v>433</v>
      </c>
      <c r="I26" s="28"/>
      <c r="J26" s="29" t="str">
        <f>IFERROR(VLOOKUP(H26,Report_Regression!B:L,11,FALSE),"")</f>
        <v>Base Period</v>
      </c>
      <c r="K26" s="30">
        <f>_xlfn.IFNA(VLOOKUP($H26,Report_Regression!$B:$L,9,FALSE),0)</f>
        <v>0</v>
      </c>
      <c r="L26" s="30">
        <f>_xlfn.IFNA(VLOOKUP($H26,Report_Regression!$B:$L,10,FALSE),0)</f>
        <v>0</v>
      </c>
      <c r="M26" s="30">
        <f>_xlfn.IFNA(VLOOKUP($H26,Report_Regression!$B:$L,8,FALSE),0)</f>
        <v>0</v>
      </c>
      <c r="N26" s="30">
        <f t="shared" si="0"/>
        <v>0</v>
      </c>
      <c r="O26" s="30" t="str">
        <f>IFERROR(VLOOKUP(H26,Report_Regression!O:Y,11,FALSE),"")</f>
        <v>Base Period</v>
      </c>
      <c r="P26" s="30">
        <f>IFERROR(VLOOKUP($H26,Report_Regression!$O:$Y,9,FALSE),0)</f>
        <v>0</v>
      </c>
      <c r="Q26" s="30">
        <f>IFERROR(VLOOKUP($H26,Report_Regression!$O:$Y,10,FALSE),0)</f>
        <v>0</v>
      </c>
      <c r="R26" s="30">
        <f>IFERROR(VLOOKUP($H26,Report_Regression!$O:$Y,8,FALSE),0)</f>
        <v>0</v>
      </c>
      <c r="S26" s="30">
        <f t="shared" si="1"/>
        <v>0</v>
      </c>
      <c r="T26" s="29">
        <f>_xlfn.IFNA(VLOOKUP($H26,Report_Regression!$O:$Y,6,FALSE),0)</f>
        <v>0</v>
      </c>
      <c r="U26" s="29">
        <f>_xlfn.IFNA(VLOOKUP($H26,Report_Regression!$O:$Y,7,FALSE),0)</f>
        <v>0</v>
      </c>
      <c r="V26" s="29">
        <f>_xlfn.IFNA(VLOOKUP($H26,Report_Regression!$O:$Y,5,FALSE),0)</f>
        <v>0</v>
      </c>
      <c r="W26" s="2">
        <f t="shared" si="2"/>
        <v>545656.96499999997</v>
      </c>
      <c r="X26" s="33"/>
      <c r="Y26" s="29">
        <f>SUMIF('Input_2019CUST-YTD'!S:S,G26,'Input_2019CUST-YTD'!R:R)</f>
        <v>24</v>
      </c>
      <c r="Z26" s="29">
        <f>SUMIF('Input_2020CUST-YTD'!S:S,G26,'Input_2020CUST-YTD'!R:R)</f>
        <v>24</v>
      </c>
      <c r="AA26" s="29">
        <f>SUMIF('Input_2021CUST-YTD'!S:S,G26,'Input_2021CUST-YTD'!R:R)</f>
        <v>24</v>
      </c>
      <c r="AB26" s="29">
        <f t="shared" si="4"/>
        <v>24</v>
      </c>
      <c r="AC26" s="29">
        <f t="shared" si="5"/>
        <v>24</v>
      </c>
      <c r="AD26" s="29" t="str">
        <f>VLOOKUP(D26,'Input_Fcst Inputs'!A:F,2,FALSE)</f>
        <v>Historical Average</v>
      </c>
      <c r="AE26" s="29">
        <f>SUMIF('Input_2019VOL-YTD'!R:R,G26,'Input_2019VOL-YTD'!O:O)</f>
        <v>731973.77</v>
      </c>
      <c r="AF26" s="29">
        <f>SUMIF('Input_2020VOL-YTD'!R:R,G26,'Input_2020VOL-YTD'!O:O)</f>
        <v>943152.87</v>
      </c>
      <c r="AG26" s="29">
        <f>SUMIF('Input_2021VOL-YTD'!R:R,G26,'Input_2021VOL-YTD'!O:O)</f>
        <v>1091313.93</v>
      </c>
      <c r="AH26" s="29">
        <f>IFERROR(IF($AD26="Historical Average",(AVERAGE($AE26:$AG26)/AVERAGE($Y26:$AA26))*AB26,IF($AD26="UPC Growth Rate",((AG26/AA26)*(1+$S26)*AB26),IF($AD26="Modeled UPC",AB26/12*$W26,IF(AD26="Base Period",AG26,IF(AD26="Adjusted",SUMIF('Input_Fcst Inputs'!A:A,D26,'Input_Fcst Inputs'!F:F),0))))),0)</f>
        <v>922146.8566666668</v>
      </c>
      <c r="AI26" s="29">
        <f>IFERROR(IF($AD26="Historical Average",(AVERAGE($AE26:$AG26)/AVERAGE($Y26:$AA26))*AC26,IF($AD26="UPC Growth Rate",((AH26/AB26)*(1+$S26)*AC26),IF($AD26="Modeled UPC",AC26/12*$W26,IF(AD26="Base Period",AG26,IF(AD26="Adjusted",SUMIF('Input_Fcst Inputs'!A:A,D26,'Input_Fcst Inputs'!G:G),0))))),0)</f>
        <v>922146.8566666668</v>
      </c>
    </row>
    <row r="27" spans="1:35" s="32" customFormat="1">
      <c r="A27" s="32" t="s">
        <v>6</v>
      </c>
      <c r="B27" s="32" t="s">
        <v>332</v>
      </c>
      <c r="C27" s="28" t="s">
        <v>635</v>
      </c>
      <c r="D27" s="32" t="s">
        <v>45</v>
      </c>
      <c r="E27" s="28" t="s">
        <v>306</v>
      </c>
      <c r="F27" s="182" t="s">
        <v>672</v>
      </c>
      <c r="G27" s="31" t="s">
        <v>46</v>
      </c>
      <c r="H27" s="31" t="s">
        <v>433</v>
      </c>
      <c r="I27" s="28"/>
      <c r="J27" s="29" t="str">
        <f>IFERROR(VLOOKUP(H27,Report_Regression!B:L,11,FALSE),"")</f>
        <v>Base Period</v>
      </c>
      <c r="K27" s="30">
        <f>_xlfn.IFNA(VLOOKUP($H27,Report_Regression!$B:$L,9,FALSE),0)</f>
        <v>0</v>
      </c>
      <c r="L27" s="30">
        <f>_xlfn.IFNA(VLOOKUP($H27,Report_Regression!$B:$L,10,FALSE),0)</f>
        <v>0</v>
      </c>
      <c r="M27" s="30">
        <f>_xlfn.IFNA(VLOOKUP($H27,Report_Regression!$B:$L,8,FALSE),0)</f>
        <v>0</v>
      </c>
      <c r="N27" s="30">
        <f t="shared" si="0"/>
        <v>0</v>
      </c>
      <c r="O27" s="30" t="str">
        <f>IFERROR(VLOOKUP(H27,Report_Regression!O:Y,11,FALSE),"")</f>
        <v>Base Period</v>
      </c>
      <c r="P27" s="30">
        <f>IFERROR(VLOOKUP($H27,Report_Regression!$O:$Y,9,FALSE),0)</f>
        <v>0</v>
      </c>
      <c r="Q27" s="30">
        <f>IFERROR(VLOOKUP($H27,Report_Regression!$O:$Y,10,FALSE),0)</f>
        <v>0</v>
      </c>
      <c r="R27" s="30">
        <f>IFERROR(VLOOKUP($H27,Report_Regression!$O:$Y,8,FALSE),0)</f>
        <v>0</v>
      </c>
      <c r="S27" s="30">
        <f t="shared" si="1"/>
        <v>0</v>
      </c>
      <c r="T27" s="29">
        <f>_xlfn.IFNA(VLOOKUP($H27,Report_Regression!$O:$Y,6,FALSE),0)</f>
        <v>0</v>
      </c>
      <c r="U27" s="29">
        <f>_xlfn.IFNA(VLOOKUP($H27,Report_Regression!$O:$Y,7,FALSE),0)</f>
        <v>0</v>
      </c>
      <c r="V27" s="29">
        <f>_xlfn.IFNA(VLOOKUP($H27,Report_Regression!$O:$Y,5,FALSE),0)</f>
        <v>0</v>
      </c>
      <c r="W27" s="2">
        <f t="shared" si="2"/>
        <v>3458.5886705202315</v>
      </c>
      <c r="X27" s="33"/>
      <c r="Y27" s="29">
        <f>SUMIF('Input_2019CUST-YTD'!S:S,G27,'Input_2019CUST-YTD'!R:R)</f>
        <v>433</v>
      </c>
      <c r="Z27" s="29">
        <f>SUMIF('Input_2020CUST-YTD'!S:S,G27,'Input_2020CUST-YTD'!R:R)</f>
        <v>389</v>
      </c>
      <c r="AA27" s="29">
        <f>SUMIF('Input_2021CUST-YTD'!S:S,G27,'Input_2021CUST-YTD'!R:R)</f>
        <v>346</v>
      </c>
      <c r="AB27" s="29">
        <f t="shared" si="4"/>
        <v>346</v>
      </c>
      <c r="AC27" s="29">
        <f t="shared" si="5"/>
        <v>346</v>
      </c>
      <c r="AD27" s="29" t="str">
        <f>VLOOKUP(D27,'Input_Fcst Inputs'!A:F,2,FALSE)</f>
        <v>Base Period</v>
      </c>
      <c r="AE27" s="29">
        <f>SUMIF('Input_2019VOL-YTD'!R:R,G27,'Input_2019VOL-YTD'!O:O)</f>
        <v>125676.64</v>
      </c>
      <c r="AF27" s="29">
        <f>SUMIF('Input_2020VOL-YTD'!R:R,G27,'Input_2020VOL-YTD'!O:O)</f>
        <v>109130.64</v>
      </c>
      <c r="AG27" s="29">
        <f>SUMIF('Input_2021VOL-YTD'!R:R,G27,'Input_2021VOL-YTD'!O:O)</f>
        <v>99722.64</v>
      </c>
      <c r="AH27" s="29">
        <f>IFERROR(IF($AD27="Historical Average",(AVERAGE($AE27:$AG27)/AVERAGE($Y27:$AA27))*AB27,IF($AD27="UPC Growth Rate",((AG27/AA27)*(1+$S27)*AB27),IF($AD27="Modeled UPC",AB27/12*$W27,IF(AD27="Base Period",AG27,IF(AD27="Adjusted",SUMIF('Input_Fcst Inputs'!A:A,D27,'Input_Fcst Inputs'!F:F),0))))),0)</f>
        <v>99722.64</v>
      </c>
      <c r="AI27" s="29">
        <f>IFERROR(IF($AD27="Historical Average",(AVERAGE($AE27:$AG27)/AVERAGE($Y27:$AA27))*AC27,IF($AD27="UPC Growth Rate",((AH27/AB27)*(1+$S27)*AC27),IF($AD27="Modeled UPC",AC27/12*$W27,IF(AD27="Base Period",AG27,IF(AD27="Adjusted",SUMIF('Input_Fcst Inputs'!A:A,D27,'Input_Fcst Inputs'!G:G),0))))),0)</f>
        <v>99722.64</v>
      </c>
    </row>
    <row r="28" spans="1:35" s="32" customFormat="1">
      <c r="A28" s="32" t="s">
        <v>6</v>
      </c>
      <c r="B28" s="32" t="s">
        <v>331</v>
      </c>
      <c r="C28" s="28" t="s">
        <v>635</v>
      </c>
      <c r="D28" s="32" t="s">
        <v>47</v>
      </c>
      <c r="E28" s="28" t="s">
        <v>305</v>
      </c>
      <c r="F28" s="182" t="s">
        <v>672</v>
      </c>
      <c r="G28" s="31" t="s">
        <v>305</v>
      </c>
      <c r="H28" s="31" t="s">
        <v>433</v>
      </c>
      <c r="I28" s="28"/>
      <c r="J28" s="29" t="str">
        <f>IFERROR(VLOOKUP(H28,Report_Regression!B:L,11,FALSE),"")</f>
        <v>Base Period</v>
      </c>
      <c r="K28" s="30">
        <f>_xlfn.IFNA(VLOOKUP($H28,Report_Regression!$B:$L,9,FALSE),0)</f>
        <v>0</v>
      </c>
      <c r="L28" s="30">
        <f>_xlfn.IFNA(VLOOKUP($H28,Report_Regression!$B:$L,10,FALSE),0)</f>
        <v>0</v>
      </c>
      <c r="M28" s="30">
        <f>_xlfn.IFNA(VLOOKUP($H28,Report_Regression!$B:$L,8,FALSE),0)</f>
        <v>0</v>
      </c>
      <c r="N28" s="30">
        <f t="shared" si="0"/>
        <v>0</v>
      </c>
      <c r="O28" s="30" t="str">
        <f>IFERROR(VLOOKUP(H28,Report_Regression!O:Y,11,FALSE),"")</f>
        <v>Base Period</v>
      </c>
      <c r="P28" s="30">
        <f>IFERROR(VLOOKUP($H28,Report_Regression!$O:$Y,9,FALSE),0)</f>
        <v>0</v>
      </c>
      <c r="Q28" s="30">
        <f>IFERROR(VLOOKUP($H28,Report_Regression!$O:$Y,10,FALSE),0)</f>
        <v>0</v>
      </c>
      <c r="R28" s="30">
        <f>IFERROR(VLOOKUP($H28,Report_Regression!$O:$Y,8,FALSE),0)</f>
        <v>0</v>
      </c>
      <c r="S28" s="30">
        <f t="shared" si="1"/>
        <v>0</v>
      </c>
      <c r="T28" s="29">
        <f>_xlfn.IFNA(VLOOKUP($H28,Report_Regression!$O:$Y,6,FALSE),0)</f>
        <v>0</v>
      </c>
      <c r="U28" s="29">
        <f>_xlfn.IFNA(VLOOKUP($H28,Report_Regression!$O:$Y,7,FALSE),0)</f>
        <v>0</v>
      </c>
      <c r="V28" s="29">
        <f>_xlfn.IFNA(VLOOKUP($H28,Report_Regression!$O:$Y,5,FALSE),0)</f>
        <v>0</v>
      </c>
      <c r="W28" s="2">
        <f t="shared" si="2"/>
        <v>0</v>
      </c>
      <c r="X28" s="33"/>
      <c r="Y28" s="29">
        <f>SUMIF('Input_2019CUST-YTD'!S:S,G28,'Input_2019CUST-YTD'!R:R)</f>
        <v>0</v>
      </c>
      <c r="Z28" s="29">
        <f>SUMIF('Input_2020CUST-YTD'!S:S,G28,'Input_2020CUST-YTD'!R:R)</f>
        <v>0</v>
      </c>
      <c r="AA28" s="29">
        <f>SUMIF('Input_2021CUST-YTD'!S:S,G28,'Input_2021CUST-YTD'!R:R)</f>
        <v>0</v>
      </c>
      <c r="AB28" s="29">
        <f t="shared" si="4"/>
        <v>0</v>
      </c>
      <c r="AC28" s="29">
        <f t="shared" si="5"/>
        <v>0</v>
      </c>
      <c r="AD28" s="29" t="str">
        <f>VLOOKUP(D28,'Input_Fcst Inputs'!A:F,2,FALSE)</f>
        <v>Base Period</v>
      </c>
      <c r="AE28" s="29">
        <f>SUMIF('Input_2019VOL-YTD'!R:R,G28,'Input_2019VOL-YTD'!O:O)</f>
        <v>0</v>
      </c>
      <c r="AF28" s="29">
        <f>SUMIF('Input_2020VOL-YTD'!R:R,G28,'Input_2020VOL-YTD'!O:O)</f>
        <v>0</v>
      </c>
      <c r="AG28" s="29">
        <f>SUMIF('Input_2021VOL-YTD'!R:R,G28,'Input_2021VOL-YTD'!O:O)</f>
        <v>0</v>
      </c>
      <c r="AH28" s="29">
        <f>IFERROR(IF($AD28="Historical Average",(AVERAGE($AE28:$AG28)/AVERAGE($Y28:$AA28))*AB28,IF($AD28="UPC Growth Rate",((AG28/AA28)*(1+$S28)*AB28),IF($AD28="Modeled UPC",AB28/12*$W28,IF(AD28="Base Period",AG28,IF(AD28="Adjusted",SUMIF('Input_Fcst Inputs'!A:A,D28,'Input_Fcst Inputs'!F:F),0))))),0)</f>
        <v>0</v>
      </c>
      <c r="AI28" s="29">
        <f>IFERROR(IF($AD28="Historical Average",(AVERAGE($AE28:$AG28)/AVERAGE($Y28:$AA28))*AC28,IF($AD28="UPC Growth Rate",((AH28/AB28)*(1+$S28)*AC28),IF($AD28="Modeled UPC",AC28/12*$W28,IF(AD28="Base Period",AG28,IF(AD28="Adjusted",SUMIF('Input_Fcst Inputs'!A:A,D28,'Input_Fcst Inputs'!G:G),0))))),0)</f>
        <v>0</v>
      </c>
    </row>
    <row r="29" spans="1:35" s="32" customFormat="1">
      <c r="A29" s="32" t="s">
        <v>8</v>
      </c>
      <c r="B29" s="32" t="s">
        <v>331</v>
      </c>
      <c r="C29" s="28" t="s">
        <v>0</v>
      </c>
      <c r="D29" s="32" t="s">
        <v>679</v>
      </c>
      <c r="E29" s="28" t="s">
        <v>274</v>
      </c>
      <c r="F29" s="182" t="s">
        <v>672</v>
      </c>
      <c r="G29" s="31" t="s">
        <v>689</v>
      </c>
      <c r="H29" s="31" t="s">
        <v>357</v>
      </c>
      <c r="I29" s="28"/>
      <c r="J29" s="29" t="str">
        <f>IFERROR(VLOOKUP(H29,Report_Regression!B:L,11,FALSE),"")</f>
        <v>Median</v>
      </c>
      <c r="K29" s="30">
        <f>_xlfn.IFNA(VLOOKUP($H29,Report_Regression!$B:$L,9,FALSE),0)</f>
        <v>-7.5316460637900734E-3</v>
      </c>
      <c r="L29" s="30">
        <f>_xlfn.IFNA(VLOOKUP($H29,Report_Regression!$B:$L,10,FALSE),0)</f>
        <v>-8.2150941290087542E-3</v>
      </c>
      <c r="M29" s="30">
        <f>_xlfn.IFNA(VLOOKUP($H29,Report_Regression!$B:$L,8,FALSE),0)</f>
        <v>-6.8560912978240466E-3</v>
      </c>
      <c r="N29" s="30">
        <f t="shared" si="0"/>
        <v>-7.5316460637900734E-3</v>
      </c>
      <c r="O29" s="30" t="str">
        <f>IFERROR(VLOOKUP(H29,Report_Regression!O:Y,11,FALSE),"")</f>
        <v>Median</v>
      </c>
      <c r="P29" s="30">
        <f>IFERROR(VLOOKUP($H29,Report_Regression!$O:$Y,9,FALSE),0)</f>
        <v>0</v>
      </c>
      <c r="Q29" s="30">
        <f>IFERROR(VLOOKUP($H29,Report_Regression!$O:$Y,10,FALSE),0)</f>
        <v>0</v>
      </c>
      <c r="R29" s="30">
        <f>IFERROR(VLOOKUP($H29,Report_Regression!$O:$Y,8,FALSE),0)</f>
        <v>0</v>
      </c>
      <c r="S29" s="30">
        <f t="shared" si="1"/>
        <v>0</v>
      </c>
      <c r="T29" s="29">
        <f>_xlfn.IFNA(VLOOKUP($H29,Report_Regression!$O:$Y,6,FALSE),0)</f>
        <v>103.66332451256534</v>
      </c>
      <c r="U29" s="29">
        <f>_xlfn.IFNA(VLOOKUP($H29,Report_Regression!$O:$Y,7,FALSE),0)</f>
        <v>96.05709389912397</v>
      </c>
      <c r="V29" s="29">
        <f>_xlfn.IFNA(VLOOKUP($H29,Report_Regression!$O:$Y,5,FALSE),0)</f>
        <v>111.26955512600672</v>
      </c>
      <c r="W29" s="2">
        <f t="shared" si="2"/>
        <v>103.66332451256534</v>
      </c>
      <c r="X29" s="33"/>
      <c r="Y29" s="29">
        <f>SUMIF('Input_2019CUST-YTD'!S:S,G29,'Input_2019CUST-YTD'!R:R)</f>
        <v>13816</v>
      </c>
      <c r="Z29" s="29">
        <f>SUMIF('Input_2020CUST-YTD'!S:S,G29,'Input_2020CUST-YTD'!R:R)</f>
        <v>13665</v>
      </c>
      <c r="AA29" s="29">
        <f>SUMIF('Input_2021CUST-YTD'!S:S,G29,'Input_2021CUST-YTD'!R:R)</f>
        <v>13433</v>
      </c>
      <c r="AB29" s="29">
        <f t="shared" si="4"/>
        <v>13331.827398425108</v>
      </c>
      <c r="AC29" s="29">
        <f t="shared" si="5"/>
        <v>13231.416793076631</v>
      </c>
      <c r="AD29" s="29" t="str">
        <f>VLOOKUP(D29,'Input_Fcst Inputs'!A:F,2,FALSE)</f>
        <v>UPC Growth Rate</v>
      </c>
      <c r="AE29" s="29">
        <f>SUMIF('Input_2019VOL-YTD'!R:R,G29,'Input_2019VOL-YTD'!O:O)</f>
        <v>83992.079999999783</v>
      </c>
      <c r="AF29" s="29">
        <f>SUMIF('Input_2020VOL-YTD'!R:R,G29,'Input_2020VOL-YTD'!O:O)</f>
        <v>87785.459999999934</v>
      </c>
      <c r="AG29" s="29">
        <f>SUMIF('Input_2021VOL-YTD'!R:R,G29,'Input_2021VOL-YTD'!O:O)</f>
        <v>91419.959999999948</v>
      </c>
      <c r="AH29" s="29">
        <f>IFERROR(IF($AD29="Historical Average",(AVERAGE($AE29:$AG29)/AVERAGE($Y29:$AA29))*AB29,IF($AD29="UPC Growth Rate",((AG29/AA29)*(1+$S29)*AB29),IF($AD29="Modeled UPC",AB29/12*$W29,IF(AD29="Base Period",AG29,IF(AD29="Adjusted",SUMIF('Input_Fcst Inputs'!A:A,D29,'Input_Fcst Inputs'!F:F),0))))),0)</f>
        <v>90731.417218114104</v>
      </c>
      <c r="AI29" s="29">
        <f>IFERROR(IF($AD29="Historical Average",(AVERAGE($AE29:$AG29)/AVERAGE($Y29:$AA29))*AC29,IF($AD29="UPC Growth Rate",((AH29/AB29)*(1+$S29)*AC29),IF($AD29="Modeled UPC",AC29/12*$W29,IF(AD29="Base Period",AG29,IF(AD29="Adjusted",SUMIF('Input_Fcst Inputs'!A:A,D29,'Input_Fcst Inputs'!G:G),0))))),0)</f>
        <v>90048.060296761192</v>
      </c>
    </row>
    <row r="30" spans="1:35" s="32" customFormat="1">
      <c r="A30" s="32" t="s">
        <v>8</v>
      </c>
      <c r="B30" s="32" t="s">
        <v>331</v>
      </c>
      <c r="C30" s="28" t="s">
        <v>0</v>
      </c>
      <c r="D30" s="32" t="s">
        <v>680</v>
      </c>
      <c r="E30" s="28" t="s">
        <v>275</v>
      </c>
      <c r="F30" s="184" t="s">
        <v>673</v>
      </c>
      <c r="G30" s="31" t="s">
        <v>688</v>
      </c>
      <c r="H30" s="31" t="s">
        <v>357</v>
      </c>
      <c r="I30" s="28"/>
      <c r="J30" s="29" t="str">
        <f>IFERROR(VLOOKUP(H30,Report_Regression!B:L,11,FALSE),"")</f>
        <v>Median</v>
      </c>
      <c r="K30" s="30">
        <f>_xlfn.IFNA(VLOOKUP($H30,Report_Regression!$B:$L,9,FALSE),0)</f>
        <v>-7.5316460637900734E-3</v>
      </c>
      <c r="L30" s="30">
        <f>_xlfn.IFNA(VLOOKUP($H30,Report_Regression!$B:$L,10,FALSE),0)</f>
        <v>-8.2150941290087542E-3</v>
      </c>
      <c r="M30" s="30">
        <f>_xlfn.IFNA(VLOOKUP($H30,Report_Regression!$B:$L,8,FALSE),0)</f>
        <v>-6.8560912978240466E-3</v>
      </c>
      <c r="N30" s="30">
        <f t="shared" si="0"/>
        <v>-7.5316460637900734E-3</v>
      </c>
      <c r="O30" s="30" t="str">
        <f>IFERROR(VLOOKUP(H30,Report_Regression!O:Y,11,FALSE),"")</f>
        <v>Median</v>
      </c>
      <c r="P30" s="30">
        <f>IFERROR(VLOOKUP($H30,Report_Regression!$O:$Y,9,FALSE),0)</f>
        <v>0</v>
      </c>
      <c r="Q30" s="30">
        <f>IFERROR(VLOOKUP($H30,Report_Regression!$O:$Y,10,FALSE),0)</f>
        <v>0</v>
      </c>
      <c r="R30" s="30">
        <f>IFERROR(VLOOKUP($H30,Report_Regression!$O:$Y,8,FALSE),0)</f>
        <v>0</v>
      </c>
      <c r="S30" s="30">
        <f t="shared" si="1"/>
        <v>0</v>
      </c>
      <c r="T30" s="29">
        <f>_xlfn.IFNA(VLOOKUP($H30,Report_Regression!$O:$Y,6,FALSE),0)</f>
        <v>103.66332451256534</v>
      </c>
      <c r="U30" s="29">
        <f>_xlfn.IFNA(VLOOKUP($H30,Report_Regression!$O:$Y,7,FALSE),0)</f>
        <v>96.05709389912397</v>
      </c>
      <c r="V30" s="29">
        <f>_xlfn.IFNA(VLOOKUP($H30,Report_Regression!$O:$Y,5,FALSE),0)</f>
        <v>111.26955512600672</v>
      </c>
      <c r="W30" s="2">
        <f t="shared" si="2"/>
        <v>103.66332451256534</v>
      </c>
      <c r="X30" s="33"/>
      <c r="Y30" s="29">
        <f>SUMIF('Input_2019CUST-YTD'!S:S,G30,'Input_2019CUST-YTD'!R:R)</f>
        <v>381</v>
      </c>
      <c r="Z30" s="29">
        <f>SUMIF('Input_2020CUST-YTD'!S:S,G30,'Input_2020CUST-YTD'!R:R)</f>
        <v>381</v>
      </c>
      <c r="AA30" s="29">
        <f>SUMIF('Input_2021CUST-YTD'!S:S,G30,'Input_2021CUST-YTD'!R:R)</f>
        <v>366</v>
      </c>
      <c r="AB30" s="29">
        <f t="shared" si="4"/>
        <v>363.24341754065284</v>
      </c>
      <c r="AC30" s="29">
        <f t="shared" si="5"/>
        <v>360.50759668473512</v>
      </c>
      <c r="AD30" s="29" t="str">
        <f>VLOOKUP(D30,'Input_Fcst Inputs'!A:F,2,FALSE)</f>
        <v>UPC Growth Rate</v>
      </c>
      <c r="AE30" s="29">
        <f>SUMIF('Input_2019VOL-YTD'!R:R,G30,'Input_2019VOL-YTD'!O:O)</f>
        <v>2650.3100000000004</v>
      </c>
      <c r="AF30" s="29">
        <f>SUMIF('Input_2020VOL-YTD'!R:R,G30,'Input_2020VOL-YTD'!O:O)</f>
        <v>2922.77</v>
      </c>
      <c r="AG30" s="29">
        <f>SUMIF('Input_2021VOL-YTD'!R:R,G30,'Input_2021VOL-YTD'!O:O)</f>
        <v>2607.56</v>
      </c>
      <c r="AH30" s="29">
        <f>IFERROR(IF($AD30="Historical Average",(AVERAGE($AE30:$AG30)/AVERAGE($Y30:$AA30))*AB30,IF($AD30="UPC Growth Rate",((AG30/AA30)*(1+$S30)*AB30),IF($AD30="Modeled UPC",AB30/12*$W30,IF(AD30="Base Period",AG30,IF(AD30="Adjusted",SUMIF('Input_Fcst Inputs'!A:A,D30,'Input_Fcst Inputs'!F:F),0))))),0)</f>
        <v>2587.9207809899035</v>
      </c>
      <c r="AI30" s="29">
        <f>IFERROR(IF($AD30="Historical Average",(AVERAGE($AE30:$AG30)/AVERAGE($Y30:$AA30))*AC30,IF($AD30="UPC Growth Rate",((AH30/AB30)*(1+$S30)*AC30),IF($AD30="Modeled UPC",AC30/12*$W30,IF(AD30="Base Period",AG30,IF(AD30="Adjusted",SUMIF('Input_Fcst Inputs'!A:A,D30,'Input_Fcst Inputs'!G:G),0))))),0)</f>
        <v>2568.4294776263605</v>
      </c>
    </row>
    <row r="31" spans="1:35" s="32" customFormat="1">
      <c r="A31" s="32" t="s">
        <v>8</v>
      </c>
      <c r="B31" s="32" t="s">
        <v>331</v>
      </c>
      <c r="C31" s="28" t="s">
        <v>0</v>
      </c>
      <c r="D31" s="32" t="s">
        <v>682</v>
      </c>
      <c r="E31" s="28" t="s">
        <v>276</v>
      </c>
      <c r="F31" s="182" t="s">
        <v>672</v>
      </c>
      <c r="G31" s="31" t="s">
        <v>690</v>
      </c>
      <c r="H31" s="31" t="s">
        <v>357</v>
      </c>
      <c r="I31" s="28"/>
      <c r="J31" s="29" t="str">
        <f>IFERROR(VLOOKUP(H31,Report_Regression!B:L,11,FALSE),"")</f>
        <v>Median</v>
      </c>
      <c r="K31" s="30">
        <f>_xlfn.IFNA(VLOOKUP($H31,Report_Regression!$B:$L,9,FALSE),0)</f>
        <v>-7.5316460637900734E-3</v>
      </c>
      <c r="L31" s="30">
        <f>_xlfn.IFNA(VLOOKUP($H31,Report_Regression!$B:$L,10,FALSE),0)</f>
        <v>-8.2150941290087542E-3</v>
      </c>
      <c r="M31" s="30">
        <f>_xlfn.IFNA(VLOOKUP($H31,Report_Regression!$B:$L,8,FALSE),0)</f>
        <v>-6.8560912978240466E-3</v>
      </c>
      <c r="N31" s="30">
        <f t="shared" si="0"/>
        <v>-7.5316460637900734E-3</v>
      </c>
      <c r="O31" s="30" t="str">
        <f>IFERROR(VLOOKUP(H31,Report_Regression!O:Y,11,FALSE),"")</f>
        <v>Median</v>
      </c>
      <c r="P31" s="30">
        <f>IFERROR(VLOOKUP($H31,Report_Regression!$O:$Y,9,FALSE),0)</f>
        <v>0</v>
      </c>
      <c r="Q31" s="30">
        <f>IFERROR(VLOOKUP($H31,Report_Regression!$O:$Y,10,FALSE),0)</f>
        <v>0</v>
      </c>
      <c r="R31" s="30">
        <f>IFERROR(VLOOKUP($H31,Report_Regression!$O:$Y,8,FALSE),0)</f>
        <v>0</v>
      </c>
      <c r="S31" s="30">
        <f t="shared" si="1"/>
        <v>0</v>
      </c>
      <c r="T31" s="29">
        <f>_xlfn.IFNA(VLOOKUP($H31,Report_Regression!$O:$Y,6,FALSE),0)</f>
        <v>103.66332451256534</v>
      </c>
      <c r="U31" s="29">
        <f>_xlfn.IFNA(VLOOKUP($H31,Report_Regression!$O:$Y,7,FALSE),0)</f>
        <v>96.05709389912397</v>
      </c>
      <c r="V31" s="29">
        <f>_xlfn.IFNA(VLOOKUP($H31,Report_Regression!$O:$Y,5,FALSE),0)</f>
        <v>111.26955512600672</v>
      </c>
      <c r="W31" s="2">
        <f t="shared" si="2"/>
        <v>103.66332451256534</v>
      </c>
      <c r="X31" s="33"/>
      <c r="Y31" s="29">
        <f>SUMIF('Input_2019CUST-YTD'!S:S,G31,'Input_2019CUST-YTD'!R:R)</f>
        <v>27045</v>
      </c>
      <c r="Z31" s="29">
        <f>SUMIF('Input_2020CUST-YTD'!S:S,G31,'Input_2020CUST-YTD'!R:R)</f>
        <v>26917</v>
      </c>
      <c r="AA31" s="29">
        <f>SUMIF('Input_2021CUST-YTD'!S:S,G31,'Input_2021CUST-YTD'!R:R)</f>
        <v>26832</v>
      </c>
      <c r="AB31" s="29">
        <f t="shared" si="4"/>
        <v>26629.910872816385</v>
      </c>
      <c r="AC31" s="29">
        <f t="shared" si="5"/>
        <v>26429.343809412057</v>
      </c>
      <c r="AD31" s="29" t="str">
        <f>VLOOKUP(D31,'Input_Fcst Inputs'!A:F,2,FALSE)</f>
        <v>UPC Growth Rate</v>
      </c>
      <c r="AE31" s="29">
        <f>SUMIF('Input_2019VOL-YTD'!R:R,G31,'Input_2019VOL-YTD'!O:O)</f>
        <v>282677.26000000042</v>
      </c>
      <c r="AF31" s="29">
        <f>SUMIF('Input_2020VOL-YTD'!R:R,G31,'Input_2020VOL-YTD'!O:O)</f>
        <v>288535.78999999934</v>
      </c>
      <c r="AG31" s="29">
        <f>SUMIF('Input_2021VOL-YTD'!R:R,G31,'Input_2021VOL-YTD'!O:O)</f>
        <v>287274.30999999942</v>
      </c>
      <c r="AH31" s="29">
        <f>IFERROR(IF($AD31="Historical Average",(AVERAGE($AE31:$AG31)/AVERAGE($Y31:$AA31))*AB31,IF($AD31="UPC Growth Rate",((AG31/AA31)*(1+$S31)*AB31),IF($AD31="Modeled UPC",AB31/12*$W31,IF(AD31="Base Period",AG31,IF(AD31="Adjusted",SUMIF('Input_Fcst Inputs'!A:A,D31,'Input_Fcst Inputs'!F:F),0))))),0)</f>
        <v>285110.66157385992</v>
      </c>
      <c r="AI31" s="29">
        <f>IFERROR(IF($AD31="Historical Average",(AVERAGE($AE31:$AG31)/AVERAGE($Y31:$AA31))*AC31,IF($AD31="UPC Growth Rate",((AH31/AB31)*(1+$S31)*AC31),IF($AD31="Modeled UPC",AC31/12*$W31,IF(AD31="Base Period",AG31,IF(AD31="Adjusted",SUMIF('Input_Fcst Inputs'!A:A,D31,'Input_Fcst Inputs'!G:G),0))))),0)</f>
        <v>282963.30898187263</v>
      </c>
    </row>
    <row r="32" spans="1:35" s="32" customFormat="1">
      <c r="A32" s="32" t="s">
        <v>8</v>
      </c>
      <c r="B32" s="32" t="s">
        <v>331</v>
      </c>
      <c r="C32" s="28" t="s">
        <v>0</v>
      </c>
      <c r="D32" s="32" t="s">
        <v>681</v>
      </c>
      <c r="E32" s="28" t="s">
        <v>278</v>
      </c>
      <c r="F32" s="184" t="s">
        <v>673</v>
      </c>
      <c r="G32" s="31" t="s">
        <v>691</v>
      </c>
      <c r="H32" s="31" t="s">
        <v>357</v>
      </c>
      <c r="I32" s="28"/>
      <c r="J32" s="29" t="str">
        <f>IFERROR(VLOOKUP(H32,Report_Regression!B:L,11,FALSE),"")</f>
        <v>Median</v>
      </c>
      <c r="K32" s="30">
        <f>_xlfn.IFNA(VLOOKUP($H32,Report_Regression!$B:$L,9,FALSE),0)</f>
        <v>-7.5316460637900734E-3</v>
      </c>
      <c r="L32" s="30">
        <f>_xlfn.IFNA(VLOOKUP($H32,Report_Regression!$B:$L,10,FALSE),0)</f>
        <v>-8.2150941290087542E-3</v>
      </c>
      <c r="M32" s="30">
        <f>_xlfn.IFNA(VLOOKUP($H32,Report_Regression!$B:$L,8,FALSE),0)</f>
        <v>-6.8560912978240466E-3</v>
      </c>
      <c r="N32" s="30">
        <f t="shared" si="0"/>
        <v>-7.5316460637900734E-3</v>
      </c>
      <c r="O32" s="30" t="str">
        <f>IFERROR(VLOOKUP(H32,Report_Regression!O:Y,11,FALSE),"")</f>
        <v>Median</v>
      </c>
      <c r="P32" s="30">
        <f>IFERROR(VLOOKUP($H32,Report_Regression!$O:$Y,9,FALSE),0)</f>
        <v>0</v>
      </c>
      <c r="Q32" s="30">
        <f>IFERROR(VLOOKUP($H32,Report_Regression!$O:$Y,10,FALSE),0)</f>
        <v>0</v>
      </c>
      <c r="R32" s="30">
        <f>IFERROR(VLOOKUP($H32,Report_Regression!$O:$Y,8,FALSE),0)</f>
        <v>0</v>
      </c>
      <c r="S32" s="30">
        <f t="shared" si="1"/>
        <v>0</v>
      </c>
      <c r="T32" s="29">
        <f>_xlfn.IFNA(VLOOKUP($H32,Report_Regression!$O:$Y,6,FALSE),0)</f>
        <v>103.66332451256534</v>
      </c>
      <c r="U32" s="29">
        <f>_xlfn.IFNA(VLOOKUP($H32,Report_Regression!$O:$Y,7,FALSE),0)</f>
        <v>96.05709389912397</v>
      </c>
      <c r="V32" s="29">
        <f>_xlfn.IFNA(VLOOKUP($H32,Report_Regression!$O:$Y,5,FALSE),0)</f>
        <v>111.26955512600672</v>
      </c>
      <c r="W32" s="2">
        <f t="shared" si="2"/>
        <v>103.66332451256534</v>
      </c>
      <c r="X32" s="33"/>
      <c r="Y32" s="29">
        <f>SUMIF('Input_2019CUST-YTD'!S:S,G32,'Input_2019CUST-YTD'!R:R)</f>
        <v>740</v>
      </c>
      <c r="Z32" s="29">
        <f>SUMIF('Input_2020CUST-YTD'!S:S,G32,'Input_2020CUST-YTD'!R:R)</f>
        <v>736</v>
      </c>
      <c r="AA32" s="29">
        <f>SUMIF('Input_2021CUST-YTD'!S:S,G32,'Input_2021CUST-YTD'!R:R)</f>
        <v>740</v>
      </c>
      <c r="AB32" s="29">
        <f t="shared" si="4"/>
        <v>734.42658191279531</v>
      </c>
      <c r="AC32" s="29">
        <f t="shared" si="5"/>
        <v>728.89514083798895</v>
      </c>
      <c r="AD32" s="29" t="str">
        <f>VLOOKUP(D32,'Input_Fcst Inputs'!A:F,2,FALSE)</f>
        <v>UPC Growth Rate</v>
      </c>
      <c r="AE32" s="29">
        <f>SUMIF('Input_2019VOL-YTD'!R:R,G32,'Input_2019VOL-YTD'!O:O)</f>
        <v>8281.44</v>
      </c>
      <c r="AF32" s="29">
        <f>SUMIF('Input_2020VOL-YTD'!R:R,G32,'Input_2020VOL-YTD'!O:O)</f>
        <v>8157.1500000000005</v>
      </c>
      <c r="AG32" s="29">
        <f>SUMIF('Input_2021VOL-YTD'!R:R,G32,'Input_2021VOL-YTD'!O:O)</f>
        <v>8132.5999999999995</v>
      </c>
      <c r="AH32" s="29">
        <f>IFERROR(IF($AD32="Historical Average",(AVERAGE($AE32:$AG32)/AVERAGE($Y32:$AA32))*AB32,IF($AD32="UPC Growth Rate",((AG32/AA32)*(1+$S32)*AB32),IF($AD32="Modeled UPC",AB32/12*$W32,IF(AD32="Base Period",AG32,IF(AD32="Adjusted",SUMIF('Input_Fcst Inputs'!A:A,D32,'Input_Fcst Inputs'!F:F),0))))),0)</f>
        <v>8071.3481352216195</v>
      </c>
      <c r="AI32" s="29">
        <f>IFERROR(IF($AD32="Historical Average",(AVERAGE($AE32:$AG32)/AVERAGE($Y32:$AA32))*AC32,IF($AD32="UPC Growth Rate",((AH32/AB32)*(1+$S32)*AC32),IF($AD32="Modeled UPC",AC32/12*$W32,IF(AD32="Base Period",AG32,IF(AD32="Adjusted",SUMIF('Input_Fcst Inputs'!A:A,D32,'Input_Fcst Inputs'!G:G),0))))),0)</f>
        <v>8010.5575978094976</v>
      </c>
    </row>
    <row r="33" spans="1:35" s="32" customFormat="1">
      <c r="A33" s="32" t="s">
        <v>8</v>
      </c>
      <c r="B33" s="32" t="s">
        <v>331</v>
      </c>
      <c r="C33" s="28" t="s">
        <v>635</v>
      </c>
      <c r="D33" s="32" t="s">
        <v>668</v>
      </c>
      <c r="E33" s="28" t="s">
        <v>254</v>
      </c>
      <c r="F33" s="182" t="s">
        <v>672</v>
      </c>
      <c r="G33" s="31" t="s">
        <v>701</v>
      </c>
      <c r="H33" s="31" t="s">
        <v>664</v>
      </c>
      <c r="I33" s="28"/>
      <c r="J33" s="29" t="str">
        <f>IFERROR(VLOOKUP(H33,Report_Regression!B:L,11,FALSE),"")</f>
        <v>Median</v>
      </c>
      <c r="K33" s="30">
        <f>_xlfn.IFNA(VLOOKUP($H33,Report_Regression!$B:$L,9,FALSE),0)</f>
        <v>-8.9379418530954602E-2</v>
      </c>
      <c r="L33" s="30">
        <f>_xlfn.IFNA(VLOOKUP($H33,Report_Regression!$B:$L,10,FALSE),0)</f>
        <v>-0.17888305563978787</v>
      </c>
      <c r="M33" s="30">
        <f>_xlfn.IFNA(VLOOKUP($H33,Report_Regression!$B:$L,8,FALSE),0)</f>
        <v>-2.3920498749897635E-2</v>
      </c>
      <c r="N33" s="30">
        <f t="shared" si="0"/>
        <v>-8.9379418530954602E-2</v>
      </c>
      <c r="O33" s="30" t="str">
        <f>IFERROR(VLOOKUP(H33,Report_Regression!O:Y,11,FALSE),"")</f>
        <v>Median</v>
      </c>
      <c r="P33" s="30">
        <f>IFERROR(VLOOKUP($H33,Report_Regression!$O:$Y,9,FALSE),0)</f>
        <v>-3.2809295967190781E-2</v>
      </c>
      <c r="Q33" s="30">
        <f>IFERROR(VLOOKUP($H33,Report_Regression!$O:$Y,10,FALSE),0)</f>
        <v>-5.3962900505902238E-2</v>
      </c>
      <c r="R33" s="30">
        <f>IFERROR(VLOOKUP($H33,Report_Regression!$O:$Y,8,FALSE),0)</f>
        <v>-1.8390804597701409E-2</v>
      </c>
      <c r="S33" s="30">
        <f t="shared" si="1"/>
        <v>-3.2809295967190781E-2</v>
      </c>
      <c r="T33" s="29">
        <f>_xlfn.IFNA(VLOOKUP($H33,Report_Regression!$O:$Y,6,FALSE),0)</f>
        <v>70.75</v>
      </c>
      <c r="U33" s="29">
        <f>_xlfn.IFNA(VLOOKUP($H33,Report_Regression!$O:$Y,7,FALSE),0)</f>
        <v>56.1</v>
      </c>
      <c r="V33" s="29">
        <f>_xlfn.IFNA(VLOOKUP($H33,Report_Regression!$O:$Y,5,FALSE),0)</f>
        <v>85.399999999999991</v>
      </c>
      <c r="W33" s="2">
        <f t="shared" si="2"/>
        <v>70.75</v>
      </c>
      <c r="X33" s="33"/>
      <c r="Y33" s="29">
        <f>SUMIF('Input_2019CUST-YTD'!S:S,G33,'Input_2019CUST-YTD'!R:R)</f>
        <v>135</v>
      </c>
      <c r="Z33" s="29">
        <f>SUMIF('Input_2020CUST-YTD'!S:S,G33,'Input_2020CUST-YTD'!R:R)</f>
        <v>120</v>
      </c>
      <c r="AA33" s="29">
        <f>SUMIF('Input_2021CUST-YTD'!S:S,G33,'Input_2021CUST-YTD'!R:R)</f>
        <v>132</v>
      </c>
      <c r="AB33" s="29">
        <f t="shared" si="4"/>
        <v>120.20191675391399</v>
      </c>
      <c r="AC33" s="29">
        <f t="shared" si="5"/>
        <v>109.45833932814294</v>
      </c>
      <c r="AD33" s="29" t="str">
        <f>VLOOKUP(D33,'Input_Fcst Inputs'!A:F,2,FALSE)</f>
        <v>UPC Growth Rate</v>
      </c>
      <c r="AE33" s="29">
        <f>SUMIF('Input_2019VOL-YTD'!R:R,G33,'Input_2019VOL-YTD'!O:O)</f>
        <v>369.84</v>
      </c>
      <c r="AF33" s="29">
        <f>SUMIF('Input_2020VOL-YTD'!R:R,G33,'Input_2020VOL-YTD'!O:O)</f>
        <v>324.19</v>
      </c>
      <c r="AG33" s="29">
        <f>SUMIF('Input_2021VOL-YTD'!R:R,G33,'Input_2021VOL-YTD'!O:O)</f>
        <v>407.92000000000007</v>
      </c>
      <c r="AH33" s="29">
        <f>IFERROR(IF($AD33="Historical Average",(AVERAGE($AE33:$AG33)/AVERAGE($Y33:$AA33))*AB33,IF($AD33="UPC Growth Rate",((AG33/AA33)*(1+$S33)*AB33),IF($AD33="Modeled UPC",AB33/12*$W33,IF(AD33="Base Period",AG33,IF(AD33="Adjusted",SUMIF('Input_Fcst Inputs'!A:A,D33,'Input_Fcst Inputs'!F:F),0))))),0)</f>
        <v>359.2729951086036</v>
      </c>
      <c r="AI33" s="29">
        <f>IFERROR(IF($AD33="Historical Average",(AVERAGE($AE33:$AG33)/AVERAGE($Y33:$AA33))*AC33,IF($AD33="UPC Growth Rate",((AH33/AB33)*(1+$S33)*AC33),IF($AD33="Modeled UPC",AC33/12*$W33,IF(AD33="Base Period",AG33,IF(AD33="Adjusted",SUMIF('Input_Fcst Inputs'!A:A,D33,'Input_Fcst Inputs'!G:G),0))))),0)</f>
        <v>316.42744904468196</v>
      </c>
    </row>
    <row r="34" spans="1:35" s="32" customFormat="1">
      <c r="A34" s="32" t="s">
        <v>8</v>
      </c>
      <c r="B34" s="32" t="s">
        <v>331</v>
      </c>
      <c r="C34" s="28" t="s">
        <v>635</v>
      </c>
      <c r="D34" s="32" t="s">
        <v>669</v>
      </c>
      <c r="E34" s="28" t="s">
        <v>256</v>
      </c>
      <c r="F34" s="182" t="s">
        <v>672</v>
      </c>
      <c r="G34" s="31" t="s">
        <v>702</v>
      </c>
      <c r="H34" s="31" t="s">
        <v>664</v>
      </c>
      <c r="I34" s="28"/>
      <c r="J34" s="29" t="str">
        <f>IFERROR(VLOOKUP(H34,Report_Regression!B:L,11,FALSE),"")</f>
        <v>Median</v>
      </c>
      <c r="K34" s="30">
        <f>_xlfn.IFNA(VLOOKUP($H34,Report_Regression!$B:$L,9,FALSE),0)</f>
        <v>-8.9379418530954602E-2</v>
      </c>
      <c r="L34" s="30">
        <f>_xlfn.IFNA(VLOOKUP($H34,Report_Regression!$B:$L,10,FALSE),0)</f>
        <v>-0.17888305563978787</v>
      </c>
      <c r="M34" s="30">
        <f>_xlfn.IFNA(VLOOKUP($H34,Report_Regression!$B:$L,8,FALSE),0)</f>
        <v>-2.3920498749897635E-2</v>
      </c>
      <c r="N34" s="30">
        <f t="shared" si="0"/>
        <v>-8.9379418530954602E-2</v>
      </c>
      <c r="O34" s="30" t="str">
        <f>IFERROR(VLOOKUP(H34,Report_Regression!O:Y,11,FALSE),"")</f>
        <v>Median</v>
      </c>
      <c r="P34" s="30">
        <f>IFERROR(VLOOKUP($H34,Report_Regression!$O:$Y,9,FALSE),0)</f>
        <v>-3.2809295967190781E-2</v>
      </c>
      <c r="Q34" s="30">
        <f>IFERROR(VLOOKUP($H34,Report_Regression!$O:$Y,10,FALSE),0)</f>
        <v>-5.3962900505902238E-2</v>
      </c>
      <c r="R34" s="30">
        <f>IFERROR(VLOOKUP($H34,Report_Regression!$O:$Y,8,FALSE),0)</f>
        <v>-1.8390804597701409E-2</v>
      </c>
      <c r="S34" s="30">
        <f t="shared" si="1"/>
        <v>-3.2809295967190781E-2</v>
      </c>
      <c r="T34" s="29">
        <f>_xlfn.IFNA(VLOOKUP($H34,Report_Regression!$O:$Y,6,FALSE),0)</f>
        <v>70.75</v>
      </c>
      <c r="U34" s="29">
        <f>_xlfn.IFNA(VLOOKUP($H34,Report_Regression!$O:$Y,7,FALSE),0)</f>
        <v>56.1</v>
      </c>
      <c r="V34" s="29">
        <f>_xlfn.IFNA(VLOOKUP($H34,Report_Regression!$O:$Y,5,FALSE),0)</f>
        <v>85.399999999999991</v>
      </c>
      <c r="W34" s="2">
        <f t="shared" si="2"/>
        <v>70.75</v>
      </c>
      <c r="X34" s="33"/>
      <c r="Y34" s="29">
        <f>SUMIF('Input_2019CUST-YTD'!S:S,G34,'Input_2019CUST-YTD'!R:R)</f>
        <v>79</v>
      </c>
      <c r="Z34" s="29">
        <f>SUMIF('Input_2020CUST-YTD'!S:S,G34,'Input_2020CUST-YTD'!R:R)</f>
        <v>76</v>
      </c>
      <c r="AA34" s="29">
        <f>SUMIF('Input_2021CUST-YTD'!S:S,G34,'Input_2021CUST-YTD'!R:R)</f>
        <v>77</v>
      </c>
      <c r="AB34" s="29">
        <f t="shared" si="4"/>
        <v>70.117784773116497</v>
      </c>
      <c r="AC34" s="29">
        <f t="shared" si="5"/>
        <v>63.850697941416719</v>
      </c>
      <c r="AD34" s="29" t="str">
        <f>VLOOKUP(D34,'Input_Fcst Inputs'!A:F,2,FALSE)</f>
        <v>UPC Growth Rate</v>
      </c>
      <c r="AE34" s="29">
        <f>SUMIF('Input_2019VOL-YTD'!R:R,G34,'Input_2019VOL-YTD'!O:O)</f>
        <v>759.92000000000007</v>
      </c>
      <c r="AF34" s="29">
        <f>SUMIF('Input_2020VOL-YTD'!R:R,G34,'Input_2020VOL-YTD'!O:O)</f>
        <v>833.05</v>
      </c>
      <c r="AG34" s="29">
        <f>SUMIF('Input_2021VOL-YTD'!R:R,G34,'Input_2021VOL-YTD'!O:O)</f>
        <v>745.95999999999992</v>
      </c>
      <c r="AH34" s="29">
        <f>IFERROR(IF($AD34="Historical Average",(AVERAGE($AE34:$AG34)/AVERAGE($Y34:$AA34))*AB34,IF($AD34="UPC Growth Rate",((AG34/AA34)*(1+$S34)*AB34),IF($AD34="Modeled UPC",AB34/12*$W34,IF(AD34="Base Period",AG34,IF(AD34="Adjusted",SUMIF('Input_Fcst Inputs'!A:A,D34,'Input_Fcst Inputs'!F:F),0))))),0)</f>
        <v>656.99961617771578</v>
      </c>
      <c r="AI34" s="29">
        <f>IFERROR(IF($AD34="Historical Average",(AVERAGE($AE34:$AG34)/AVERAGE($Y34:$AA34))*AC34,IF($AD34="UPC Growth Rate",((AH34/AB34)*(1+$S34)*AC34),IF($AD34="Modeled UPC",AC34/12*$W34,IF(AD34="Base Period",AG34,IF(AD34="Adjusted",SUMIF('Input_Fcst Inputs'!A:A,D34,'Input_Fcst Inputs'!G:G),0))))),0)</f>
        <v>578.64831312358035</v>
      </c>
    </row>
    <row r="35" spans="1:35" s="32" customFormat="1">
      <c r="A35" s="32" t="s">
        <v>8</v>
      </c>
      <c r="B35" s="32" t="s">
        <v>331</v>
      </c>
      <c r="C35" s="28" t="s">
        <v>635</v>
      </c>
      <c r="D35" s="32" t="s">
        <v>692</v>
      </c>
      <c r="E35" s="28" t="s">
        <v>255</v>
      </c>
      <c r="F35" s="182" t="s">
        <v>673</v>
      </c>
      <c r="G35" s="31" t="s">
        <v>693</v>
      </c>
      <c r="H35" s="31" t="s">
        <v>664</v>
      </c>
      <c r="I35" s="28"/>
      <c r="J35" s="29" t="str">
        <f>IFERROR(VLOOKUP(H35,Report_Regression!B:L,11,FALSE),"")</f>
        <v>Median</v>
      </c>
      <c r="K35" s="30">
        <f>_xlfn.IFNA(VLOOKUP($H35,Report_Regression!$B:$L,9,FALSE),0)</f>
        <v>-8.9379418530954602E-2</v>
      </c>
      <c r="L35" s="30">
        <f>_xlfn.IFNA(VLOOKUP($H35,Report_Regression!$B:$L,10,FALSE),0)</f>
        <v>-0.17888305563978787</v>
      </c>
      <c r="M35" s="30">
        <f>_xlfn.IFNA(VLOOKUP($H35,Report_Regression!$B:$L,8,FALSE),0)</f>
        <v>-2.3920498749897635E-2</v>
      </c>
      <c r="N35" s="30">
        <f t="shared" si="0"/>
        <v>-8.9379418530954602E-2</v>
      </c>
      <c r="O35" s="30" t="str">
        <f>IFERROR(VLOOKUP(H35,Report_Regression!O:Y,11,FALSE),"")</f>
        <v>Median</v>
      </c>
      <c r="P35" s="30">
        <f>IFERROR(VLOOKUP($H35,Report_Regression!$O:$Y,9,FALSE),0)</f>
        <v>-3.2809295967190781E-2</v>
      </c>
      <c r="Q35" s="30">
        <f>IFERROR(VLOOKUP($H35,Report_Regression!$O:$Y,10,FALSE),0)</f>
        <v>-5.3962900505902238E-2</v>
      </c>
      <c r="R35" s="30">
        <f>IFERROR(VLOOKUP($H35,Report_Regression!$O:$Y,8,FALSE),0)</f>
        <v>-1.8390804597701409E-2</v>
      </c>
      <c r="S35" s="30">
        <f t="shared" si="1"/>
        <v>-3.2809295967190781E-2</v>
      </c>
      <c r="T35" s="29">
        <f>_xlfn.IFNA(VLOOKUP($H35,Report_Regression!$O:$Y,6,FALSE),0)</f>
        <v>70.75</v>
      </c>
      <c r="U35" s="29">
        <f>_xlfn.IFNA(VLOOKUP($H35,Report_Regression!$O:$Y,7,FALSE),0)</f>
        <v>56.1</v>
      </c>
      <c r="V35" s="29">
        <f>_xlfn.IFNA(VLOOKUP($H35,Report_Regression!$O:$Y,5,FALSE),0)</f>
        <v>85.399999999999991</v>
      </c>
      <c r="W35" s="2">
        <f t="shared" si="2"/>
        <v>70.75</v>
      </c>
      <c r="X35" s="33"/>
      <c r="Y35" s="29">
        <f>SUMIF('Input_2019CUST-YTD'!S:S,G35,'Input_2019CUST-YTD'!R:R)</f>
        <v>0</v>
      </c>
      <c r="Z35" s="29">
        <f>SUMIF('Input_2020CUST-YTD'!S:S,G35,'Input_2020CUST-YTD'!R:R)</f>
        <v>0</v>
      </c>
      <c r="AA35" s="29">
        <f>SUMIF('Input_2021CUST-YTD'!S:S,G35,'Input_2021CUST-YTD'!R:R)</f>
        <v>0</v>
      </c>
      <c r="AB35" s="29">
        <f t="shared" si="4"/>
        <v>0</v>
      </c>
      <c r="AC35" s="29">
        <f t="shared" si="5"/>
        <v>0</v>
      </c>
      <c r="AD35" s="29" t="str">
        <f>VLOOKUP(D35,'Input_Fcst Inputs'!A:F,2,FALSE)</f>
        <v>UPC Growth Rate</v>
      </c>
      <c r="AE35" s="29">
        <f>SUMIF('Input_2019VOL-YTD'!R:R,G35,'Input_2019VOL-YTD'!O:O)</f>
        <v>0</v>
      </c>
      <c r="AF35" s="29">
        <f>SUMIF('Input_2020VOL-YTD'!R:R,G35,'Input_2020VOL-YTD'!O:O)</f>
        <v>0</v>
      </c>
      <c r="AG35" s="29">
        <f>SUMIF('Input_2021VOL-YTD'!R:R,G35,'Input_2021VOL-YTD'!O:O)</f>
        <v>0</v>
      </c>
      <c r="AH35" s="29">
        <f>IFERROR(IF($AD35="Historical Average",(AVERAGE($AE35:$AG35)/AVERAGE($Y35:$AA35))*AB35,IF($AD35="UPC Growth Rate",((AG35/AA35)*(1+$S35)*AB35),IF($AD35="Modeled UPC",AB35/12*$W35,IF(AD35="Base Period",AG35,IF(AD35="Adjusted",SUMIF('Input_Fcst Inputs'!A:A,D35,'Input_Fcst Inputs'!F:F),0))))),0)</f>
        <v>0</v>
      </c>
      <c r="AI35" s="29">
        <f>IFERROR(IF($AD35="Historical Average",(AVERAGE($AE35:$AG35)/AVERAGE($Y35:$AA35))*AC35,IF($AD35="UPC Growth Rate",((AH35/AB35)*(1+$S35)*AC35),IF($AD35="Modeled UPC",AC35/12*$W35,IF(AD35="Base Period",AG35,IF(AD35="Adjusted",SUMIF('Input_Fcst Inputs'!A:A,D35,'Input_Fcst Inputs'!G:G),0))))),0)</f>
        <v>0</v>
      </c>
    </row>
    <row r="36" spans="1:35" s="32" customFormat="1">
      <c r="A36" s="32" t="s">
        <v>8</v>
      </c>
      <c r="B36" s="32" t="s">
        <v>331</v>
      </c>
      <c r="C36" s="28" t="s">
        <v>635</v>
      </c>
      <c r="D36" s="28" t="s">
        <v>677</v>
      </c>
      <c r="E36" s="28" t="s">
        <v>258</v>
      </c>
      <c r="F36" s="182" t="s">
        <v>673</v>
      </c>
      <c r="G36" s="31" t="s">
        <v>678</v>
      </c>
      <c r="H36" s="31" t="s">
        <v>664</v>
      </c>
      <c r="I36" s="28"/>
      <c r="J36" s="29" t="str">
        <f>IFERROR(VLOOKUP(H36,Report_Regression!B:L,11,FALSE),"")</f>
        <v>Median</v>
      </c>
      <c r="K36" s="30">
        <f>_xlfn.IFNA(VLOOKUP($H36,Report_Regression!$B:$L,9,FALSE),0)</f>
        <v>-8.9379418530954602E-2</v>
      </c>
      <c r="L36" s="30">
        <f>_xlfn.IFNA(VLOOKUP($H36,Report_Regression!$B:$L,10,FALSE),0)</f>
        <v>-0.17888305563978787</v>
      </c>
      <c r="M36" s="30">
        <f>_xlfn.IFNA(VLOOKUP($H36,Report_Regression!$B:$L,8,FALSE),0)</f>
        <v>-2.3920498749897635E-2</v>
      </c>
      <c r="N36" s="30">
        <f t="shared" si="0"/>
        <v>-8.9379418530954602E-2</v>
      </c>
      <c r="O36" s="30" t="str">
        <f>IFERROR(VLOOKUP(H36,Report_Regression!O:Y,11,FALSE),"")</f>
        <v>Median</v>
      </c>
      <c r="P36" s="30">
        <f>IFERROR(VLOOKUP($H36,Report_Regression!$O:$Y,9,FALSE),0)</f>
        <v>-3.2809295967190781E-2</v>
      </c>
      <c r="Q36" s="30">
        <f>IFERROR(VLOOKUP($H36,Report_Regression!$O:$Y,10,FALSE),0)</f>
        <v>-5.3962900505902238E-2</v>
      </c>
      <c r="R36" s="30">
        <f>IFERROR(VLOOKUP($H36,Report_Regression!$O:$Y,8,FALSE),0)</f>
        <v>-1.8390804597701409E-2</v>
      </c>
      <c r="S36" s="30">
        <f t="shared" si="1"/>
        <v>-3.2809295967190781E-2</v>
      </c>
      <c r="T36" s="29">
        <f>_xlfn.IFNA(VLOOKUP($H36,Report_Regression!$O:$Y,6,FALSE),0)</f>
        <v>70.75</v>
      </c>
      <c r="U36" s="29">
        <f>_xlfn.IFNA(VLOOKUP($H36,Report_Regression!$O:$Y,7,FALSE),0)</f>
        <v>56.1</v>
      </c>
      <c r="V36" s="29">
        <f>_xlfn.IFNA(VLOOKUP($H36,Report_Regression!$O:$Y,5,FALSE),0)</f>
        <v>85.399999999999991</v>
      </c>
      <c r="W36" s="2">
        <f t="shared" si="2"/>
        <v>70.75</v>
      </c>
      <c r="X36" s="33"/>
      <c r="Y36" s="29">
        <f>SUMIF('Input_2019CUST-YTD'!S:S,G36,'Input_2019CUST-YTD'!R:R)</f>
        <v>12</v>
      </c>
      <c r="Z36" s="29">
        <f>SUMIF('Input_2020CUST-YTD'!S:S,G36,'Input_2020CUST-YTD'!R:R)</f>
        <v>12</v>
      </c>
      <c r="AA36" s="29">
        <f>SUMIF('Input_2021CUST-YTD'!S:S,G36,'Input_2021CUST-YTD'!R:R)</f>
        <v>12</v>
      </c>
      <c r="AB36" s="29">
        <f t="shared" si="4"/>
        <v>10.927446977628545</v>
      </c>
      <c r="AC36" s="29">
        <f t="shared" si="5"/>
        <v>9.950758120740268</v>
      </c>
      <c r="AD36" s="29" t="str">
        <f>VLOOKUP(D36,'Input_Fcst Inputs'!A:F,2,FALSE)</f>
        <v>UPC Growth Rate</v>
      </c>
      <c r="AE36" s="29">
        <f>SUMIF('Input_2019VOL-YTD'!R:R,G36,'Input_2019VOL-YTD'!O:O)</f>
        <v>19.66</v>
      </c>
      <c r="AF36" s="29">
        <f>SUMIF('Input_2020VOL-YTD'!R:R,G36,'Input_2020VOL-YTD'!O:O)</f>
        <v>20.739999999999995</v>
      </c>
      <c r="AG36" s="29">
        <f>SUMIF('Input_2021VOL-YTD'!R:R,G36,'Input_2021VOL-YTD'!O:O)</f>
        <v>21.799999999999997</v>
      </c>
      <c r="AH36" s="29">
        <f>IFERROR(IF($AD36="Historical Average",(AVERAGE($AE36:$AG36)/AVERAGE($Y36:$AA36))*AB36,IF($AD36="UPC Growth Rate",((AG36/AA36)*(1+$S36)*AB36),IF($AD36="Modeled UPC",AB36/12*$W36,IF(AD36="Base Period",AG36,IF(AD36="Adjusted",SUMIF('Input_Fcst Inputs'!A:A,D36,'Input_Fcst Inputs'!F:F),0))))),0)</f>
        <v>19.200213996292302</v>
      </c>
      <c r="AI36" s="29">
        <f>IFERROR(IF($AD36="Historical Average",(AVERAGE($AE36:$AG36)/AVERAGE($Y36:$AA36))*AC36,IF($AD36="UPC Growth Rate",((AH36/AB36)*(1+$S36)*AC36),IF($AD36="Modeled UPC",AC36/12*$W36,IF(AD36="Base Period",AG36,IF(AD36="Adjusted",SUMIF('Input_Fcst Inputs'!A:A,D36,'Input_Fcst Inputs'!G:G),0))))),0)</f>
        <v>16.910468692817378</v>
      </c>
    </row>
    <row r="37" spans="1:35" s="32" customFormat="1" ht="12.75" customHeight="1">
      <c r="A37" s="32" t="s">
        <v>8</v>
      </c>
      <c r="B37" s="32" t="s">
        <v>331</v>
      </c>
      <c r="C37" s="28" t="s">
        <v>0</v>
      </c>
      <c r="D37" s="28" t="s">
        <v>637</v>
      </c>
      <c r="E37" s="28" t="s">
        <v>277</v>
      </c>
      <c r="F37" s="182" t="s">
        <v>672</v>
      </c>
      <c r="G37" s="31" t="s">
        <v>703</v>
      </c>
      <c r="H37" s="31" t="s">
        <v>344</v>
      </c>
      <c r="I37" s="28"/>
      <c r="J37" s="29" t="str">
        <f>IFERROR(VLOOKUP(H37,Report_Regression!B:L,11,FALSE),"")</f>
        <v>Median</v>
      </c>
      <c r="K37" s="30">
        <f>_xlfn.IFNA(VLOOKUP($H37,Report_Regression!$B:$L,9,FALSE),0)</f>
        <v>3.3861006638872364E-2</v>
      </c>
      <c r="L37" s="30">
        <f>_xlfn.IFNA(VLOOKUP($H37,Report_Regression!$B:$L,10,FALSE),0)</f>
        <v>2.6119283757474052E-2</v>
      </c>
      <c r="M37" s="30">
        <f>_xlfn.IFNA(VLOOKUP($H37,Report_Regression!$B:$L,8,FALSE),0)</f>
        <v>4.1469771481892632E-2</v>
      </c>
      <c r="N37" s="30">
        <f t="shared" si="0"/>
        <v>3.3861006638872364E-2</v>
      </c>
      <c r="O37" s="30" t="str">
        <f>IFERROR(VLOOKUP(H37,Report_Regression!O:Y,11,FALSE),"")</f>
        <v>Median</v>
      </c>
      <c r="P37" s="30">
        <f>IFERROR(VLOOKUP($H37,Report_Regression!$O:$Y,9,FALSE),0)</f>
        <v>0</v>
      </c>
      <c r="Q37" s="30">
        <f>IFERROR(VLOOKUP($H37,Report_Regression!$O:$Y,10,FALSE),0)</f>
        <v>0</v>
      </c>
      <c r="R37" s="30">
        <f>IFERROR(VLOOKUP($H37,Report_Regression!$O:$Y,8,FALSE),0)</f>
        <v>0</v>
      </c>
      <c r="S37" s="30">
        <f t="shared" si="1"/>
        <v>0</v>
      </c>
      <c r="T37" s="29">
        <f>_xlfn.IFNA(VLOOKUP($H37,Report_Regression!$O:$Y,6,FALSE),0)</f>
        <v>172.96753251423365</v>
      </c>
      <c r="U37" s="29">
        <f>_xlfn.IFNA(VLOOKUP($H37,Report_Regression!$O:$Y,7,FALSE),0)</f>
        <v>156.56991756863101</v>
      </c>
      <c r="V37" s="29">
        <f>_xlfn.IFNA(VLOOKUP($H37,Report_Regression!$O:$Y,5,FALSE),0)</f>
        <v>189.36514745983629</v>
      </c>
      <c r="W37" s="2">
        <f t="shared" si="2"/>
        <v>172.96753251423365</v>
      </c>
      <c r="X37" s="33"/>
      <c r="Y37" s="29">
        <f>SUMIF('Input_2019CUST-YTD'!S:S,G37,'Input_2019CUST-YTD'!R:R)</f>
        <v>148108</v>
      </c>
      <c r="Z37" s="29">
        <f>SUMIF('Input_2020CUST-YTD'!S:S,G37,'Input_2020CUST-YTD'!R:R)</f>
        <v>156264</v>
      </c>
      <c r="AA37" s="29">
        <f>SUMIF('Input_2021CUST-YTD'!S:S,G37,'Input_2021CUST-YTD'!R:R)</f>
        <v>165114</v>
      </c>
      <c r="AB37" s="29">
        <f t="shared" si="4"/>
        <v>170704.92625017074</v>
      </c>
      <c r="AC37" s="29">
        <f t="shared" si="5"/>
        <v>176485.16689121598</v>
      </c>
      <c r="AD37" s="29" t="str">
        <f>VLOOKUP(D37,'Input_Fcst Inputs'!A:F,2,FALSE)</f>
        <v>UPC Growth Rate</v>
      </c>
      <c r="AE37" s="29">
        <f>SUMIF('Input_2019VOL-YTD'!R:R,G37,'Input_2019VOL-YTD'!O:O)</f>
        <v>2127737.6099999826</v>
      </c>
      <c r="AF37" s="29">
        <f>SUMIF('Input_2020VOL-YTD'!R:R,G37,'Input_2020VOL-YTD'!O:O)</f>
        <v>2335465.2400000431</v>
      </c>
      <c r="AG37" s="29">
        <f>SUMIF('Input_2021VOL-YTD'!R:R,G37,'Input_2021VOL-YTD'!O:O)</f>
        <v>2564130.4400000079</v>
      </c>
      <c r="AH37" s="29">
        <f>IFERROR(IF($AD37="Historical Average",(AVERAGE($AE37:$AG37)/AVERAGE($Y37:$AA37))*AB37,IF($AD37="UPC Growth Rate",((AG37/AA37)*(1+$S37)*AB37),IF($AD37="Modeled UPC",AB37/12*$W37,IF(AD37="Base Period",AG37,IF(AD37="Adjusted",SUMIF('Input_Fcst Inputs'!A:A,D37,'Input_Fcst Inputs'!F:F),0))))),0)</f>
        <v>2650954.4778517825</v>
      </c>
      <c r="AI37" s="29">
        <f>IFERROR(IF($AD37="Historical Average",(AVERAGE($AE37:$AG37)/AVERAGE($Y37:$AA37))*AC37,IF($AD37="UPC Growth Rate",((AH37/AB37)*(1+$S37)*AC37),IF($AD37="Modeled UPC",AC37/12*$W37,IF(AD37="Base Period",AG37,IF(AD37="Adjusted",SUMIF('Input_Fcst Inputs'!A:A,D37,'Input_Fcst Inputs'!G:G),0))))),0)</f>
        <v>2740718.4650256699</v>
      </c>
    </row>
    <row r="38" spans="1:35" s="32" customFormat="1">
      <c r="A38" s="32" t="s">
        <v>8</v>
      </c>
      <c r="B38" s="32" t="s">
        <v>331</v>
      </c>
      <c r="C38" s="28" t="s">
        <v>0</v>
      </c>
      <c r="D38" s="28" t="s">
        <v>638</v>
      </c>
      <c r="E38" s="28" t="s">
        <v>279</v>
      </c>
      <c r="F38" s="184" t="s">
        <v>673</v>
      </c>
      <c r="G38" s="31" t="s">
        <v>48</v>
      </c>
      <c r="H38" s="31" t="s">
        <v>344</v>
      </c>
      <c r="I38" s="28"/>
      <c r="J38" s="29" t="str">
        <f>IFERROR(VLOOKUP(H38,Report_Regression!B:L,11,FALSE),"")</f>
        <v>Median</v>
      </c>
      <c r="K38" s="30">
        <f>_xlfn.IFNA(VLOOKUP($H38,Report_Regression!$B:$L,9,FALSE),0)</f>
        <v>3.3861006638872364E-2</v>
      </c>
      <c r="L38" s="30">
        <f>_xlfn.IFNA(VLOOKUP($H38,Report_Regression!$B:$L,10,FALSE),0)</f>
        <v>2.6119283757474052E-2</v>
      </c>
      <c r="M38" s="30">
        <f>_xlfn.IFNA(VLOOKUP($H38,Report_Regression!$B:$L,8,FALSE),0)</f>
        <v>4.1469771481892632E-2</v>
      </c>
      <c r="N38" s="30">
        <f t="shared" si="0"/>
        <v>3.3861006638872364E-2</v>
      </c>
      <c r="O38" s="30" t="str">
        <f>IFERROR(VLOOKUP(H38,Report_Regression!O:Y,11,FALSE),"")</f>
        <v>Median</v>
      </c>
      <c r="P38" s="30">
        <f>IFERROR(VLOOKUP($H38,Report_Regression!$O:$Y,9,FALSE),0)</f>
        <v>0</v>
      </c>
      <c r="Q38" s="30">
        <f>IFERROR(VLOOKUP($H38,Report_Regression!$O:$Y,10,FALSE),0)</f>
        <v>0</v>
      </c>
      <c r="R38" s="30">
        <f>IFERROR(VLOOKUP($H38,Report_Regression!$O:$Y,8,FALSE),0)</f>
        <v>0</v>
      </c>
      <c r="S38" s="30">
        <f t="shared" si="1"/>
        <v>0</v>
      </c>
      <c r="T38" s="29">
        <f>_xlfn.IFNA(VLOOKUP($H38,Report_Regression!$O:$Y,6,FALSE),0)</f>
        <v>172.96753251423365</v>
      </c>
      <c r="U38" s="29">
        <f>_xlfn.IFNA(VLOOKUP($H38,Report_Regression!$O:$Y,7,FALSE),0)</f>
        <v>156.56991756863101</v>
      </c>
      <c r="V38" s="29">
        <f>_xlfn.IFNA(VLOOKUP($H38,Report_Regression!$O:$Y,5,FALSE),0)</f>
        <v>189.36514745983629</v>
      </c>
      <c r="W38" s="2">
        <f t="shared" si="2"/>
        <v>172.96753251423365</v>
      </c>
      <c r="X38" s="33"/>
      <c r="Y38" s="29">
        <f>SUMIF('Input_2019CUST-YTD'!S:S,G38,'Input_2019CUST-YTD'!R:R)</f>
        <v>1996</v>
      </c>
      <c r="Z38" s="29">
        <f>SUMIF('Input_2020CUST-YTD'!S:S,G38,'Input_2020CUST-YTD'!R:R)</f>
        <v>1985</v>
      </c>
      <c r="AA38" s="29">
        <f>SUMIF('Input_2021CUST-YTD'!S:S,G38,'Input_2021CUST-YTD'!R:R)</f>
        <v>1959</v>
      </c>
      <c r="AB38" s="29">
        <f t="shared" si="4"/>
        <v>2025.3337120055508</v>
      </c>
      <c r="AC38" s="29">
        <f t="shared" si="5"/>
        <v>2093.9135502737026</v>
      </c>
      <c r="AD38" s="29" t="str">
        <f>VLOOKUP(D38,'Input_Fcst Inputs'!A:F,2,FALSE)</f>
        <v>UPC Growth Rate</v>
      </c>
      <c r="AE38" s="29">
        <f>SUMIF('Input_2019VOL-YTD'!R:R,G38,'Input_2019VOL-YTD'!O:O)</f>
        <v>30535.900000000005</v>
      </c>
      <c r="AF38" s="29">
        <f>SUMIF('Input_2020VOL-YTD'!R:R,G38,'Input_2020VOL-YTD'!O:O)</f>
        <v>31146.39</v>
      </c>
      <c r="AG38" s="29">
        <f>SUMIF('Input_2021VOL-YTD'!R:R,G38,'Input_2021VOL-YTD'!O:O)</f>
        <v>33814.720000000001</v>
      </c>
      <c r="AH38" s="29">
        <f>IFERROR(IF($AD38="Historical Average",(AVERAGE($AE38:$AG38)/AVERAGE($Y38:$AA38))*AB38,IF($AD38="UPC Growth Rate",((AG38/AA38)*(1+$S38)*AB38),IF($AD38="Modeled UPC",AB38/12*$W38,IF(AD38="Base Period",AG38,IF(AD38="Adjusted",SUMIF('Input_Fcst Inputs'!A:A,D38,'Input_Fcst Inputs'!F:F),0))))),0)</f>
        <v>34959.720458411604</v>
      </c>
      <c r="AI38" s="29">
        <f>IFERROR(IF($AD38="Historical Average",(AVERAGE($AE38:$AG38)/AVERAGE($Y38:$AA38))*AC38,IF($AD38="UPC Growth Rate",((AH38/AB38)*(1+$S38)*AC38),IF($AD38="Modeled UPC",AC38/12*$W38,IF(AD38="Base Period",AG38,IF(AD38="Adjusted",SUMIF('Input_Fcst Inputs'!A:A,D38,'Input_Fcst Inputs'!G:G),0))))),0)</f>
        <v>36143.491784947</v>
      </c>
    </row>
    <row r="39" spans="1:35" s="32" customFormat="1">
      <c r="A39" s="32" t="s">
        <v>8</v>
      </c>
      <c r="B39" s="32" t="s">
        <v>331</v>
      </c>
      <c r="C39" s="28" t="s">
        <v>635</v>
      </c>
      <c r="D39" s="28" t="s">
        <v>639</v>
      </c>
      <c r="E39" s="28" t="s">
        <v>257</v>
      </c>
      <c r="F39" s="182" t="s">
        <v>672</v>
      </c>
      <c r="G39" s="31" t="s">
        <v>704</v>
      </c>
      <c r="H39" s="31" t="s">
        <v>388</v>
      </c>
      <c r="I39" s="28"/>
      <c r="J39" s="29" t="str">
        <f>IFERROR(VLOOKUP(H39,Report_Regression!B:L,11,FALSE),"")</f>
        <v>Median</v>
      </c>
      <c r="K39" s="30">
        <f>_xlfn.IFNA(VLOOKUP($H39,Report_Regression!$B:$L,9,FALSE),0)</f>
        <v>-4.9605598787378136E-2</v>
      </c>
      <c r="L39" s="30">
        <f>_xlfn.IFNA(VLOOKUP($H39,Report_Regression!$B:$L,10,FALSE),0)</f>
        <v>-7.7135138735573455E-2</v>
      </c>
      <c r="M39" s="30">
        <f>_xlfn.IFNA(VLOOKUP($H39,Report_Regression!$B:$L,8,FALSE),0)</f>
        <v>-2.4483754304541958E-2</v>
      </c>
      <c r="N39" s="30">
        <f t="shared" si="0"/>
        <v>-4.9605598787378136E-2</v>
      </c>
      <c r="O39" s="30" t="str">
        <f>IFERROR(VLOOKUP(H39,Report_Regression!O:Y,11,FALSE),"")</f>
        <v>Median</v>
      </c>
      <c r="P39" s="30">
        <f>IFERROR(VLOOKUP($H39,Report_Regression!$O:$Y,9,FALSE),0)</f>
        <v>-8.2102988836874169E-2</v>
      </c>
      <c r="Q39" s="30">
        <f>IFERROR(VLOOKUP($H39,Report_Regression!$O:$Y,10,FALSE),0)</f>
        <v>-0.30490523968784827</v>
      </c>
      <c r="R39" s="30">
        <f>IFERROR(VLOOKUP($H39,Report_Regression!$O:$Y,8,FALSE),0)</f>
        <v>2.4202127659574527E-2</v>
      </c>
      <c r="S39" s="30">
        <f t="shared" si="1"/>
        <v>-8.2102988836874169E-2</v>
      </c>
      <c r="T39" s="29">
        <f>_xlfn.IFNA(VLOOKUP($H39,Report_Regression!$O:$Y,6,FALSE),0)</f>
        <v>254.90000000000003</v>
      </c>
      <c r="U39" s="29">
        <f>_xlfn.IFNA(VLOOKUP($H39,Report_Regression!$O:$Y,7,FALSE),0)</f>
        <v>124.7</v>
      </c>
      <c r="V39" s="29">
        <f>_xlfn.IFNA(VLOOKUP($H39,Report_Regression!$O:$Y,5,FALSE),0)</f>
        <v>385.1</v>
      </c>
      <c r="W39" s="2">
        <f t="shared" si="2"/>
        <v>254.90000000000003</v>
      </c>
      <c r="X39" s="33"/>
      <c r="Y39" s="29">
        <f>SUMIF('Input_2019CUST-YTD'!S:S,G39,'Input_2019CUST-YTD'!R:R)</f>
        <v>2760</v>
      </c>
      <c r="Z39" s="29">
        <f>SUMIF('Input_2020CUST-YTD'!S:S,G39,'Input_2020CUST-YTD'!R:R)</f>
        <v>2741</v>
      </c>
      <c r="AA39" s="29">
        <f>SUMIF('Input_2021CUST-YTD'!S:S,G39,'Input_2021CUST-YTD'!R:R)</f>
        <v>2712</v>
      </c>
      <c r="AB39" s="29">
        <f t="shared" si="4"/>
        <v>2577.4696160886306</v>
      </c>
      <c r="AC39" s="29">
        <f t="shared" si="5"/>
        <v>2449.6126924262803</v>
      </c>
      <c r="AD39" s="29" t="str">
        <f>VLOOKUP(D39,'Input_Fcst Inputs'!A:F,2,FALSE)</f>
        <v>UPC Growth Rate</v>
      </c>
      <c r="AE39" s="29">
        <f>SUMIF('Input_2019VOL-YTD'!R:R,G39,'Input_2019VOL-YTD'!O:O)</f>
        <v>54048.340000000018</v>
      </c>
      <c r="AF39" s="29">
        <f>SUMIF('Input_2020VOL-YTD'!R:R,G39,'Input_2020VOL-YTD'!O:O)</f>
        <v>49703.5</v>
      </c>
      <c r="AG39" s="29">
        <f>SUMIF('Input_2021VOL-YTD'!R:R,G39,'Input_2021VOL-YTD'!O:O)</f>
        <v>58648.149999999994</v>
      </c>
      <c r="AH39" s="29">
        <f>IFERROR(IF($AD39="Historical Average",(AVERAGE($AE39:$AG39)/AVERAGE($Y39:$AA39))*AB39,IF($AD39="UPC Growth Rate",((AG39/AA39)*(1+$S39)*AB39),IF($AD39="Modeled UPC",AB39/12*$W39,IF(AD39="Base Period",AG39,IF(AD39="Adjusted",SUMIF('Input_Fcst Inputs'!A:A,D39,'Input_Fcst Inputs'!F:F),0))))),0)</f>
        <v>51162.545300816535</v>
      </c>
      <c r="AI39" s="29">
        <f>IFERROR(IF($AD39="Historical Average",(AVERAGE($AE39:$AG39)/AVERAGE($Y39:$AA39))*AC39,IF($AD39="UPC Growth Rate",((AH39/AB39)*(1+$S39)*AC39),IF($AD39="Modeled UPC",AC39/12*$W39,IF(AD39="Base Period",AG39,IF(AD39="Adjusted",SUMIF('Input_Fcst Inputs'!A:A,D39,'Input_Fcst Inputs'!G:G),0))))),0)</f>
        <v>44632.371893369251</v>
      </c>
    </row>
    <row r="40" spans="1:35" s="32" customFormat="1">
      <c r="A40" s="32" t="s">
        <v>8</v>
      </c>
      <c r="B40" s="32" t="s">
        <v>331</v>
      </c>
      <c r="C40" s="28" t="s">
        <v>635</v>
      </c>
      <c r="D40" s="28" t="s">
        <v>687</v>
      </c>
      <c r="E40" s="28" t="s">
        <v>259</v>
      </c>
      <c r="F40" s="184" t="s">
        <v>673</v>
      </c>
      <c r="G40" s="31" t="s">
        <v>49</v>
      </c>
      <c r="H40" s="31" t="s">
        <v>388</v>
      </c>
      <c r="I40" s="28"/>
      <c r="J40" s="29" t="str">
        <f>IFERROR(VLOOKUP(H40,Report_Regression!B:L,11,FALSE),"")</f>
        <v>Median</v>
      </c>
      <c r="K40" s="30">
        <f>_xlfn.IFNA(VLOOKUP($H40,Report_Regression!$B:$L,9,FALSE),0)</f>
        <v>-4.9605598787378136E-2</v>
      </c>
      <c r="L40" s="30">
        <f>_xlfn.IFNA(VLOOKUP($H40,Report_Regression!$B:$L,10,FALSE),0)</f>
        <v>-7.7135138735573455E-2</v>
      </c>
      <c r="M40" s="30">
        <f>_xlfn.IFNA(VLOOKUP($H40,Report_Regression!$B:$L,8,FALSE),0)</f>
        <v>-2.4483754304541958E-2</v>
      </c>
      <c r="N40" s="30">
        <f t="shared" si="0"/>
        <v>-4.9605598787378136E-2</v>
      </c>
      <c r="O40" s="30" t="str">
        <f>IFERROR(VLOOKUP(H40,Report_Regression!O:Y,11,FALSE),"")</f>
        <v>Median</v>
      </c>
      <c r="P40" s="30">
        <f>IFERROR(VLOOKUP($H40,Report_Regression!$O:$Y,9,FALSE),0)</f>
        <v>-8.2102988836874169E-2</v>
      </c>
      <c r="Q40" s="30">
        <f>IFERROR(VLOOKUP($H40,Report_Regression!$O:$Y,10,FALSE),0)</f>
        <v>-0.30490523968784827</v>
      </c>
      <c r="R40" s="30">
        <f>IFERROR(VLOOKUP($H40,Report_Regression!$O:$Y,8,FALSE),0)</f>
        <v>2.4202127659574527E-2</v>
      </c>
      <c r="S40" s="30">
        <f t="shared" si="1"/>
        <v>-8.2102988836874169E-2</v>
      </c>
      <c r="T40" s="29">
        <f>_xlfn.IFNA(VLOOKUP($H40,Report_Regression!$O:$Y,6,FALSE),0)</f>
        <v>254.90000000000003</v>
      </c>
      <c r="U40" s="29">
        <f>_xlfn.IFNA(VLOOKUP($H40,Report_Regression!$O:$Y,7,FALSE),0)</f>
        <v>124.7</v>
      </c>
      <c r="V40" s="29">
        <f>_xlfn.IFNA(VLOOKUP($H40,Report_Regression!$O:$Y,5,FALSE),0)</f>
        <v>385.1</v>
      </c>
      <c r="W40" s="2">
        <f t="shared" si="2"/>
        <v>254.90000000000003</v>
      </c>
      <c r="X40" s="33"/>
      <c r="Y40" s="29">
        <f>SUMIF('Input_2019CUST-YTD'!S:S,G40,'Input_2019CUST-YTD'!R:R)</f>
        <v>388</v>
      </c>
      <c r="Z40" s="29">
        <f>SUMIF('Input_2020CUST-YTD'!S:S,G40,'Input_2020CUST-YTD'!R:R)</f>
        <v>480</v>
      </c>
      <c r="AA40" s="29">
        <f>SUMIF('Input_2021CUST-YTD'!S:S,G40,'Input_2021CUST-YTD'!R:R)</f>
        <v>540</v>
      </c>
      <c r="AB40" s="29">
        <f t="shared" si="4"/>
        <v>513.21297665481586</v>
      </c>
      <c r="AC40" s="29">
        <f t="shared" si="5"/>
        <v>487.75473964240098</v>
      </c>
      <c r="AD40" s="29" t="str">
        <f>VLOOKUP(D40,'Input_Fcst Inputs'!A:F,2,FALSE)</f>
        <v>UPC Growth Rate</v>
      </c>
      <c r="AE40" s="29">
        <f>SUMIF('Input_2019VOL-YTD'!R:R,G40,'Input_2019VOL-YTD'!O:O)</f>
        <v>5983.4800000000005</v>
      </c>
      <c r="AF40" s="29">
        <f>SUMIF('Input_2020VOL-YTD'!R:R,G40,'Input_2020VOL-YTD'!O:O)</f>
        <v>6183.58</v>
      </c>
      <c r="AG40" s="29">
        <f>SUMIF('Input_2021VOL-YTD'!R:R,G40,'Input_2021VOL-YTD'!O:O)</f>
        <v>7179.16</v>
      </c>
      <c r="AH40" s="29">
        <f>IFERROR(IF($AD40="Historical Average",(AVERAGE($AE40:$AG40)/AVERAGE($Y40:$AA40))*AB40,IF($AD40="UPC Growth Rate",((AG40/AA40)*(1+$S40)*AB40),IF($AD40="Modeled UPC",AB40/12*$W40,IF(AD40="Base Period",AG40,IF(AD40="Adjusted",SUMIF('Input_Fcst Inputs'!A:A,D40,'Input_Fcst Inputs'!F:F),0))))),0)</f>
        <v>6262.842028637051</v>
      </c>
      <c r="AI40" s="29">
        <f>IFERROR(IF($AD40="Historical Average",(AVERAGE($AE40:$AG40)/AVERAGE($Y40:$AA40))*AC40,IF($AD40="UPC Growth Rate",((AH40/AB40)*(1+$S40)*AC40),IF($AD40="Modeled UPC",AC40/12*$W40,IF(AD40="Base Period",AG40,IF(AD40="Adjusted",SUMIF('Input_Fcst Inputs'!A:A,D40,'Input_Fcst Inputs'!G:G),0))))),0)</f>
        <v>5463.4790526555544</v>
      </c>
    </row>
    <row r="41" spans="1:35" s="32" customFormat="1">
      <c r="A41" s="32" t="s">
        <v>8</v>
      </c>
      <c r="B41" s="32" t="s">
        <v>331</v>
      </c>
      <c r="C41" s="28" t="s">
        <v>0</v>
      </c>
      <c r="D41" s="28" t="s">
        <v>640</v>
      </c>
      <c r="E41" s="28" t="s">
        <v>280</v>
      </c>
      <c r="F41" s="182" t="s">
        <v>672</v>
      </c>
      <c r="G41" s="31" t="s">
        <v>705</v>
      </c>
      <c r="H41" s="31" t="s">
        <v>347</v>
      </c>
      <c r="I41" s="28"/>
      <c r="J41" s="29" t="str">
        <f>IFERROR(VLOOKUP(H41,Report_Regression!B:L,11,FALSE),"")</f>
        <v>Median</v>
      </c>
      <c r="K41" s="30">
        <f>_xlfn.IFNA(VLOOKUP($H41,Report_Regression!$B:$L,9,FALSE),0)</f>
        <v>6.1347398016349964E-3</v>
      </c>
      <c r="L41" s="30">
        <f>_xlfn.IFNA(VLOOKUP($H41,Report_Regression!$B:$L,10,FALSE),0)</f>
        <v>-1.603910390921288E-3</v>
      </c>
      <c r="M41" s="30">
        <f>_xlfn.IFNA(VLOOKUP($H41,Report_Regression!$B:$L,8,FALSE),0)</f>
        <v>1.3626664163571472E-2</v>
      </c>
      <c r="N41" s="30">
        <f t="shared" si="0"/>
        <v>6.1347398016349964E-3</v>
      </c>
      <c r="O41" s="30" t="str">
        <f>IFERROR(VLOOKUP(H41,Report_Regression!O:Y,11,FALSE),"")</f>
        <v>Median</v>
      </c>
      <c r="P41" s="30">
        <f>IFERROR(VLOOKUP($H41,Report_Regression!$O:$Y,9,FALSE),0)</f>
        <v>0</v>
      </c>
      <c r="Q41" s="30">
        <f>IFERROR(VLOOKUP($H41,Report_Regression!$O:$Y,10,FALSE),0)</f>
        <v>0</v>
      </c>
      <c r="R41" s="30">
        <f>IFERROR(VLOOKUP($H41,Report_Regression!$O:$Y,8,FALSE),0)</f>
        <v>0</v>
      </c>
      <c r="S41" s="30">
        <f t="shared" si="1"/>
        <v>0</v>
      </c>
      <c r="T41" s="29">
        <f>_xlfn.IFNA(VLOOKUP($H41,Report_Regression!$O:$Y,6,FALSE),0)</f>
        <v>597.30342792519559</v>
      </c>
      <c r="U41" s="29">
        <f>_xlfn.IFNA(VLOOKUP($H41,Report_Regression!$O:$Y,7,FALSE),0)</f>
        <v>502.88306565049282</v>
      </c>
      <c r="V41" s="29">
        <f>_xlfn.IFNA(VLOOKUP($H41,Report_Regression!$O:$Y,5,FALSE),0)</f>
        <v>691.72379019989842</v>
      </c>
      <c r="W41" s="2">
        <f t="shared" si="2"/>
        <v>597.30342792519559</v>
      </c>
      <c r="X41" s="33"/>
      <c r="Y41" s="29">
        <f>SUMIF('Input_2019CUST-YTD'!S:S,G41,'Input_2019CUST-YTD'!R:R)</f>
        <v>8742</v>
      </c>
      <c r="Z41" s="29">
        <f>SUMIF('Input_2020CUST-YTD'!S:S,G41,'Input_2020CUST-YTD'!R:R)</f>
        <v>8793</v>
      </c>
      <c r="AA41" s="29">
        <f>SUMIF('Input_2021CUST-YTD'!S:S,G41,'Input_2021CUST-YTD'!R:R)</f>
        <v>8802</v>
      </c>
      <c r="AB41" s="29">
        <f t="shared" si="4"/>
        <v>8855.9979797339911</v>
      </c>
      <c r="AC41" s="29">
        <f t="shared" si="5"/>
        <v>8910.3272230234634</v>
      </c>
      <c r="AD41" s="29" t="str">
        <f>VLOOKUP(D41,'Input_Fcst Inputs'!A:F,2,FALSE)</f>
        <v>UPC Growth Rate</v>
      </c>
      <c r="AE41" s="29">
        <f>SUMIF('Input_2019VOL-YTD'!R:R,G41,'Input_2019VOL-YTD'!O:O)</f>
        <v>488269.11</v>
      </c>
      <c r="AF41" s="29">
        <f>SUMIF('Input_2020VOL-YTD'!R:R,G41,'Input_2020VOL-YTD'!O:O)</f>
        <v>426417.79999999976</v>
      </c>
      <c r="AG41" s="29">
        <f>SUMIF('Input_2021VOL-YTD'!R:R,G41,'Input_2021VOL-YTD'!O:O)</f>
        <v>452806.78</v>
      </c>
      <c r="AH41" s="29">
        <f>IFERROR(IF($AD41="Historical Average",(AVERAGE($AE41:$AG41)/AVERAGE($Y41:$AA41))*AB41,IF($AD41="UPC Growth Rate",((AG41/AA41)*(1+$S41)*AB41),IF($AD41="Modeled UPC",AB41/12*$W41,IF(AD41="Base Period",AG41,IF(AD41="Adjusted",SUMIF('Input_Fcst Inputs'!A:A,D41,'Input_Fcst Inputs'!F:F),0))))),0)</f>
        <v>455584.6317757162</v>
      </c>
      <c r="AI41" s="29">
        <f>IFERROR(IF($AD41="Historical Average",(AVERAGE($AE41:$AG41)/AVERAGE($Y41:$AA41))*AC41,IF($AD41="UPC Growth Rate",((AH41/AB41)*(1+$S41)*AC41),IF($AD41="Modeled UPC",AC41/12*$W41,IF(AD41="Base Period",AG41,IF(AD41="Adjusted",SUMIF('Input_Fcst Inputs'!A:A,D41,'Input_Fcst Inputs'!G:G),0))))),0)</f>
        <v>458379.52494928386</v>
      </c>
    </row>
    <row r="42" spans="1:35" s="32" customFormat="1">
      <c r="A42" s="32" t="s">
        <v>8</v>
      </c>
      <c r="B42" s="32" t="s">
        <v>331</v>
      </c>
      <c r="C42" s="28" t="s">
        <v>0</v>
      </c>
      <c r="D42" s="28" t="s">
        <v>641</v>
      </c>
      <c r="E42" s="28" t="s">
        <v>284</v>
      </c>
      <c r="F42" s="184" t="s">
        <v>673</v>
      </c>
      <c r="G42" s="31" t="s">
        <v>50</v>
      </c>
      <c r="H42" s="31" t="s">
        <v>347</v>
      </c>
      <c r="I42" s="28"/>
      <c r="J42" s="29" t="str">
        <f>IFERROR(VLOOKUP(H42,Report_Regression!B:L,11,FALSE),"")</f>
        <v>Median</v>
      </c>
      <c r="K42" s="30">
        <f>_xlfn.IFNA(VLOOKUP($H42,Report_Regression!$B:$L,9,FALSE),0)</f>
        <v>6.1347398016349964E-3</v>
      </c>
      <c r="L42" s="30">
        <f>_xlfn.IFNA(VLOOKUP($H42,Report_Regression!$B:$L,10,FALSE),0)</f>
        <v>-1.603910390921288E-3</v>
      </c>
      <c r="M42" s="30">
        <f>_xlfn.IFNA(VLOOKUP($H42,Report_Regression!$B:$L,8,FALSE),0)</f>
        <v>1.3626664163571472E-2</v>
      </c>
      <c r="N42" s="30">
        <f t="shared" si="0"/>
        <v>6.1347398016349964E-3</v>
      </c>
      <c r="O42" s="30" t="str">
        <f>IFERROR(VLOOKUP(H42,Report_Regression!O:Y,11,FALSE),"")</f>
        <v>Median</v>
      </c>
      <c r="P42" s="30">
        <f>IFERROR(VLOOKUP($H42,Report_Regression!$O:$Y,9,FALSE),0)</f>
        <v>0</v>
      </c>
      <c r="Q42" s="30">
        <f>IFERROR(VLOOKUP($H42,Report_Regression!$O:$Y,10,FALSE),0)</f>
        <v>0</v>
      </c>
      <c r="R42" s="30">
        <f>IFERROR(VLOOKUP($H42,Report_Regression!$O:$Y,8,FALSE),0)</f>
        <v>0</v>
      </c>
      <c r="S42" s="30">
        <f t="shared" si="1"/>
        <v>0</v>
      </c>
      <c r="T42" s="29">
        <f>_xlfn.IFNA(VLOOKUP($H42,Report_Regression!$O:$Y,6,FALSE),0)</f>
        <v>597.30342792519559</v>
      </c>
      <c r="U42" s="29">
        <f>_xlfn.IFNA(VLOOKUP($H42,Report_Regression!$O:$Y,7,FALSE),0)</f>
        <v>502.88306565049282</v>
      </c>
      <c r="V42" s="29">
        <f>_xlfn.IFNA(VLOOKUP($H42,Report_Regression!$O:$Y,5,FALSE),0)</f>
        <v>691.72379019989842</v>
      </c>
      <c r="W42" s="2">
        <f t="shared" si="2"/>
        <v>597.30342792519559</v>
      </c>
      <c r="X42" s="33"/>
      <c r="Y42" s="29">
        <f>SUMIF('Input_2019CUST-YTD'!S:S,G42,'Input_2019CUST-YTD'!R:R)</f>
        <v>223</v>
      </c>
      <c r="Z42" s="29">
        <f>SUMIF('Input_2020CUST-YTD'!S:S,G42,'Input_2020CUST-YTD'!R:R)</f>
        <v>239</v>
      </c>
      <c r="AA42" s="29">
        <f>SUMIF('Input_2021CUST-YTD'!S:S,G42,'Input_2021CUST-YTD'!R:R)</f>
        <v>236</v>
      </c>
      <c r="AB42" s="29">
        <f t="shared" si="4"/>
        <v>237.44779859318584</v>
      </c>
      <c r="AC42" s="29">
        <f t="shared" si="5"/>
        <v>238.90447905402604</v>
      </c>
      <c r="AD42" s="29" t="str">
        <f>VLOOKUP(D42,'Input_Fcst Inputs'!A:F,2,FALSE)</f>
        <v>UPC Growth Rate</v>
      </c>
      <c r="AE42" s="29">
        <f>SUMIF('Input_2019VOL-YTD'!R:R,G42,'Input_2019VOL-YTD'!O:O)</f>
        <v>10839.05</v>
      </c>
      <c r="AF42" s="29">
        <f>SUMIF('Input_2020VOL-YTD'!R:R,G42,'Input_2020VOL-YTD'!O:O)</f>
        <v>10261.370000000001</v>
      </c>
      <c r="AG42" s="29">
        <f>SUMIF('Input_2021VOL-YTD'!R:R,G42,'Input_2021VOL-YTD'!O:O)</f>
        <v>11015.56</v>
      </c>
      <c r="AH42" s="29">
        <f>IFERROR(IF($AD42="Historical Average",(AVERAGE($AE42:$AG42)/AVERAGE($Y42:$AA42))*AB42,IF($AD42="UPC Growth Rate",((AG42/AA42)*(1+$S42)*AB42),IF($AD42="Modeled UPC",AB42/12*$W42,IF(AD42="Base Period",AG42,IF(AD42="Adjusted",SUMIF('Input_Fcst Inputs'!A:A,D42,'Input_Fcst Inputs'!F:F),0))))),0)</f>
        <v>11083.137594369296</v>
      </c>
      <c r="AI42" s="29">
        <f>IFERROR(IF($AD42="Historical Average",(AVERAGE($AE42:$AG42)/AVERAGE($Y42:$AA42))*AC42,IF($AD42="UPC Growth Rate",((AH42/AB42)*(1+$S42)*AC42),IF($AD42="Modeled UPC",AC42/12*$W42,IF(AD42="Base Period",AG42,IF(AD42="Adjusted",SUMIF('Input_Fcst Inputs'!A:A,D42,'Input_Fcst Inputs'!G:G),0))))),0)</f>
        <v>11151.129759696471</v>
      </c>
    </row>
    <row r="43" spans="1:35" s="32" customFormat="1">
      <c r="A43" s="32" t="s">
        <v>8</v>
      </c>
      <c r="B43" s="32" t="s">
        <v>331</v>
      </c>
      <c r="C43" s="28" t="s">
        <v>635</v>
      </c>
      <c r="D43" s="28" t="s">
        <v>642</v>
      </c>
      <c r="E43" s="28" t="s">
        <v>260</v>
      </c>
      <c r="F43" s="182" t="s">
        <v>672</v>
      </c>
      <c r="G43" s="31" t="s">
        <v>706</v>
      </c>
      <c r="H43" s="31" t="s">
        <v>390</v>
      </c>
      <c r="I43" s="28"/>
      <c r="J43" s="29" t="str">
        <f>IFERROR(VLOOKUP(H43,Report_Regression!B:L,11,FALSE),"")</f>
        <v>Median</v>
      </c>
      <c r="K43" s="30">
        <f>_xlfn.IFNA(VLOOKUP($H43,Report_Regression!$B:$L,9,FALSE),0)</f>
        <v>5.7427510434033407E-2</v>
      </c>
      <c r="L43" s="30">
        <f>_xlfn.IFNA(VLOOKUP($H43,Report_Regression!$B:$L,10,FALSE),0)</f>
        <v>5.352031492648783E-2</v>
      </c>
      <c r="M43" s="30">
        <f>_xlfn.IFNA(VLOOKUP($H43,Report_Regression!$B:$L,8,FALSE),0)</f>
        <v>6.1052014053353108E-2</v>
      </c>
      <c r="N43" s="30">
        <f t="shared" si="0"/>
        <v>5.7427510434033407E-2</v>
      </c>
      <c r="O43" s="30" t="str">
        <f>IFERROR(VLOOKUP(H43,Report_Regression!O:Y,11,FALSE),"")</f>
        <v>Median</v>
      </c>
      <c r="P43" s="30">
        <f>IFERROR(VLOOKUP($H43,Report_Regression!$O:$Y,9,FALSE),0)</f>
        <v>-1.970443349753722E-2</v>
      </c>
      <c r="Q43" s="30">
        <f>IFERROR(VLOOKUP($H43,Report_Regression!$O:$Y,10,FALSE),0)</f>
        <v>-2.5095188646590511E-2</v>
      </c>
      <c r="R43" s="30">
        <f>IFERROR(VLOOKUP($H43,Report_Regression!$O:$Y,8,FALSE),0)</f>
        <v>-1.5386747990019593E-2</v>
      </c>
      <c r="S43" s="30">
        <f t="shared" si="1"/>
        <v>-1.970443349753722E-2</v>
      </c>
      <c r="T43" s="29">
        <f>_xlfn.IFNA(VLOOKUP($H43,Report_Regression!$O:$Y,6,FALSE),0)</f>
        <v>636.79999999999995</v>
      </c>
      <c r="U43" s="29">
        <f>_xlfn.IFNA(VLOOKUP($H43,Report_Regression!$O:$Y,7,FALSE),0)</f>
        <v>563.30000000000007</v>
      </c>
      <c r="V43" s="29">
        <f>_xlfn.IFNA(VLOOKUP($H43,Report_Regression!$O:$Y,5,FALSE),0)</f>
        <v>710.3</v>
      </c>
      <c r="W43" s="2">
        <f t="shared" si="2"/>
        <v>636.79999999999995</v>
      </c>
      <c r="X43" s="33"/>
      <c r="Y43" s="29">
        <f>SUMIF('Input_2019CUST-YTD'!S:S,G43,'Input_2019CUST-YTD'!R:R)</f>
        <v>1140</v>
      </c>
      <c r="Z43" s="29">
        <f>SUMIF('Input_2020CUST-YTD'!S:S,G43,'Input_2020CUST-YTD'!R:R)</f>
        <v>1204</v>
      </c>
      <c r="AA43" s="29">
        <f>SUMIF('Input_2021CUST-YTD'!S:S,G43,'Input_2021CUST-YTD'!R:R)</f>
        <v>1175</v>
      </c>
      <c r="AB43" s="29">
        <f t="shared" si="4"/>
        <v>1242.4773247599892</v>
      </c>
      <c r="AC43" s="29">
        <f t="shared" si="5"/>
        <v>1313.8297042916934</v>
      </c>
      <c r="AD43" s="29" t="str">
        <f>VLOOKUP(D43,'Input_Fcst Inputs'!A:F,2,FALSE)</f>
        <v>UPC Growth Rate</v>
      </c>
      <c r="AE43" s="29">
        <f>SUMIF('Input_2019VOL-YTD'!R:R,G43,'Input_2019VOL-YTD'!O:O)</f>
        <v>74329.64</v>
      </c>
      <c r="AF43" s="29">
        <f>SUMIF('Input_2020VOL-YTD'!R:R,G43,'Input_2020VOL-YTD'!O:O)</f>
        <v>64248.369999999995</v>
      </c>
      <c r="AG43" s="29">
        <f>SUMIF('Input_2021VOL-YTD'!R:R,G43,'Input_2021VOL-YTD'!O:O)</f>
        <v>68021.599999999991</v>
      </c>
      <c r="AH43" s="29">
        <f>IFERROR(IF($AD43="Historical Average",(AVERAGE($AE43:$AG43)/AVERAGE($Y43:$AA43))*AB43,IF($AD43="UPC Growth Rate",((AG43/AA43)*(1+$S43)*AB43),IF($AD43="Modeled UPC",AB43/12*$W43,IF(AD43="Base Period",AG43,IF(AD43="Adjusted",SUMIF('Input_Fcst Inputs'!A:A,D43,'Input_Fcst Inputs'!F:F),0))))),0)</f>
        <v>70510.612401991049</v>
      </c>
      <c r="AI43" s="29">
        <f>IFERROR(IF($AD43="Historical Average",(AVERAGE($AE43:$AG43)/AVERAGE($Y43:$AA43))*AC43,IF($AD43="UPC Growth Rate",((AH43/AB43)*(1+$S43)*AC43),IF($AD43="Modeled UPC",AC43/12*$W43,IF(AD43="Base Period",AG43,IF(AD43="Adjusted",SUMIF('Input_Fcst Inputs'!A:A,D43,'Input_Fcst Inputs'!G:G),0))))),0)</f>
        <v>73090.701502225973</v>
      </c>
    </row>
    <row r="44" spans="1:35" s="32" customFormat="1">
      <c r="A44" s="32" t="s">
        <v>8</v>
      </c>
      <c r="B44" s="32" t="s">
        <v>331</v>
      </c>
      <c r="C44" s="28" t="s">
        <v>635</v>
      </c>
      <c r="D44" s="28" t="s">
        <v>643</v>
      </c>
      <c r="E44" s="28" t="s">
        <v>262</v>
      </c>
      <c r="F44" s="184" t="s">
        <v>673</v>
      </c>
      <c r="G44" s="31" t="s">
        <v>51</v>
      </c>
      <c r="H44" s="31" t="s">
        <v>390</v>
      </c>
      <c r="I44" s="28"/>
      <c r="J44" s="29" t="str">
        <f>IFERROR(VLOOKUP(H44,Report_Regression!B:L,11,FALSE),"")</f>
        <v>Median</v>
      </c>
      <c r="K44" s="30">
        <f>_xlfn.IFNA(VLOOKUP($H44,Report_Regression!$B:$L,9,FALSE),0)</f>
        <v>5.7427510434033407E-2</v>
      </c>
      <c r="L44" s="30">
        <f>_xlfn.IFNA(VLOOKUP($H44,Report_Regression!$B:$L,10,FALSE),0)</f>
        <v>5.352031492648783E-2</v>
      </c>
      <c r="M44" s="30">
        <f>_xlfn.IFNA(VLOOKUP($H44,Report_Regression!$B:$L,8,FALSE),0)</f>
        <v>6.1052014053353108E-2</v>
      </c>
      <c r="N44" s="30">
        <f t="shared" si="0"/>
        <v>5.7427510434033407E-2</v>
      </c>
      <c r="O44" s="30" t="str">
        <f>IFERROR(VLOOKUP(H44,Report_Regression!O:Y,11,FALSE),"")</f>
        <v>Median</v>
      </c>
      <c r="P44" s="30">
        <f>IFERROR(VLOOKUP($H44,Report_Regression!$O:$Y,9,FALSE),0)</f>
        <v>-1.970443349753722E-2</v>
      </c>
      <c r="Q44" s="30">
        <f>IFERROR(VLOOKUP($H44,Report_Regression!$O:$Y,10,FALSE),0)</f>
        <v>-2.5095188646590511E-2</v>
      </c>
      <c r="R44" s="30">
        <f>IFERROR(VLOOKUP($H44,Report_Regression!$O:$Y,8,FALSE),0)</f>
        <v>-1.5386747990019593E-2</v>
      </c>
      <c r="S44" s="30">
        <f t="shared" si="1"/>
        <v>-1.970443349753722E-2</v>
      </c>
      <c r="T44" s="29">
        <f>_xlfn.IFNA(VLOOKUP($H44,Report_Regression!$O:$Y,6,FALSE),0)</f>
        <v>636.79999999999995</v>
      </c>
      <c r="U44" s="29">
        <f>_xlfn.IFNA(VLOOKUP($H44,Report_Regression!$O:$Y,7,FALSE),0)</f>
        <v>563.30000000000007</v>
      </c>
      <c r="V44" s="29">
        <f>_xlfn.IFNA(VLOOKUP($H44,Report_Regression!$O:$Y,5,FALSE),0)</f>
        <v>710.3</v>
      </c>
      <c r="W44" s="2">
        <f t="shared" si="2"/>
        <v>636.79999999999995</v>
      </c>
      <c r="X44" s="33"/>
      <c r="Y44" s="29">
        <f>SUMIF('Input_2019CUST-YTD'!S:S,G44,'Input_2019CUST-YTD'!R:R)</f>
        <v>63</v>
      </c>
      <c r="Z44" s="29">
        <f>SUMIF('Input_2020CUST-YTD'!S:S,G44,'Input_2020CUST-YTD'!R:R)</f>
        <v>67</v>
      </c>
      <c r="AA44" s="29">
        <f>SUMIF('Input_2021CUST-YTD'!S:S,G44,'Input_2021CUST-YTD'!R:R)</f>
        <v>67</v>
      </c>
      <c r="AB44" s="29">
        <f t="shared" si="4"/>
        <v>70.847643199080238</v>
      </c>
      <c r="AC44" s="29">
        <f t="shared" si="5"/>
        <v>74.916246968122095</v>
      </c>
      <c r="AD44" s="29" t="str">
        <f>VLOOKUP(D44,'Input_Fcst Inputs'!A:F,2,FALSE)</f>
        <v>UPC Growth Rate</v>
      </c>
      <c r="AE44" s="29">
        <f>SUMIF('Input_2019VOL-YTD'!R:R,G44,'Input_2019VOL-YTD'!O:O)</f>
        <v>4452.0999999999995</v>
      </c>
      <c r="AF44" s="29">
        <f>SUMIF('Input_2020VOL-YTD'!R:R,G44,'Input_2020VOL-YTD'!O:O)</f>
        <v>2389.8399999999997</v>
      </c>
      <c r="AG44" s="29">
        <f>SUMIF('Input_2021VOL-YTD'!R:R,G44,'Input_2021VOL-YTD'!O:O)</f>
        <v>3281.4999999999995</v>
      </c>
      <c r="AH44" s="29">
        <f>IFERROR(IF($AD44="Historical Average",(AVERAGE($AE44:$AG44)/AVERAGE($Y44:$AA44))*AB44,IF($AD44="UPC Growth Rate",((AG44/AA44)*(1+$S44)*AB44),IF($AD44="Modeled UPC",AB44/12*$W44,IF(AD44="Base Period",AG44,IF(AD44="Adjusted",SUMIF('Input_Fcst Inputs'!A:A,D44,'Input_Fcst Inputs'!F:F),0))))),0)</f>
        <v>3401.575008484564</v>
      </c>
      <c r="AI44" s="29">
        <f>IFERROR(IF($AD44="Historical Average",(AVERAGE($AE44:$AG44)/AVERAGE($Y44:$AA44))*AC44,IF($AD44="UPC Growth Rate",((AH44/AB44)*(1+$S44)*AC44),IF($AD44="Modeled UPC",AC44/12*$W44,IF(AD44="Base Period",AG44,IF(AD44="Adjusted",SUMIF('Input_Fcst Inputs'!A:A,D44,'Input_Fcst Inputs'!G:G),0))))),0)</f>
        <v>3526.0437416872664</v>
      </c>
    </row>
    <row r="45" spans="1:35" s="32" customFormat="1">
      <c r="A45" s="32" t="s">
        <v>8</v>
      </c>
      <c r="B45" s="32" t="s">
        <v>331</v>
      </c>
      <c r="C45" s="28" t="s">
        <v>0</v>
      </c>
      <c r="D45" s="28" t="s">
        <v>644</v>
      </c>
      <c r="E45" s="28" t="s">
        <v>281</v>
      </c>
      <c r="F45" s="182" t="s">
        <v>672</v>
      </c>
      <c r="G45" s="31" t="s">
        <v>707</v>
      </c>
      <c r="H45" s="31" t="s">
        <v>353</v>
      </c>
      <c r="I45" s="28"/>
      <c r="J45" s="29" t="str">
        <f>IFERROR(VLOOKUP(H45,Report_Regression!B:L,11,FALSE),"")</f>
        <v>Median</v>
      </c>
      <c r="K45" s="30">
        <f>_xlfn.IFNA(VLOOKUP($H45,Report_Regression!$B:$L,9,FALSE),0)</f>
        <v>-2.0400907354704373E-2</v>
      </c>
      <c r="L45" s="30">
        <f>_xlfn.IFNA(VLOOKUP($H45,Report_Regression!$B:$L,10,FALSE),0)</f>
        <v>-5.8885380908403812E-2</v>
      </c>
      <c r="M45" s="30">
        <f>_xlfn.IFNA(VLOOKUP($H45,Report_Regression!$B:$L,8,FALSE),0)</f>
        <v>1.3983779024195529E-2</v>
      </c>
      <c r="N45" s="30">
        <f t="shared" si="0"/>
        <v>-2.0400907354704373E-2</v>
      </c>
      <c r="O45" s="30" t="str">
        <f>IFERROR(VLOOKUP(H45,Report_Regression!O:Y,11,FALSE),"")</f>
        <v>Median</v>
      </c>
      <c r="P45" s="30">
        <f>IFERROR(VLOOKUP($H45,Report_Regression!$O:$Y,9,FALSE),0)</f>
        <v>-4.2673976859106559E-2</v>
      </c>
      <c r="Q45" s="30">
        <f>IFERROR(VLOOKUP($H45,Report_Regression!$O:$Y,10,FALSE),0)</f>
        <v>-9.4883282598638069E-2</v>
      </c>
      <c r="R45" s="30">
        <f>IFERROR(VLOOKUP($H45,Report_Regression!$O:$Y,8,FALSE),0)</f>
        <v>-8.4170622033785409E-3</v>
      </c>
      <c r="S45" s="30">
        <f t="shared" si="1"/>
        <v>-4.2673976859106559E-2</v>
      </c>
      <c r="T45" s="29">
        <f>_xlfn.IFNA(VLOOKUP($H45,Report_Regression!$O:$Y,6,FALSE),0)</f>
        <v>871.59467421763247</v>
      </c>
      <c r="U45" s="29">
        <f>_xlfn.IFNA(VLOOKUP($H45,Report_Regression!$O:$Y,7,FALSE),0)</f>
        <v>652.96673277073285</v>
      </c>
      <c r="V45" s="29">
        <f>_xlfn.IFNA(VLOOKUP($H45,Report_Regression!$O:$Y,5,FALSE),0)</f>
        <v>1090.2226156645322</v>
      </c>
      <c r="W45" s="2">
        <f t="shared" si="2"/>
        <v>871.59467421763247</v>
      </c>
      <c r="X45" s="33"/>
      <c r="Y45" s="29">
        <f>SUMIF('Input_2019CUST-YTD'!S:S,G45,'Input_2019CUST-YTD'!R:R)</f>
        <v>5789</v>
      </c>
      <c r="Z45" s="29">
        <f>SUMIF('Input_2020CUST-YTD'!S:S,G45,'Input_2020CUST-YTD'!R:R)</f>
        <v>5764</v>
      </c>
      <c r="AA45" s="29">
        <f>SUMIF('Input_2021CUST-YTD'!S:S,G45,'Input_2021CUST-YTD'!R:R)</f>
        <v>5772</v>
      </c>
      <c r="AB45" s="29">
        <f t="shared" si="4"/>
        <v>5654.2459627486469</v>
      </c>
      <c r="AC45" s="29">
        <f t="shared" si="5"/>
        <v>5538.8942147019006</v>
      </c>
      <c r="AD45" s="29" t="str">
        <f>VLOOKUP(D45,'Input_Fcst Inputs'!A:F,2,FALSE)</f>
        <v>UPC Growth Rate</v>
      </c>
      <c r="AE45" s="29">
        <f>SUMIF('Input_2019VOL-YTD'!R:R,G45,'Input_2019VOL-YTD'!O:O)</f>
        <v>534136.82999999996</v>
      </c>
      <c r="AF45" s="29">
        <f>SUMIF('Input_2020VOL-YTD'!R:R,G45,'Input_2020VOL-YTD'!O:O)</f>
        <v>409436.17999999982</v>
      </c>
      <c r="AG45" s="29">
        <f>SUMIF('Input_2021VOL-YTD'!R:R,G45,'Input_2021VOL-YTD'!O:O)</f>
        <v>477588.38999999996</v>
      </c>
      <c r="AH45" s="29">
        <f>IFERROR(IF($AD45="Historical Average",(AVERAGE($AE45:$AG45)/AVERAGE($Y45:$AA45))*AB45,IF($AD45="UPC Growth Rate",((AG45/AA45)*(1+$S45)*AB45),IF($AD45="Modeled UPC",AB45/12*$W45,IF(AD45="Base Period",AG45,IF(AD45="Adjusted",SUMIF('Input_Fcst Inputs'!A:A,D45,'Input_Fcst Inputs'!F:F),0))))),0)</f>
        <v>447880.3402477412</v>
      </c>
      <c r="AI45" s="29">
        <f>IFERROR(IF($AD45="Historical Average",(AVERAGE($AE45:$AG45)/AVERAGE($Y45:$AA45))*AC45,IF($AD45="UPC Growth Rate",((AH45/AB45)*(1+$S45)*AC45),IF($AD45="Modeled UPC",AC45/12*$W45,IF(AD45="Base Period",AG45,IF(AD45="Adjusted",SUMIF('Input_Fcst Inputs'!A:A,D45,'Input_Fcst Inputs'!G:G),0))))),0)</f>
        <v>420020.25882671145</v>
      </c>
    </row>
    <row r="46" spans="1:35" s="32" customFormat="1">
      <c r="A46" s="32" t="s">
        <v>8</v>
      </c>
      <c r="B46" s="32" t="s">
        <v>331</v>
      </c>
      <c r="C46" s="28" t="s">
        <v>0</v>
      </c>
      <c r="D46" s="28" t="s">
        <v>645</v>
      </c>
      <c r="E46" s="28" t="s">
        <v>282</v>
      </c>
      <c r="F46" s="184" t="s">
        <v>673</v>
      </c>
      <c r="G46" s="31" t="s">
        <v>52</v>
      </c>
      <c r="H46" s="31" t="s">
        <v>353</v>
      </c>
      <c r="I46" s="28"/>
      <c r="J46" s="29" t="str">
        <f>IFERROR(VLOOKUP(H46,Report_Regression!B:L,11,FALSE),"")</f>
        <v>Median</v>
      </c>
      <c r="K46" s="30">
        <f>_xlfn.IFNA(VLOOKUP($H46,Report_Regression!$B:$L,9,FALSE),0)</f>
        <v>-2.0400907354704373E-2</v>
      </c>
      <c r="L46" s="30">
        <f>_xlfn.IFNA(VLOOKUP($H46,Report_Regression!$B:$L,10,FALSE),0)</f>
        <v>-5.8885380908403812E-2</v>
      </c>
      <c r="M46" s="30">
        <f>_xlfn.IFNA(VLOOKUP($H46,Report_Regression!$B:$L,8,FALSE),0)</f>
        <v>1.3983779024195529E-2</v>
      </c>
      <c r="N46" s="30">
        <f t="shared" si="0"/>
        <v>-2.0400907354704373E-2</v>
      </c>
      <c r="O46" s="30" t="str">
        <f>IFERROR(VLOOKUP(H46,Report_Regression!O:Y,11,FALSE),"")</f>
        <v>Median</v>
      </c>
      <c r="P46" s="30">
        <f>IFERROR(VLOOKUP($H46,Report_Regression!$O:$Y,9,FALSE),0)</f>
        <v>-4.2673976859106559E-2</v>
      </c>
      <c r="Q46" s="30">
        <f>IFERROR(VLOOKUP($H46,Report_Regression!$O:$Y,10,FALSE),0)</f>
        <v>-9.4883282598638069E-2</v>
      </c>
      <c r="R46" s="30">
        <f>IFERROR(VLOOKUP($H46,Report_Regression!$O:$Y,8,FALSE),0)</f>
        <v>-8.4170622033785409E-3</v>
      </c>
      <c r="S46" s="30">
        <f t="shared" si="1"/>
        <v>-4.2673976859106559E-2</v>
      </c>
      <c r="T46" s="29">
        <f>_xlfn.IFNA(VLOOKUP($H46,Report_Regression!$O:$Y,6,FALSE),0)</f>
        <v>871.59467421763247</v>
      </c>
      <c r="U46" s="29">
        <f>_xlfn.IFNA(VLOOKUP($H46,Report_Regression!$O:$Y,7,FALSE),0)</f>
        <v>652.96673277073285</v>
      </c>
      <c r="V46" s="29">
        <f>_xlfn.IFNA(VLOOKUP($H46,Report_Regression!$O:$Y,5,FALSE),0)</f>
        <v>1090.2226156645322</v>
      </c>
      <c r="W46" s="2">
        <f t="shared" si="2"/>
        <v>871.59467421763247</v>
      </c>
      <c r="X46" s="33"/>
      <c r="Y46" s="29">
        <f>SUMIF('Input_2019CUST-YTD'!S:S,G46,'Input_2019CUST-YTD'!R:R)</f>
        <v>106</v>
      </c>
      <c r="Z46" s="29">
        <f>SUMIF('Input_2020CUST-YTD'!S:S,G46,'Input_2020CUST-YTD'!R:R)</f>
        <v>96</v>
      </c>
      <c r="AA46" s="29">
        <f>SUMIF('Input_2021CUST-YTD'!S:S,G46,'Input_2021CUST-YTD'!R:R)</f>
        <v>85</v>
      </c>
      <c r="AB46" s="29">
        <f t="shared" si="4"/>
        <v>83.265922874850133</v>
      </c>
      <c r="AC46" s="29">
        <f t="shared" si="5"/>
        <v>81.567222496476361</v>
      </c>
      <c r="AD46" s="29" t="str">
        <f>VLOOKUP(D46,'Input_Fcst Inputs'!A:F,2,FALSE)</f>
        <v>UPC Growth Rate</v>
      </c>
      <c r="AE46" s="29">
        <f>SUMIF('Input_2019VOL-YTD'!R:R,G46,'Input_2019VOL-YTD'!O:O)</f>
        <v>9720.6400000000012</v>
      </c>
      <c r="AF46" s="29">
        <f>SUMIF('Input_2020VOL-YTD'!R:R,G46,'Input_2020VOL-YTD'!O:O)</f>
        <v>7897.3099999999995</v>
      </c>
      <c r="AG46" s="29">
        <f>SUMIF('Input_2021VOL-YTD'!R:R,G46,'Input_2021VOL-YTD'!O:O)</f>
        <v>9504.16</v>
      </c>
      <c r="AH46" s="29">
        <f>IFERROR(IF($AD46="Historical Average",(AVERAGE($AE46:$AG46)/AVERAGE($Y46:$AA46))*AB46,IF($AD46="UPC Growth Rate",((AG46/AA46)*(1+$S46)*AB46),IF($AD46="Modeled UPC",AB46/12*$W46,IF(AD46="Base Period",AG46,IF(AD46="Adjusted",SUMIF('Input_Fcst Inputs'!A:A,D46,'Input_Fcst Inputs'!F:F),0))))),0)</f>
        <v>8912.9604146553302</v>
      </c>
      <c r="AI46" s="29">
        <f>IFERROR(IF($AD46="Historical Average",(AVERAGE($AE46:$AG46)/AVERAGE($Y46:$AA46))*AC46,IF($AD46="UPC Growth Rate",((AH46/AB46)*(1+$S46)*AC46),IF($AD46="Modeled UPC",AC46/12*$W46,IF(AD46="Base Period",AG46,IF(AD46="Adjusted",SUMIF('Input_Fcst Inputs'!A:A,D46,'Input_Fcst Inputs'!G:G),0))))),0)</f>
        <v>8358.5359835285726</v>
      </c>
    </row>
    <row r="47" spans="1:35" s="32" customFormat="1">
      <c r="A47" s="32" t="s">
        <v>8</v>
      </c>
      <c r="B47" s="32" t="s">
        <v>331</v>
      </c>
      <c r="C47" s="28" t="s">
        <v>635</v>
      </c>
      <c r="D47" s="28" t="s">
        <v>646</v>
      </c>
      <c r="E47" s="28" t="s">
        <v>261</v>
      </c>
      <c r="F47" s="182" t="s">
        <v>672</v>
      </c>
      <c r="G47" s="31" t="s">
        <v>708</v>
      </c>
      <c r="H47" s="31" t="s">
        <v>392</v>
      </c>
      <c r="I47" s="28"/>
      <c r="J47" s="29" t="str">
        <f>IFERROR(VLOOKUP(H47,Report_Regression!B:L,11,FALSE),"")</f>
        <v>Median</v>
      </c>
      <c r="K47" s="30">
        <f>_xlfn.IFNA(VLOOKUP($H47,Report_Regression!$B:$L,9,FALSE),0)</f>
        <v>2.748906551832106E-2</v>
      </c>
      <c r="L47" s="30">
        <f>_xlfn.IFNA(VLOOKUP($H47,Report_Regression!$B:$L,10,FALSE),0)</f>
        <v>2.5561879187322677E-2</v>
      </c>
      <c r="M47" s="30">
        <f>_xlfn.IFNA(VLOOKUP($H47,Report_Regression!$B:$L,8,FALSE),0)</f>
        <v>2.9340079346640572E-2</v>
      </c>
      <c r="N47" s="30">
        <f t="shared" si="0"/>
        <v>2.748906551832106E-2</v>
      </c>
      <c r="O47" s="30" t="str">
        <f>IFERROR(VLOOKUP(H47,Report_Regression!O:Y,11,FALSE),"")</f>
        <v>Median</v>
      </c>
      <c r="P47" s="30">
        <f>IFERROR(VLOOKUP($H47,Report_Regression!$O:$Y,9,FALSE),0)</f>
        <v>-1.8059022170019087E-2</v>
      </c>
      <c r="Q47" s="30">
        <f>IFERROR(VLOOKUP($H47,Report_Regression!$O:$Y,10,FALSE),0)</f>
        <v>-2.0071918927754197E-2</v>
      </c>
      <c r="R47" s="30">
        <f>IFERROR(VLOOKUP($H47,Report_Regression!$O:$Y,8,FALSE),0)</f>
        <v>-1.6417910447761409E-2</v>
      </c>
      <c r="S47" s="30">
        <f t="shared" si="1"/>
        <v>-1.8059022170019087E-2</v>
      </c>
      <c r="T47" s="29">
        <f>_xlfn.IFNA(VLOOKUP($H47,Report_Regression!$O:$Y,6,FALSE),0)</f>
        <v>1672</v>
      </c>
      <c r="U47" s="29">
        <f>_xlfn.IFNA(VLOOKUP($H47,Report_Regression!$O:$Y,7,FALSE),0)</f>
        <v>1498.8</v>
      </c>
      <c r="V47" s="29">
        <f>_xlfn.IFNA(VLOOKUP($H47,Report_Regression!$O:$Y,5,FALSE),0)</f>
        <v>1845.1999999999998</v>
      </c>
      <c r="W47" s="2">
        <f t="shared" si="2"/>
        <v>1672</v>
      </c>
      <c r="X47" s="33"/>
      <c r="Y47" s="29">
        <f>SUMIF('Input_2019CUST-YTD'!S:S,G47,'Input_2019CUST-YTD'!R:R)</f>
        <v>2415</v>
      </c>
      <c r="Z47" s="29">
        <f>SUMIF('Input_2020CUST-YTD'!S:S,G47,'Input_2020CUST-YTD'!R:R)</f>
        <v>2529</v>
      </c>
      <c r="AA47" s="29">
        <f>SUMIF('Input_2021CUST-YTD'!S:S,G47,'Input_2021CUST-YTD'!R:R)</f>
        <v>2632</v>
      </c>
      <c r="AB47" s="29">
        <f t="shared" si="4"/>
        <v>2704.3512204442213</v>
      </c>
      <c r="AC47" s="29">
        <f t="shared" si="5"/>
        <v>2778.691308327564</v>
      </c>
      <c r="AD47" s="29" t="str">
        <f>VLOOKUP(D47,'Input_Fcst Inputs'!A:F,2,FALSE)</f>
        <v>UPC Growth Rate</v>
      </c>
      <c r="AE47" s="29">
        <f>SUMIF('Input_2019VOL-YTD'!R:R,G47,'Input_2019VOL-YTD'!O:O)</f>
        <v>378330.98</v>
      </c>
      <c r="AF47" s="29">
        <f>SUMIF('Input_2020VOL-YTD'!R:R,G47,'Input_2020VOL-YTD'!O:O)</f>
        <v>375255.91</v>
      </c>
      <c r="AG47" s="29">
        <f>SUMIF('Input_2021VOL-YTD'!R:R,G47,'Input_2021VOL-YTD'!O:O)</f>
        <v>397888.98</v>
      </c>
      <c r="AH47" s="29">
        <f>IFERROR(IF($AD47="Historical Average",(AVERAGE($AE47:$AG47)/AVERAGE($Y47:$AA47))*AB47,IF($AD47="UPC Growth Rate",((AG47/AA47)*(1+$S47)*AB47),IF($AD47="Modeled UPC",AB47/12*$W47,IF(AD47="Base Period",AG47,IF(AD47="Adjusted",SUMIF('Input_Fcst Inputs'!A:A,D47,'Input_Fcst Inputs'!F:F),0))))),0)</f>
        <v>401443.56803622254</v>
      </c>
      <c r="AI47" s="29">
        <f>IFERROR(IF($AD47="Historical Average",(AVERAGE($AE47:$AG47)/AVERAGE($Y47:$AA47))*AC47,IF($AD47="UPC Growth Rate",((AH47/AB47)*(1+$S47)*AC47),IF($AD47="Modeled UPC",AC47/12*$W47,IF(AD47="Base Period",AG47,IF(AD47="Adjusted",SUMIF('Input_Fcst Inputs'!A:A,D47,'Input_Fcst Inputs'!G:G),0))))),0)</f>
        <v>405029.91140305815</v>
      </c>
    </row>
    <row r="48" spans="1:35" s="32" customFormat="1" ht="14.25" customHeight="1">
      <c r="A48" s="32" t="s">
        <v>8</v>
      </c>
      <c r="B48" s="32" t="s">
        <v>331</v>
      </c>
      <c r="C48" s="28" t="s">
        <v>635</v>
      </c>
      <c r="D48" s="28" t="s">
        <v>647</v>
      </c>
      <c r="E48" s="28" t="s">
        <v>265</v>
      </c>
      <c r="F48" s="184" t="s">
        <v>673</v>
      </c>
      <c r="G48" s="31" t="s">
        <v>53</v>
      </c>
      <c r="H48" s="31" t="s">
        <v>392</v>
      </c>
      <c r="I48" s="28"/>
      <c r="J48" s="29" t="str">
        <f>IFERROR(VLOOKUP(H48,Report_Regression!B:L,11,FALSE),"")</f>
        <v>Median</v>
      </c>
      <c r="K48" s="30">
        <f>_xlfn.IFNA(VLOOKUP($H48,Report_Regression!$B:$L,9,FALSE),0)</f>
        <v>2.748906551832106E-2</v>
      </c>
      <c r="L48" s="30">
        <f>_xlfn.IFNA(VLOOKUP($H48,Report_Regression!$B:$L,10,FALSE),0)</f>
        <v>2.5561879187322677E-2</v>
      </c>
      <c r="M48" s="30">
        <f>_xlfn.IFNA(VLOOKUP($H48,Report_Regression!$B:$L,8,FALSE),0)</f>
        <v>2.9340079346640572E-2</v>
      </c>
      <c r="N48" s="30">
        <f t="shared" si="0"/>
        <v>2.748906551832106E-2</v>
      </c>
      <c r="O48" s="30" t="str">
        <f>IFERROR(VLOOKUP(H48,Report_Regression!O:Y,11,FALSE),"")</f>
        <v>Median</v>
      </c>
      <c r="P48" s="30">
        <f>IFERROR(VLOOKUP($H48,Report_Regression!$O:$Y,9,FALSE),0)</f>
        <v>-1.8059022170019087E-2</v>
      </c>
      <c r="Q48" s="30">
        <f>IFERROR(VLOOKUP($H48,Report_Regression!$O:$Y,10,FALSE),0)</f>
        <v>-2.0071918927754197E-2</v>
      </c>
      <c r="R48" s="30">
        <f>IFERROR(VLOOKUP($H48,Report_Regression!$O:$Y,8,FALSE),0)</f>
        <v>-1.6417910447761409E-2</v>
      </c>
      <c r="S48" s="30">
        <f t="shared" si="1"/>
        <v>-1.8059022170019087E-2</v>
      </c>
      <c r="T48" s="29">
        <f>_xlfn.IFNA(VLOOKUP($H48,Report_Regression!$O:$Y,6,FALSE),0)</f>
        <v>1672</v>
      </c>
      <c r="U48" s="29">
        <f>_xlfn.IFNA(VLOOKUP($H48,Report_Regression!$O:$Y,7,FALSE),0)</f>
        <v>1498.8</v>
      </c>
      <c r="V48" s="29">
        <f>_xlfn.IFNA(VLOOKUP($H48,Report_Regression!$O:$Y,5,FALSE),0)</f>
        <v>1845.1999999999998</v>
      </c>
      <c r="W48" s="2">
        <f t="shared" si="2"/>
        <v>1672</v>
      </c>
      <c r="X48" s="33"/>
      <c r="Y48" s="29">
        <f>SUMIF('Input_2019CUST-YTD'!S:S,G48,'Input_2019CUST-YTD'!R:R)</f>
        <v>128</v>
      </c>
      <c r="Z48" s="29">
        <f>SUMIF('Input_2020CUST-YTD'!S:S,G48,'Input_2020CUST-YTD'!R:R)</f>
        <v>119</v>
      </c>
      <c r="AA48" s="29">
        <f>SUMIF('Input_2021CUST-YTD'!S:S,G48,'Input_2021CUST-YTD'!R:R)</f>
        <v>122</v>
      </c>
      <c r="AB48" s="29">
        <f t="shared" si="4"/>
        <v>125.35366599323517</v>
      </c>
      <c r="AC48" s="29">
        <f t="shared" si="5"/>
        <v>128.79952113068495</v>
      </c>
      <c r="AD48" s="29" t="str">
        <f>VLOOKUP(D48,'Input_Fcst Inputs'!A:F,2,FALSE)</f>
        <v>UPC Growth Rate</v>
      </c>
      <c r="AE48" s="29">
        <f>SUMIF('Input_2019VOL-YTD'!R:R,G48,'Input_2019VOL-YTD'!O:O)</f>
        <v>18485.39</v>
      </c>
      <c r="AF48" s="29">
        <f>SUMIF('Input_2020VOL-YTD'!R:R,G48,'Input_2020VOL-YTD'!O:O)</f>
        <v>13846.25</v>
      </c>
      <c r="AG48" s="29">
        <f>SUMIF('Input_2021VOL-YTD'!R:R,G48,'Input_2021VOL-YTD'!O:O)</f>
        <v>17953.97</v>
      </c>
      <c r="AH48" s="29">
        <f>IFERROR(IF($AD48="Historical Average",(AVERAGE($AE48:$AG48)/AVERAGE($Y48:$AA48))*AB48,IF($AD48="UPC Growth Rate",((AG48/AA48)*(1+$S48)*AB48),IF($AD48="Modeled UPC",AB48/12*$W48,IF(AD48="Base Period",AG48,IF(AD48="Adjusted",SUMIF('Input_Fcst Inputs'!A:A,D48,'Input_Fcst Inputs'!F:F),0))))),0)</f>
        <v>18114.363904261179</v>
      </c>
      <c r="AI48" s="29">
        <f>IFERROR(IF($AD48="Historical Average",(AVERAGE($AE48:$AG48)/AVERAGE($Y48:$AA48))*AC48,IF($AD48="UPC Growth Rate",((AH48/AB48)*(1+$S48)*AC48),IF($AD48="Modeled UPC",AC48/12*$W48,IF(AD48="Base Period",AG48,IF(AD48="Adjusted",SUMIF('Input_Fcst Inputs'!A:A,D48,'Input_Fcst Inputs'!G:G),0))))),0)</f>
        <v>18276.190706345187</v>
      </c>
    </row>
    <row r="49" spans="1:35" s="32" customFormat="1">
      <c r="A49" s="32" t="s">
        <v>8</v>
      </c>
      <c r="B49" s="32" t="s">
        <v>331</v>
      </c>
      <c r="C49" s="28" t="s">
        <v>0</v>
      </c>
      <c r="D49" s="32" t="s">
        <v>675</v>
      </c>
      <c r="E49" s="28" t="s">
        <v>273</v>
      </c>
      <c r="F49" s="182" t="s">
        <v>672</v>
      </c>
      <c r="G49" s="31" t="s">
        <v>709</v>
      </c>
      <c r="H49" s="31" t="s">
        <v>394</v>
      </c>
      <c r="I49" s="28"/>
      <c r="J49" s="29" t="str">
        <f>IFERROR(VLOOKUP(H49,Report_Regression!B:L,11,FALSE),"")</f>
        <v>Median</v>
      </c>
      <c r="K49" s="30">
        <f>_xlfn.IFNA(VLOOKUP($H49,Report_Regression!$B:$L,9,FALSE),0)</f>
        <v>2.6784283829125063E-2</v>
      </c>
      <c r="L49" s="30">
        <f>_xlfn.IFNA(VLOOKUP($H49,Report_Regression!$B:$L,10,FALSE),0)</f>
        <v>2.2427493718462355E-2</v>
      </c>
      <c r="M49" s="30">
        <f>_xlfn.IFNA(VLOOKUP($H49,Report_Regression!$B:$L,8,FALSE),0)</f>
        <v>3.1020324094097884E-2</v>
      </c>
      <c r="N49" s="30">
        <f t="shared" si="0"/>
        <v>2.6784283829125063E-2</v>
      </c>
      <c r="O49" s="30" t="str">
        <f>IFERROR(VLOOKUP(H49,Report_Regression!O:Y,11,FALSE),"")</f>
        <v>Median</v>
      </c>
      <c r="P49" s="30">
        <f>IFERROR(VLOOKUP($H49,Report_Regression!$O:$Y,9,FALSE),0)</f>
        <v>1.22672019627513E-3</v>
      </c>
      <c r="Q49" s="30">
        <f>IFERROR(VLOOKUP($H49,Report_Regression!$O:$Y,10,FALSE),0)</f>
        <v>5.6980056980073348E-4</v>
      </c>
      <c r="R49" s="30">
        <f>IFERROR(VLOOKUP($H49,Report_Regression!$O:$Y,8,FALSE),0)</f>
        <v>1.7972962413063428E-3</v>
      </c>
      <c r="S49" s="30">
        <f t="shared" si="1"/>
        <v>1.22672019627513E-3</v>
      </c>
      <c r="T49" s="29">
        <f>_xlfn.IFNA(VLOOKUP($H49,Report_Regression!$O:$Y,6,FALSE),0)</f>
        <v>3591.2</v>
      </c>
      <c r="U49" s="29">
        <f>_xlfn.IFNA(VLOOKUP($H49,Report_Regression!$O:$Y,7,FALSE),0)</f>
        <v>3336.4000000000005</v>
      </c>
      <c r="V49" s="29">
        <f>_xlfn.IFNA(VLOOKUP($H49,Report_Regression!$O:$Y,5,FALSE),0)</f>
        <v>3845.9999999999995</v>
      </c>
      <c r="W49" s="2">
        <f t="shared" si="2"/>
        <v>3591.2</v>
      </c>
      <c r="X49" s="33"/>
      <c r="Y49" s="29">
        <f>SUMIF('Input_2019CUST-YTD'!S:S,G49,'Input_2019CUST-YTD'!R:R)</f>
        <v>193</v>
      </c>
      <c r="Z49" s="29">
        <f>SUMIF('Input_2020CUST-YTD'!S:S,G49,'Input_2020CUST-YTD'!R:R)</f>
        <v>194</v>
      </c>
      <c r="AA49" s="29">
        <f>SUMIF('Input_2021CUST-YTD'!S:S,G49,'Input_2021CUST-YTD'!R:R)</f>
        <v>191</v>
      </c>
      <c r="AB49" s="29">
        <f t="shared" si="4"/>
        <v>196.11579821136289</v>
      </c>
      <c r="AC49" s="29">
        <f t="shared" si="5"/>
        <v>201.36861941403143</v>
      </c>
      <c r="AD49" s="29" t="str">
        <f>VLOOKUP(D49,'Input_Fcst Inputs'!A:F,2,FALSE)</f>
        <v>UPC Growth Rate</v>
      </c>
      <c r="AE49" s="29">
        <f>SUMIF('Input_2019VOL-YTD'!R:R,G49,'Input_2019VOL-YTD'!O:O)</f>
        <v>36917.149999999994</v>
      </c>
      <c r="AF49" s="29">
        <f>SUMIF('Input_2020VOL-YTD'!R:R,G49,'Input_2020VOL-YTD'!O:O)</f>
        <v>32448.590000000004</v>
      </c>
      <c r="AG49" s="29">
        <f>SUMIF('Input_2021VOL-YTD'!R:R,G49,'Input_2021VOL-YTD'!O:O)</f>
        <v>34301.160000000003</v>
      </c>
      <c r="AH49" s="29">
        <f>IFERROR(IF($AD49="Historical Average",(AVERAGE($AE49:$AG49)/AVERAGE($Y49:$AA49))*AB49,IF($AD49="UPC Growth Rate",((AG49/AA49)*(1+$S49)*AB49),IF($AD49="Modeled UPC",AB49/12*$W49,IF(AD49="Base Period",AG49,IF(AD49="Adjusted",SUMIF('Input_Fcst Inputs'!A:A,D49,'Input_Fcst Inputs'!F:F),0))))),0)</f>
        <v>35263.096957941532</v>
      </c>
      <c r="AI49" s="29">
        <f>IFERROR(IF($AD49="Historical Average",(AVERAGE($AE49:$AG49)/AVERAGE($Y49:$AA49))*AC49,IF($AD49="UPC Growth Rate",((AH49/AB49)*(1+$S49)*AC49),IF($AD49="Modeled UPC",AC49/12*$W49,IF(AD49="Base Period",AG49,IF(AD49="Adjusted",SUMIF('Input_Fcst Inputs'!A:A,D49,'Input_Fcst Inputs'!G:G),0))))),0)</f>
        <v>36252.01034207546</v>
      </c>
    </row>
    <row r="50" spans="1:35" s="32" customFormat="1">
      <c r="A50" s="32" t="s">
        <v>8</v>
      </c>
      <c r="B50" s="32" t="s">
        <v>331</v>
      </c>
      <c r="C50" s="28" t="s">
        <v>0</v>
      </c>
      <c r="D50" s="32" t="s">
        <v>676</v>
      </c>
      <c r="E50" s="28" t="s">
        <v>283</v>
      </c>
      <c r="F50" s="184" t="s">
        <v>673</v>
      </c>
      <c r="G50" s="31" t="s">
        <v>674</v>
      </c>
      <c r="H50" s="31" t="s">
        <v>394</v>
      </c>
      <c r="I50" s="28"/>
      <c r="J50" s="29" t="str">
        <f>IFERROR(VLOOKUP(H50,Report_Regression!B:L,11,FALSE),"")</f>
        <v>Median</v>
      </c>
      <c r="K50" s="30">
        <f>_xlfn.IFNA(VLOOKUP($H50,Report_Regression!$B:$L,9,FALSE),0)</f>
        <v>2.6784283829125063E-2</v>
      </c>
      <c r="L50" s="30">
        <f>_xlfn.IFNA(VLOOKUP($H50,Report_Regression!$B:$L,10,FALSE),0)</f>
        <v>2.2427493718462355E-2</v>
      </c>
      <c r="M50" s="30">
        <f>_xlfn.IFNA(VLOOKUP($H50,Report_Regression!$B:$L,8,FALSE),0)</f>
        <v>3.1020324094097884E-2</v>
      </c>
      <c r="N50" s="30">
        <f t="shared" si="0"/>
        <v>2.6784283829125063E-2</v>
      </c>
      <c r="O50" s="30" t="str">
        <f>IFERROR(VLOOKUP(H50,Report_Regression!O:Y,11,FALSE),"")</f>
        <v>Median</v>
      </c>
      <c r="P50" s="30">
        <f>IFERROR(VLOOKUP($H50,Report_Regression!$O:$Y,9,FALSE),0)</f>
        <v>1.22672019627513E-3</v>
      </c>
      <c r="Q50" s="30">
        <f>IFERROR(VLOOKUP($H50,Report_Regression!$O:$Y,10,FALSE),0)</f>
        <v>5.6980056980073348E-4</v>
      </c>
      <c r="R50" s="30">
        <f>IFERROR(VLOOKUP($H50,Report_Regression!$O:$Y,8,FALSE),0)</f>
        <v>1.7972962413063428E-3</v>
      </c>
      <c r="S50" s="30">
        <f t="shared" si="1"/>
        <v>1.22672019627513E-3</v>
      </c>
      <c r="T50" s="29">
        <f>_xlfn.IFNA(VLOOKUP($H50,Report_Regression!$O:$Y,6,FALSE),0)</f>
        <v>3591.2</v>
      </c>
      <c r="U50" s="29">
        <f>_xlfn.IFNA(VLOOKUP($H50,Report_Regression!$O:$Y,7,FALSE),0)</f>
        <v>3336.4000000000005</v>
      </c>
      <c r="V50" s="29">
        <f>_xlfn.IFNA(VLOOKUP($H50,Report_Regression!$O:$Y,5,FALSE),0)</f>
        <v>3845.9999999999995</v>
      </c>
      <c r="W50" s="2">
        <f t="shared" si="2"/>
        <v>3591.2</v>
      </c>
      <c r="X50" s="33"/>
      <c r="Y50" s="29">
        <f>SUMIF('Input_2019CUST-YTD'!S:S,G50,'Input_2019CUST-YTD'!R:R)</f>
        <v>0</v>
      </c>
      <c r="Z50" s="29">
        <f>SUMIF('Input_2020CUST-YTD'!S:S,G50,'Input_2020CUST-YTD'!R:R)</f>
        <v>0</v>
      </c>
      <c r="AA50" s="29">
        <f>SUMIF('Input_2021CUST-YTD'!S:S,G50,'Input_2021CUST-YTD'!R:R)</f>
        <v>0</v>
      </c>
      <c r="AB50" s="29">
        <f t="shared" si="4"/>
        <v>0</v>
      </c>
      <c r="AC50" s="29">
        <f t="shared" si="5"/>
        <v>0</v>
      </c>
      <c r="AD50" s="29" t="str">
        <f>VLOOKUP(D50,'Input_Fcst Inputs'!A:F,2,FALSE)</f>
        <v>UPC Growth Rate</v>
      </c>
      <c r="AE50" s="29">
        <f>SUMIF('Input_2019VOL-YTD'!R:R,G50,'Input_2019VOL-YTD'!O:O)</f>
        <v>0</v>
      </c>
      <c r="AF50" s="29">
        <f>SUMIF('Input_2020VOL-YTD'!R:R,G50,'Input_2020VOL-YTD'!O:O)</f>
        <v>0</v>
      </c>
      <c r="AG50" s="29">
        <f>SUMIF('Input_2021VOL-YTD'!R:R,G50,'Input_2021VOL-YTD'!O:O)</f>
        <v>0</v>
      </c>
      <c r="AH50" s="29">
        <f>IFERROR(IF($AD50="Historical Average",(AVERAGE($AE50:$AG50)/AVERAGE($Y50:$AA50))*AB50,IF($AD50="UPC Growth Rate",((AG50/AA50)*(1+$S50)*AB50),IF($AD50="Modeled UPC",AB50/12*$W50,IF(AD50="Base Period",AG50,IF(AD50="Adjusted",SUMIF('Input_Fcst Inputs'!A:A,D50,'Input_Fcst Inputs'!F:F),0))))),0)</f>
        <v>0</v>
      </c>
      <c r="AI50" s="29">
        <f>IFERROR(IF($AD50="Historical Average",(AVERAGE($AE50:$AG50)/AVERAGE($Y50:$AA50))*AC50,IF($AD50="UPC Growth Rate",((AH50/AB50)*(1+$S50)*AC50),IF($AD50="Modeled UPC",AC50/12*$W50,IF(AD50="Base Period",AG50,IF(AD50="Adjusted",SUMIF('Input_Fcst Inputs'!A:A,D50,'Input_Fcst Inputs'!G:G),0))))),0)</f>
        <v>0</v>
      </c>
    </row>
    <row r="51" spans="1:35" s="32" customFormat="1">
      <c r="A51" s="32" t="s">
        <v>8</v>
      </c>
      <c r="B51" s="32" t="s">
        <v>331</v>
      </c>
      <c r="C51" s="28" t="s">
        <v>635</v>
      </c>
      <c r="D51" s="32" t="s">
        <v>683</v>
      </c>
      <c r="E51" s="28" t="s">
        <v>249</v>
      </c>
      <c r="F51" s="182" t="s">
        <v>672</v>
      </c>
      <c r="G51" s="31" t="s">
        <v>700</v>
      </c>
      <c r="H51" s="31" t="s">
        <v>394</v>
      </c>
      <c r="I51" s="28"/>
      <c r="J51" s="29" t="str">
        <f>IFERROR(VLOOKUP(H51,Report_Regression!B:L,11,FALSE),"")</f>
        <v>Median</v>
      </c>
      <c r="K51" s="30">
        <f>_xlfn.IFNA(VLOOKUP($H51,Report_Regression!$B:$L,9,FALSE),0)</f>
        <v>2.6784283829125063E-2</v>
      </c>
      <c r="L51" s="30">
        <f>_xlfn.IFNA(VLOOKUP($H51,Report_Regression!$B:$L,10,FALSE),0)</f>
        <v>2.2427493718462355E-2</v>
      </c>
      <c r="M51" s="30">
        <f>_xlfn.IFNA(VLOOKUP($H51,Report_Regression!$B:$L,8,FALSE),0)</f>
        <v>3.1020324094097884E-2</v>
      </c>
      <c r="N51" s="30">
        <f t="shared" si="0"/>
        <v>2.6784283829125063E-2</v>
      </c>
      <c r="O51" s="30" t="str">
        <f>IFERROR(VLOOKUP(H51,Report_Regression!O:Y,11,FALSE),"")</f>
        <v>Median</v>
      </c>
      <c r="P51" s="30">
        <f>IFERROR(VLOOKUP($H51,Report_Regression!$O:$Y,9,FALSE),0)</f>
        <v>1.22672019627513E-3</v>
      </c>
      <c r="Q51" s="30">
        <f>IFERROR(VLOOKUP($H51,Report_Regression!$O:$Y,10,FALSE),0)</f>
        <v>5.6980056980073348E-4</v>
      </c>
      <c r="R51" s="30">
        <f>IFERROR(VLOOKUP($H51,Report_Regression!$O:$Y,8,FALSE),0)</f>
        <v>1.7972962413063428E-3</v>
      </c>
      <c r="S51" s="30">
        <f t="shared" si="1"/>
        <v>1.22672019627513E-3</v>
      </c>
      <c r="T51" s="29">
        <f>_xlfn.IFNA(VLOOKUP($H51,Report_Regression!$O:$Y,6,FALSE),0)</f>
        <v>3591.2</v>
      </c>
      <c r="U51" s="29">
        <f>_xlfn.IFNA(VLOOKUP($H51,Report_Regression!$O:$Y,7,FALSE),0)</f>
        <v>3336.4000000000005</v>
      </c>
      <c r="V51" s="29">
        <f>_xlfn.IFNA(VLOOKUP($H51,Report_Regression!$O:$Y,5,FALSE),0)</f>
        <v>3845.9999999999995</v>
      </c>
      <c r="W51" s="2">
        <f t="shared" si="2"/>
        <v>3591.2</v>
      </c>
      <c r="X51" s="33"/>
      <c r="Y51" s="29">
        <f>SUMIF('Input_2019CUST-YTD'!S:S,G51,'Input_2019CUST-YTD'!R:R)</f>
        <v>3251</v>
      </c>
      <c r="Z51" s="29">
        <f>SUMIF('Input_2020CUST-YTD'!S:S,G51,'Input_2020CUST-YTD'!R:R)</f>
        <v>3351</v>
      </c>
      <c r="AA51" s="29">
        <f>SUMIF('Input_2021CUST-YTD'!S:S,G51,'Input_2021CUST-YTD'!R:R)</f>
        <v>3467</v>
      </c>
      <c r="AB51" s="29">
        <f t="shared" si="4"/>
        <v>3559.8611120355763</v>
      </c>
      <c r="AC51" s="29">
        <f t="shared" si="5"/>
        <v>3655.2094424526017</v>
      </c>
      <c r="AD51" s="29" t="str">
        <f>VLOOKUP(D51,'Input_Fcst Inputs'!A:F,2,FALSE)</f>
        <v>UPC Growth Rate</v>
      </c>
      <c r="AE51" s="29">
        <f>SUMIF('Input_2019VOL-YTD'!R:R,G51,'Input_2019VOL-YTD'!O:O)</f>
        <v>1046214.8000000003</v>
      </c>
      <c r="AF51" s="29">
        <f>SUMIF('Input_2020VOL-YTD'!R:R,G51,'Input_2020VOL-YTD'!O:O)</f>
        <v>994633.17000000016</v>
      </c>
      <c r="AG51" s="29">
        <f>SUMIF('Input_2021VOL-YTD'!R:R,G51,'Input_2021VOL-YTD'!O:O)</f>
        <v>1096930.3500000003</v>
      </c>
      <c r="AH51" s="29">
        <f>IFERROR(IF($AD51="Historical Average",(AVERAGE($AE51:$AG51)/AVERAGE($Y51:$AA51))*AB51,IF($AD51="UPC Growth Rate",((AG51/AA51)*(1+$S51)*AB51),IF($AD51="Modeled UPC",AB51/12*$W51,IF(AD51="Base Period",AG51,IF(AD51="Adjusted",SUMIF('Input_Fcst Inputs'!A:A,D51,'Input_Fcst Inputs'!F:F),0))))),0)</f>
        <v>1127692.5120945983</v>
      </c>
      <c r="AI51" s="29">
        <f>IFERROR(IF($AD51="Historical Average",(AVERAGE($AE51:$AG51)/AVERAGE($Y51:$AA51))*AC51,IF($AD51="UPC Growth Rate",((AH51/AB51)*(1+$S51)*AC51),IF($AD51="Modeled UPC",AC51/12*$W51,IF(AD51="Base Period",AG51,IF(AD51="Adjusted",SUMIF('Input_Fcst Inputs'!A:A,D51,'Input_Fcst Inputs'!G:G),0))))),0)</f>
        <v>1159317.3639823396</v>
      </c>
    </row>
    <row r="52" spans="1:35" s="32" customFormat="1">
      <c r="A52" s="32" t="s">
        <v>8</v>
      </c>
      <c r="B52" s="32" t="s">
        <v>331</v>
      </c>
      <c r="C52" s="28" t="s">
        <v>635</v>
      </c>
      <c r="D52" s="32" t="s">
        <v>684</v>
      </c>
      <c r="E52" s="28" t="s">
        <v>266</v>
      </c>
      <c r="F52" s="184" t="s">
        <v>673</v>
      </c>
      <c r="G52" s="31" t="s">
        <v>697</v>
      </c>
      <c r="H52" s="31" t="s">
        <v>394</v>
      </c>
      <c r="I52" s="28"/>
      <c r="J52" s="29" t="str">
        <f>IFERROR(VLOOKUP(H52,Report_Regression!B:L,11,FALSE),"")</f>
        <v>Median</v>
      </c>
      <c r="K52" s="30">
        <f>_xlfn.IFNA(VLOOKUP($H52,Report_Regression!$B:$L,9,FALSE),0)</f>
        <v>2.6784283829125063E-2</v>
      </c>
      <c r="L52" s="30">
        <f>_xlfn.IFNA(VLOOKUP($H52,Report_Regression!$B:$L,10,FALSE),0)</f>
        <v>2.2427493718462355E-2</v>
      </c>
      <c r="M52" s="30">
        <f>_xlfn.IFNA(VLOOKUP($H52,Report_Regression!$B:$L,8,FALSE),0)</f>
        <v>3.1020324094097884E-2</v>
      </c>
      <c r="N52" s="30">
        <f t="shared" si="0"/>
        <v>2.6784283829125063E-2</v>
      </c>
      <c r="O52" s="30" t="str">
        <f>IFERROR(VLOOKUP(H52,Report_Regression!O:Y,11,FALSE),"")</f>
        <v>Median</v>
      </c>
      <c r="P52" s="30">
        <f>IFERROR(VLOOKUP($H52,Report_Regression!$O:$Y,9,FALSE),0)</f>
        <v>1.22672019627513E-3</v>
      </c>
      <c r="Q52" s="30">
        <f>IFERROR(VLOOKUP($H52,Report_Regression!$O:$Y,10,FALSE),0)</f>
        <v>5.6980056980073348E-4</v>
      </c>
      <c r="R52" s="30">
        <f>IFERROR(VLOOKUP($H52,Report_Regression!$O:$Y,8,FALSE),0)</f>
        <v>1.7972962413063428E-3</v>
      </c>
      <c r="S52" s="30">
        <f t="shared" si="1"/>
        <v>1.22672019627513E-3</v>
      </c>
      <c r="T52" s="29">
        <f>_xlfn.IFNA(VLOOKUP($H52,Report_Regression!$O:$Y,6,FALSE),0)</f>
        <v>3591.2</v>
      </c>
      <c r="U52" s="29">
        <f>_xlfn.IFNA(VLOOKUP($H52,Report_Regression!$O:$Y,7,FALSE),0)</f>
        <v>3336.4000000000005</v>
      </c>
      <c r="V52" s="29">
        <f>_xlfn.IFNA(VLOOKUP($H52,Report_Regression!$O:$Y,5,FALSE),0)</f>
        <v>3845.9999999999995</v>
      </c>
      <c r="W52" s="2">
        <f t="shared" si="2"/>
        <v>3591.2</v>
      </c>
      <c r="X52" s="33"/>
      <c r="Y52" s="29">
        <f>SUMIF('Input_2019CUST-YTD'!S:S,G52,'Input_2019CUST-YTD'!R:R)</f>
        <v>211</v>
      </c>
      <c r="Z52" s="29">
        <f>SUMIF('Input_2020CUST-YTD'!S:S,G52,'Input_2020CUST-YTD'!R:R)</f>
        <v>214</v>
      </c>
      <c r="AA52" s="29">
        <f>SUMIF('Input_2021CUST-YTD'!S:S,G52,'Input_2021CUST-YTD'!R:R)</f>
        <v>203</v>
      </c>
      <c r="AB52" s="29">
        <f t="shared" si="4"/>
        <v>208.43720961731239</v>
      </c>
      <c r="AC52" s="29">
        <f t="shared" si="5"/>
        <v>214.02005100025332</v>
      </c>
      <c r="AD52" s="29" t="str">
        <f>VLOOKUP(D52,'Input_Fcst Inputs'!A:F,2,FALSE)</f>
        <v>UPC Growth Rate</v>
      </c>
      <c r="AE52" s="29">
        <f>SUMIF('Input_2019VOL-YTD'!R:R,G52,'Input_2019VOL-YTD'!O:O)</f>
        <v>63850.9</v>
      </c>
      <c r="AF52" s="29">
        <f>SUMIF('Input_2020VOL-YTD'!R:R,G52,'Input_2020VOL-YTD'!O:O)</f>
        <v>56372.82</v>
      </c>
      <c r="AG52" s="29">
        <f>SUMIF('Input_2021VOL-YTD'!R:R,G52,'Input_2021VOL-YTD'!O:O)</f>
        <v>59512.849999999991</v>
      </c>
      <c r="AH52" s="29">
        <f>IFERROR(IF($AD52="Historical Average",(AVERAGE($AE52:$AG52)/AVERAGE($Y52:$AA52))*AB52,IF($AD52="UPC Growth Rate",((AG52/AA52)*(1+$S52)*AB52),IF($AD52="Modeled UPC",AB52/12*$W52,IF(AD52="Base Period",AG52,IF(AD52="Adjusted",SUMIF('Input_Fcst Inputs'!A:A,D52,'Input_Fcst Inputs'!F:F),0))))),0)</f>
        <v>61181.820084027197</v>
      </c>
      <c r="AI52" s="29">
        <f>IFERROR(IF($AD52="Historical Average",(AVERAGE($AE52:$AG52)/AVERAGE($Y52:$AA52))*AC52,IF($AD52="UPC Growth Rate",((AH52/AB52)*(1+$S52)*AC52),IF($AD52="Modeled UPC",AC52/12*$W52,IF(AD52="Base Period",AG52,IF(AD52="Adjusted",SUMIF('Input_Fcst Inputs'!A:A,D52,'Input_Fcst Inputs'!G:G),0))))),0)</f>
        <v>62897.594532849194</v>
      </c>
    </row>
    <row r="53" spans="1:35" s="32" customFormat="1">
      <c r="A53" s="32" t="s">
        <v>8</v>
      </c>
      <c r="B53" s="32" t="s">
        <v>331</v>
      </c>
      <c r="C53" s="28" t="s">
        <v>635</v>
      </c>
      <c r="D53" s="32" t="s">
        <v>685</v>
      </c>
      <c r="E53" s="28" t="s">
        <v>263</v>
      </c>
      <c r="F53" s="182" t="s">
        <v>672</v>
      </c>
      <c r="G53" s="31" t="s">
        <v>698</v>
      </c>
      <c r="H53" s="31" t="s">
        <v>396</v>
      </c>
      <c r="I53" s="28"/>
      <c r="J53" s="29" t="str">
        <f>IFERROR(VLOOKUP(H53,Report_Regression!B:L,11,FALSE),"")</f>
        <v>Median</v>
      </c>
      <c r="K53" s="30">
        <f>_xlfn.IFNA(VLOOKUP($H53,Report_Regression!$B:$L,9,FALSE),0)</f>
        <v>-1.0532413897830479E-2</v>
      </c>
      <c r="L53" s="30">
        <f>_xlfn.IFNA(VLOOKUP($H53,Report_Regression!$B:$L,10,FALSE),0)</f>
        <v>-2.1782179918380277E-2</v>
      </c>
      <c r="M53" s="30">
        <f>_xlfn.IFNA(VLOOKUP($H53,Report_Regression!$B:$L,8,FALSE),0)</f>
        <v>3.5798619761134349E-4</v>
      </c>
      <c r="N53" s="30">
        <f t="shared" si="0"/>
        <v>-1.0532413897830479E-2</v>
      </c>
      <c r="O53" s="30" t="str">
        <f>IFERROR(VLOOKUP(H53,Report_Regression!O:Y,11,FALSE),"")</f>
        <v>Median</v>
      </c>
      <c r="P53" s="30">
        <f>IFERROR(VLOOKUP($H53,Report_Regression!$O:$Y,9,FALSE),0)</f>
        <v>-5.3752990430621737E-3</v>
      </c>
      <c r="Q53" s="30">
        <f>IFERROR(VLOOKUP($H53,Report_Regression!$O:$Y,10,FALSE),0)</f>
        <v>-6.6995073891624422E-3</v>
      </c>
      <c r="R53" s="30">
        <f>IFERROR(VLOOKUP($H53,Report_Regression!$O:$Y,8,FALSE),0)</f>
        <v>-4.268460060389714E-3</v>
      </c>
      <c r="S53" s="30">
        <f t="shared" si="1"/>
        <v>-5.3752990430621737E-3</v>
      </c>
      <c r="T53" s="29">
        <f>_xlfn.IFNA(VLOOKUP($H53,Report_Regression!$O:$Y,6,FALSE),0)</f>
        <v>6652.05</v>
      </c>
      <c r="U53" s="29">
        <f>_xlfn.IFNA(VLOOKUP($H53,Report_Regression!$O:$Y,7,FALSE),0)</f>
        <v>6049.2000000000007</v>
      </c>
      <c r="V53" s="29">
        <f>_xlfn.IFNA(VLOOKUP($H53,Report_Regression!$O:$Y,5,FALSE),0)</f>
        <v>7254.9</v>
      </c>
      <c r="W53" s="2">
        <f t="shared" si="2"/>
        <v>6652.05</v>
      </c>
      <c r="X53" s="33"/>
      <c r="Y53" s="29">
        <f>SUMIF('Input_2019CUST-YTD'!S:S,G53,'Input_2019CUST-YTD'!R:R)</f>
        <v>3967</v>
      </c>
      <c r="Z53" s="29">
        <f>SUMIF('Input_2020CUST-YTD'!S:S,G53,'Input_2020CUST-YTD'!R:R)</f>
        <v>4033</v>
      </c>
      <c r="AA53" s="29">
        <f>SUMIF('Input_2021CUST-YTD'!S:S,G53,'Input_2021CUST-YTD'!R:R)</f>
        <v>4000</v>
      </c>
      <c r="AB53" s="29">
        <f t="shared" si="4"/>
        <v>3957.8703444086782</v>
      </c>
      <c r="AC53" s="29">
        <f t="shared" si="5"/>
        <v>3916.1844157874175</v>
      </c>
      <c r="AD53" s="29" t="str">
        <f>VLOOKUP(D53,'Input_Fcst Inputs'!A:F,2,FALSE)</f>
        <v>UPC Growth Rate</v>
      </c>
      <c r="AE53" s="29">
        <f>SUMIF('Input_2019VOL-YTD'!R:R,G53,'Input_2019VOL-YTD'!O:O)</f>
        <v>2375136</v>
      </c>
      <c r="AF53" s="29">
        <f>SUMIF('Input_2020VOL-YTD'!R:R,G53,'Input_2020VOL-YTD'!O:O)</f>
        <v>2187651.4499999997</v>
      </c>
      <c r="AG53" s="29">
        <f>SUMIF('Input_2021VOL-YTD'!R:R,G53,'Input_2021VOL-YTD'!O:O)</f>
        <v>2376848.7600000002</v>
      </c>
      <c r="AH53" s="29">
        <f>IFERROR(IF($AD53="Historical Average",(AVERAGE($AE53:$AG53)/AVERAGE($Y53:$AA53))*AB53,IF($AD53="UPC Growth Rate",((AG53/AA53)*(1+$S53)*AB53),IF($AD53="Modeled UPC",AB53/12*$W53,IF(AD53="Base Period",AG53,IF(AD53="Adjusted",SUMIF('Input_Fcst Inputs'!A:A,D53,'Input_Fcst Inputs'!F:F),0))))),0)</f>
        <v>2339173.0972158909</v>
      </c>
      <c r="AI53" s="29">
        <f>IFERROR(IF($AD53="Historical Average",(AVERAGE($AE53:$AG53)/AVERAGE($Y53:$AA53))*AC53,IF($AD53="UPC Growth Rate",((AH53/AB53)*(1+$S53)*AC53),IF($AD53="Modeled UPC",AC53/12*$W53,IF(AD53="Base Period",AG53,IF(AD53="Adjusted",SUMIF('Input_Fcst Inputs'!A:A,D53,'Input_Fcst Inputs'!G:G),0))))),0)</f>
        <v>2302094.6350572947</v>
      </c>
    </row>
    <row r="54" spans="1:35" s="32" customFormat="1">
      <c r="A54" s="32" t="s">
        <v>8</v>
      </c>
      <c r="B54" s="32" t="s">
        <v>331</v>
      </c>
      <c r="C54" s="28" t="s">
        <v>635</v>
      </c>
      <c r="D54" s="32" t="s">
        <v>686</v>
      </c>
      <c r="E54" s="28" t="s">
        <v>264</v>
      </c>
      <c r="F54" s="184" t="s">
        <v>673</v>
      </c>
      <c r="G54" s="31" t="s">
        <v>699</v>
      </c>
      <c r="H54" s="31" t="s">
        <v>396</v>
      </c>
      <c r="I54" s="28"/>
      <c r="J54" s="29" t="str">
        <f>IFERROR(VLOOKUP(H54,Report_Regression!B:L,11,FALSE),"")</f>
        <v>Median</v>
      </c>
      <c r="K54" s="30">
        <f>_xlfn.IFNA(VLOOKUP($H54,Report_Regression!$B:$L,9,FALSE),0)</f>
        <v>-1.0532413897830479E-2</v>
      </c>
      <c r="L54" s="30">
        <f>_xlfn.IFNA(VLOOKUP($H54,Report_Regression!$B:$L,10,FALSE),0)</f>
        <v>-2.1782179918380277E-2</v>
      </c>
      <c r="M54" s="30">
        <f>_xlfn.IFNA(VLOOKUP($H54,Report_Regression!$B:$L,8,FALSE),0)</f>
        <v>3.5798619761134349E-4</v>
      </c>
      <c r="N54" s="30">
        <f t="shared" si="0"/>
        <v>-1.0532413897830479E-2</v>
      </c>
      <c r="O54" s="30" t="str">
        <f>IFERROR(VLOOKUP(H54,Report_Regression!O:Y,11,FALSE),"")</f>
        <v>Median</v>
      </c>
      <c r="P54" s="30">
        <f>IFERROR(VLOOKUP($H54,Report_Regression!$O:$Y,9,FALSE),0)</f>
        <v>-5.3752990430621737E-3</v>
      </c>
      <c r="Q54" s="30">
        <f>IFERROR(VLOOKUP($H54,Report_Regression!$O:$Y,10,FALSE),0)</f>
        <v>-6.6995073891624422E-3</v>
      </c>
      <c r="R54" s="30">
        <f>IFERROR(VLOOKUP($H54,Report_Regression!$O:$Y,8,FALSE),0)</f>
        <v>-4.268460060389714E-3</v>
      </c>
      <c r="S54" s="30">
        <f t="shared" si="1"/>
        <v>-5.3752990430621737E-3</v>
      </c>
      <c r="T54" s="29">
        <f>_xlfn.IFNA(VLOOKUP($H54,Report_Regression!$O:$Y,6,FALSE),0)</f>
        <v>6652.05</v>
      </c>
      <c r="U54" s="29">
        <f>_xlfn.IFNA(VLOOKUP($H54,Report_Regression!$O:$Y,7,FALSE),0)</f>
        <v>6049.2000000000007</v>
      </c>
      <c r="V54" s="29">
        <f>_xlfn.IFNA(VLOOKUP($H54,Report_Regression!$O:$Y,5,FALSE),0)</f>
        <v>7254.9</v>
      </c>
      <c r="W54" s="2">
        <f t="shared" si="2"/>
        <v>6652.05</v>
      </c>
      <c r="X54" s="33"/>
      <c r="Y54" s="29">
        <f>SUMIF('Input_2019CUST-YTD'!S:S,G54,'Input_2019CUST-YTD'!R:R)</f>
        <v>84</v>
      </c>
      <c r="Z54" s="29">
        <f>SUMIF('Input_2020CUST-YTD'!S:S,G54,'Input_2020CUST-YTD'!R:R)</f>
        <v>84</v>
      </c>
      <c r="AA54" s="29">
        <f>SUMIF('Input_2021CUST-YTD'!S:S,G54,'Input_2021CUST-YTD'!R:R)</f>
        <v>81</v>
      </c>
      <c r="AB54" s="29">
        <f t="shared" si="4"/>
        <v>80.146874474275734</v>
      </c>
      <c r="AC54" s="29">
        <f t="shared" si="5"/>
        <v>79.302734419695199</v>
      </c>
      <c r="AD54" s="29" t="str">
        <f>VLOOKUP(D54,'Input_Fcst Inputs'!A:F,2,FALSE)</f>
        <v>UPC Growth Rate</v>
      </c>
      <c r="AE54" s="29">
        <f>SUMIF('Input_2019VOL-YTD'!R:R,G54,'Input_2019VOL-YTD'!O:O)</f>
        <v>46889.649999999994</v>
      </c>
      <c r="AF54" s="29">
        <f>SUMIF('Input_2020VOL-YTD'!R:R,G54,'Input_2020VOL-YTD'!O:O)</f>
        <v>40285.82</v>
      </c>
      <c r="AG54" s="29">
        <f>SUMIF('Input_2021VOL-YTD'!R:R,G54,'Input_2021VOL-YTD'!O:O)</f>
        <v>47542.520000000004</v>
      </c>
      <c r="AH54" s="29">
        <f>IFERROR(IF($AD54="Historical Average",(AVERAGE($AE54:$AG54)/AVERAGE($Y54:$AA54))*AB54,IF($AD54="UPC Growth Rate",((AG54/AA54)*(1+$S54)*AB54),IF($AD54="Modeled UPC",AB54/12*$W54,IF(AD54="Base Period",AG54,IF(AD54="Adjusted",SUMIF('Input_Fcst Inputs'!A:A,D54,'Input_Fcst Inputs'!F:F),0))))),0)</f>
        <v>46788.918853149255</v>
      </c>
      <c r="AI54" s="29">
        <f>IFERROR(IF($AD54="Historical Average",(AVERAGE($AE54:$AG54)/AVERAGE($Y54:$AA54))*AC54,IF($AD54="UPC Growth Rate",((AH54/AB54)*(1+$S54)*AC54),IF($AD54="Modeled UPC",AC54/12*$W54,IF(AD54="Base Period",AG54,IF(AD54="Adjusted",SUMIF('Input_Fcst Inputs'!A:A,D54,'Input_Fcst Inputs'!G:G),0))))),0)</f>
        <v>46047.263111980305</v>
      </c>
    </row>
    <row r="55" spans="1:35" s="32" customFormat="1">
      <c r="A55" s="32" t="s">
        <v>8</v>
      </c>
      <c r="B55" s="32" t="s">
        <v>331</v>
      </c>
      <c r="C55" s="28" t="s">
        <v>635</v>
      </c>
      <c r="D55" s="32" t="s">
        <v>54</v>
      </c>
      <c r="E55" s="28" t="s">
        <v>250</v>
      </c>
      <c r="F55" s="182" t="s">
        <v>672</v>
      </c>
      <c r="G55" s="31" t="s">
        <v>55</v>
      </c>
      <c r="H55" s="31" t="s">
        <v>398</v>
      </c>
      <c r="I55" s="28"/>
      <c r="J55" s="29" t="str">
        <f>IFERROR(VLOOKUP(H55,Report_Regression!B:L,11,FALSE),"")</f>
        <v>Median</v>
      </c>
      <c r="K55" s="30">
        <f>_xlfn.IFNA(VLOOKUP($H55,Report_Regression!$B:$L,9,FALSE),0)</f>
        <v>1.8974393636890258E-2</v>
      </c>
      <c r="L55" s="30">
        <f>_xlfn.IFNA(VLOOKUP($H55,Report_Regression!$B:$L,10,FALSE),0)</f>
        <v>1.2695374204291092E-2</v>
      </c>
      <c r="M55" s="30">
        <f>_xlfn.IFNA(VLOOKUP($H55,Report_Regression!$B:$L,8,FALSE),0)</f>
        <v>2.5034446367125145E-2</v>
      </c>
      <c r="N55" s="30">
        <f t="shared" si="0"/>
        <v>1.8974393636890258E-2</v>
      </c>
      <c r="O55" s="30" t="str">
        <f>IFERROR(VLOOKUP(H55,Report_Regression!O:Y,11,FALSE),"")</f>
        <v>Median</v>
      </c>
      <c r="P55" s="30">
        <f>IFERROR(VLOOKUP($H55,Report_Regression!$O:$Y,9,FALSE),0)</f>
        <v>-1.9094755816262625E-5</v>
      </c>
      <c r="Q55" s="30">
        <f>IFERROR(VLOOKUP($H55,Report_Regression!$O:$Y,10,FALSE),0)</f>
        <v>-7.4886967209516079E-3</v>
      </c>
      <c r="R55" s="30">
        <f>IFERROR(VLOOKUP($H55,Report_Regression!$O:$Y,8,FALSE),0)</f>
        <v>5.7317823274551771E-3</v>
      </c>
      <c r="S55" s="30">
        <f t="shared" si="1"/>
        <v>-1.9094755816262625E-5</v>
      </c>
      <c r="T55" s="29">
        <f>_xlfn.IFNA(VLOOKUP($H55,Report_Regression!$O:$Y,6,FALSE),0)</f>
        <v>13092.349999999999</v>
      </c>
      <c r="U55" s="29">
        <f>_xlfn.IFNA(VLOOKUP($H55,Report_Regression!$O:$Y,7,FALSE),0)</f>
        <v>11305.199999999999</v>
      </c>
      <c r="V55" s="29">
        <f>_xlfn.IFNA(VLOOKUP($H55,Report_Regression!$O:$Y,5,FALSE),0)</f>
        <v>14879.499999999998</v>
      </c>
      <c r="W55" s="2">
        <f t="shared" si="2"/>
        <v>13092.349999999999</v>
      </c>
      <c r="X55" s="33"/>
      <c r="Y55" s="29">
        <f>SUMIF('Input_2019CUST-YTD'!S:S,G55,'Input_2019CUST-YTD'!R:R)</f>
        <v>2522</v>
      </c>
      <c r="Z55" s="29">
        <f>SUMIF('Input_2020CUST-YTD'!S:S,G55,'Input_2020CUST-YTD'!R:R)</f>
        <v>2521</v>
      </c>
      <c r="AA55" s="29">
        <f>SUMIF('Input_2021CUST-YTD'!S:S,G55,'Input_2021CUST-YTD'!R:R)</f>
        <v>2556</v>
      </c>
      <c r="AB55" s="29">
        <f t="shared" si="4"/>
        <v>2604.4985501358915</v>
      </c>
      <c r="AC55" s="29">
        <f t="shared" si="5"/>
        <v>2653.9173308528798</v>
      </c>
      <c r="AD55" s="29" t="str">
        <f>VLOOKUP(D55,'Input_Fcst Inputs'!A:F,2,FALSE)</f>
        <v>UPC Growth Rate</v>
      </c>
      <c r="AE55" s="29">
        <f>SUMIF('Input_2019VOL-YTD'!R:R,G55,'Input_2019VOL-YTD'!O:O)</f>
        <v>3177361.0100000002</v>
      </c>
      <c r="AF55" s="29">
        <f>SUMIF('Input_2020VOL-YTD'!R:R,G55,'Input_2020VOL-YTD'!O:O)</f>
        <v>2769647.3300000005</v>
      </c>
      <c r="AG55" s="29">
        <f>SUMIF('Input_2021VOL-YTD'!R:R,G55,'Input_2021VOL-YTD'!O:O)</f>
        <v>3034325.4999999991</v>
      </c>
      <c r="AH55" s="29">
        <f>IFERROR(IF($AD55="Historical Average",(AVERAGE($AE55:$AG55)/AVERAGE($Y55:$AA55))*AB55,IF($AD55="UPC Growth Rate",((AG55/AA55)*(1+$S55)*AB55),IF($AD55="Modeled UPC",AB55/12*$W55,IF(AD55="Base Period",AG55,IF(AD55="Adjusted",SUMIF('Input_Fcst Inputs'!A:A,D55,'Input_Fcst Inputs'!F:F),0))))),0)</f>
        <v>3091840.9473842033</v>
      </c>
      <c r="AI55" s="29">
        <f>IFERROR(IF($AD55="Historical Average",(AVERAGE($AE55:$AG55)/AVERAGE($Y55:$AA55))*AC55,IF($AD55="UPC Growth Rate",((AH55/AB55)*(1+$S55)*AC55),IF($AD55="Modeled UPC",AC55/12*$W55,IF(AD55="Base Period",AG55,IF(AD55="Adjusted",SUMIF('Input_Fcst Inputs'!A:A,D55,'Input_Fcst Inputs'!G:G),0))))),0)</f>
        <v>3150446.5964253508</v>
      </c>
    </row>
    <row r="56" spans="1:35" s="32" customFormat="1">
      <c r="A56" s="32" t="s">
        <v>8</v>
      </c>
      <c r="B56" s="32" t="s">
        <v>331</v>
      </c>
      <c r="C56" s="28" t="s">
        <v>635</v>
      </c>
      <c r="D56" s="32" t="s">
        <v>56</v>
      </c>
      <c r="E56" s="28" t="s">
        <v>251</v>
      </c>
      <c r="F56" s="182" t="s">
        <v>672</v>
      </c>
      <c r="G56" s="31" t="s">
        <v>57</v>
      </c>
      <c r="H56" s="31" t="s">
        <v>433</v>
      </c>
      <c r="I56" s="28"/>
      <c r="J56" s="29" t="str">
        <f>IFERROR(VLOOKUP(H56,Report_Regression!B:L,11,FALSE),"")</f>
        <v>Base Period</v>
      </c>
      <c r="K56" s="30">
        <f>_xlfn.IFNA(VLOOKUP($H56,Report_Regression!$B:$L,9,FALSE),0)</f>
        <v>0</v>
      </c>
      <c r="L56" s="30">
        <f>_xlfn.IFNA(VLOOKUP($H56,Report_Regression!$B:$L,10,FALSE),0)</f>
        <v>0</v>
      </c>
      <c r="M56" s="30">
        <f>_xlfn.IFNA(VLOOKUP($H56,Report_Regression!$B:$L,8,FALSE),0)</f>
        <v>0</v>
      </c>
      <c r="N56" s="30">
        <f t="shared" si="0"/>
        <v>0</v>
      </c>
      <c r="O56" s="30" t="str">
        <f>IFERROR(VLOOKUP(H56,Report_Regression!O:Y,11,FALSE),"")</f>
        <v>Base Period</v>
      </c>
      <c r="P56" s="30">
        <f>IFERROR(VLOOKUP($H56,Report_Regression!$O:$Y,9,FALSE),0)</f>
        <v>0</v>
      </c>
      <c r="Q56" s="30">
        <f>IFERROR(VLOOKUP($H56,Report_Regression!$O:$Y,10,FALSE),0)</f>
        <v>0</v>
      </c>
      <c r="R56" s="30">
        <f>IFERROR(VLOOKUP($H56,Report_Regression!$O:$Y,8,FALSE),0)</f>
        <v>0</v>
      </c>
      <c r="S56" s="30">
        <f t="shared" si="1"/>
        <v>0</v>
      </c>
      <c r="T56" s="29">
        <f>_xlfn.IFNA(VLOOKUP($H56,Report_Regression!$O:$Y,6,FALSE),0)</f>
        <v>0</v>
      </c>
      <c r="U56" s="29">
        <f>_xlfn.IFNA(VLOOKUP($H56,Report_Regression!$O:$Y,7,FALSE),0)</f>
        <v>0</v>
      </c>
      <c r="V56" s="29">
        <f>_xlfn.IFNA(VLOOKUP($H56,Report_Regression!$O:$Y,5,FALSE),0)</f>
        <v>0</v>
      </c>
      <c r="W56" s="2">
        <f t="shared" si="2"/>
        <v>29072.603888888887</v>
      </c>
      <c r="X56" s="33"/>
      <c r="Y56" s="29">
        <f>SUMIF('Input_2019CUST-YTD'!S:S,G56,'Input_2019CUST-YTD'!R:R)</f>
        <v>414</v>
      </c>
      <c r="Z56" s="29">
        <f>SUMIF('Input_2020CUST-YTD'!S:S,G56,'Input_2020CUST-YTD'!R:R)</f>
        <v>432</v>
      </c>
      <c r="AA56" s="29">
        <f>SUMIF('Input_2021CUST-YTD'!S:S,G56,'Input_2021CUST-YTD'!R:R)</f>
        <v>432</v>
      </c>
      <c r="AB56" s="29">
        <f t="shared" si="4"/>
        <v>432</v>
      </c>
      <c r="AC56" s="29">
        <f t="shared" si="5"/>
        <v>432</v>
      </c>
      <c r="AD56" s="29" t="str">
        <f>VLOOKUP(D56,'Input_Fcst Inputs'!A:F,2,FALSE)</f>
        <v>Base Period</v>
      </c>
      <c r="AE56" s="29">
        <f>SUMIF('Input_2019VOL-YTD'!R:R,G56,'Input_2019VOL-YTD'!O:O)</f>
        <v>1055390.52</v>
      </c>
      <c r="AF56" s="29">
        <f>SUMIF('Input_2020VOL-YTD'!R:R,G56,'Input_2020VOL-YTD'!O:O)</f>
        <v>1028885.8700000001</v>
      </c>
      <c r="AG56" s="29">
        <f>SUMIF('Input_2021VOL-YTD'!R:R,G56,'Input_2021VOL-YTD'!O:O)</f>
        <v>1046613.74</v>
      </c>
      <c r="AH56" s="29">
        <f>IFERROR(IF($AD56="Historical Average",(AVERAGE($AE56:$AG56)/AVERAGE($Y56:$AA56))*AB56,IF($AD56="UPC Growth Rate",((AG56/AA56)*(1+$S56)*AB56),IF($AD56="Modeled UPC",AB56/12*$W56,IF(AD56="Base Period",AG56,IF(AD56="Adjusted",SUMIF('Input_Fcst Inputs'!A:A,D56,'Input_Fcst Inputs'!F:F),0))))),0)</f>
        <v>1046613.74</v>
      </c>
      <c r="AI56" s="29">
        <f>IFERROR(IF($AD56="Historical Average",(AVERAGE($AE56:$AG56)/AVERAGE($Y56:$AA56))*AC56,IF($AD56="UPC Growth Rate",((AH56/AB56)*(1+$S56)*AC56),IF($AD56="Modeled UPC",AC56/12*$W56,IF(AD56="Base Period",AG56,IF(AD56="Adjusted",SUMIF('Input_Fcst Inputs'!A:A,D56,'Input_Fcst Inputs'!G:G),0))))),0)</f>
        <v>1046613.74</v>
      </c>
    </row>
    <row r="57" spans="1:35" s="32" customFormat="1">
      <c r="A57" s="32" t="s">
        <v>8</v>
      </c>
      <c r="B57" s="32" t="s">
        <v>331</v>
      </c>
      <c r="C57" s="28" t="s">
        <v>635</v>
      </c>
      <c r="D57" s="32" t="s">
        <v>58</v>
      </c>
      <c r="E57" s="28" t="s">
        <v>252</v>
      </c>
      <c r="F57" s="182" t="s">
        <v>672</v>
      </c>
      <c r="G57" s="31" t="s">
        <v>59</v>
      </c>
      <c r="H57" s="31" t="s">
        <v>433</v>
      </c>
      <c r="I57" s="28"/>
      <c r="J57" s="29" t="str">
        <f>IFERROR(VLOOKUP(H57,Report_Regression!B:L,11,FALSE),"")</f>
        <v>Base Period</v>
      </c>
      <c r="K57" s="30">
        <f>_xlfn.IFNA(VLOOKUP($H57,Report_Regression!$B:$L,9,FALSE),0)</f>
        <v>0</v>
      </c>
      <c r="L57" s="30">
        <f>_xlfn.IFNA(VLOOKUP($H57,Report_Regression!$B:$L,10,FALSE),0)</f>
        <v>0</v>
      </c>
      <c r="M57" s="30">
        <f>_xlfn.IFNA(VLOOKUP($H57,Report_Regression!$B:$L,8,FALSE),0)</f>
        <v>0</v>
      </c>
      <c r="N57" s="30">
        <f t="shared" si="0"/>
        <v>0</v>
      </c>
      <c r="O57" s="30" t="str">
        <f>IFERROR(VLOOKUP(H57,Report_Regression!O:Y,11,FALSE),"")</f>
        <v>Base Period</v>
      </c>
      <c r="P57" s="30">
        <f>IFERROR(VLOOKUP($H57,Report_Regression!$O:$Y,9,FALSE),0)</f>
        <v>0</v>
      </c>
      <c r="Q57" s="30">
        <f>IFERROR(VLOOKUP($H57,Report_Regression!$O:$Y,10,FALSE),0)</f>
        <v>0</v>
      </c>
      <c r="R57" s="30">
        <f>IFERROR(VLOOKUP($H57,Report_Regression!$O:$Y,8,FALSE),0)</f>
        <v>0</v>
      </c>
      <c r="S57" s="30">
        <f t="shared" si="1"/>
        <v>0</v>
      </c>
      <c r="T57" s="29">
        <f>_xlfn.IFNA(VLOOKUP($H57,Report_Regression!$O:$Y,6,FALSE),0)</f>
        <v>0</v>
      </c>
      <c r="U57" s="29">
        <f>_xlfn.IFNA(VLOOKUP($H57,Report_Regression!$O:$Y,7,FALSE),0)</f>
        <v>0</v>
      </c>
      <c r="V57" s="29">
        <f>_xlfn.IFNA(VLOOKUP($H57,Report_Regression!$O:$Y,5,FALSE),0)</f>
        <v>0</v>
      </c>
      <c r="W57" s="2">
        <f t="shared" si="2"/>
        <v>82722.10633333333</v>
      </c>
      <c r="X57" s="33"/>
      <c r="Y57" s="29">
        <f>SUMIF('Input_2019CUST-YTD'!S:S,G57,'Input_2019CUST-YTD'!R:R)</f>
        <v>312</v>
      </c>
      <c r="Z57" s="29">
        <f>SUMIF('Input_2020CUST-YTD'!S:S,G57,'Input_2020CUST-YTD'!R:R)</f>
        <v>330</v>
      </c>
      <c r="AA57" s="29">
        <f>SUMIF('Input_2021CUST-YTD'!S:S,G57,'Input_2021CUST-YTD'!R:R)</f>
        <v>360</v>
      </c>
      <c r="AB57" s="29">
        <f t="shared" si="4"/>
        <v>360</v>
      </c>
      <c r="AC57" s="29">
        <f t="shared" si="5"/>
        <v>360</v>
      </c>
      <c r="AD57" s="29" t="str">
        <f>VLOOKUP(D57,'Input_Fcst Inputs'!A:F,2,FALSE)</f>
        <v>Base Period</v>
      </c>
      <c r="AE57" s="29">
        <f>SUMIF('Input_2019VOL-YTD'!R:R,G57,'Input_2019VOL-YTD'!O:O)</f>
        <v>1766616.12</v>
      </c>
      <c r="AF57" s="29">
        <f>SUMIF('Input_2020VOL-YTD'!R:R,G57,'Input_2020VOL-YTD'!O:O)</f>
        <v>1833180.28</v>
      </c>
      <c r="AG57" s="29">
        <f>SUMIF('Input_2021VOL-YTD'!R:R,G57,'Input_2021VOL-YTD'!O:O)</f>
        <v>2481663.19</v>
      </c>
      <c r="AH57" s="29">
        <f>IFERROR(IF($AD57="Historical Average",(AVERAGE($AE57:$AG57)/AVERAGE($Y57:$AA57))*AB57,IF($AD57="UPC Growth Rate",((AG57/AA57)*(1+$S57)*AB57),IF($AD57="Modeled UPC",AB57/12*$W57,IF(AD57="Base Period",AG57,IF(AD57="Adjusted",SUMIF('Input_Fcst Inputs'!A:A,D57,'Input_Fcst Inputs'!F:F),0))))),0)</f>
        <v>2481663.19</v>
      </c>
      <c r="AI57" s="29">
        <f>IFERROR(IF($AD57="Historical Average",(AVERAGE($AE57:$AG57)/AVERAGE($Y57:$AA57))*AC57,IF($AD57="UPC Growth Rate",((AH57/AB57)*(1+$S57)*AC57),IF($AD57="Modeled UPC",AC57/12*$W57,IF(AD57="Base Period",AG57,IF(AD57="Adjusted",SUMIF('Input_Fcst Inputs'!A:A,D57,'Input_Fcst Inputs'!G:G),0))))),0)</f>
        <v>2481663.19</v>
      </c>
    </row>
    <row r="58" spans="1:35" s="32" customFormat="1">
      <c r="A58" s="32" t="s">
        <v>8</v>
      </c>
      <c r="B58" s="32" t="s">
        <v>331</v>
      </c>
      <c r="C58" s="28" t="s">
        <v>635</v>
      </c>
      <c r="D58" s="32" t="s">
        <v>60</v>
      </c>
      <c r="E58" s="28" t="s">
        <v>253</v>
      </c>
      <c r="F58" s="182" t="s">
        <v>672</v>
      </c>
      <c r="G58" s="31" t="s">
        <v>61</v>
      </c>
      <c r="H58" s="31" t="s">
        <v>433</v>
      </c>
      <c r="I58" s="28"/>
      <c r="J58" s="29" t="str">
        <f>IFERROR(VLOOKUP(H58,Report_Regression!B:L,11,FALSE),"")</f>
        <v>Base Period</v>
      </c>
      <c r="K58" s="30">
        <f>_xlfn.IFNA(VLOOKUP($H58,Report_Regression!$B:$L,9,FALSE),0)</f>
        <v>0</v>
      </c>
      <c r="L58" s="30">
        <f>_xlfn.IFNA(VLOOKUP($H58,Report_Regression!$B:$L,10,FALSE),0)</f>
        <v>0</v>
      </c>
      <c r="M58" s="30">
        <f>_xlfn.IFNA(VLOOKUP($H58,Report_Regression!$B:$L,8,FALSE),0)</f>
        <v>0</v>
      </c>
      <c r="N58" s="30">
        <f t="shared" si="0"/>
        <v>0</v>
      </c>
      <c r="O58" s="30" t="str">
        <f>IFERROR(VLOOKUP(H58,Report_Regression!O:Y,11,FALSE),"")</f>
        <v>Base Period</v>
      </c>
      <c r="P58" s="30">
        <f>IFERROR(VLOOKUP($H58,Report_Regression!$O:$Y,9,FALSE),0)</f>
        <v>0</v>
      </c>
      <c r="Q58" s="30">
        <f>IFERROR(VLOOKUP($H58,Report_Regression!$O:$Y,10,FALSE),0)</f>
        <v>0</v>
      </c>
      <c r="R58" s="30">
        <f>IFERROR(VLOOKUP($H58,Report_Regression!$O:$Y,8,FALSE),0)</f>
        <v>0</v>
      </c>
      <c r="S58" s="30">
        <f t="shared" si="1"/>
        <v>0</v>
      </c>
      <c r="T58" s="29">
        <f>_xlfn.IFNA(VLOOKUP($H58,Report_Regression!$O:$Y,6,FALSE),0)</f>
        <v>0</v>
      </c>
      <c r="U58" s="29">
        <f>_xlfn.IFNA(VLOOKUP($H58,Report_Regression!$O:$Y,7,FALSE),0)</f>
        <v>0</v>
      </c>
      <c r="V58" s="29">
        <f>_xlfn.IFNA(VLOOKUP($H58,Report_Regression!$O:$Y,5,FALSE),0)</f>
        <v>0</v>
      </c>
      <c r="W58" s="2">
        <f t="shared" si="2"/>
        <v>165170.7373076923</v>
      </c>
      <c r="X58" s="33"/>
      <c r="Y58" s="29">
        <f>SUMIF('Input_2019CUST-YTD'!S:S,G58,'Input_2019CUST-YTD'!R:R)</f>
        <v>271</v>
      </c>
      <c r="Z58" s="29">
        <f>SUMIF('Input_2020CUST-YTD'!S:S,G58,'Input_2020CUST-YTD'!R:R)</f>
        <v>302</v>
      </c>
      <c r="AA58" s="29">
        <f>SUMIF('Input_2021CUST-YTD'!S:S,G58,'Input_2021CUST-YTD'!R:R)</f>
        <v>312</v>
      </c>
      <c r="AB58" s="29">
        <f t="shared" si="4"/>
        <v>312</v>
      </c>
      <c r="AC58" s="29">
        <f t="shared" si="5"/>
        <v>312</v>
      </c>
      <c r="AD58" s="29" t="str">
        <f>VLOOKUP(D58,'Input_Fcst Inputs'!A:F,2,FALSE)</f>
        <v>Base Period</v>
      </c>
      <c r="AE58" s="29">
        <f>SUMIF('Input_2019VOL-YTD'!R:R,G58,'Input_2019VOL-YTD'!O:O)</f>
        <v>3671319.6399999997</v>
      </c>
      <c r="AF58" s="29">
        <f>SUMIF('Input_2020VOL-YTD'!R:R,G58,'Input_2020VOL-YTD'!O:O)</f>
        <v>3751965.82</v>
      </c>
      <c r="AG58" s="29">
        <f>SUMIF('Input_2021VOL-YTD'!R:R,G58,'Input_2021VOL-YTD'!O:O)</f>
        <v>4294439.17</v>
      </c>
      <c r="AH58" s="29">
        <f>IFERROR(IF($AD58="Historical Average",(AVERAGE($AE58:$AG58)/AVERAGE($Y58:$AA58))*AB58,IF($AD58="UPC Growth Rate",((AG58/AA58)*(1+$S58)*AB58),IF($AD58="Modeled UPC",AB58/12*$W58,IF(AD58="Base Period",AG58,IF(AD58="Adjusted",SUMIF('Input_Fcst Inputs'!A:A,D58,'Input_Fcst Inputs'!F:F),0))))),0)</f>
        <v>4294439.17</v>
      </c>
      <c r="AI58" s="29">
        <f>IFERROR(IF($AD58="Historical Average",(AVERAGE($AE58:$AG58)/AVERAGE($Y58:$AA58))*AC58,IF($AD58="UPC Growth Rate",((AH58/AB58)*(1+$S58)*AC58),IF($AD58="Modeled UPC",AC58/12*$W58,IF(AD58="Base Period",AG58,IF(AD58="Adjusted",SUMIF('Input_Fcst Inputs'!A:A,D58,'Input_Fcst Inputs'!G:G),0))))),0)</f>
        <v>4294439.17</v>
      </c>
    </row>
    <row r="59" spans="1:35" s="28" customFormat="1">
      <c r="A59" s="28" t="s">
        <v>8</v>
      </c>
      <c r="B59" s="28" t="s">
        <v>331</v>
      </c>
      <c r="C59" s="28" t="s">
        <v>635</v>
      </c>
      <c r="D59" s="28" t="s">
        <v>62</v>
      </c>
      <c r="E59" s="28" t="s">
        <v>271</v>
      </c>
      <c r="F59" s="182" t="s">
        <v>672</v>
      </c>
      <c r="G59" s="31" t="s">
        <v>63</v>
      </c>
      <c r="H59" s="31" t="s">
        <v>433</v>
      </c>
      <c r="J59" s="29" t="str">
        <f>IFERROR(VLOOKUP(H59,Report_Regression!B:L,11,FALSE),"")</f>
        <v>Base Period</v>
      </c>
      <c r="K59" s="30">
        <f>_xlfn.IFNA(VLOOKUP($H59,Report_Regression!$B:$L,9,FALSE),0)</f>
        <v>0</v>
      </c>
      <c r="L59" s="30">
        <f>_xlfn.IFNA(VLOOKUP($H59,Report_Regression!$B:$L,10,FALSE),0)</f>
        <v>0</v>
      </c>
      <c r="M59" s="30">
        <f>_xlfn.IFNA(VLOOKUP($H59,Report_Regression!$B:$L,8,FALSE),0)</f>
        <v>0</v>
      </c>
      <c r="N59" s="30">
        <f t="shared" si="0"/>
        <v>0</v>
      </c>
      <c r="O59" s="30" t="str">
        <f>IFERROR(VLOOKUP(H59,Report_Regression!O:Y,11,FALSE),"")</f>
        <v>Base Period</v>
      </c>
      <c r="P59" s="30">
        <f>IFERROR(VLOOKUP($H59,Report_Regression!$O:$Y,9,FALSE),0)</f>
        <v>0</v>
      </c>
      <c r="Q59" s="30">
        <f>IFERROR(VLOOKUP($H59,Report_Regression!$O:$Y,10,FALSE),0)</f>
        <v>0</v>
      </c>
      <c r="R59" s="30">
        <f>IFERROR(VLOOKUP($H59,Report_Regression!$O:$Y,8,FALSE),0)</f>
        <v>0</v>
      </c>
      <c r="S59" s="30">
        <f t="shared" si="1"/>
        <v>0</v>
      </c>
      <c r="T59" s="29">
        <f>_xlfn.IFNA(VLOOKUP($H59,Report_Regression!$O:$Y,6,FALSE),0)</f>
        <v>0</v>
      </c>
      <c r="U59" s="29">
        <f>_xlfn.IFNA(VLOOKUP($H59,Report_Regression!$O:$Y,7,FALSE),0)</f>
        <v>0</v>
      </c>
      <c r="V59" s="29">
        <f>_xlfn.IFNA(VLOOKUP($H59,Report_Regression!$O:$Y,5,FALSE),0)</f>
        <v>0</v>
      </c>
      <c r="W59" s="2">
        <f t="shared" si="2"/>
        <v>293058.25764705881</v>
      </c>
      <c r="X59" s="33"/>
      <c r="Y59" s="29">
        <f>SUMIF('Input_2019CUST-YTD'!S:S,G59,'Input_2019CUST-YTD'!R:R)</f>
        <v>207</v>
      </c>
      <c r="Z59" s="29">
        <f>SUMIF('Input_2020CUST-YTD'!S:S,G59,'Input_2020CUST-YTD'!R:R)</f>
        <v>205</v>
      </c>
      <c r="AA59" s="29">
        <f>SUMIF('Input_2021CUST-YTD'!S:S,G59,'Input_2021CUST-YTD'!R:R)</f>
        <v>204</v>
      </c>
      <c r="AB59" s="29">
        <f>ROUND(AA59*(1+N59)/12,0)*12+24</f>
        <v>228</v>
      </c>
      <c r="AC59" s="29">
        <f>ROUND(AB59*(1+N59)/12,0)*12</f>
        <v>228</v>
      </c>
      <c r="AD59" s="29" t="str">
        <f>VLOOKUP(D59,'Input_Fcst Inputs'!A:F,2,FALSE)</f>
        <v>Base Period</v>
      </c>
      <c r="AE59" s="29">
        <f>SUMIF('Input_2019VOL-YTD'!R:R,G59,'Input_2019VOL-YTD'!O:O)</f>
        <v>4974440.8499999996</v>
      </c>
      <c r="AF59" s="29">
        <f>SUMIF('Input_2020VOL-YTD'!R:R,G59,'Input_2020VOL-YTD'!O:O)</f>
        <v>5228237.3199999994</v>
      </c>
      <c r="AG59" s="29">
        <f>SUMIF('Input_2021VOL-YTD'!R:R,G59,'Input_2021VOL-YTD'!O:O)</f>
        <v>4981990.38</v>
      </c>
      <c r="AH59" s="29">
        <f>IFERROR(IF($AD59="Historical Average",(AVERAGE($AE59:$AG59)/AVERAGE($Y59:$AA59))*AB59,IF($AD59="UPC Growth Rate",((AG59/AA59)*(1+$S59)*AB59),IF($AD59="Modeled UPC",AB59/12*$W59,IF(AD59="Base Period",AG59,IF(AD59="Adjusted",SUMIF('Input_Fcst Inputs'!A:A,D59,'Input_Fcst Inputs'!F:F),0))))),0)</f>
        <v>4981990.38</v>
      </c>
      <c r="AI59" s="29">
        <f>IFERROR(IF($AD59="Historical Average",(AVERAGE($AE59:$AG59)/AVERAGE($Y59:$AA59))*AC59,IF($AD59="UPC Growth Rate",((AH59/AB59)*(1+$S59)*AC59),IF($AD59="Modeled UPC",AC59/12*$W59,IF(AD59="Base Period",AG59,IF(AD59="Adjusted",SUMIF('Input_Fcst Inputs'!A:A,D59,'Input_Fcst Inputs'!G:G),0))))),0)+516106</f>
        <v>5498096.3799999999</v>
      </c>
    </row>
    <row r="60" spans="1:35" s="28" customFormat="1">
      <c r="A60" s="28" t="s">
        <v>8</v>
      </c>
      <c r="B60" s="28" t="s">
        <v>331</v>
      </c>
      <c r="C60" s="28" t="s">
        <v>635</v>
      </c>
      <c r="D60" s="28" t="s">
        <v>64</v>
      </c>
      <c r="E60" s="28" t="s">
        <v>267</v>
      </c>
      <c r="F60" s="182" t="s">
        <v>672</v>
      </c>
      <c r="G60" s="31" t="s">
        <v>65</v>
      </c>
      <c r="H60" s="31" t="s">
        <v>433</v>
      </c>
      <c r="J60" s="29" t="str">
        <f>IFERROR(VLOOKUP(H60,Report_Regression!B:L,11,FALSE),"")</f>
        <v>Base Period</v>
      </c>
      <c r="K60" s="30">
        <f>_xlfn.IFNA(VLOOKUP($H60,Report_Regression!$B:$L,9,FALSE),0)</f>
        <v>0</v>
      </c>
      <c r="L60" s="30">
        <f>_xlfn.IFNA(VLOOKUP($H60,Report_Regression!$B:$L,10,FALSE),0)</f>
        <v>0</v>
      </c>
      <c r="M60" s="30">
        <f>_xlfn.IFNA(VLOOKUP($H60,Report_Regression!$B:$L,8,FALSE),0)</f>
        <v>0</v>
      </c>
      <c r="N60" s="30">
        <f t="shared" si="0"/>
        <v>0</v>
      </c>
      <c r="O60" s="30" t="str">
        <f>IFERROR(VLOOKUP(H60,Report_Regression!O:Y,11,FALSE),"")</f>
        <v>Base Period</v>
      </c>
      <c r="P60" s="30">
        <f>IFERROR(VLOOKUP($H60,Report_Regression!$O:$Y,9,FALSE),0)</f>
        <v>0</v>
      </c>
      <c r="Q60" s="30">
        <f>IFERROR(VLOOKUP($H60,Report_Regression!$O:$Y,10,FALSE),0)</f>
        <v>0</v>
      </c>
      <c r="R60" s="30">
        <f>IFERROR(VLOOKUP($H60,Report_Regression!$O:$Y,8,FALSE),0)</f>
        <v>0</v>
      </c>
      <c r="S60" s="30">
        <f t="shared" si="1"/>
        <v>0</v>
      </c>
      <c r="T60" s="29">
        <f>_xlfn.IFNA(VLOOKUP($H60,Report_Regression!$O:$Y,6,FALSE),0)</f>
        <v>0</v>
      </c>
      <c r="U60" s="29">
        <f>_xlfn.IFNA(VLOOKUP($H60,Report_Regression!$O:$Y,7,FALSE),0)</f>
        <v>0</v>
      </c>
      <c r="V60" s="29">
        <f>_xlfn.IFNA(VLOOKUP($H60,Report_Regression!$O:$Y,5,FALSE),0)</f>
        <v>0</v>
      </c>
      <c r="W60" s="2">
        <f t="shared" si="2"/>
        <v>522822.03811764705</v>
      </c>
      <c r="X60" s="33"/>
      <c r="Y60" s="29">
        <f>SUMIF('Input_2019CUST-YTD'!S:S,G60,'Input_2019CUST-YTD'!R:R)</f>
        <v>79</v>
      </c>
      <c r="Z60" s="29">
        <f>SUMIF('Input_2020CUST-YTD'!S:S,G60,'Input_2020CUST-YTD'!R:R)</f>
        <v>73</v>
      </c>
      <c r="AA60" s="29">
        <f>SUMIF('Input_2021CUST-YTD'!S:S,G60,'Input_2021CUST-YTD'!R:R)</f>
        <v>85</v>
      </c>
      <c r="AB60" s="29">
        <f t="shared" ref="AB60:AB65" si="6">AA60*(1+N60)</f>
        <v>85</v>
      </c>
      <c r="AC60" s="29">
        <f t="shared" ref="AC60:AC65" si="7">AB60*(1+N60)</f>
        <v>85</v>
      </c>
      <c r="AD60" s="29" t="str">
        <f>VLOOKUP(D60,'Input_Fcst Inputs'!A:F,2,FALSE)</f>
        <v>Base Period</v>
      </c>
      <c r="AE60" s="29">
        <f>SUMIF('Input_2019VOL-YTD'!R:R,G60,'Input_2019VOL-YTD'!O:O)</f>
        <v>3765224.8499999987</v>
      </c>
      <c r="AF60" s="29">
        <f>SUMIF('Input_2020VOL-YTD'!R:R,G60,'Input_2020VOL-YTD'!O:O)</f>
        <v>3371769.41</v>
      </c>
      <c r="AG60" s="29">
        <f>SUMIF('Input_2021VOL-YTD'!R:R,G60,'Input_2021VOL-YTD'!O:O)</f>
        <v>3703322.77</v>
      </c>
      <c r="AH60" s="29">
        <f>IFERROR(IF($AD60="Historical Average",(AVERAGE($AE60:$AG60)/AVERAGE($Y60:$AA60))*AB60,IF($AD60="UPC Growth Rate",((AG60/AA60)*(1+$S60)*AB60),IF($AD60="Modeled UPC",AB60/12*$W60,IF(AD60="Base Period",AG60,IF(AD60="Adjusted",SUMIF('Input_Fcst Inputs'!A:A,D60,'Input_Fcst Inputs'!F:F),0))))),0)</f>
        <v>3703322.77</v>
      </c>
      <c r="AI60" s="29">
        <f>IFERROR(IF($AD60="Historical Average",(AVERAGE($AE60:$AG60)/AVERAGE($Y60:$AA60))*AC60,IF($AD60="UPC Growth Rate",((AH60/AB60)*(1+$S60)*AC60),IF($AD60="Modeled UPC",AC60/12*$W60,IF(AD60="Base Period",AG60,IF(AD60="Adjusted",SUMIF('Input_Fcst Inputs'!A:A,D60,'Input_Fcst Inputs'!G:G),0))))),0)</f>
        <v>3703322.77</v>
      </c>
    </row>
    <row r="61" spans="1:35" s="28" customFormat="1">
      <c r="A61" s="28" t="s">
        <v>8</v>
      </c>
      <c r="B61" s="28" t="s">
        <v>331</v>
      </c>
      <c r="C61" s="28" t="s">
        <v>635</v>
      </c>
      <c r="D61" s="28" t="s">
        <v>66</v>
      </c>
      <c r="E61" s="28" t="s">
        <v>272</v>
      </c>
      <c r="F61" s="182" t="s">
        <v>672</v>
      </c>
      <c r="G61" s="31" t="s">
        <v>67</v>
      </c>
      <c r="H61" s="31" t="s">
        <v>433</v>
      </c>
      <c r="J61" s="29" t="str">
        <f>IFERROR(VLOOKUP(H61,Report_Regression!B:L,11,FALSE),"")</f>
        <v>Base Period</v>
      </c>
      <c r="K61" s="30">
        <f>_xlfn.IFNA(VLOOKUP($H61,Report_Regression!$B:$L,9,FALSE),0)</f>
        <v>0</v>
      </c>
      <c r="L61" s="30">
        <f>_xlfn.IFNA(VLOOKUP($H61,Report_Regression!$B:$L,10,FALSE),0)</f>
        <v>0</v>
      </c>
      <c r="M61" s="30">
        <f>_xlfn.IFNA(VLOOKUP($H61,Report_Regression!$B:$L,8,FALSE),0)</f>
        <v>0</v>
      </c>
      <c r="N61" s="30">
        <f t="shared" si="0"/>
        <v>0</v>
      </c>
      <c r="O61" s="30" t="str">
        <f>IFERROR(VLOOKUP(H61,Report_Regression!O:Y,11,FALSE),"")</f>
        <v>Base Period</v>
      </c>
      <c r="P61" s="30">
        <f>IFERROR(VLOOKUP($H61,Report_Regression!$O:$Y,9,FALSE),0)</f>
        <v>0</v>
      </c>
      <c r="Q61" s="30">
        <f>IFERROR(VLOOKUP($H61,Report_Regression!$O:$Y,10,FALSE),0)</f>
        <v>0</v>
      </c>
      <c r="R61" s="30">
        <f>IFERROR(VLOOKUP($H61,Report_Regression!$O:$Y,8,FALSE),0)</f>
        <v>0</v>
      </c>
      <c r="S61" s="30">
        <f t="shared" si="1"/>
        <v>0</v>
      </c>
      <c r="T61" s="29">
        <f>_xlfn.IFNA(VLOOKUP($H61,Report_Regression!$O:$Y,6,FALSE),0)</f>
        <v>0</v>
      </c>
      <c r="U61" s="29">
        <f>_xlfn.IFNA(VLOOKUP($H61,Report_Regression!$O:$Y,7,FALSE),0)</f>
        <v>0</v>
      </c>
      <c r="V61" s="29">
        <f>_xlfn.IFNA(VLOOKUP($H61,Report_Regression!$O:$Y,5,FALSE),0)</f>
        <v>0</v>
      </c>
      <c r="W61" s="2">
        <f t="shared" si="2"/>
        <v>1210296.3333333335</v>
      </c>
      <c r="X61" s="33"/>
      <c r="Y61" s="29">
        <f>SUMIF('Input_2019CUST-YTD'!S:S,G61,'Input_2019CUST-YTD'!R:R)</f>
        <v>36</v>
      </c>
      <c r="Z61" s="29">
        <f>SUMIF('Input_2020CUST-YTD'!S:S,G61,'Input_2020CUST-YTD'!R:R)</f>
        <v>36</v>
      </c>
      <c r="AA61" s="29">
        <f>SUMIF('Input_2021CUST-YTD'!S:S,G61,'Input_2021CUST-YTD'!R:R)</f>
        <v>36</v>
      </c>
      <c r="AB61" s="29">
        <f t="shared" si="6"/>
        <v>36</v>
      </c>
      <c r="AC61" s="29">
        <f t="shared" si="7"/>
        <v>36</v>
      </c>
      <c r="AD61" s="29" t="str">
        <f>VLOOKUP(D61,'Input_Fcst Inputs'!A:F,2,FALSE)</f>
        <v>Base Period</v>
      </c>
      <c r="AE61" s="29">
        <f>SUMIF('Input_2019VOL-YTD'!R:R,G61,'Input_2019VOL-YTD'!O:O)</f>
        <v>2456435.31</v>
      </c>
      <c r="AF61" s="29">
        <f>SUMIF('Input_2020VOL-YTD'!R:R,G61,'Input_2020VOL-YTD'!O:O)</f>
        <v>2788751.4499999997</v>
      </c>
      <c r="AG61" s="29">
        <f>SUMIF('Input_2021VOL-YTD'!R:R,G61,'Input_2021VOL-YTD'!O:O)</f>
        <v>3630889.0000000005</v>
      </c>
      <c r="AH61" s="29">
        <f>IFERROR(IF($AD61="Historical Average",(AVERAGE($AE61:$AG61)/AVERAGE($Y61:$AA61))*AB61,IF($AD61="UPC Growth Rate",((AG61/AA61)*(1+$S61)*AB61),IF($AD61="Modeled UPC",AB61/12*$W61,IF(AD61="Base Period",AG61,IF(AD61="Adjusted",SUMIF('Input_Fcst Inputs'!A:A,D61,'Input_Fcst Inputs'!F:F),0))))),0)</f>
        <v>3630889.0000000005</v>
      </c>
      <c r="AI61" s="29">
        <f>IFERROR(IF($AD61="Historical Average",(AVERAGE($AE61:$AG61)/AVERAGE($Y61:$AA61))*AC61,IF($AD61="UPC Growth Rate",((AH61/AB61)*(1+$S61)*AC61),IF($AD61="Modeled UPC",AC61/12*$W61,IF(AD61="Base Period",AG61,IF(AD61="Adjusted",SUMIF('Input_Fcst Inputs'!A:A,D61,'Input_Fcst Inputs'!G:G),0))))),0)</f>
        <v>3630889.0000000005</v>
      </c>
    </row>
    <row r="62" spans="1:35" s="28" customFormat="1">
      <c r="A62" s="28" t="s">
        <v>8</v>
      </c>
      <c r="B62" s="28" t="s">
        <v>331</v>
      </c>
      <c r="C62" s="28" t="s">
        <v>635</v>
      </c>
      <c r="D62" s="28" t="s">
        <v>68</v>
      </c>
      <c r="E62" s="28" t="s">
        <v>269</v>
      </c>
      <c r="F62" s="182" t="s">
        <v>672</v>
      </c>
      <c r="G62" s="31" t="s">
        <v>69</v>
      </c>
      <c r="H62" s="31" t="s">
        <v>433</v>
      </c>
      <c r="J62" s="29" t="str">
        <f>IFERROR(VLOOKUP(H62,Report_Regression!B:L,11,FALSE),"")</f>
        <v>Base Period</v>
      </c>
      <c r="K62" s="30">
        <f>_xlfn.IFNA(VLOOKUP($H62,Report_Regression!$B:$L,9,FALSE),0)</f>
        <v>0</v>
      </c>
      <c r="L62" s="30">
        <f>_xlfn.IFNA(VLOOKUP($H62,Report_Regression!$B:$L,10,FALSE),0)</f>
        <v>0</v>
      </c>
      <c r="M62" s="30">
        <f>_xlfn.IFNA(VLOOKUP($H62,Report_Regression!$B:$L,8,FALSE),0)</f>
        <v>0</v>
      </c>
      <c r="N62" s="30">
        <f t="shared" si="0"/>
        <v>0</v>
      </c>
      <c r="O62" s="30" t="str">
        <f>IFERROR(VLOOKUP(H62,Report_Regression!O:Y,11,FALSE),"")</f>
        <v>Base Period</v>
      </c>
      <c r="P62" s="30">
        <f>IFERROR(VLOOKUP($H62,Report_Regression!$O:$Y,9,FALSE),0)</f>
        <v>0</v>
      </c>
      <c r="Q62" s="30">
        <f>IFERROR(VLOOKUP($H62,Report_Regression!$O:$Y,10,FALSE),0)</f>
        <v>0</v>
      </c>
      <c r="R62" s="30">
        <f>IFERROR(VLOOKUP($H62,Report_Regression!$O:$Y,8,FALSE),0)</f>
        <v>0</v>
      </c>
      <c r="S62" s="30">
        <f t="shared" si="1"/>
        <v>0</v>
      </c>
      <c r="T62" s="29">
        <f>_xlfn.IFNA(VLOOKUP($H62,Report_Regression!$O:$Y,6,FALSE),0)</f>
        <v>0</v>
      </c>
      <c r="U62" s="29">
        <f>_xlfn.IFNA(VLOOKUP($H62,Report_Regression!$O:$Y,7,FALSE),0)</f>
        <v>0</v>
      </c>
      <c r="V62" s="29">
        <f>_xlfn.IFNA(VLOOKUP($H62,Report_Regression!$O:$Y,5,FALSE),0)</f>
        <v>0</v>
      </c>
      <c r="W62" s="2">
        <f t="shared" si="2"/>
        <v>1227248.6200000001</v>
      </c>
      <c r="X62" s="33"/>
      <c r="Y62" s="29">
        <f>SUMIF('Input_2019CUST-YTD'!S:S,G62,'Input_2019CUST-YTD'!R:R)</f>
        <v>15</v>
      </c>
      <c r="Z62" s="29">
        <f>SUMIF('Input_2020CUST-YTD'!S:S,G62,'Input_2020CUST-YTD'!R:R)</f>
        <v>12</v>
      </c>
      <c r="AA62" s="29">
        <f>SUMIF('Input_2021CUST-YTD'!S:S,G62,'Input_2021CUST-YTD'!R:R)</f>
        <v>12</v>
      </c>
      <c r="AB62" s="29">
        <f t="shared" si="6"/>
        <v>12</v>
      </c>
      <c r="AC62" s="29">
        <f t="shared" si="7"/>
        <v>12</v>
      </c>
      <c r="AD62" s="29" t="str">
        <f>VLOOKUP(D62,'Input_Fcst Inputs'!A:F,2,FALSE)</f>
        <v>Adjusted</v>
      </c>
      <c r="AE62" s="29">
        <f>SUMIF('Input_2019VOL-YTD'!R:R,G62,'Input_2019VOL-YTD'!O:O)</f>
        <v>3102303.72</v>
      </c>
      <c r="AF62" s="29">
        <f>SUMIF('Input_2020VOL-YTD'!R:R,G62,'Input_2020VOL-YTD'!O:O)</f>
        <v>2150459.37</v>
      </c>
      <c r="AG62" s="29">
        <f>SUMIF('Input_2021VOL-YTD'!R:R,G62,'Input_2021VOL-YTD'!O:O)</f>
        <v>1227248.6200000001</v>
      </c>
      <c r="AH62" s="29">
        <f>IFERROR(IF($AD62="Historical Average",(AVERAGE($AE62:$AG62)/AVERAGE($Y62:$AA62))*AB62,IF($AD62="UPC Growth Rate",((AG62/AA62)*(1+$S62)*AB62),IF($AD62="Modeled UPC",AB62/12*$W62,IF(AD62="Base Period",AG62,IF(AD62="Adjusted",SUMIF('Input_Fcst Inputs'!A:A,D62,'Input_Fcst Inputs'!F:F),0))))),0)</f>
        <v>1527248.62</v>
      </c>
      <c r="AI62" s="29">
        <f>IFERROR(IF($AD62="Historical Average",(AVERAGE($AE62:$AG62)/AVERAGE($Y62:$AA62))*AC62,IF($AD62="UPC Growth Rate",((AH62/AB62)*(1+$S62)*AC62),IF($AD62="Modeled UPC",AC62/12*$W62,IF(AD62="Base Period",AG62,IF(AD62="Adjusted",SUMIF('Input_Fcst Inputs'!A:A,D62,'Input_Fcst Inputs'!G:G),0))))),0)</f>
        <v>1527248.62</v>
      </c>
    </row>
    <row r="63" spans="1:35" s="28" customFormat="1">
      <c r="A63" s="28" t="s">
        <v>8</v>
      </c>
      <c r="B63" s="28" t="s">
        <v>331</v>
      </c>
      <c r="C63" s="28" t="s">
        <v>635</v>
      </c>
      <c r="D63" s="28" t="s">
        <v>70</v>
      </c>
      <c r="E63" s="28" t="s">
        <v>270</v>
      </c>
      <c r="F63" s="182" t="s">
        <v>672</v>
      </c>
      <c r="G63" s="31" t="s">
        <v>71</v>
      </c>
      <c r="H63" s="31" t="s">
        <v>433</v>
      </c>
      <c r="J63" s="29" t="str">
        <f>IFERROR(VLOOKUP(H63,Report_Regression!B:L,11,FALSE),"")</f>
        <v>Base Period</v>
      </c>
      <c r="K63" s="30">
        <f>_xlfn.IFNA(VLOOKUP($H63,Report_Regression!$B:$L,9,FALSE),0)</f>
        <v>0</v>
      </c>
      <c r="L63" s="30">
        <f>_xlfn.IFNA(VLOOKUP($H63,Report_Regression!$B:$L,10,FALSE),0)</f>
        <v>0</v>
      </c>
      <c r="M63" s="30">
        <f>_xlfn.IFNA(VLOOKUP($H63,Report_Regression!$B:$L,8,FALSE),0)</f>
        <v>0</v>
      </c>
      <c r="N63" s="30">
        <f t="shared" si="0"/>
        <v>0</v>
      </c>
      <c r="O63" s="30" t="str">
        <f>IFERROR(VLOOKUP(H63,Report_Regression!O:Y,11,FALSE),"")</f>
        <v>Base Period</v>
      </c>
      <c r="P63" s="30">
        <f>IFERROR(VLOOKUP($H63,Report_Regression!$O:$Y,9,FALSE),0)</f>
        <v>0</v>
      </c>
      <c r="Q63" s="30">
        <f>IFERROR(VLOOKUP($H63,Report_Regression!$O:$Y,10,FALSE),0)</f>
        <v>0</v>
      </c>
      <c r="R63" s="30">
        <f>IFERROR(VLOOKUP($H63,Report_Regression!$O:$Y,8,FALSE),0)</f>
        <v>0</v>
      </c>
      <c r="S63" s="30">
        <f t="shared" si="1"/>
        <v>0</v>
      </c>
      <c r="T63" s="29">
        <f>_xlfn.IFNA(VLOOKUP($H63,Report_Regression!$O:$Y,6,FALSE),0)</f>
        <v>0</v>
      </c>
      <c r="U63" s="29">
        <f>_xlfn.IFNA(VLOOKUP($H63,Report_Regression!$O:$Y,7,FALSE),0)</f>
        <v>0</v>
      </c>
      <c r="V63" s="29">
        <f>_xlfn.IFNA(VLOOKUP($H63,Report_Regression!$O:$Y,5,FALSE),0)</f>
        <v>0</v>
      </c>
      <c r="W63" s="2">
        <f t="shared" si="2"/>
        <v>3405406.7120000003</v>
      </c>
      <c r="X63" s="33"/>
      <c r="Y63" s="29">
        <f>SUMIF('Input_2019CUST-YTD'!S:S,G63,'Input_2019CUST-YTD'!R:R)</f>
        <v>56</v>
      </c>
      <c r="Z63" s="29">
        <f>SUMIF('Input_2020CUST-YTD'!S:S,G63,'Input_2020CUST-YTD'!R:R)</f>
        <v>60</v>
      </c>
      <c r="AA63" s="29">
        <f>SUMIF('Input_2021CUST-YTD'!S:S,G63,'Input_2021CUST-YTD'!R:R)</f>
        <v>60</v>
      </c>
      <c r="AB63" s="29">
        <f t="shared" si="6"/>
        <v>60</v>
      </c>
      <c r="AC63" s="29">
        <f t="shared" si="7"/>
        <v>60</v>
      </c>
      <c r="AD63" s="29" t="str">
        <f>VLOOKUP(D63,'Input_Fcst Inputs'!A:F,2,FALSE)</f>
        <v>Base Period</v>
      </c>
      <c r="AE63" s="29">
        <f>SUMIF('Input_2019VOL-YTD'!R:R,G63,'Input_2019VOL-YTD'!O:O)</f>
        <v>17456733.789999999</v>
      </c>
      <c r="AF63" s="29">
        <f>SUMIF('Input_2020VOL-YTD'!R:R,G63,'Input_2020VOL-YTD'!O:O)</f>
        <v>15900039.640000001</v>
      </c>
      <c r="AG63" s="29">
        <f>SUMIF('Input_2021VOL-YTD'!R:R,G63,'Input_2021VOL-YTD'!O:O)</f>
        <v>17027033.560000002</v>
      </c>
      <c r="AH63" s="29">
        <f>IFERROR(IF($AD63="Historical Average",(AVERAGE($AE63:$AG63)/AVERAGE($Y63:$AA63))*AB63,IF($AD63="UPC Growth Rate",((AG63/AA63)*(1+$S63)*AB63),IF($AD63="Modeled UPC",AB63/12*$W63,IF(AD63="Base Period",AG63,IF(AD63="Adjusted",SUMIF('Input_Fcst Inputs'!A:A,D63,'Input_Fcst Inputs'!F:F),0))))),0)</f>
        <v>17027033.560000002</v>
      </c>
      <c r="AI63" s="29">
        <f>IFERROR(IF($AD63="Historical Average",(AVERAGE($AE63:$AG63)/AVERAGE($Y63:$AA63))*AC63,IF($AD63="UPC Growth Rate",((AH63/AB63)*(1+$S63)*AC63),IF($AD63="Modeled UPC",AC63/12*$W63,IF(AD63="Base Period",AG63,IF(AD63="Adjusted",SUMIF('Input_Fcst Inputs'!A:A,D63,'Input_Fcst Inputs'!G:G),0))))),0)</f>
        <v>17027033.560000002</v>
      </c>
    </row>
    <row r="64" spans="1:35" s="28" customFormat="1">
      <c r="A64" s="28" t="s">
        <v>8</v>
      </c>
      <c r="B64" s="28" t="s">
        <v>331</v>
      </c>
      <c r="C64" s="28" t="s">
        <v>635</v>
      </c>
      <c r="D64" s="28" t="s">
        <v>108</v>
      </c>
      <c r="E64" s="28" t="s">
        <v>268</v>
      </c>
      <c r="F64" s="182" t="s">
        <v>672</v>
      </c>
      <c r="G64" s="31" t="s">
        <v>337</v>
      </c>
      <c r="H64" s="31" t="s">
        <v>433</v>
      </c>
      <c r="J64" s="29" t="str">
        <f>IFERROR(VLOOKUP(H64,Report_Regression!B:L,11,FALSE),"")</f>
        <v>Base Period</v>
      </c>
      <c r="K64" s="30">
        <f>_xlfn.IFNA(VLOOKUP($H64,Report_Regression!$B:$L,9,FALSE),0)</f>
        <v>0</v>
      </c>
      <c r="L64" s="30">
        <f>_xlfn.IFNA(VLOOKUP($H64,Report_Regression!$B:$L,10,FALSE),0)</f>
        <v>0</v>
      </c>
      <c r="M64" s="30">
        <f>_xlfn.IFNA(VLOOKUP($H64,Report_Regression!$B:$L,8,FALSE),0)</f>
        <v>0</v>
      </c>
      <c r="N64" s="30">
        <f t="shared" si="0"/>
        <v>0</v>
      </c>
      <c r="O64" s="30" t="str">
        <f>IFERROR(VLOOKUP(H64,Report_Regression!O:Y,11,FALSE),"")</f>
        <v>Base Period</v>
      </c>
      <c r="P64" s="30">
        <f>IFERROR(VLOOKUP($H64,Report_Regression!$O:$Y,9,FALSE),0)</f>
        <v>0</v>
      </c>
      <c r="Q64" s="30">
        <f>IFERROR(VLOOKUP($H64,Report_Regression!$O:$Y,10,FALSE),0)</f>
        <v>0</v>
      </c>
      <c r="R64" s="30">
        <f>IFERROR(VLOOKUP($H64,Report_Regression!$O:$Y,8,FALSE),0)</f>
        <v>0</v>
      </c>
      <c r="S64" s="30">
        <f t="shared" si="1"/>
        <v>0</v>
      </c>
      <c r="T64" s="29">
        <f>_xlfn.IFNA(VLOOKUP($H64,Report_Regression!$O:$Y,6,FALSE),0)</f>
        <v>0</v>
      </c>
      <c r="U64" s="29">
        <f>_xlfn.IFNA(VLOOKUP($H64,Report_Regression!$O:$Y,7,FALSE),0)</f>
        <v>0</v>
      </c>
      <c r="V64" s="29">
        <f>_xlfn.IFNA(VLOOKUP($H64,Report_Regression!$O:$Y,5,FALSE),0)</f>
        <v>0</v>
      </c>
      <c r="W64" s="2">
        <f t="shared" si="2"/>
        <v>0</v>
      </c>
      <c r="X64" s="33"/>
      <c r="Y64" s="29">
        <f>SUMIF('Input_2019CUST-YTD'!S:S,G64,'Input_2019CUST-YTD'!R:R)</f>
        <v>0</v>
      </c>
      <c r="Z64" s="29">
        <f>SUMIF('Input_2020CUST-YTD'!S:S,G64,'Input_2020CUST-YTD'!R:R)</f>
        <v>0</v>
      </c>
      <c r="AA64" s="29">
        <f>SUMIF('Input_2021CUST-YTD'!S:S,G64,'Input_2021CUST-YTD'!R:R)</f>
        <v>0</v>
      </c>
      <c r="AB64" s="29">
        <f t="shared" si="6"/>
        <v>0</v>
      </c>
      <c r="AC64" s="29">
        <f t="shared" si="7"/>
        <v>0</v>
      </c>
      <c r="AD64" s="29" t="str">
        <f>VLOOKUP(D64,'Input_Fcst Inputs'!A:F,2,FALSE)</f>
        <v>Base Period</v>
      </c>
      <c r="AE64" s="29">
        <f>SUMIF('Input_2019VOL-YTD'!R:R,G64,'Input_2019VOL-YTD'!O:O)</f>
        <v>0</v>
      </c>
      <c r="AF64" s="29">
        <f>SUMIF('Input_2020VOL-YTD'!R:R,G64,'Input_2020VOL-YTD'!O:O)</f>
        <v>0</v>
      </c>
      <c r="AG64" s="29">
        <f>SUMIF('Input_2021VOL-YTD'!R:R,G64,'Input_2021VOL-YTD'!O:O)</f>
        <v>0</v>
      </c>
      <c r="AH64" s="29">
        <f>IFERROR(IF($AD64="Historical Average",(AVERAGE($AE64:$AG64)/AVERAGE($Y64:$AA64))*AB64,IF($AD64="UPC Growth Rate",((AG64/AA64)*(1+$S64)*AB64),IF($AD64="Modeled UPC",AB64/12*$W64,IF(AD64="Base Period",AG64,IF(AD64="Adjusted",SUMIF('Input_Fcst Inputs'!A:A,D64,'Input_Fcst Inputs'!F:F),0))))),0)</f>
        <v>0</v>
      </c>
      <c r="AI64" s="29">
        <f>IFERROR(IF($AD64="Historical Average",(AVERAGE($AE64:$AG64)/AVERAGE($Y64:$AA64))*AC64,IF($AD64="UPC Growth Rate",((AH64/AB64)*(1+$S64)*AC64),IF($AD64="Modeled UPC",AC64/12*$W64,IF(AD64="Base Period",AG64,IF(AD64="Adjusted",SUMIF('Input_Fcst Inputs'!A:A,D64,'Input_Fcst Inputs'!G:G),0))))),0)</f>
        <v>0</v>
      </c>
    </row>
    <row r="65" spans="1:35" s="28" customFormat="1">
      <c r="A65" s="28" t="s">
        <v>8</v>
      </c>
      <c r="B65" s="28" t="s">
        <v>331</v>
      </c>
      <c r="C65" s="28" t="s">
        <v>635</v>
      </c>
      <c r="D65" s="28" t="s">
        <v>72</v>
      </c>
      <c r="E65" s="28" t="s">
        <v>248</v>
      </c>
      <c r="F65" s="182" t="s">
        <v>672</v>
      </c>
      <c r="G65" s="31" t="s">
        <v>73</v>
      </c>
      <c r="H65" s="31" t="s">
        <v>433</v>
      </c>
      <c r="J65" s="29" t="str">
        <f>IFERROR(VLOOKUP(H65,Report_Regression!B:L,11,FALSE),"")</f>
        <v>Base Period</v>
      </c>
      <c r="K65" s="30">
        <f>_xlfn.IFNA(VLOOKUP($H65,Report_Regression!$B:$L,9,FALSE),0)</f>
        <v>0</v>
      </c>
      <c r="L65" s="30">
        <f>_xlfn.IFNA(VLOOKUP($H65,Report_Regression!$B:$L,10,FALSE),0)</f>
        <v>0</v>
      </c>
      <c r="M65" s="30">
        <f>_xlfn.IFNA(VLOOKUP($H65,Report_Regression!$B:$L,8,FALSE),0)</f>
        <v>0</v>
      </c>
      <c r="N65" s="30">
        <f t="shared" si="0"/>
        <v>0</v>
      </c>
      <c r="O65" s="30" t="str">
        <f>IFERROR(VLOOKUP(H65,Report_Regression!O:Y,11,FALSE),"")</f>
        <v>Base Period</v>
      </c>
      <c r="P65" s="30">
        <f>IFERROR(VLOOKUP($H65,Report_Regression!$O:$Y,9,FALSE),0)</f>
        <v>0</v>
      </c>
      <c r="Q65" s="30">
        <f>IFERROR(VLOOKUP($H65,Report_Regression!$O:$Y,10,FALSE),0)</f>
        <v>0</v>
      </c>
      <c r="R65" s="30">
        <f>IFERROR(VLOOKUP($H65,Report_Regression!$O:$Y,8,FALSE),0)</f>
        <v>0</v>
      </c>
      <c r="S65" s="30">
        <f t="shared" si="1"/>
        <v>0</v>
      </c>
      <c r="T65" s="29">
        <f>_xlfn.IFNA(VLOOKUP($H65,Report_Regression!$O:$Y,6,FALSE),0)</f>
        <v>0</v>
      </c>
      <c r="U65" s="29">
        <f>_xlfn.IFNA(VLOOKUP($H65,Report_Regression!$O:$Y,7,FALSE),0)</f>
        <v>0</v>
      </c>
      <c r="V65" s="29">
        <f>_xlfn.IFNA(VLOOKUP($H65,Report_Regression!$O:$Y,5,FALSE),0)</f>
        <v>0</v>
      </c>
      <c r="W65" s="2">
        <f t="shared" si="2"/>
        <v>887806.67999999982</v>
      </c>
      <c r="X65" s="33"/>
      <c r="Y65" s="29">
        <f>SUMIF('Input_2019CUST-YTD'!S:S,G65,'Input_2019CUST-YTD'!R:R)</f>
        <v>9</v>
      </c>
      <c r="Z65" s="29">
        <f>SUMIF('Input_2020CUST-YTD'!S:S,G65,'Input_2020CUST-YTD'!R:R)</f>
        <v>12</v>
      </c>
      <c r="AA65" s="29">
        <f>SUMIF('Input_2021CUST-YTD'!S:S,G65,'Input_2021CUST-YTD'!R:R)</f>
        <v>12</v>
      </c>
      <c r="AB65" s="29">
        <f t="shared" si="6"/>
        <v>12</v>
      </c>
      <c r="AC65" s="29">
        <f t="shared" si="7"/>
        <v>12</v>
      </c>
      <c r="AD65" s="29" t="str">
        <f>VLOOKUP(D65,'Input_Fcst Inputs'!A:F,2,FALSE)</f>
        <v>Adjusted</v>
      </c>
      <c r="AE65" s="29">
        <f>SUMIF('Input_2019VOL-YTD'!R:R,G65,'Input_2019VOL-YTD'!O:O)</f>
        <v>1645841.3499999999</v>
      </c>
      <c r="AF65" s="29">
        <f>SUMIF('Input_2020VOL-YTD'!R:R,G65,'Input_2020VOL-YTD'!O:O)</f>
        <v>1625841.2699999998</v>
      </c>
      <c r="AG65" s="29">
        <f>SUMIF('Input_2021VOL-YTD'!R:R,G65,'Input_2021VOL-YTD'!O:O)</f>
        <v>887806.67999999982</v>
      </c>
      <c r="AH65" s="29">
        <f>IFERROR(IF($AD65="Historical Average",(AVERAGE($AE65:$AG65)/AVERAGE($Y65:$AA65))*AB65,IF($AD65="UPC Growth Rate",((AG65/AA65)*(1+$S65)*AB65),IF($AD65="Modeled UPC",AB65/12*$W65,IF(AD65="Base Period",AG65,IF(AD65="Adjusted",SUMIF('Input_Fcst Inputs'!A:A,D65,'Input_Fcst Inputs'!F:F),0))))),0)</f>
        <v>100131</v>
      </c>
      <c r="AI65" s="29">
        <f>IFERROR(IF($AD65="Historical Average",(AVERAGE($AE65:$AG65)/AVERAGE($Y65:$AA65))*AC65,IF($AD65="UPC Growth Rate",((AH65/AB65)*(1+$S65)*AC65),IF($AD65="Modeled UPC",AC65/12*$W65,IF(AD65="Base Period",AG65,IF(AD65="Adjusted",SUMIF('Input_Fcst Inputs'!A:A,D65,'Input_Fcst Inputs'!G:G),0))))),0)</f>
        <v>100131</v>
      </c>
    </row>
    <row r="66" spans="1:35" ht="13.5" thickBot="1">
      <c r="A66" s="185" t="s">
        <v>1</v>
      </c>
      <c r="B66" s="187" t="s">
        <v>636</v>
      </c>
      <c r="C66" s="187" t="s">
        <v>636</v>
      </c>
      <c r="D66" s="187" t="s">
        <v>636</v>
      </c>
      <c r="E66" s="187" t="s">
        <v>636</v>
      </c>
      <c r="F66" s="187" t="s">
        <v>636</v>
      </c>
      <c r="G66" s="187" t="s">
        <v>636</v>
      </c>
      <c r="H66" s="187" t="s">
        <v>636</v>
      </c>
      <c r="I66" s="187" t="s">
        <v>636</v>
      </c>
      <c r="J66" s="187" t="s">
        <v>636</v>
      </c>
      <c r="K66" s="187" t="s">
        <v>636</v>
      </c>
      <c r="L66" s="187" t="s">
        <v>636</v>
      </c>
      <c r="M66" s="187" t="s">
        <v>636</v>
      </c>
      <c r="N66" s="187" t="s">
        <v>636</v>
      </c>
      <c r="O66" s="187" t="s">
        <v>636</v>
      </c>
      <c r="P66" s="187" t="s">
        <v>636</v>
      </c>
      <c r="Q66" s="187" t="s">
        <v>636</v>
      </c>
      <c r="R66" s="187" t="s">
        <v>636</v>
      </c>
      <c r="S66" s="187" t="s">
        <v>636</v>
      </c>
      <c r="T66" s="187" t="s">
        <v>636</v>
      </c>
      <c r="U66" s="187" t="s">
        <v>636</v>
      </c>
      <c r="V66" s="187" t="s">
        <v>636</v>
      </c>
      <c r="W66" s="187" t="s">
        <v>636</v>
      </c>
      <c r="X66" s="187"/>
      <c r="Y66" s="13">
        <f>SUBTOTAL(9,Y2:Y65)</f>
        <v>994082</v>
      </c>
      <c r="Z66" s="13">
        <f>SUBTOTAL(9,Z2:Z65)</f>
        <v>1032280</v>
      </c>
      <c r="AA66" s="13">
        <f>SUBTOTAL(9,AA2:AA65)</f>
        <v>1076075.5</v>
      </c>
      <c r="AB66" s="13">
        <f>SUBTOTAL(9,AB2:AB65)</f>
        <v>1103862.6046284342</v>
      </c>
      <c r="AC66" s="13">
        <f>SUBTOTAL(9,AC2:AC65)</f>
        <v>1132612.5940570179</v>
      </c>
      <c r="AD66" s="187" t="s">
        <v>636</v>
      </c>
      <c r="AE66" s="13">
        <f t="shared" ref="AE66:AI66" si="8">SUBTOTAL(9,AE2:AE65)</f>
        <v>131559265.03000033</v>
      </c>
      <c r="AF66" s="13">
        <f t="shared" si="8"/>
        <v>124747916.6000004</v>
      </c>
      <c r="AG66" s="13">
        <f t="shared" si="8"/>
        <v>132571478.04000016</v>
      </c>
      <c r="AH66" s="13">
        <f t="shared" si="8"/>
        <v>131501697.64613628</v>
      </c>
      <c r="AI66" s="13">
        <f t="shared" si="8"/>
        <v>132344253.78597832</v>
      </c>
    </row>
    <row r="67" spans="1:35">
      <c r="A67" s="185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29"/>
      <c r="AE67" s="186"/>
      <c r="AF67" s="186"/>
      <c r="AG67" s="186"/>
      <c r="AH67" s="186"/>
      <c r="AI67" s="186"/>
    </row>
  </sheetData>
  <autoFilter ref="A1:AI67" xr:uid="{8CAC629D-0650-4E7C-8209-BAEC9579CD22}"/>
  <phoneticPr fontId="5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C65D-9889-45EC-9580-24048AF34CC5}">
  <sheetPr codeName="Sheet31">
    <tabColor theme="4" tint="0.39997558519241921"/>
  </sheetPr>
  <dimension ref="A1:AR34"/>
  <sheetViews>
    <sheetView workbookViewId="0">
      <selection activeCell="E8" activeCellId="1" sqref="C8 E8"/>
    </sheetView>
  </sheetViews>
  <sheetFormatPr defaultColWidth="8.85546875" defaultRowHeight="12.75"/>
  <cols>
    <col min="1" max="2" width="16.85546875" style="9" customWidth="1"/>
    <col min="3" max="8" width="17" style="9" customWidth="1"/>
    <col min="9" max="12" width="11.85546875" style="9" customWidth="1"/>
    <col min="13" max="13" width="7.140625" style="9" customWidth="1"/>
    <col min="14" max="14" width="20" style="9" customWidth="1"/>
    <col min="15" max="15" width="15.42578125" style="9" bestFit="1" customWidth="1"/>
    <col min="16" max="24" width="12.28515625" style="11" customWidth="1"/>
    <col min="25" max="25" width="15.42578125" style="9" bestFit="1" customWidth="1"/>
    <col min="26" max="26" width="8.85546875" style="8"/>
    <col min="27" max="27" width="20" style="8" customWidth="1"/>
    <col min="28" max="28" width="15.42578125" style="8" bestFit="1" customWidth="1"/>
    <col min="29" max="36" width="11.42578125" style="8" customWidth="1"/>
    <col min="37" max="40" width="12.28515625" style="3" customWidth="1"/>
    <col min="41" max="41" width="15.42578125" style="8" bestFit="1" customWidth="1"/>
    <col min="42" max="16384" width="8.85546875" style="9"/>
  </cols>
  <sheetData>
    <row r="1" spans="1:44" s="4" customFormat="1">
      <c r="A1" s="4" t="s">
        <v>658</v>
      </c>
      <c r="P1" s="160"/>
      <c r="Q1" s="160"/>
      <c r="R1" s="160"/>
      <c r="S1" s="160"/>
      <c r="T1" s="160"/>
      <c r="U1" s="160"/>
      <c r="V1" s="160"/>
      <c r="W1" s="160"/>
      <c r="X1" s="160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161"/>
      <c r="AL1" s="161"/>
      <c r="AM1" s="161"/>
      <c r="AN1" s="161"/>
      <c r="AO1" s="54"/>
    </row>
    <row r="2" spans="1:44" s="4" customFormat="1">
      <c r="A2" s="4" t="s">
        <v>744</v>
      </c>
      <c r="P2" s="160"/>
      <c r="Q2" s="160"/>
      <c r="R2" s="160"/>
      <c r="S2" s="160"/>
      <c r="T2" s="160"/>
      <c r="U2" s="160"/>
      <c r="V2" s="160"/>
      <c r="W2" s="160"/>
      <c r="X2" s="160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161"/>
      <c r="AL2" s="161"/>
      <c r="AM2" s="161"/>
      <c r="AN2" s="161"/>
      <c r="AO2" s="54"/>
    </row>
    <row r="3" spans="1:44" s="4" customFormat="1">
      <c r="A3" s="4" t="s">
        <v>662</v>
      </c>
      <c r="C3" s="194"/>
      <c r="P3" s="160"/>
      <c r="Q3" s="160"/>
      <c r="R3" s="160"/>
      <c r="S3" s="160"/>
      <c r="T3" s="160"/>
      <c r="U3" s="160"/>
      <c r="V3" s="160"/>
      <c r="W3" s="160"/>
      <c r="X3" s="160"/>
      <c r="Z3" s="54"/>
      <c r="AA3" s="54"/>
      <c r="AB3" s="476"/>
      <c r="AC3" s="476"/>
      <c r="AD3" s="476"/>
      <c r="AE3" s="476"/>
      <c r="AF3" s="476"/>
      <c r="AG3" s="476"/>
      <c r="AH3" s="476"/>
      <c r="AI3" s="476"/>
      <c r="AJ3" s="476"/>
      <c r="AK3" s="161"/>
      <c r="AL3" s="161"/>
      <c r="AM3" s="161"/>
      <c r="AN3" s="161"/>
      <c r="AO3" s="54"/>
    </row>
    <row r="4" spans="1:44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AB4" s="477"/>
      <c r="AK4" s="477"/>
      <c r="AL4" s="477"/>
      <c r="AM4" s="477"/>
      <c r="AN4" s="477"/>
      <c r="AO4" s="477"/>
    </row>
    <row r="5" spans="1:44" s="8" customFormat="1">
      <c r="A5" s="495" t="s">
        <v>652</v>
      </c>
      <c r="B5" s="495" t="s">
        <v>432</v>
      </c>
      <c r="C5" s="492" t="s">
        <v>649</v>
      </c>
      <c r="D5" s="493"/>
      <c r="E5" s="493"/>
      <c r="F5" s="493"/>
      <c r="G5" s="493"/>
      <c r="H5" s="494"/>
      <c r="I5" s="492" t="s">
        <v>363</v>
      </c>
      <c r="J5" s="493"/>
      <c r="K5" s="493"/>
      <c r="L5" s="494"/>
      <c r="N5" s="495" t="s">
        <v>652</v>
      </c>
      <c r="O5" s="495" t="s">
        <v>432</v>
      </c>
      <c r="P5" s="485" t="s">
        <v>438</v>
      </c>
      <c r="Q5" s="486"/>
      <c r="R5" s="486"/>
      <c r="S5" s="486"/>
      <c r="T5" s="486"/>
      <c r="U5" s="486"/>
      <c r="V5" s="485" t="s">
        <v>439</v>
      </c>
      <c r="W5" s="486"/>
      <c r="X5" s="486"/>
      <c r="Y5" s="487"/>
      <c r="AA5" s="482"/>
      <c r="AB5" s="482"/>
      <c r="AC5" s="483"/>
      <c r="AD5" s="483"/>
      <c r="AE5" s="483"/>
      <c r="AF5" s="483"/>
      <c r="AG5" s="483"/>
      <c r="AH5" s="483"/>
      <c r="AI5" s="483"/>
      <c r="AJ5" s="478"/>
      <c r="AK5" s="483"/>
      <c r="AL5" s="483"/>
      <c r="AM5" s="483"/>
      <c r="AN5" s="483"/>
      <c r="AO5" s="483"/>
      <c r="AR5" s="10" t="s">
        <v>339</v>
      </c>
    </row>
    <row r="6" spans="1:44" s="8" customFormat="1">
      <c r="A6" s="496"/>
      <c r="B6" s="496"/>
      <c r="C6" s="35">
        <v>2022</v>
      </c>
      <c r="D6" s="35">
        <v>2022</v>
      </c>
      <c r="E6" s="35">
        <v>2022</v>
      </c>
      <c r="F6" s="37">
        <v>2023</v>
      </c>
      <c r="G6" s="37">
        <v>2023</v>
      </c>
      <c r="H6" s="37">
        <v>2023</v>
      </c>
      <c r="I6" s="491" t="s">
        <v>365</v>
      </c>
      <c r="J6" s="491"/>
      <c r="K6" s="491"/>
      <c r="L6" s="491"/>
      <c r="N6" s="496"/>
      <c r="O6" s="496"/>
      <c r="P6" s="35">
        <v>2022</v>
      </c>
      <c r="Q6" s="35">
        <v>2022</v>
      </c>
      <c r="R6" s="35">
        <v>2022</v>
      </c>
      <c r="S6" s="37">
        <v>2023</v>
      </c>
      <c r="T6" s="37">
        <v>2023</v>
      </c>
      <c r="U6" s="37">
        <v>2023</v>
      </c>
      <c r="V6" s="488" t="s">
        <v>329</v>
      </c>
      <c r="W6" s="489"/>
      <c r="X6" s="489"/>
      <c r="Y6" s="490"/>
      <c r="AA6" s="482"/>
      <c r="AB6" s="482"/>
      <c r="AC6" s="479"/>
      <c r="AD6" s="479"/>
      <c r="AE6" s="479"/>
      <c r="AF6" s="479"/>
      <c r="AG6" s="479"/>
      <c r="AH6" s="479"/>
      <c r="AI6" s="479"/>
      <c r="AJ6" s="479"/>
      <c r="AK6" s="484"/>
      <c r="AL6" s="484"/>
      <c r="AM6" s="484"/>
      <c r="AN6" s="484"/>
      <c r="AO6" s="484"/>
      <c r="AR6" s="8" t="s">
        <v>721</v>
      </c>
    </row>
    <row r="7" spans="1:44" s="8" customFormat="1">
      <c r="A7" s="497"/>
      <c r="B7" s="497"/>
      <c r="C7" s="24" t="s">
        <v>339</v>
      </c>
      <c r="D7" s="444" t="s">
        <v>727</v>
      </c>
      <c r="E7" s="24" t="s">
        <v>340</v>
      </c>
      <c r="F7" s="20" t="s">
        <v>339</v>
      </c>
      <c r="G7" s="444" t="s">
        <v>727</v>
      </c>
      <c r="H7" s="25" t="s">
        <v>340</v>
      </c>
      <c r="I7" s="36" t="s">
        <v>339</v>
      </c>
      <c r="J7" s="444" t="s">
        <v>727</v>
      </c>
      <c r="K7" s="36" t="s">
        <v>340</v>
      </c>
      <c r="L7" s="36" t="s">
        <v>423</v>
      </c>
      <c r="N7" s="497"/>
      <c r="O7" s="497"/>
      <c r="P7" s="24" t="s">
        <v>339</v>
      </c>
      <c r="Q7" s="444" t="s">
        <v>727</v>
      </c>
      <c r="R7" s="24" t="s">
        <v>340</v>
      </c>
      <c r="S7" s="20" t="s">
        <v>339</v>
      </c>
      <c r="T7" s="444" t="s">
        <v>727</v>
      </c>
      <c r="U7" s="25" t="s">
        <v>340</v>
      </c>
      <c r="V7" s="20" t="s">
        <v>339</v>
      </c>
      <c r="W7" s="444" t="s">
        <v>727</v>
      </c>
      <c r="X7" s="20" t="s">
        <v>340</v>
      </c>
      <c r="Y7" s="17" t="s">
        <v>423</v>
      </c>
      <c r="AA7" s="482"/>
      <c r="AB7" s="482"/>
      <c r="AC7" s="480"/>
      <c r="AD7" s="474"/>
      <c r="AE7" s="480"/>
      <c r="AF7" s="480"/>
      <c r="AG7" s="480"/>
      <c r="AH7" s="474"/>
      <c r="AI7" s="480"/>
      <c r="AJ7" s="480"/>
      <c r="AK7" s="480"/>
      <c r="AL7" s="474"/>
      <c r="AM7" s="480"/>
      <c r="AN7" s="480"/>
      <c r="AO7" s="474"/>
      <c r="AR7" s="8" t="s">
        <v>340</v>
      </c>
    </row>
    <row r="8" spans="1:44" s="8" customFormat="1">
      <c r="A8" s="15" t="s">
        <v>0</v>
      </c>
      <c r="B8" s="15" t="s">
        <v>342</v>
      </c>
      <c r="C8" s="21" cm="1">
        <f t="array" ref="C8">INDEX('WP_Regression Summary'!$F$5:$H$66,MATCH(1,('WP_Regression Summary'!$C$5:$C$66=$B8)*('WP_Regression Summary'!$D$5:$D$66=C$7),0),MATCH(C$6,'WP_Regression Summary'!$F$5:$H$5))</f>
        <v>707922.36</v>
      </c>
      <c r="D8" s="21">
        <f>MEDIAN(C8,E8)</f>
        <v>704267.79499999993</v>
      </c>
      <c r="E8" s="21" cm="1">
        <f t="array" ref="E8">INDEX('WP_Regression Summary'!$F$5:$H$66,MATCH(1,('WP_Regression Summary'!$C$5:$C$66=$B8)*('WP_Regression Summary'!$D$5:$D$66=E$7),0),MATCH(E$6,'WP_Regression Summary'!$F$5:$H$5))</f>
        <v>700613.22999999986</v>
      </c>
      <c r="F8" s="21" cm="1">
        <f t="array" ref="F8">INDEX('WP_Regression Summary'!$F$5:$H$66,MATCH(1,('WP_Regression Summary'!$C$5:$C$66=$B8)*('WP_Regression Summary'!$D$5:$D$66=F$7),0),MATCH(F$6,'WP_Regression Summary'!$F$5:$H$5))</f>
        <v>731810.17999999993</v>
      </c>
      <c r="G8" s="21">
        <f>MEDIAN(F8,H8)</f>
        <v>724567.38500000001</v>
      </c>
      <c r="H8" s="21" cm="1">
        <f t="array" ref="H8">INDEX('WP_Regression Summary'!$F$5:$H$66,MATCH(1,('WP_Regression Summary'!$C$5:$C$66=$B8)*('WP_Regression Summary'!$D$5:$D$66=H$7),0),MATCH(H$6,'WP_Regression Summary'!$F$5:$H$5))</f>
        <v>717324.59</v>
      </c>
      <c r="I8" s="18">
        <f t="shared" ref="I8:K15" si="0">(F8-C8)/C8</f>
        <v>3.3743559110069571E-2</v>
      </c>
      <c r="J8" s="18">
        <f t="shared" si="0"/>
        <v>2.8823680628474693E-2</v>
      </c>
      <c r="K8" s="18">
        <f t="shared" si="0"/>
        <v>2.3852475637664031E-2</v>
      </c>
      <c r="L8" s="53" t="s">
        <v>721</v>
      </c>
      <c r="N8" s="15" t="s">
        <v>0</v>
      </c>
      <c r="O8" s="15" t="s">
        <v>342</v>
      </c>
      <c r="P8" s="21" cm="1">
        <f t="array" ref="P8">INDEX('WP_Regression Summary'!$P$5:$R$66,MATCH(1,('WP_Regression Summary'!$M$5:$M$66=$O8)*('WP_Regression Summary'!$N$5:$N$66=P$7),0),MATCH(P$6,'WP_Regression Summary'!$P$5:$R$5))</f>
        <v>268.76067998078992</v>
      </c>
      <c r="Q8" s="21">
        <f>MEDIAN(P8,R8)</f>
        <v>250.70017607354299</v>
      </c>
      <c r="R8" s="21" cm="1">
        <f t="array" ref="R8">INDEX('WP_Regression Summary'!$P$5:$R$66,MATCH(1,('WP_Regression Summary'!$M$5:$M$66=$O8)*('WP_Regression Summary'!$N$5:$N$66=R$7),0),MATCH(R$6,'WP_Regression Summary'!$P$5:$R$5))</f>
        <v>232.63967216629609</v>
      </c>
      <c r="S8" s="21" cm="1">
        <f t="array" ref="S8">INDEX('WP_Regression Summary'!$P$5:$R$66,MATCH(1,('WP_Regression Summary'!$M$5:$M$66=$O8)*('WP_Regression Summary'!$N$5:$N$66=S$7),0),MATCH(S$6,'WP_Regression Summary'!$P$5:$R$5))</f>
        <v>268.76067998078992</v>
      </c>
      <c r="T8" s="21">
        <f>MEDIAN(S8,U8)</f>
        <v>250.70017607354299</v>
      </c>
      <c r="U8" s="21" cm="1">
        <f t="array" ref="U8">INDEX('WP_Regression Summary'!$P$5:$R$66,MATCH(1,('WP_Regression Summary'!$M$5:$M$66=$O8)*('WP_Regression Summary'!$N$5:$N$66=U$7),0),MATCH(U$6,'WP_Regression Summary'!$P$5:$R$5))</f>
        <v>232.63967216629609</v>
      </c>
      <c r="V8" s="18">
        <f>(S8-P8)/P8</f>
        <v>0</v>
      </c>
      <c r="W8" s="18">
        <f t="shared" ref="W8:W15" si="1">(T8-Q8)/Q8</f>
        <v>0</v>
      </c>
      <c r="X8" s="18">
        <f t="shared" ref="X8:X15" si="2">(U8-R8)/R8</f>
        <v>0</v>
      </c>
      <c r="Y8" s="53" t="s">
        <v>721</v>
      </c>
      <c r="Z8" s="6"/>
      <c r="AA8" s="473"/>
      <c r="AB8" s="473"/>
      <c r="AC8" s="55"/>
      <c r="AD8" s="55"/>
      <c r="AE8" s="55"/>
      <c r="AF8" s="55"/>
      <c r="AG8" s="55"/>
      <c r="AH8" s="55"/>
      <c r="AI8" s="55"/>
      <c r="AJ8" s="55"/>
      <c r="AK8" s="481"/>
      <c r="AL8" s="481"/>
      <c r="AM8" s="481"/>
      <c r="AN8" s="481"/>
      <c r="AO8" s="6"/>
    </row>
    <row r="9" spans="1:44" s="8" customFormat="1">
      <c r="A9" s="15" t="s">
        <v>0</v>
      </c>
      <c r="B9" s="15" t="s">
        <v>344</v>
      </c>
      <c r="C9" s="21" cm="1">
        <f t="array" ref="C9">INDEX('WP_Regression Summary'!$F$5:$H$66,MATCH(1,('WP_Regression Summary'!$C$5:$C$66=$B9)*('WP_Regression Summary'!$D$5:$D$66=C$7),0),MATCH(C$6,'WP_Regression Summary'!$F$5:$H$5))</f>
        <v>164309.07999999999</v>
      </c>
      <c r="D9" s="21">
        <f t="shared" ref="D9:D28" si="3">MEDIAN(C9,E9)</f>
        <v>162898.14000000001</v>
      </c>
      <c r="E9" s="21" cm="1">
        <f t="array" ref="E9">INDEX('WP_Regression Summary'!$F$5:$H$66,MATCH(1,('WP_Regression Summary'!$C$5:$C$66=$B9)*('WP_Regression Summary'!$D$5:$D$66=E$7),0),MATCH(E$6,'WP_Regression Summary'!$F$5:$H$5))</f>
        <v>161487.20000000001</v>
      </c>
      <c r="F9" s="21" cm="1">
        <f t="array" ref="F9">INDEX('WP_Regression Summary'!$F$5:$H$66,MATCH(1,('WP_Regression Summary'!$C$5:$C$66=$B9)*('WP_Regression Summary'!$D$5:$D$66=F$7),0),MATCH(F$6,'WP_Regression Summary'!$F$5:$H$5))</f>
        <v>171122.94</v>
      </c>
      <c r="G9" s="21">
        <f t="shared" ref="G9:G15" si="4">MEDIAN(F9,H9)</f>
        <v>168414.03499999997</v>
      </c>
      <c r="H9" s="21" cm="1">
        <f t="array" ref="H9">INDEX('WP_Regression Summary'!$F$5:$H$66,MATCH(1,('WP_Regression Summary'!$C$5:$C$66=$B9)*('WP_Regression Summary'!$D$5:$D$66=H$7),0),MATCH(H$6,'WP_Regression Summary'!$F$5:$H$5))</f>
        <v>165705.12999999998</v>
      </c>
      <c r="I9" s="18">
        <f t="shared" si="0"/>
        <v>4.1469771481892632E-2</v>
      </c>
      <c r="J9" s="18">
        <f t="shared" si="0"/>
        <v>3.3861006638872364E-2</v>
      </c>
      <c r="K9" s="18">
        <f t="shared" si="0"/>
        <v>2.6119283757474052E-2</v>
      </c>
      <c r="L9" s="53" t="s">
        <v>721</v>
      </c>
      <c r="N9" s="15" t="s">
        <v>0</v>
      </c>
      <c r="O9" s="15" t="s">
        <v>344</v>
      </c>
      <c r="P9" s="21" cm="1">
        <f t="array" ref="P9">INDEX('WP_Regression Summary'!$P$5:$R$66,MATCH(1,('WP_Regression Summary'!$M$5:$M$66=$O9)*('WP_Regression Summary'!$N$5:$N$66=P$7),0),MATCH(P$6,'WP_Regression Summary'!$P$5:$R$5))</f>
        <v>189.36514745983629</v>
      </c>
      <c r="Q9" s="21">
        <f t="shared" ref="Q9:Q15" si="5">MEDIAN(P9,R9)</f>
        <v>172.96753251423365</v>
      </c>
      <c r="R9" s="21" cm="1">
        <f t="array" ref="R9">INDEX('WP_Regression Summary'!$P$5:$R$66,MATCH(1,('WP_Regression Summary'!$M$5:$M$66=$O9)*('WP_Regression Summary'!$N$5:$N$66=R$7),0),MATCH(R$6,'WP_Regression Summary'!$P$5:$R$5))</f>
        <v>156.56991756863101</v>
      </c>
      <c r="S9" s="21" cm="1">
        <f t="array" ref="S9">INDEX('WP_Regression Summary'!$P$5:$R$66,MATCH(1,('WP_Regression Summary'!$M$5:$M$66=$O9)*('WP_Regression Summary'!$N$5:$N$66=S$7),0),MATCH(S$6,'WP_Regression Summary'!$P$5:$R$5))</f>
        <v>189.36514745983629</v>
      </c>
      <c r="T9" s="21">
        <f t="shared" ref="T9:T15" si="6">MEDIAN(S9,U9)</f>
        <v>172.96753251423365</v>
      </c>
      <c r="U9" s="21" cm="1">
        <f t="array" ref="U9">INDEX('WP_Regression Summary'!$P$5:$R$66,MATCH(1,('WP_Regression Summary'!$M$5:$M$66=$O9)*('WP_Regression Summary'!$N$5:$N$66=U$7),0),MATCH(U$6,'WP_Regression Summary'!$P$5:$R$5))</f>
        <v>156.56991756863101</v>
      </c>
      <c r="V9" s="18">
        <f t="shared" ref="V9:V15" si="7">(S9-P9)/P9</f>
        <v>0</v>
      </c>
      <c r="W9" s="18">
        <f t="shared" si="1"/>
        <v>0</v>
      </c>
      <c r="X9" s="18">
        <f t="shared" si="2"/>
        <v>0</v>
      </c>
      <c r="Y9" s="53" t="s">
        <v>721</v>
      </c>
      <c r="Z9" s="6"/>
      <c r="AA9" s="473"/>
      <c r="AB9" s="473"/>
      <c r="AC9" s="55"/>
      <c r="AD9" s="55"/>
      <c r="AE9" s="55"/>
      <c r="AF9" s="55"/>
      <c r="AG9" s="55"/>
      <c r="AH9" s="55"/>
      <c r="AI9" s="55"/>
      <c r="AJ9" s="55"/>
      <c r="AK9" s="481"/>
      <c r="AL9" s="481"/>
      <c r="AM9" s="481"/>
      <c r="AN9" s="481"/>
      <c r="AO9" s="6"/>
    </row>
    <row r="10" spans="1:44" s="8" customFormat="1">
      <c r="A10" s="15" t="s">
        <v>0</v>
      </c>
      <c r="B10" s="15" t="s">
        <v>347</v>
      </c>
      <c r="C10" s="21" cm="1">
        <f t="array" ref="C10">INDEX('WP_Regression Summary'!$F$5:$H$66,MATCH(1,('WP_Regression Summary'!$C$5:$C$66=$B10)*('WP_Regression Summary'!$D$5:$D$66=C$7),0),MATCH(C$6,'WP_Regression Summary'!$F$5:$H$5))</f>
        <v>8747.570099999999</v>
      </c>
      <c r="D10" s="21">
        <f t="shared" si="3"/>
        <v>8608.1238499999999</v>
      </c>
      <c r="E10" s="21" cm="1">
        <f t="array" ref="E10">INDEX('WP_Regression Summary'!$F$5:$H$66,MATCH(1,('WP_Regression Summary'!$C$5:$C$66=$B10)*('WP_Regression Summary'!$D$5:$D$66=E$7),0),MATCH(E$6,'WP_Regression Summary'!$F$5:$H$5))</f>
        <v>8468.6776000000009</v>
      </c>
      <c r="F10" s="21" cm="1">
        <f t="array" ref="F10">INDEX('WP_Regression Summary'!$F$5:$H$66,MATCH(1,('WP_Regression Summary'!$C$5:$C$66=$B10)*('WP_Regression Summary'!$D$5:$D$66=F$7),0),MATCH(F$6,'WP_Regression Summary'!$F$5:$H$5))</f>
        <v>8866.7702999999983</v>
      </c>
      <c r="G10" s="21">
        <f t="shared" si="4"/>
        <v>8660.9324499999984</v>
      </c>
      <c r="H10" s="21" cm="1">
        <f t="array" ref="H10">INDEX('WP_Regression Summary'!$F$5:$H$66,MATCH(1,('WP_Regression Summary'!$C$5:$C$66=$B10)*('WP_Regression Summary'!$D$5:$D$66=H$7),0),MATCH(H$6,'WP_Regression Summary'!$F$5:$H$5))</f>
        <v>8455.0945999999985</v>
      </c>
      <c r="I10" s="18">
        <f t="shared" si="0"/>
        <v>1.3626664163571472E-2</v>
      </c>
      <c r="J10" s="18">
        <f t="shared" si="0"/>
        <v>6.1347398016349964E-3</v>
      </c>
      <c r="K10" s="18">
        <f t="shared" si="0"/>
        <v>-1.603910390921288E-3</v>
      </c>
      <c r="L10" s="53" t="s">
        <v>721</v>
      </c>
      <c r="N10" s="15" t="s">
        <v>0</v>
      </c>
      <c r="O10" s="15" t="s">
        <v>347</v>
      </c>
      <c r="P10" s="21" cm="1">
        <f t="array" ref="P10">INDEX('WP_Regression Summary'!$P$5:$R$66,MATCH(1,('WP_Regression Summary'!$M$5:$M$66=$O10)*('WP_Regression Summary'!$N$5:$N$66=P$7),0),MATCH(P$6,'WP_Regression Summary'!$P$5:$R$5))</f>
        <v>691.72379019989842</v>
      </c>
      <c r="Q10" s="21">
        <f t="shared" si="5"/>
        <v>597.30342792519559</v>
      </c>
      <c r="R10" s="21" cm="1">
        <f t="array" ref="R10">INDEX('WP_Regression Summary'!$P$5:$R$66,MATCH(1,('WP_Regression Summary'!$M$5:$M$66=$O10)*('WP_Regression Summary'!$N$5:$N$66=R$7),0),MATCH(R$6,'WP_Regression Summary'!$P$5:$R$5))</f>
        <v>502.88306565049282</v>
      </c>
      <c r="S10" s="21" cm="1">
        <f t="array" ref="S10">INDEX('WP_Regression Summary'!$P$5:$R$66,MATCH(1,('WP_Regression Summary'!$M$5:$M$66=$O10)*('WP_Regression Summary'!$N$5:$N$66=S$7),0),MATCH(S$6,'WP_Regression Summary'!$P$5:$R$5))</f>
        <v>691.72379019989842</v>
      </c>
      <c r="T10" s="21">
        <f t="shared" si="6"/>
        <v>597.30342792519559</v>
      </c>
      <c r="U10" s="21" cm="1">
        <f t="array" ref="U10">INDEX('WP_Regression Summary'!$P$5:$R$66,MATCH(1,('WP_Regression Summary'!$M$5:$M$66=$O10)*('WP_Regression Summary'!$N$5:$N$66=U$7),0),MATCH(U$6,'WP_Regression Summary'!$P$5:$R$5))</f>
        <v>502.88306565049282</v>
      </c>
      <c r="V10" s="18">
        <f t="shared" si="7"/>
        <v>0</v>
      </c>
      <c r="W10" s="18">
        <f t="shared" si="1"/>
        <v>0</v>
      </c>
      <c r="X10" s="18">
        <f t="shared" si="2"/>
        <v>0</v>
      </c>
      <c r="Y10" s="53" t="s">
        <v>721</v>
      </c>
      <c r="Z10" s="6"/>
      <c r="AA10" s="473"/>
      <c r="AB10" s="473"/>
      <c r="AC10" s="55"/>
      <c r="AD10" s="55"/>
      <c r="AE10" s="55"/>
      <c r="AF10" s="55"/>
      <c r="AG10" s="55"/>
      <c r="AH10" s="55"/>
      <c r="AI10" s="55"/>
      <c r="AJ10" s="55"/>
      <c r="AK10" s="481"/>
      <c r="AL10" s="481"/>
      <c r="AM10" s="481"/>
      <c r="AN10" s="481"/>
      <c r="AO10" s="6"/>
    </row>
    <row r="11" spans="1:44" s="8" customFormat="1">
      <c r="A11" s="15" t="s">
        <v>0</v>
      </c>
      <c r="B11" s="15" t="s">
        <v>349</v>
      </c>
      <c r="C11" s="21" cm="1">
        <f t="array" ref="C11">INDEX('WP_Regression Summary'!$F$5:$H$66,MATCH(1,('WP_Regression Summary'!$C$5:$C$66=$B11)*('WP_Regression Summary'!$D$5:$D$66=C$7),0),MATCH(C$6,'WP_Regression Summary'!$F$5:$H$5))</f>
        <v>5845.9627</v>
      </c>
      <c r="D11" s="21">
        <f t="shared" si="3"/>
        <v>5634.4523500000005</v>
      </c>
      <c r="E11" s="21" cm="1">
        <f t="array" ref="E11">INDEX('WP_Regression Summary'!$F$5:$H$66,MATCH(1,('WP_Regression Summary'!$C$5:$C$66=$B11)*('WP_Regression Summary'!$D$5:$D$66=E$7),0),MATCH(E$6,'WP_Regression Summary'!$F$5:$H$5))</f>
        <v>5422.9420000000009</v>
      </c>
      <c r="F11" s="21" cm="1">
        <f t="array" ref="F11">INDEX('WP_Regression Summary'!$F$5:$H$66,MATCH(1,('WP_Regression Summary'!$C$5:$C$66=$B11)*('WP_Regression Summary'!$D$5:$D$66=F$7),0),MATCH(F$6,'WP_Regression Summary'!$F$5:$H$5))</f>
        <v>5764.2089999999998</v>
      </c>
      <c r="G11" s="21">
        <f t="shared" si="4"/>
        <v>5339.8732500000006</v>
      </c>
      <c r="H11" s="21" cm="1">
        <f t="array" ref="H11">INDEX('WP_Regression Summary'!$F$5:$H$66,MATCH(1,('WP_Regression Summary'!$C$5:$C$66=$B11)*('WP_Regression Summary'!$D$5:$D$66=H$7),0),MATCH(H$6,'WP_Regression Summary'!$F$5:$H$5))</f>
        <v>4915.5375000000013</v>
      </c>
      <c r="I11" s="18">
        <f t="shared" si="0"/>
        <v>-1.3984642768931832E-2</v>
      </c>
      <c r="J11" s="18">
        <f t="shared" si="0"/>
        <v>-5.2281762574494024E-2</v>
      </c>
      <c r="K11" s="18">
        <f t="shared" si="0"/>
        <v>-9.3566278230524977E-2</v>
      </c>
      <c r="L11" s="53" t="s">
        <v>721</v>
      </c>
      <c r="N11" s="15" t="s">
        <v>0</v>
      </c>
      <c r="O11" s="15" t="s">
        <v>349</v>
      </c>
      <c r="P11" s="21" cm="1">
        <f t="array" ref="P11">INDEX('WP_Regression Summary'!$P$5:$R$66,MATCH(1,('WP_Regression Summary'!$M$5:$M$66=$O11)*('WP_Regression Summary'!$N$5:$N$66=P$7),0),MATCH(P$6,'WP_Regression Summary'!$P$5:$R$5))</f>
        <v>140.59</v>
      </c>
      <c r="Q11" s="21">
        <f t="shared" si="5"/>
        <v>116.03</v>
      </c>
      <c r="R11" s="21" cm="1">
        <f t="array" ref="R11">INDEX('WP_Regression Summary'!$P$5:$R$66,MATCH(1,('WP_Regression Summary'!$M$5:$M$66=$O11)*('WP_Regression Summary'!$N$5:$N$66=R$7),0),MATCH(R$6,'WP_Regression Summary'!$P$5:$R$5))</f>
        <v>91.47</v>
      </c>
      <c r="S11" s="21" cm="1">
        <f t="array" ref="S11">INDEX('WP_Regression Summary'!$P$5:$R$66,MATCH(1,('WP_Regression Summary'!$M$5:$M$66=$O11)*('WP_Regression Summary'!$N$5:$N$66=S$7),0),MATCH(S$6,'WP_Regression Summary'!$P$5:$R$5))</f>
        <v>140.91</v>
      </c>
      <c r="T11" s="21">
        <f t="shared" si="6"/>
        <v>114.75</v>
      </c>
      <c r="U11" s="21" cm="1">
        <f t="array" ref="U11">INDEX('WP_Regression Summary'!$P$5:$R$66,MATCH(1,('WP_Regression Summary'!$M$5:$M$66=$O11)*('WP_Regression Summary'!$N$5:$N$66=U$7),0),MATCH(U$6,'WP_Regression Summary'!$P$5:$R$5))</f>
        <v>88.59</v>
      </c>
      <c r="V11" s="18">
        <f t="shared" si="7"/>
        <v>2.2761220570452607E-3</v>
      </c>
      <c r="W11" s="18">
        <f t="shared" si="1"/>
        <v>-1.1031629750926494E-2</v>
      </c>
      <c r="X11" s="18">
        <f t="shared" si="2"/>
        <v>-3.148573302722199E-2</v>
      </c>
      <c r="Y11" s="53" t="s">
        <v>721</v>
      </c>
      <c r="Z11" s="6"/>
      <c r="AA11" s="473"/>
      <c r="AB11" s="473"/>
      <c r="AC11" s="55"/>
      <c r="AD11" s="55"/>
      <c r="AE11" s="55"/>
      <c r="AF11" s="55"/>
      <c r="AG11" s="55"/>
      <c r="AH11" s="55"/>
      <c r="AI11" s="55"/>
      <c r="AJ11" s="55"/>
      <c r="AK11" s="481"/>
      <c r="AL11" s="481"/>
      <c r="AM11" s="481"/>
      <c r="AN11" s="481"/>
      <c r="AO11" s="6"/>
    </row>
    <row r="12" spans="1:44" s="8" customFormat="1">
      <c r="A12" s="15" t="s">
        <v>0</v>
      </c>
      <c r="B12" s="15" t="s">
        <v>351</v>
      </c>
      <c r="C12" s="21" cm="1">
        <f t="array" ref="C12">INDEX('WP_Regression Summary'!$F$5:$H$66,MATCH(1,('WP_Regression Summary'!$C$5:$C$66=$B12)*('WP_Regression Summary'!$D$5:$D$66=C$7),0),MATCH(C$6,'WP_Regression Summary'!$F$5:$H$5))</f>
        <v>7866.4007000000001</v>
      </c>
      <c r="D12" s="21">
        <f t="shared" si="3"/>
        <v>7804.6589999999997</v>
      </c>
      <c r="E12" s="21" cm="1">
        <f t="array" ref="E12">INDEX('WP_Regression Summary'!$F$5:$H$66,MATCH(1,('WP_Regression Summary'!$C$5:$C$66=$B12)*('WP_Regression Summary'!$D$5:$D$66=E$7),0),MATCH(E$6,'WP_Regression Summary'!$F$5:$H$5))</f>
        <v>7742.9173000000001</v>
      </c>
      <c r="F12" s="21" cm="1">
        <f t="array" ref="F12">INDEX('WP_Regression Summary'!$F$5:$H$66,MATCH(1,('WP_Regression Summary'!$C$5:$C$66=$B12)*('WP_Regression Summary'!$D$5:$D$66=F$7),0),MATCH(F$6,'WP_Regression Summary'!$F$5:$H$5))</f>
        <v>7888.4994999999999</v>
      </c>
      <c r="G12" s="21">
        <f t="shared" si="4"/>
        <v>7824.2110000000002</v>
      </c>
      <c r="H12" s="21" cm="1">
        <f t="array" ref="H12">INDEX('WP_Regression Summary'!$F$5:$H$66,MATCH(1,('WP_Regression Summary'!$C$5:$C$66=$B12)*('WP_Regression Summary'!$D$5:$D$66=H$7),0),MATCH(H$6,'WP_Regression Summary'!$F$5:$H$5))</f>
        <v>7759.9225000000006</v>
      </c>
      <c r="I12" s="18">
        <f t="shared" si="0"/>
        <v>2.8092644708525663E-3</v>
      </c>
      <c r="J12" s="18">
        <f t="shared" si="0"/>
        <v>2.5051703091705339E-3</v>
      </c>
      <c r="K12" s="18">
        <f t="shared" si="0"/>
        <v>2.1962264791334546E-3</v>
      </c>
      <c r="L12" s="53" t="s">
        <v>721</v>
      </c>
      <c r="N12" s="15" t="s">
        <v>0</v>
      </c>
      <c r="O12" s="15" t="s">
        <v>351</v>
      </c>
      <c r="P12" s="21" cm="1">
        <f t="array" ref="P12">INDEX('WP_Regression Summary'!$P$5:$R$66,MATCH(1,('WP_Regression Summary'!$M$5:$M$66=$O12)*('WP_Regression Summary'!$N$5:$N$66=P$7),0),MATCH(P$6,'WP_Regression Summary'!$P$5:$R$5))</f>
        <v>167.63707877370169</v>
      </c>
      <c r="Q12" s="21">
        <f t="shared" si="5"/>
        <v>154.60566801564704</v>
      </c>
      <c r="R12" s="21" cm="1">
        <f t="array" ref="R12">INDEX('WP_Regression Summary'!$P$5:$R$66,MATCH(1,('WP_Regression Summary'!$M$5:$M$66=$O12)*('WP_Regression Summary'!$N$5:$N$66=R$7),0),MATCH(R$6,'WP_Regression Summary'!$P$5:$R$5))</f>
        <v>141.57425725759239</v>
      </c>
      <c r="S12" s="21" cm="1">
        <f t="array" ref="S12">INDEX('WP_Regression Summary'!$P$5:$R$66,MATCH(1,('WP_Regression Summary'!$M$5:$M$66=$O12)*('WP_Regression Summary'!$N$5:$N$66=S$7),0),MATCH(S$6,'WP_Regression Summary'!$P$5:$R$5))</f>
        <v>162.75195983909569</v>
      </c>
      <c r="T12" s="21">
        <f t="shared" si="6"/>
        <v>147.81172002816606</v>
      </c>
      <c r="U12" s="21" cm="1">
        <f t="array" ref="U12">INDEX('WP_Regression Summary'!$P$5:$R$66,MATCH(1,('WP_Regression Summary'!$M$5:$M$66=$O12)*('WP_Regression Summary'!$N$5:$N$66=U$7),0),MATCH(U$6,'WP_Regression Summary'!$P$5:$R$5))</f>
        <v>132.87148021723644</v>
      </c>
      <c r="V12" s="18">
        <f t="shared" si="7"/>
        <v>-2.9141040695421366E-2</v>
      </c>
      <c r="W12" s="18">
        <f t="shared" si="1"/>
        <v>-4.3943718717954036E-2</v>
      </c>
      <c r="X12" s="18">
        <f t="shared" si="2"/>
        <v>-6.1471465285679532E-2</v>
      </c>
      <c r="Y12" s="53" t="s">
        <v>721</v>
      </c>
      <c r="Z12" s="6"/>
      <c r="AA12" s="473"/>
      <c r="AB12" s="473"/>
      <c r="AC12" s="55"/>
      <c r="AD12" s="55"/>
      <c r="AE12" s="55"/>
      <c r="AF12" s="55"/>
      <c r="AG12" s="55"/>
      <c r="AH12" s="55"/>
      <c r="AI12" s="55"/>
      <c r="AJ12" s="55"/>
      <c r="AK12" s="481"/>
      <c r="AL12" s="481"/>
      <c r="AM12" s="481"/>
      <c r="AN12" s="481"/>
      <c r="AO12" s="6"/>
    </row>
    <row r="13" spans="1:44" s="8" customFormat="1">
      <c r="A13" s="15" t="s">
        <v>0</v>
      </c>
      <c r="B13" s="15" t="s">
        <v>353</v>
      </c>
      <c r="C13" s="21" cm="1">
        <f t="array" ref="C13">INDEX('WP_Regression Summary'!$F$5:$H$66,MATCH(1,('WP_Regression Summary'!$C$5:$C$66=$B13)*('WP_Regression Summary'!$D$5:$D$66=C$7),0),MATCH(C$6,'WP_Regression Summary'!$F$5:$H$5))</f>
        <v>5522.8490000000002</v>
      </c>
      <c r="D13" s="21">
        <f t="shared" si="3"/>
        <v>5228.6718500000006</v>
      </c>
      <c r="E13" s="21" cm="1">
        <f t="array" ref="E13">INDEX('WP_Regression Summary'!$F$5:$H$66,MATCH(1,('WP_Regression Summary'!$C$5:$C$66=$B13)*('WP_Regression Summary'!$D$5:$D$66=E$7),0),MATCH(E$6,'WP_Regression Summary'!$F$5:$H$5))</f>
        <v>4934.4947000000002</v>
      </c>
      <c r="F13" s="21" cm="1">
        <f t="array" ref="F13">INDEX('WP_Regression Summary'!$F$5:$H$66,MATCH(1,('WP_Regression Summary'!$C$5:$C$66=$B13)*('WP_Regression Summary'!$D$5:$D$66=F$7),0),MATCH(F$6,'WP_Regression Summary'!$F$5:$H$5))</f>
        <v>5600.0792999999994</v>
      </c>
      <c r="G13" s="21">
        <f t="shared" si="4"/>
        <v>5122.0021999999999</v>
      </c>
      <c r="H13" s="21" cm="1">
        <f t="array" ref="H13">INDEX('WP_Regression Summary'!$F$5:$H$66,MATCH(1,('WP_Regression Summary'!$C$5:$C$66=$B13)*('WP_Regression Summary'!$D$5:$D$66=H$7),0),MATCH(H$6,'WP_Regression Summary'!$F$5:$H$5))</f>
        <v>4643.9251000000004</v>
      </c>
      <c r="I13" s="18">
        <f t="shared" si="0"/>
        <v>1.3983779024195529E-2</v>
      </c>
      <c r="J13" s="18">
        <f t="shared" si="0"/>
        <v>-2.0400907354704373E-2</v>
      </c>
      <c r="K13" s="18">
        <f t="shared" si="0"/>
        <v>-5.8885380908403812E-2</v>
      </c>
      <c r="L13" s="53" t="s">
        <v>721</v>
      </c>
      <c r="N13" s="15" t="s">
        <v>0</v>
      </c>
      <c r="O13" s="15" t="s">
        <v>353</v>
      </c>
      <c r="P13" s="21" cm="1">
        <f t="array" ref="P13">INDEX('WP_Regression Summary'!$P$5:$R$66,MATCH(1,('WP_Regression Summary'!$M$5:$M$66=$O13)*('WP_Regression Summary'!$N$5:$N$66=P$7),0),MATCH(P$6,'WP_Regression Summary'!$P$5:$R$5))</f>
        <v>1099.4769818116235</v>
      </c>
      <c r="Q13" s="21">
        <f t="shared" si="5"/>
        <v>910.44707147729594</v>
      </c>
      <c r="R13" s="21" cm="1">
        <f t="array" ref="R13">INDEX('WP_Regression Summary'!$P$5:$R$66,MATCH(1,('WP_Regression Summary'!$M$5:$M$66=$O13)*('WP_Regression Summary'!$N$5:$N$66=R$7),0),MATCH(R$6,'WP_Regression Summary'!$P$5:$R$5))</f>
        <v>721.41716114296833</v>
      </c>
      <c r="S13" s="21" cm="1">
        <f t="array" ref="S13">INDEX('WP_Regression Summary'!$P$5:$R$66,MATCH(1,('WP_Regression Summary'!$M$5:$M$66=$O13)*('WP_Regression Summary'!$N$5:$N$66=S$7),0),MATCH(S$6,'WP_Regression Summary'!$P$5:$R$5))</f>
        <v>1090.2226156645322</v>
      </c>
      <c r="T13" s="21">
        <f t="shared" si="6"/>
        <v>871.59467421763247</v>
      </c>
      <c r="U13" s="21" cm="1">
        <f t="array" ref="U13">INDEX('WP_Regression Summary'!$P$5:$R$66,MATCH(1,('WP_Regression Summary'!$M$5:$M$66=$O13)*('WP_Regression Summary'!$N$5:$N$66=U$7),0),MATCH(U$6,'WP_Regression Summary'!$P$5:$R$5))</f>
        <v>652.96673277073285</v>
      </c>
      <c r="V13" s="18">
        <f t="shared" si="7"/>
        <v>-8.4170622033785409E-3</v>
      </c>
      <c r="W13" s="18">
        <f t="shared" si="1"/>
        <v>-4.2673976859106559E-2</v>
      </c>
      <c r="X13" s="18">
        <f t="shared" si="2"/>
        <v>-9.4883282598638069E-2</v>
      </c>
      <c r="Y13" s="53" t="s">
        <v>721</v>
      </c>
      <c r="Z13" s="6"/>
      <c r="AA13" s="473"/>
      <c r="AB13" s="473"/>
      <c r="AC13" s="55"/>
      <c r="AD13" s="55"/>
      <c r="AE13" s="55"/>
      <c r="AF13" s="55"/>
      <c r="AG13" s="55"/>
      <c r="AH13" s="55"/>
      <c r="AI13" s="55"/>
      <c r="AJ13" s="55"/>
      <c r="AK13" s="481"/>
      <c r="AL13" s="481"/>
      <c r="AM13" s="481"/>
      <c r="AN13" s="481"/>
      <c r="AO13" s="6"/>
    </row>
    <row r="14" spans="1:44" s="8" customFormat="1">
      <c r="A14" s="15" t="s">
        <v>0</v>
      </c>
      <c r="B14" s="15" t="s">
        <v>355</v>
      </c>
      <c r="C14" s="21" cm="1">
        <f t="array" ref="C14">INDEX('WP_Regression Summary'!$F$5:$H$66,MATCH(1,('WP_Regression Summary'!$C$5:$C$66=$B14)*('WP_Regression Summary'!$D$5:$D$66=C$7),0),MATCH(C$6,'WP_Regression Summary'!$F$5:$H$5))</f>
        <v>10969</v>
      </c>
      <c r="D14" s="21">
        <f t="shared" si="3"/>
        <v>10723.692500000001</v>
      </c>
      <c r="E14" s="21" cm="1">
        <f t="array" ref="E14">INDEX('WP_Regression Summary'!$F$5:$H$66,MATCH(1,('WP_Regression Summary'!$C$5:$C$66=$B14)*('WP_Regression Summary'!$D$5:$D$66=E$7),0),MATCH(E$6,'WP_Regression Summary'!$F$5:$H$5))</f>
        <v>10478.385</v>
      </c>
      <c r="F14" s="21" cm="1">
        <f t="array" ref="F14">INDEX('WP_Regression Summary'!$F$5:$H$66,MATCH(1,('WP_Regression Summary'!$C$5:$C$66=$B14)*('WP_Regression Summary'!$D$5:$D$66=F$7),0),MATCH(F$6,'WP_Regression Summary'!$F$5:$H$5))</f>
        <v>12493</v>
      </c>
      <c r="G14" s="21">
        <f t="shared" si="4"/>
        <v>11883.7289</v>
      </c>
      <c r="H14" s="21" cm="1">
        <f t="array" ref="H14">INDEX('WP_Regression Summary'!$F$5:$H$66,MATCH(1,('WP_Regression Summary'!$C$5:$C$66=$B14)*('WP_Regression Summary'!$D$5:$D$66=H$7),0),MATCH(H$6,'WP_Regression Summary'!$F$5:$H$5))</f>
        <v>11274.4578</v>
      </c>
      <c r="I14" s="18">
        <f t="shared" si="0"/>
        <v>0.13893700428480263</v>
      </c>
      <c r="J14" s="18">
        <f t="shared" si="0"/>
        <v>0.10817508987692429</v>
      </c>
      <c r="K14" s="18">
        <f t="shared" si="0"/>
        <v>7.5972852686745126E-2</v>
      </c>
      <c r="L14" s="53" t="s">
        <v>721</v>
      </c>
      <c r="N14" s="15" t="s">
        <v>0</v>
      </c>
      <c r="O14" s="15" t="s">
        <v>355</v>
      </c>
      <c r="P14" s="21" cm="1">
        <f t="array" ref="P14">INDEX('WP_Regression Summary'!$P$5:$R$66,MATCH(1,('WP_Regression Summary'!$M$5:$M$66=$O14)*('WP_Regression Summary'!$N$5:$N$66=P$7),0),MATCH(P$6,'WP_Regression Summary'!$P$5:$R$5))</f>
        <v>102.3512499185934</v>
      </c>
      <c r="Q14" s="21">
        <f t="shared" si="5"/>
        <v>81.48613092682065</v>
      </c>
      <c r="R14" s="21" cm="1">
        <f t="array" ref="R14">INDEX('WP_Regression Summary'!$P$5:$R$66,MATCH(1,('WP_Regression Summary'!$M$5:$M$66=$O14)*('WP_Regression Summary'!$N$5:$N$66=R$7),0),MATCH(R$6,'WP_Regression Summary'!$P$5:$R$5))</f>
        <v>60.62101193504791</v>
      </c>
      <c r="S14" s="21" cm="1">
        <f t="array" ref="S14">INDEX('WP_Regression Summary'!$P$5:$R$66,MATCH(1,('WP_Regression Summary'!$M$5:$M$66=$O14)*('WP_Regression Summary'!$N$5:$N$66=S$7),0),MATCH(S$6,'WP_Regression Summary'!$P$5:$R$5))</f>
        <v>103.55965676925655</v>
      </c>
      <c r="T14" s="21">
        <f t="shared" si="6"/>
        <v>80.956336657055985</v>
      </c>
      <c r="U14" s="21" cm="1">
        <f t="array" ref="U14">INDEX('WP_Regression Summary'!$P$5:$R$66,MATCH(1,('WP_Regression Summary'!$M$5:$M$66=$O14)*('WP_Regression Summary'!$N$5:$N$66=U$7),0),MATCH(U$6,'WP_Regression Summary'!$P$5:$R$5))</f>
        <v>58.353016544855414</v>
      </c>
      <c r="V14" s="18">
        <f t="shared" si="7"/>
        <v>1.1806468915858643E-2</v>
      </c>
      <c r="W14" s="18">
        <f t="shared" si="1"/>
        <v>-6.5016495904125227E-3</v>
      </c>
      <c r="X14" s="18">
        <f t="shared" si="2"/>
        <v>-3.741269434140309E-2</v>
      </c>
      <c r="Y14" s="53" t="s">
        <v>721</v>
      </c>
      <c r="Z14" s="56"/>
      <c r="AA14" s="473"/>
      <c r="AB14" s="473"/>
      <c r="AC14" s="55"/>
      <c r="AD14" s="55"/>
      <c r="AE14" s="55"/>
      <c r="AF14" s="55"/>
      <c r="AG14" s="55"/>
      <c r="AH14" s="55"/>
      <c r="AI14" s="55"/>
      <c r="AJ14" s="55"/>
      <c r="AK14" s="481"/>
      <c r="AL14" s="481"/>
      <c r="AM14" s="481"/>
      <c r="AN14" s="481"/>
      <c r="AO14" s="6"/>
    </row>
    <row r="15" spans="1:44" s="8" customFormat="1">
      <c r="A15" s="16" t="s">
        <v>0</v>
      </c>
      <c r="B15" s="16" t="s">
        <v>357</v>
      </c>
      <c r="C15" s="21" cm="1">
        <f t="array" ref="C15">INDEX('WP_Regression Summary'!$F$5:$H$66,MATCH(1,('WP_Regression Summary'!$C$5:$C$66=$B15)*('WP_Regression Summary'!$D$5:$D$66=C$7),0),MATCH(C$6,'WP_Regression Summary'!$F$5:$H$5))</f>
        <v>39225.557000000001</v>
      </c>
      <c r="D15" s="21">
        <f t="shared" si="3"/>
        <v>38999.044500000004</v>
      </c>
      <c r="E15" s="21" cm="1">
        <f t="array" ref="E15">INDEX('WP_Regression Summary'!$F$5:$H$66,MATCH(1,('WP_Regression Summary'!$C$5:$C$66=$B15)*('WP_Regression Summary'!$D$5:$D$66=E$7),0),MATCH(E$6,'WP_Regression Summary'!$F$5:$H$5))</f>
        <v>38772.532000000007</v>
      </c>
      <c r="F15" s="21" cm="1">
        <f t="array" ref="F15">INDEX('WP_Regression Summary'!$F$5:$H$66,MATCH(1,('WP_Regression Summary'!$C$5:$C$66=$B15)*('WP_Regression Summary'!$D$5:$D$66=F$7),0),MATCH(F$6,'WP_Regression Summary'!$F$5:$H$5))</f>
        <v>38956.623</v>
      </c>
      <c r="G15" s="21">
        <f t="shared" si="4"/>
        <v>38705.317500000005</v>
      </c>
      <c r="H15" s="21" cm="1">
        <f t="array" ref="H15">INDEX('WP_Regression Summary'!$F$5:$H$66,MATCH(1,('WP_Regression Summary'!$C$5:$C$66=$B15)*('WP_Regression Summary'!$D$5:$D$66=H$7),0),MATCH(H$6,'WP_Regression Summary'!$F$5:$H$5))</f>
        <v>38454.012000000002</v>
      </c>
      <c r="I15" s="18">
        <f t="shared" si="0"/>
        <v>-6.8560912978240466E-3</v>
      </c>
      <c r="J15" s="18">
        <f t="shared" si="0"/>
        <v>-7.5316460637900734E-3</v>
      </c>
      <c r="K15" s="18">
        <f t="shared" si="0"/>
        <v>-8.2150941290087542E-3</v>
      </c>
      <c r="L15" s="53" t="s">
        <v>721</v>
      </c>
      <c r="N15" s="16" t="s">
        <v>0</v>
      </c>
      <c r="O15" s="15" t="s">
        <v>357</v>
      </c>
      <c r="P15" s="21" cm="1">
        <f t="array" ref="P15">INDEX('WP_Regression Summary'!$P$5:$R$66,MATCH(1,('WP_Regression Summary'!$M$5:$M$66=$O15)*('WP_Regression Summary'!$N$5:$N$66=P$7),0),MATCH(P$6,'WP_Regression Summary'!$P$5:$R$5))</f>
        <v>111.26955512600672</v>
      </c>
      <c r="Q15" s="21">
        <f t="shared" si="5"/>
        <v>103.66332451256534</v>
      </c>
      <c r="R15" s="21" cm="1">
        <f t="array" ref="R15">INDEX('WP_Regression Summary'!$P$5:$R$66,MATCH(1,('WP_Regression Summary'!$M$5:$M$66=$O15)*('WP_Regression Summary'!$N$5:$N$66=R$7),0),MATCH(R$6,'WP_Regression Summary'!$P$5:$R$5))</f>
        <v>96.05709389912397</v>
      </c>
      <c r="S15" s="21" cm="1">
        <f t="array" ref="S15">INDEX('WP_Regression Summary'!$P$5:$R$66,MATCH(1,('WP_Regression Summary'!$M$5:$M$66=$O15)*('WP_Regression Summary'!$N$5:$N$66=S$7),0),MATCH(S$6,'WP_Regression Summary'!$P$5:$R$5))</f>
        <v>111.26955512600672</v>
      </c>
      <c r="T15" s="21">
        <f t="shared" si="6"/>
        <v>103.66332451256534</v>
      </c>
      <c r="U15" s="21" cm="1">
        <f t="array" ref="U15">INDEX('WP_Regression Summary'!$P$5:$R$66,MATCH(1,('WP_Regression Summary'!$M$5:$M$66=$O15)*('WP_Regression Summary'!$N$5:$N$66=U$7),0),MATCH(U$6,'WP_Regression Summary'!$P$5:$R$5))</f>
        <v>96.05709389912397</v>
      </c>
      <c r="V15" s="18">
        <f t="shared" si="7"/>
        <v>0</v>
      </c>
      <c r="W15" s="18">
        <f t="shared" si="1"/>
        <v>0</v>
      </c>
      <c r="X15" s="18">
        <f t="shared" si="2"/>
        <v>0</v>
      </c>
      <c r="Y15" s="53" t="s">
        <v>721</v>
      </c>
      <c r="Z15" s="6"/>
      <c r="AA15" s="6"/>
      <c r="AB15" s="473"/>
      <c r="AC15" s="55"/>
      <c r="AD15" s="55"/>
      <c r="AE15" s="55"/>
      <c r="AF15" s="55"/>
      <c r="AG15" s="55"/>
      <c r="AH15" s="55"/>
      <c r="AI15" s="55"/>
      <c r="AJ15" s="55"/>
      <c r="AK15" s="481"/>
      <c r="AL15" s="481"/>
      <c r="AM15" s="481"/>
      <c r="AN15" s="481"/>
      <c r="AO15" s="6"/>
    </row>
    <row r="16" spans="1:44" s="8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N16" s="6"/>
      <c r="O16" s="16"/>
      <c r="P16" s="21"/>
      <c r="Q16" s="21">
        <v>0</v>
      </c>
      <c r="R16" s="21"/>
      <c r="S16" s="21"/>
      <c r="T16" s="21">
        <v>0</v>
      </c>
      <c r="U16" s="21"/>
      <c r="V16" s="6"/>
      <c r="W16" s="6"/>
      <c r="X16" s="6"/>
      <c r="Y16" s="16"/>
      <c r="Z16" s="6"/>
      <c r="AA16" s="6"/>
      <c r="AB16" s="6"/>
      <c r="AF16" s="55"/>
      <c r="AJ16" s="55"/>
      <c r="AK16" s="6"/>
      <c r="AL16" s="6"/>
      <c r="AM16" s="6"/>
      <c r="AN16" s="481"/>
      <c r="AO16" s="6"/>
    </row>
    <row r="17" spans="1:41" s="8" customFormat="1">
      <c r="A17" s="15" t="s">
        <v>635</v>
      </c>
      <c r="B17" s="15" t="s">
        <v>381</v>
      </c>
      <c r="C17" s="21" cm="1">
        <f t="array" ref="C17">INDEX('WP_Regression Summary'!$F$5:$H$66,MATCH(1,('WP_Regression Summary'!$C$5:$C$66=$B17)*('WP_Regression Summary'!$D$5:$D$66=C$7),0),MATCH(C$6,'WP_Regression Summary'!$F$5:$H$5))</f>
        <v>36652.339991968511</v>
      </c>
      <c r="D17" s="21">
        <f t="shared" si="3"/>
        <v>36144.279968399627</v>
      </c>
      <c r="E17" s="21" cm="1">
        <f t="array" ref="E17">INDEX('WP_Regression Summary'!$F$5:$H$66,MATCH(1,('WP_Regression Summary'!$C$5:$C$66=$B17)*('WP_Regression Summary'!$D$5:$D$66=E$7),0),MATCH(E$6,'WP_Regression Summary'!$F$5:$H$5))</f>
        <v>35636.219944830744</v>
      </c>
      <c r="F17" s="21" cm="1">
        <f t="array" ref="F17">INDEX('WP_Regression Summary'!$F$5:$H$66,MATCH(1,('WP_Regression Summary'!$C$5:$C$66=$B17)*('WP_Regression Summary'!$D$5:$D$66=F$7),0),MATCH(F$6,'WP_Regression Summary'!$F$5:$H$5))</f>
        <v>37699.888681285622</v>
      </c>
      <c r="G17" s="21">
        <f t="shared" ref="G17:G28" si="8">MEDIAN(F17,H17)</f>
        <v>36816.117401390351</v>
      </c>
      <c r="H17" s="21" cm="1">
        <f t="array" ref="H17">INDEX('WP_Regression Summary'!$F$5:$H$66,MATCH(1,('WP_Regression Summary'!$C$5:$C$66=$B17)*('WP_Regression Summary'!$D$5:$D$66=H$7),0),MATCH(H$6,'WP_Regression Summary'!$F$5:$H$5))</f>
        <v>35932.346121495073</v>
      </c>
      <c r="I17" s="18">
        <f t="shared" ref="I17:I28" si="9">(F17-C17)/C17</f>
        <v>2.8580676964871994E-2</v>
      </c>
      <c r="J17" s="18">
        <f t="shared" ref="J17:J28" si="10">(G17-D17)/D17</f>
        <v>1.8587655739112818E-2</v>
      </c>
      <c r="K17" s="18">
        <f t="shared" ref="K17:K28" si="11">(H17-E17)/E17</f>
        <v>8.309696626712066E-3</v>
      </c>
      <c r="L17" s="53" t="s">
        <v>721</v>
      </c>
      <c r="N17" s="15" t="s">
        <v>635</v>
      </c>
      <c r="O17" s="15" t="s">
        <v>381</v>
      </c>
      <c r="P17" s="21" cm="1">
        <f t="array" ref="P17">INDEX('WP_Regression Summary'!$P$5:$R$66,MATCH(1,('WP_Regression Summary'!$M$5:$M$66=$O17)*('WP_Regression Summary'!$N$5:$N$66=P$7),0),MATCH(P$6,'WP_Regression Summary'!$P$5:$R$5))</f>
        <v>4035.1</v>
      </c>
      <c r="Q17" s="21">
        <f t="shared" ref="Q17:Q28" si="12">MEDIAN(P17,R17)</f>
        <v>3720.15</v>
      </c>
      <c r="R17" s="21" cm="1">
        <f t="array" ref="R17">INDEX('WP_Regression Summary'!$P$5:$R$66,MATCH(1,('WP_Regression Summary'!$M$5:$M$66=$O17)*('WP_Regression Summary'!$N$5:$N$66=R$7),0),MATCH(R$6,'WP_Regression Summary'!$P$5:$R$5))</f>
        <v>3405.2000000000003</v>
      </c>
      <c r="S17" s="21" cm="1">
        <f t="array" ref="S17">INDEX('WP_Regression Summary'!$P$5:$R$66,MATCH(1,('WP_Regression Summary'!$M$5:$M$66=$O17)*('WP_Regression Summary'!$N$5:$N$66=S$7),0),MATCH(S$6,'WP_Regression Summary'!$P$5:$R$5))</f>
        <v>4001.7999999999997</v>
      </c>
      <c r="T17" s="21">
        <f t="shared" ref="T17:T28" si="13">MEDIAN(S17,U17)</f>
        <v>3652.1</v>
      </c>
      <c r="U17" s="21" cm="1">
        <f t="array" ref="U17">INDEX('WP_Regression Summary'!$P$5:$R$66,MATCH(1,('WP_Regression Summary'!$M$5:$M$66=$O17)*('WP_Regression Summary'!$N$5:$N$66=U$7),0),MATCH(U$6,'WP_Regression Summary'!$P$5:$R$5))</f>
        <v>3302.4</v>
      </c>
      <c r="V17" s="18">
        <f t="shared" ref="V17:V28" si="14">(S17-P17)/P17</f>
        <v>-8.2525835790934997E-3</v>
      </c>
      <c r="W17" s="18">
        <f t="shared" ref="W17:W28" si="15">(T17-Q17)/Q17</f>
        <v>-1.8292273161028501E-2</v>
      </c>
      <c r="X17" s="18">
        <f t="shared" ref="X17:X28" si="16">(U17-R17)/R17</f>
        <v>-3.0189122518501168E-2</v>
      </c>
      <c r="Y17" s="53" t="s">
        <v>721</v>
      </c>
      <c r="Z17" s="6"/>
      <c r="AA17" s="473"/>
      <c r="AB17" s="473"/>
      <c r="AC17" s="55"/>
      <c r="AD17" s="55"/>
      <c r="AE17" s="55"/>
      <c r="AF17" s="55"/>
      <c r="AG17" s="55"/>
      <c r="AH17" s="55"/>
      <c r="AI17" s="55"/>
      <c r="AJ17" s="55"/>
      <c r="AK17" s="481"/>
      <c r="AL17" s="481"/>
      <c r="AM17" s="481"/>
      <c r="AN17" s="481"/>
      <c r="AO17" s="6"/>
    </row>
    <row r="18" spans="1:41" s="8" customFormat="1">
      <c r="A18" s="15" t="s">
        <v>635</v>
      </c>
      <c r="B18" s="15" t="s">
        <v>90</v>
      </c>
      <c r="C18" s="21" cm="1">
        <f t="array" ref="C18">INDEX('WP_Regression Summary'!$F$5:$H$66,MATCH(1,('WP_Regression Summary'!$C$5:$C$66=$B18)*('WP_Regression Summary'!$D$5:$D$66=C$7),0),MATCH(C$6,'WP_Regression Summary'!$F$5:$H$5))</f>
        <v>22370.815694678182</v>
      </c>
      <c r="D18" s="21">
        <f t="shared" si="3"/>
        <v>22222.493638421238</v>
      </c>
      <c r="E18" s="21" cm="1">
        <f t="array" ref="E18">INDEX('WP_Regression Summary'!$F$5:$H$66,MATCH(1,('WP_Regression Summary'!$C$5:$C$66=$B18)*('WP_Regression Summary'!$D$5:$D$66=E$7),0),MATCH(E$6,'WP_Regression Summary'!$F$5:$H$5))</f>
        <v>22074.171582164294</v>
      </c>
      <c r="F18" s="21" cm="1">
        <f t="array" ref="F18">INDEX('WP_Regression Summary'!$F$5:$H$66,MATCH(1,('WP_Regression Summary'!$C$5:$C$66=$B18)*('WP_Regression Summary'!$D$5:$D$66=F$7),0),MATCH(F$6,'WP_Regression Summary'!$F$5:$H$5))</f>
        <v>22638.003834991079</v>
      </c>
      <c r="G18" s="21">
        <f t="shared" si="8"/>
        <v>22469.898729032964</v>
      </c>
      <c r="H18" s="21" cm="1">
        <f t="array" ref="H18">INDEX('WP_Regression Summary'!$F$5:$H$66,MATCH(1,('WP_Regression Summary'!$C$5:$C$66=$B18)*('WP_Regression Summary'!$D$5:$D$66=H$7),0),MATCH(H$6,'WP_Regression Summary'!$F$5:$H$5))</f>
        <v>22301.793623074849</v>
      </c>
      <c r="I18" s="18">
        <f t="shared" si="9"/>
        <v>1.1943602949465048E-2</v>
      </c>
      <c r="J18" s="18">
        <f t="shared" si="10"/>
        <v>1.1133093100946111E-2</v>
      </c>
      <c r="K18" s="18">
        <f t="shared" si="11"/>
        <v>1.0311691202693724E-2</v>
      </c>
      <c r="L18" s="53" t="s">
        <v>721</v>
      </c>
      <c r="N18" s="15" t="s">
        <v>635</v>
      </c>
      <c r="O18" s="15" t="s">
        <v>90</v>
      </c>
      <c r="P18" s="21" cm="1">
        <f t="array" ref="P18">INDEX('WP_Regression Summary'!$P$5:$R$66,MATCH(1,('WP_Regression Summary'!$M$5:$M$66=$O18)*('WP_Regression Summary'!$N$5:$N$66=P$7),0),MATCH(P$6,'WP_Regression Summary'!$P$5:$R$5))</f>
        <v>21447.399999999998</v>
      </c>
      <c r="Q18" s="21">
        <f t="shared" si="12"/>
        <v>19846.650000000001</v>
      </c>
      <c r="R18" s="21" cm="1">
        <f t="array" ref="R18">INDEX('WP_Regression Summary'!$P$5:$R$66,MATCH(1,('WP_Regression Summary'!$M$5:$M$66=$O18)*('WP_Regression Summary'!$N$5:$N$66=R$7),0),MATCH(R$6,'WP_Regression Summary'!$P$5:$R$5))</f>
        <v>18245.900000000001</v>
      </c>
      <c r="S18" s="21" cm="1">
        <f t="array" ref="S18">INDEX('WP_Regression Summary'!$P$5:$R$66,MATCH(1,('WP_Regression Summary'!$M$5:$M$66=$O18)*('WP_Regression Summary'!$N$5:$N$66=S$7),0),MATCH(S$6,'WP_Regression Summary'!$P$5:$R$5))</f>
        <v>21325.699999999997</v>
      </c>
      <c r="T18" s="21">
        <f t="shared" si="13"/>
        <v>19502.099999999999</v>
      </c>
      <c r="U18" s="21" cm="1">
        <f t="array" ref="U18">INDEX('WP_Regression Summary'!$P$5:$R$66,MATCH(1,('WP_Regression Summary'!$M$5:$M$66=$O18)*('WP_Regression Summary'!$N$5:$N$66=U$7),0),MATCH(U$6,'WP_Regression Summary'!$P$5:$R$5))</f>
        <v>17678.5</v>
      </c>
      <c r="V18" s="18">
        <f t="shared" si="14"/>
        <v>-5.6743474733534482E-3</v>
      </c>
      <c r="W18" s="18">
        <f t="shared" si="15"/>
        <v>-1.7360612496315646E-2</v>
      </c>
      <c r="X18" s="18">
        <f t="shared" si="16"/>
        <v>-3.1097397223485902E-2</v>
      </c>
      <c r="Y18" s="53" t="s">
        <v>721</v>
      </c>
      <c r="Z18" s="6"/>
      <c r="AA18" s="473"/>
      <c r="AB18" s="473"/>
      <c r="AC18" s="55"/>
      <c r="AD18" s="55"/>
      <c r="AE18" s="55"/>
      <c r="AF18" s="55"/>
      <c r="AG18" s="55"/>
      <c r="AH18" s="55"/>
      <c r="AI18" s="55"/>
      <c r="AJ18" s="55"/>
      <c r="AK18" s="481"/>
      <c r="AL18" s="481"/>
      <c r="AM18" s="481"/>
      <c r="AN18" s="481"/>
      <c r="AO18" s="6"/>
    </row>
    <row r="19" spans="1:41" s="8" customFormat="1">
      <c r="A19" s="15" t="s">
        <v>635</v>
      </c>
      <c r="B19" s="15" t="s">
        <v>384</v>
      </c>
      <c r="C19" s="21" cm="1">
        <f t="array" ref="C19">INDEX('WP_Regression Summary'!$F$5:$H$66,MATCH(1,('WP_Regression Summary'!$C$5:$C$66=$B19)*('WP_Regression Summary'!$D$5:$D$66=C$7),0),MATCH(C$6,'WP_Regression Summary'!$F$5:$H$5))</f>
        <v>10041.095904024827</v>
      </c>
      <c r="D19" s="21">
        <f t="shared" si="3"/>
        <v>9820.2895655367865</v>
      </c>
      <c r="E19" s="21" cm="1">
        <f t="array" ref="E19">INDEX('WP_Regression Summary'!$F$5:$H$66,MATCH(1,('WP_Regression Summary'!$C$5:$C$66=$B19)*('WP_Regression Summary'!$D$5:$D$66=E$7),0),MATCH(E$6,'WP_Regression Summary'!$F$5:$H$5))</f>
        <v>9599.4832270487459</v>
      </c>
      <c r="F19" s="21" cm="1">
        <f t="array" ref="F19">INDEX('WP_Regression Summary'!$F$5:$H$66,MATCH(1,('WP_Regression Summary'!$C$5:$C$66=$B19)*('WP_Regression Summary'!$D$5:$D$66=F$7),0),MATCH(F$6,'WP_Regression Summary'!$F$5:$H$5))</f>
        <v>9840.2386966449449</v>
      </c>
      <c r="G19" s="21">
        <f t="shared" si="8"/>
        <v>9492.915972092931</v>
      </c>
      <c r="H19" s="21" cm="1">
        <f t="array" ref="H19">INDEX('WP_Regression Summary'!$F$5:$H$66,MATCH(1,('WP_Regression Summary'!$C$5:$C$66=$B19)*('WP_Regression Summary'!$D$5:$D$66=H$7),0),MATCH(H$6,'WP_Regression Summary'!$F$5:$H$5))</f>
        <v>9145.5932475409154</v>
      </c>
      <c r="I19" s="18">
        <f t="shared" si="9"/>
        <v>-2.0003514486837203E-2</v>
      </c>
      <c r="J19" s="18">
        <f t="shared" si="10"/>
        <v>-3.3336450138164629E-2</v>
      </c>
      <c r="K19" s="18">
        <f t="shared" si="11"/>
        <v>-4.7282751453629437E-2</v>
      </c>
      <c r="L19" s="53" t="s">
        <v>721</v>
      </c>
      <c r="N19" s="15" t="s">
        <v>635</v>
      </c>
      <c r="O19" s="15" t="s">
        <v>384</v>
      </c>
      <c r="P19" s="21" cm="1">
        <f t="array" ref="P19">INDEX('WP_Regression Summary'!$P$5:$R$66,MATCH(1,('WP_Regression Summary'!$M$5:$M$66=$O19)*('WP_Regression Summary'!$N$5:$N$66=P$7),0),MATCH(P$6,'WP_Regression Summary'!$P$5:$R$5))</f>
        <v>3529.4000000000005</v>
      </c>
      <c r="Q19" s="21">
        <f t="shared" si="12"/>
        <v>3349.1500000000005</v>
      </c>
      <c r="R19" s="21" cm="1">
        <f t="array" ref="R19">INDEX('WP_Regression Summary'!$P$5:$R$66,MATCH(1,('WP_Regression Summary'!$M$5:$M$66=$O19)*('WP_Regression Summary'!$N$5:$N$66=R$7),0),MATCH(R$6,'WP_Regression Summary'!$P$5:$R$5))</f>
        <v>3168.9</v>
      </c>
      <c r="S19" s="21" cm="1">
        <f t="array" ref="S19">INDEX('WP_Regression Summary'!$P$5:$R$66,MATCH(1,('WP_Regression Summary'!$M$5:$M$66=$O19)*('WP_Regression Summary'!$N$5:$N$66=S$7),0),MATCH(S$6,'WP_Regression Summary'!$P$5:$R$5))</f>
        <v>3746.3</v>
      </c>
      <c r="T19" s="21">
        <f t="shared" si="13"/>
        <v>3482.75</v>
      </c>
      <c r="U19" s="21" cm="1">
        <f t="array" ref="U19">INDEX('WP_Regression Summary'!$P$5:$R$66,MATCH(1,('WP_Regression Summary'!$M$5:$M$66=$O19)*('WP_Regression Summary'!$N$5:$N$66=U$7),0),MATCH(U$6,'WP_Regression Summary'!$P$5:$R$5))</f>
        <v>3219.2000000000003</v>
      </c>
      <c r="V19" s="18">
        <f t="shared" si="14"/>
        <v>6.1455204850682725E-2</v>
      </c>
      <c r="W19" s="18">
        <f t="shared" si="15"/>
        <v>3.989071854052504E-2</v>
      </c>
      <c r="X19" s="18">
        <f t="shared" si="16"/>
        <v>1.5873015873015931E-2</v>
      </c>
      <c r="Y19" s="53" t="s">
        <v>721</v>
      </c>
      <c r="Z19" s="6"/>
      <c r="AA19" s="473"/>
      <c r="AB19" s="473"/>
      <c r="AC19" s="55"/>
      <c r="AD19" s="55"/>
      <c r="AE19" s="55"/>
      <c r="AF19" s="55"/>
      <c r="AG19" s="55"/>
      <c r="AH19" s="55"/>
      <c r="AI19" s="55"/>
      <c r="AJ19" s="55"/>
      <c r="AK19" s="481"/>
      <c r="AL19" s="481"/>
      <c r="AM19" s="481"/>
      <c r="AN19" s="481"/>
      <c r="AO19" s="6"/>
    </row>
    <row r="20" spans="1:41" s="8" customFormat="1">
      <c r="A20" s="15" t="s">
        <v>635</v>
      </c>
      <c r="B20" s="15" t="s">
        <v>386</v>
      </c>
      <c r="C20" s="21" cm="1">
        <f t="array" ref="C20">INDEX('WP_Regression Summary'!$F$5:$H$66,MATCH(1,('WP_Regression Summary'!$C$5:$C$66=$B20)*('WP_Regression Summary'!$D$5:$D$66=C$7),0),MATCH(C$6,'WP_Regression Summary'!$F$5:$H$5))</f>
        <v>277.75148785908851</v>
      </c>
      <c r="D20" s="21">
        <f t="shared" si="3"/>
        <v>254.27695461863971</v>
      </c>
      <c r="E20" s="21" cm="1">
        <f t="array" ref="E20">INDEX('WP_Regression Summary'!$F$5:$H$66,MATCH(1,('WP_Regression Summary'!$C$5:$C$66=$B20)*('WP_Regression Summary'!$D$5:$D$66=E$7),0),MATCH(E$6,'WP_Regression Summary'!$F$5:$H$5))</f>
        <v>230.80242137819093</v>
      </c>
      <c r="F20" s="21" cm="1">
        <f t="array" ref="F20">INDEX('WP_Regression Summary'!$F$5:$H$66,MATCH(1,('WP_Regression Summary'!$C$5:$C$66=$B20)*('WP_Regression Summary'!$D$5:$D$66=F$7),0),MATCH(F$6,'WP_Regression Summary'!$F$5:$H$5))</f>
        <v>277.7120464699571</v>
      </c>
      <c r="G20" s="21">
        <f t="shared" si="8"/>
        <v>247.25309806478418</v>
      </c>
      <c r="H20" s="21" cm="1">
        <f t="array" ref="H20">INDEX('WP_Regression Summary'!$F$5:$H$66,MATCH(1,('WP_Regression Summary'!$C$5:$C$66=$B20)*('WP_Regression Summary'!$D$5:$D$66=H$7),0),MATCH(H$6,'WP_Regression Summary'!$F$5:$H$5))</f>
        <v>216.79414965961129</v>
      </c>
      <c r="I20" s="18">
        <f t="shared" si="9"/>
        <v>-1.4200244051049466E-4</v>
      </c>
      <c r="J20" s="18">
        <f t="shared" si="10"/>
        <v>-2.7622859351881829E-2</v>
      </c>
      <c r="K20" s="18">
        <f t="shared" si="11"/>
        <v>-6.0693781438392269E-2</v>
      </c>
      <c r="L20" s="53" t="s">
        <v>721</v>
      </c>
      <c r="N20" s="15" t="s">
        <v>635</v>
      </c>
      <c r="O20" s="15" t="s">
        <v>386</v>
      </c>
      <c r="P20" s="21" cm="1">
        <f t="array" ref="P20">INDEX('WP_Regression Summary'!$P$5:$R$66,MATCH(1,('WP_Regression Summary'!$M$5:$M$66=$O20)*('WP_Regression Summary'!$N$5:$N$66=P$7),0),MATCH(P$6,'WP_Regression Summary'!$P$5:$R$5))</f>
        <v>3263.6000000000004</v>
      </c>
      <c r="Q20" s="21">
        <f t="shared" si="12"/>
        <v>2821</v>
      </c>
      <c r="R20" s="21" cm="1">
        <f t="array" ref="R20">INDEX('WP_Regression Summary'!$P$5:$R$66,MATCH(1,('WP_Regression Summary'!$M$5:$M$66=$O20)*('WP_Regression Summary'!$N$5:$N$66=R$7),0),MATCH(R$6,'WP_Regression Summary'!$P$5:$R$5))</f>
        <v>2378.3999999999996</v>
      </c>
      <c r="S20" s="21" cm="1">
        <f t="array" ref="S20">INDEX('WP_Regression Summary'!$P$5:$R$66,MATCH(1,('WP_Regression Summary'!$M$5:$M$66=$O20)*('WP_Regression Summary'!$N$5:$N$66=S$7),0),MATCH(S$6,'WP_Regression Summary'!$P$5:$R$5))</f>
        <v>3265.2000000000003</v>
      </c>
      <c r="T20" s="21">
        <f t="shared" si="13"/>
        <v>2803.05</v>
      </c>
      <c r="U20" s="21" cm="1">
        <f t="array" ref="U20">INDEX('WP_Regression Summary'!$P$5:$R$66,MATCH(1,('WP_Regression Summary'!$M$5:$M$66=$O20)*('WP_Regression Summary'!$N$5:$N$66=U$7),0),MATCH(U$6,'WP_Regression Summary'!$P$5:$R$5))</f>
        <v>2340.9</v>
      </c>
      <c r="V20" s="18">
        <f t="shared" si="14"/>
        <v>4.9025615884296754E-4</v>
      </c>
      <c r="W20" s="18">
        <f t="shared" si="15"/>
        <v>-6.3629918468627502E-3</v>
      </c>
      <c r="X20" s="18">
        <f>V20</f>
        <v>4.9025615884296754E-4</v>
      </c>
      <c r="Y20" s="53" t="s">
        <v>721</v>
      </c>
      <c r="Z20" s="6"/>
      <c r="AA20" s="473"/>
      <c r="AB20" s="473"/>
      <c r="AC20" s="55"/>
      <c r="AD20" s="55"/>
      <c r="AE20" s="55"/>
      <c r="AF20" s="55"/>
      <c r="AG20" s="55"/>
      <c r="AH20" s="55"/>
      <c r="AI20" s="55"/>
      <c r="AJ20" s="55"/>
      <c r="AK20" s="481"/>
      <c r="AL20" s="481"/>
      <c r="AM20" s="481"/>
      <c r="AN20" s="481"/>
      <c r="AO20" s="6"/>
    </row>
    <row r="21" spans="1:41" s="8" customFormat="1">
      <c r="A21" s="15" t="s">
        <v>635</v>
      </c>
      <c r="B21" s="15" t="s">
        <v>388</v>
      </c>
      <c r="C21" s="21" cm="1">
        <f t="array" ref="C21">INDEX('WP_Regression Summary'!$F$5:$H$66,MATCH(1,('WP_Regression Summary'!$C$5:$C$66=$B21)*('WP_Regression Summary'!$D$5:$D$66=C$7),0),MATCH(C$6,'WP_Regression Summary'!$F$5:$H$5))</f>
        <v>2226.2370760902772</v>
      </c>
      <c r="D21" s="21">
        <f t="shared" si="3"/>
        <v>2128.8852692129421</v>
      </c>
      <c r="E21" s="21" cm="1">
        <f t="array" ref="E21">INDEX('WP_Regression Summary'!$F$5:$H$66,MATCH(1,('WP_Regression Summary'!$C$5:$C$66=$B21)*('WP_Regression Summary'!$D$5:$D$66=E$7),0),MATCH(E$6,'WP_Regression Summary'!$F$5:$H$5))</f>
        <v>2031.5334623356071</v>
      </c>
      <c r="F21" s="21" cm="1">
        <f t="array" ref="F21">INDEX('WP_Regression Summary'!$F$5:$H$66,MATCH(1,('WP_Regression Summary'!$C$5:$C$66=$B21)*('WP_Regression Summary'!$D$5:$D$66=F$7),0),MATCH(F$6,'WP_Regression Summary'!$F$5:$H$5))</f>
        <v>2171.730434495621</v>
      </c>
      <c r="G21" s="21">
        <f t="shared" si="8"/>
        <v>2023.2806406840054</v>
      </c>
      <c r="H21" s="21" cm="1">
        <f t="array" ref="H21">INDEX('WP_Regression Summary'!$F$5:$H$66,MATCH(1,('WP_Regression Summary'!$C$5:$C$66=$B21)*('WP_Regression Summary'!$D$5:$D$66=H$7),0),MATCH(H$6,'WP_Regression Summary'!$F$5:$H$5))</f>
        <v>1874.8308468723901</v>
      </c>
      <c r="I21" s="18">
        <f t="shared" si="9"/>
        <v>-2.4483754304541958E-2</v>
      </c>
      <c r="J21" s="18">
        <f t="shared" si="10"/>
        <v>-4.9605598787378136E-2</v>
      </c>
      <c r="K21" s="18">
        <f t="shared" si="11"/>
        <v>-7.7135138735573455E-2</v>
      </c>
      <c r="L21" s="53" t="s">
        <v>721</v>
      </c>
      <c r="N21" s="15" t="s">
        <v>635</v>
      </c>
      <c r="O21" s="15" t="s">
        <v>388</v>
      </c>
      <c r="P21" s="21" cm="1">
        <f t="array" ref="P21">INDEX('WP_Regression Summary'!$P$5:$R$66,MATCH(1,('WP_Regression Summary'!$M$5:$M$66=$O21)*('WP_Regression Summary'!$N$5:$N$66=P$7),0),MATCH(P$6,'WP_Regression Summary'!$P$5:$R$5))</f>
        <v>376</v>
      </c>
      <c r="Q21" s="21">
        <f t="shared" si="12"/>
        <v>277.7</v>
      </c>
      <c r="R21" s="21" cm="1">
        <f t="array" ref="R21">INDEX('WP_Regression Summary'!$P$5:$R$66,MATCH(1,('WP_Regression Summary'!$M$5:$M$66=$O21)*('WP_Regression Summary'!$N$5:$N$66=R$7),0),MATCH(R$6,'WP_Regression Summary'!$P$5:$R$5))</f>
        <v>179.39999999999998</v>
      </c>
      <c r="S21" s="21" cm="1">
        <f t="array" ref="S21">INDEX('WP_Regression Summary'!$P$5:$R$66,MATCH(1,('WP_Regression Summary'!$M$5:$M$66=$O21)*('WP_Regression Summary'!$N$5:$N$66=S$7),0),MATCH(S$6,'WP_Regression Summary'!$P$5:$R$5))</f>
        <v>385.1</v>
      </c>
      <c r="T21" s="21">
        <f t="shared" si="13"/>
        <v>254.90000000000003</v>
      </c>
      <c r="U21" s="21" cm="1">
        <f t="array" ref="U21">INDEX('WP_Regression Summary'!$P$5:$R$66,MATCH(1,('WP_Regression Summary'!$M$5:$M$66=$O21)*('WP_Regression Summary'!$N$5:$N$66=U$7),0),MATCH(U$6,'WP_Regression Summary'!$P$5:$R$5))</f>
        <v>124.7</v>
      </c>
      <c r="V21" s="18">
        <f t="shared" si="14"/>
        <v>2.4202127659574527E-2</v>
      </c>
      <c r="W21" s="18">
        <f t="shared" si="15"/>
        <v>-8.2102988836874169E-2</v>
      </c>
      <c r="X21" s="18">
        <f t="shared" si="16"/>
        <v>-0.30490523968784827</v>
      </c>
      <c r="Y21" s="53" t="s">
        <v>721</v>
      </c>
      <c r="Z21" s="6"/>
      <c r="AA21" s="473"/>
      <c r="AB21" s="473"/>
      <c r="AC21" s="55"/>
      <c r="AD21" s="55"/>
      <c r="AE21" s="55"/>
      <c r="AF21" s="55"/>
      <c r="AG21" s="55"/>
      <c r="AH21" s="55"/>
      <c r="AI21" s="55"/>
      <c r="AJ21" s="55"/>
      <c r="AK21" s="481"/>
      <c r="AL21" s="481"/>
      <c r="AM21" s="481"/>
      <c r="AN21" s="481"/>
      <c r="AO21" s="6"/>
    </row>
    <row r="22" spans="1:41" s="8" customFormat="1">
      <c r="A22" s="15" t="s">
        <v>635</v>
      </c>
      <c r="B22" s="15" t="s">
        <v>390</v>
      </c>
      <c r="C22" s="21" cm="1">
        <f t="array" ref="C22">INDEX('WP_Regression Summary'!$F$5:$H$66,MATCH(1,('WP_Regression Summary'!$C$5:$C$66=$B22)*('WP_Regression Summary'!$D$5:$D$66=C$7),0),MATCH(C$6,'WP_Regression Summary'!$F$5:$H$5))</f>
        <v>1214.090832967318</v>
      </c>
      <c r="D22" s="21">
        <f t="shared" si="3"/>
        <v>1170.1701193267786</v>
      </c>
      <c r="E22" s="21" cm="1">
        <f t="array" ref="E22">INDEX('WP_Regression Summary'!$F$5:$H$66,MATCH(1,('WP_Regression Summary'!$C$5:$C$66=$B22)*('WP_Regression Summary'!$D$5:$D$66=E$7),0),MATCH(E$6,'WP_Regression Summary'!$F$5:$H$5))</f>
        <v>1126.2494056862395</v>
      </c>
      <c r="F22" s="21" cm="1">
        <f t="array" ref="F22">INDEX('WP_Regression Summary'!$F$5:$H$66,MATCH(1,('WP_Regression Summary'!$C$5:$C$66=$B22)*('WP_Regression Summary'!$D$5:$D$66=F$7),0),MATCH(F$6,'WP_Regression Summary'!$F$5:$H$5))</f>
        <v>1288.2135235636858</v>
      </c>
      <c r="G22" s="21">
        <f t="shared" si="8"/>
        <v>1237.3700760640113</v>
      </c>
      <c r="H22" s="21" cm="1">
        <f t="array" ref="H22">INDEX('WP_Regression Summary'!$F$5:$H$66,MATCH(1,('WP_Regression Summary'!$C$5:$C$66=$B22)*('WP_Regression Summary'!$D$5:$D$66=H$7),0),MATCH(H$6,'WP_Regression Summary'!$F$5:$H$5))</f>
        <v>1186.5266285643368</v>
      </c>
      <c r="I22" s="18">
        <f t="shared" si="9"/>
        <v>6.1052014053353108E-2</v>
      </c>
      <c r="J22" s="18">
        <f t="shared" si="10"/>
        <v>5.7427510434033407E-2</v>
      </c>
      <c r="K22" s="18">
        <f t="shared" si="11"/>
        <v>5.352031492648783E-2</v>
      </c>
      <c r="L22" s="53" t="s">
        <v>721</v>
      </c>
      <c r="N22" s="15" t="s">
        <v>635</v>
      </c>
      <c r="O22" s="15" t="s">
        <v>390</v>
      </c>
      <c r="P22" s="21" cm="1">
        <f t="array" ref="P22">INDEX('WP_Regression Summary'!$P$5:$R$66,MATCH(1,('WP_Regression Summary'!$M$5:$M$66=$O22)*('WP_Regression Summary'!$N$5:$N$66=P$7),0),MATCH(P$6,'WP_Regression Summary'!$P$5:$R$5))</f>
        <v>721.40000000000009</v>
      </c>
      <c r="Q22" s="21">
        <f t="shared" si="12"/>
        <v>649.60000000000014</v>
      </c>
      <c r="R22" s="21" cm="1">
        <f t="array" ref="R22">INDEX('WP_Regression Summary'!$P$5:$R$66,MATCH(1,('WP_Regression Summary'!$M$5:$M$66=$O22)*('WP_Regression Summary'!$N$5:$N$66=R$7),0),MATCH(R$6,'WP_Regression Summary'!$P$5:$R$5))</f>
        <v>577.80000000000007</v>
      </c>
      <c r="S22" s="21" cm="1">
        <f t="array" ref="S22">INDEX('WP_Regression Summary'!$P$5:$R$66,MATCH(1,('WP_Regression Summary'!$M$5:$M$66=$O22)*('WP_Regression Summary'!$N$5:$N$66=S$7),0),MATCH(S$6,'WP_Regression Summary'!$P$5:$R$5))</f>
        <v>710.3</v>
      </c>
      <c r="T22" s="21">
        <f t="shared" si="13"/>
        <v>636.79999999999995</v>
      </c>
      <c r="U22" s="21" cm="1">
        <f t="array" ref="U22">INDEX('WP_Regression Summary'!$P$5:$R$66,MATCH(1,('WP_Regression Summary'!$M$5:$M$66=$O22)*('WP_Regression Summary'!$N$5:$N$66=U$7),0),MATCH(U$6,'WP_Regression Summary'!$P$5:$R$5))</f>
        <v>563.30000000000007</v>
      </c>
      <c r="V22" s="18">
        <f t="shared" si="14"/>
        <v>-1.5386747990019593E-2</v>
      </c>
      <c r="W22" s="18">
        <f t="shared" si="15"/>
        <v>-1.970443349753722E-2</v>
      </c>
      <c r="X22" s="18">
        <f t="shared" si="16"/>
        <v>-2.5095188646590511E-2</v>
      </c>
      <c r="Y22" s="53" t="s">
        <v>721</v>
      </c>
      <c r="Z22" s="6"/>
      <c r="AA22" s="473"/>
      <c r="AB22" s="473"/>
      <c r="AC22" s="55"/>
      <c r="AD22" s="55"/>
      <c r="AE22" s="55"/>
      <c r="AF22" s="55"/>
      <c r="AG22" s="55"/>
      <c r="AH22" s="55"/>
      <c r="AI22" s="55"/>
      <c r="AJ22" s="55"/>
      <c r="AK22" s="481"/>
      <c r="AL22" s="481"/>
      <c r="AM22" s="481"/>
      <c r="AN22" s="481"/>
      <c r="AO22" s="6"/>
    </row>
    <row r="23" spans="1:41" s="8" customFormat="1">
      <c r="A23" s="15" t="s">
        <v>635</v>
      </c>
      <c r="B23" s="15" t="s">
        <v>392</v>
      </c>
      <c r="C23" s="21" cm="1">
        <f t="array" ref="C23">INDEX('WP_Regression Summary'!$F$5:$H$66,MATCH(1,('WP_Regression Summary'!$C$5:$C$66=$B23)*('WP_Regression Summary'!$D$5:$D$66=C$7),0),MATCH(C$6,'WP_Regression Summary'!$F$5:$H$5))</f>
        <v>2691.9395780834589</v>
      </c>
      <c r="D23" s="21">
        <f t="shared" si="3"/>
        <v>2638.7397988443795</v>
      </c>
      <c r="E23" s="21" cm="1">
        <f t="array" ref="E23">INDEX('WP_Regression Summary'!$F$5:$H$66,MATCH(1,('WP_Regression Summary'!$C$5:$C$66=$B23)*('WP_Regression Summary'!$D$5:$D$66=E$7),0),MATCH(E$6,'WP_Regression Summary'!$F$5:$H$5))</f>
        <v>2585.5400196053001</v>
      </c>
      <c r="F23" s="21" cm="1">
        <f t="array" ref="F23">INDEX('WP_Regression Summary'!$F$5:$H$66,MATCH(1,('WP_Regression Summary'!$C$5:$C$66=$B23)*('WP_Regression Summary'!$D$5:$D$66=F$7),0),MATCH(F$6,'WP_Regression Summary'!$F$5:$H$5))</f>
        <v>2770.9212989007897</v>
      </c>
      <c r="G23" s="21">
        <f t="shared" si="8"/>
        <v>2711.276290060614</v>
      </c>
      <c r="H23" s="21" cm="1">
        <f t="array" ref="H23">INDEX('WP_Regression Summary'!$F$5:$H$66,MATCH(1,('WP_Regression Summary'!$C$5:$C$66=$B23)*('WP_Regression Summary'!$D$5:$D$66=H$7),0),MATCH(H$6,'WP_Regression Summary'!$F$5:$H$5))</f>
        <v>2651.6312812204387</v>
      </c>
      <c r="I23" s="18">
        <f t="shared" si="9"/>
        <v>2.9340079346640572E-2</v>
      </c>
      <c r="J23" s="18">
        <f t="shared" si="10"/>
        <v>2.748906551832106E-2</v>
      </c>
      <c r="K23" s="18">
        <f t="shared" si="11"/>
        <v>2.5561879187322677E-2</v>
      </c>
      <c r="L23" s="53" t="s">
        <v>721</v>
      </c>
      <c r="N23" s="15" t="s">
        <v>635</v>
      </c>
      <c r="O23" s="15" t="s">
        <v>392</v>
      </c>
      <c r="P23" s="21" cm="1">
        <f t="array" ref="P23">INDEX('WP_Regression Summary'!$P$5:$R$66,MATCH(1,('WP_Regression Summary'!$M$5:$M$66=$O23)*('WP_Regression Summary'!$N$5:$N$66=P$7),0),MATCH(P$6,'WP_Regression Summary'!$P$5:$R$5))</f>
        <v>1876.0000000000002</v>
      </c>
      <c r="Q23" s="21">
        <f t="shared" si="12"/>
        <v>1702.75</v>
      </c>
      <c r="R23" s="21" cm="1">
        <f t="array" ref="R23">INDEX('WP_Regression Summary'!$P$5:$R$66,MATCH(1,('WP_Regression Summary'!$M$5:$M$66=$O23)*('WP_Regression Summary'!$N$5:$N$66=R$7),0),MATCH(R$6,'WP_Regression Summary'!$P$5:$R$5))</f>
        <v>1529.5</v>
      </c>
      <c r="S23" s="21" cm="1">
        <f t="array" ref="S23">INDEX('WP_Regression Summary'!$P$5:$R$66,MATCH(1,('WP_Regression Summary'!$M$5:$M$66=$O23)*('WP_Regression Summary'!$N$5:$N$66=S$7),0),MATCH(S$6,'WP_Regression Summary'!$P$5:$R$5))</f>
        <v>1845.1999999999998</v>
      </c>
      <c r="T23" s="21">
        <f t="shared" si="13"/>
        <v>1672</v>
      </c>
      <c r="U23" s="21" cm="1">
        <f t="array" ref="U23">INDEX('WP_Regression Summary'!$P$5:$R$66,MATCH(1,('WP_Regression Summary'!$M$5:$M$66=$O23)*('WP_Regression Summary'!$N$5:$N$66=U$7),0),MATCH(U$6,'WP_Regression Summary'!$P$5:$R$5))</f>
        <v>1498.8</v>
      </c>
      <c r="V23" s="18">
        <f t="shared" si="14"/>
        <v>-1.6417910447761409E-2</v>
      </c>
      <c r="W23" s="18">
        <f t="shared" si="15"/>
        <v>-1.8059022170019087E-2</v>
      </c>
      <c r="X23" s="18">
        <f t="shared" si="16"/>
        <v>-2.0071918927754197E-2</v>
      </c>
      <c r="Y23" s="53" t="s">
        <v>721</v>
      </c>
      <c r="Z23" s="6"/>
      <c r="AA23" s="473"/>
      <c r="AB23" s="473"/>
      <c r="AC23" s="55"/>
      <c r="AD23" s="55"/>
      <c r="AE23" s="55"/>
      <c r="AF23" s="55"/>
      <c r="AG23" s="55"/>
      <c r="AH23" s="55"/>
      <c r="AI23" s="55"/>
      <c r="AJ23" s="55"/>
      <c r="AK23" s="481"/>
      <c r="AL23" s="481"/>
      <c r="AM23" s="481"/>
      <c r="AN23" s="481"/>
      <c r="AO23" s="6"/>
    </row>
    <row r="24" spans="1:41" s="8" customFormat="1">
      <c r="A24" s="15" t="s">
        <v>635</v>
      </c>
      <c r="B24" s="15" t="s">
        <v>394</v>
      </c>
      <c r="C24" s="21" cm="1">
        <f t="array" ref="C24">INDEX('WP_Regression Summary'!$F$5:$H$66,MATCH(1,('WP_Regression Summary'!$C$5:$C$66=$B24)*('WP_Regression Summary'!$D$5:$D$66=C$7),0),MATCH(C$6,'WP_Regression Summary'!$F$5:$H$5))</f>
        <v>3645.2164656877349</v>
      </c>
      <c r="D24" s="21">
        <f t="shared" si="3"/>
        <v>3594.7022895904279</v>
      </c>
      <c r="E24" s="21" cm="1">
        <f t="array" ref="E24">INDEX('WP_Regression Summary'!$F$5:$H$66,MATCH(1,('WP_Regression Summary'!$C$5:$C$66=$B24)*('WP_Regression Summary'!$D$5:$D$66=E$7),0),MATCH(E$6,'WP_Regression Summary'!$F$5:$H$5))</f>
        <v>3544.1881134931209</v>
      </c>
      <c r="F24" s="21" cm="1">
        <f t="array" ref="F24">INDEX('WP_Regression Summary'!$F$5:$H$66,MATCH(1,('WP_Regression Summary'!$C$5:$C$66=$B24)*('WP_Regression Summary'!$D$5:$D$66=F$7),0),MATCH(F$6,'WP_Regression Summary'!$F$5:$H$5))</f>
        <v>3758.2922618465104</v>
      </c>
      <c r="G24" s="21">
        <f t="shared" si="8"/>
        <v>3690.9838159960236</v>
      </c>
      <c r="H24" s="21" cm="1">
        <f t="array" ref="H24">INDEX('WP_Regression Summary'!$F$5:$H$66,MATCH(1,('WP_Regression Summary'!$C$5:$C$66=$B24)*('WP_Regression Summary'!$D$5:$D$66=H$7),0),MATCH(H$6,'WP_Regression Summary'!$F$5:$H$5))</f>
        <v>3623.6753701455368</v>
      </c>
      <c r="I24" s="18">
        <f t="shared" si="9"/>
        <v>3.1020324094097884E-2</v>
      </c>
      <c r="J24" s="18">
        <f t="shared" si="10"/>
        <v>2.6784283829125063E-2</v>
      </c>
      <c r="K24" s="18">
        <f t="shared" si="11"/>
        <v>2.2427493718462355E-2</v>
      </c>
      <c r="L24" s="53" t="s">
        <v>721</v>
      </c>
      <c r="N24" s="15" t="s">
        <v>635</v>
      </c>
      <c r="O24" s="15" t="s">
        <v>394</v>
      </c>
      <c r="P24" s="21" cm="1">
        <f t="array" ref="P24">INDEX('WP_Regression Summary'!$P$5:$R$66,MATCH(1,('WP_Regression Summary'!$M$5:$M$66=$O24)*('WP_Regression Summary'!$N$5:$N$66=P$7),0),MATCH(P$6,'WP_Regression Summary'!$P$5:$R$5))</f>
        <v>3839.1000000000004</v>
      </c>
      <c r="Q24" s="21">
        <f t="shared" si="12"/>
        <v>3586.8</v>
      </c>
      <c r="R24" s="21" cm="1">
        <f t="array" ref="R24">INDEX('WP_Regression Summary'!$P$5:$R$66,MATCH(1,('WP_Regression Summary'!$M$5:$M$66=$O24)*('WP_Regression Summary'!$N$5:$N$66=R$7),0),MATCH(R$6,'WP_Regression Summary'!$P$5:$R$5))</f>
        <v>3334.5</v>
      </c>
      <c r="S24" s="21" cm="1">
        <f t="array" ref="S24">INDEX('WP_Regression Summary'!$P$5:$R$66,MATCH(1,('WP_Regression Summary'!$M$5:$M$66=$O24)*('WP_Regression Summary'!$N$5:$N$66=S$7),0),MATCH(S$6,'WP_Regression Summary'!$P$5:$R$5))</f>
        <v>3845.9999999999995</v>
      </c>
      <c r="T24" s="21">
        <f t="shared" si="13"/>
        <v>3591.2</v>
      </c>
      <c r="U24" s="21" cm="1">
        <f t="array" ref="U24">INDEX('WP_Regression Summary'!$P$5:$R$66,MATCH(1,('WP_Regression Summary'!$M$5:$M$66=$O24)*('WP_Regression Summary'!$N$5:$N$66=U$7),0),MATCH(U$6,'WP_Regression Summary'!$P$5:$R$5))</f>
        <v>3336.4000000000005</v>
      </c>
      <c r="V24" s="18">
        <f t="shared" si="14"/>
        <v>1.7972962413063428E-3</v>
      </c>
      <c r="W24" s="18">
        <f t="shared" si="15"/>
        <v>1.22672019627513E-3</v>
      </c>
      <c r="X24" s="18">
        <f t="shared" si="16"/>
        <v>5.6980056980073348E-4</v>
      </c>
      <c r="Y24" s="53" t="s">
        <v>721</v>
      </c>
      <c r="Z24" s="6"/>
      <c r="AA24" s="473"/>
      <c r="AB24" s="473"/>
      <c r="AC24" s="55"/>
      <c r="AD24" s="55"/>
      <c r="AE24" s="55"/>
      <c r="AF24" s="55"/>
      <c r="AG24" s="55"/>
      <c r="AH24" s="55"/>
      <c r="AI24" s="55"/>
      <c r="AJ24" s="55"/>
      <c r="AK24" s="481"/>
      <c r="AL24" s="481"/>
      <c r="AM24" s="481"/>
      <c r="AN24" s="481"/>
      <c r="AO24" s="6"/>
    </row>
    <row r="25" spans="1:41" s="8" customFormat="1">
      <c r="A25" s="15" t="s">
        <v>635</v>
      </c>
      <c r="B25" s="15" t="s">
        <v>396</v>
      </c>
      <c r="C25" s="21" cm="1">
        <f t="array" ref="C25">INDEX('WP_Regression Summary'!$F$5:$H$66,MATCH(1,('WP_Regression Summary'!$C$5:$C$66=$B25)*('WP_Regression Summary'!$D$5:$D$66=C$7),0),MATCH(C$6,'WP_Regression Summary'!$F$5:$H$5))</f>
        <v>3946.9038319089968</v>
      </c>
      <c r="D25" s="21">
        <f t="shared" si="3"/>
        <v>3883.8632875867747</v>
      </c>
      <c r="E25" s="21" cm="1">
        <f t="array" ref="E25">INDEX('WP_Regression Summary'!$F$5:$H$66,MATCH(1,('WP_Regression Summary'!$C$5:$C$66=$B25)*('WP_Regression Summary'!$D$5:$D$66=E$7),0),MATCH(E$6,'WP_Regression Summary'!$F$5:$H$5))</f>
        <v>3820.8227432645526</v>
      </c>
      <c r="F25" s="21" cm="1">
        <f t="array" ref="F25">INDEX('WP_Regression Summary'!$F$5:$H$66,MATCH(1,('WP_Regression Summary'!$C$5:$C$66=$B25)*('WP_Regression Summary'!$D$5:$D$66=F$7),0),MATCH(F$6,'WP_Regression Summary'!$F$5:$H$5))</f>
        <v>3948.3167690041196</v>
      </c>
      <c r="G25" s="21">
        <f t="shared" si="8"/>
        <v>3842.9568319193222</v>
      </c>
      <c r="H25" s="21" cm="1">
        <f t="array" ref="H25">INDEX('WP_Regression Summary'!$F$5:$H$66,MATCH(1,('WP_Regression Summary'!$C$5:$C$66=$B25)*('WP_Regression Summary'!$D$5:$D$66=H$7),0),MATCH(H$6,'WP_Regression Summary'!$F$5:$H$5))</f>
        <v>3737.5968948345248</v>
      </c>
      <c r="I25" s="18">
        <f t="shared" si="9"/>
        <v>3.5798619761134349E-4</v>
      </c>
      <c r="J25" s="18">
        <f t="shared" si="10"/>
        <v>-1.0532413897830479E-2</v>
      </c>
      <c r="K25" s="18">
        <f t="shared" si="11"/>
        <v>-2.1782179918380277E-2</v>
      </c>
      <c r="L25" s="53" t="s">
        <v>721</v>
      </c>
      <c r="N25" s="15" t="s">
        <v>635</v>
      </c>
      <c r="O25" s="15" t="s">
        <v>396</v>
      </c>
      <c r="P25" s="21" cm="1">
        <f t="array" ref="P25">INDEX('WP_Regression Summary'!$P$5:$R$66,MATCH(1,('WP_Regression Summary'!$M$5:$M$66=$O25)*('WP_Regression Summary'!$N$5:$N$66=P$7),0),MATCH(P$6,'WP_Regression Summary'!$P$5:$R$5))</f>
        <v>7285.9999999999991</v>
      </c>
      <c r="Q25" s="21">
        <f t="shared" si="12"/>
        <v>6688</v>
      </c>
      <c r="R25" s="21" cm="1">
        <f t="array" ref="R25">INDEX('WP_Regression Summary'!$P$5:$R$66,MATCH(1,('WP_Regression Summary'!$M$5:$M$66=$O25)*('WP_Regression Summary'!$N$5:$N$66=R$7),0),MATCH(R$6,'WP_Regression Summary'!$P$5:$R$5))</f>
        <v>6090</v>
      </c>
      <c r="S25" s="21" cm="1">
        <f t="array" ref="S25">INDEX('WP_Regression Summary'!$P$5:$R$66,MATCH(1,('WP_Regression Summary'!$M$5:$M$66=$O25)*('WP_Regression Summary'!$N$5:$N$66=S$7),0),MATCH(S$6,'WP_Regression Summary'!$P$5:$R$5))</f>
        <v>7254.9</v>
      </c>
      <c r="T25" s="21">
        <f t="shared" si="13"/>
        <v>6652.05</v>
      </c>
      <c r="U25" s="21" cm="1">
        <f t="array" ref="U25">INDEX('WP_Regression Summary'!$P$5:$R$66,MATCH(1,('WP_Regression Summary'!$M$5:$M$66=$O25)*('WP_Regression Summary'!$N$5:$N$66=U$7),0),MATCH(U$6,'WP_Regression Summary'!$P$5:$R$5))</f>
        <v>6049.2000000000007</v>
      </c>
      <c r="V25" s="18">
        <f t="shared" si="14"/>
        <v>-4.268460060389714E-3</v>
      </c>
      <c r="W25" s="18">
        <f t="shared" si="15"/>
        <v>-5.3752990430621737E-3</v>
      </c>
      <c r="X25" s="18">
        <f t="shared" si="16"/>
        <v>-6.6995073891624422E-3</v>
      </c>
      <c r="Y25" s="53" t="s">
        <v>721</v>
      </c>
      <c r="Z25" s="6"/>
      <c r="AA25" s="473"/>
      <c r="AB25" s="473"/>
      <c r="AC25" s="55"/>
      <c r="AD25" s="55"/>
      <c r="AE25" s="55"/>
      <c r="AF25" s="55"/>
      <c r="AG25" s="55"/>
      <c r="AH25" s="55"/>
      <c r="AI25" s="55"/>
      <c r="AJ25" s="55"/>
      <c r="AK25" s="481"/>
      <c r="AL25" s="481"/>
      <c r="AM25" s="481"/>
      <c r="AN25" s="481"/>
      <c r="AO25" s="6"/>
    </row>
    <row r="26" spans="1:41" s="8" customFormat="1">
      <c r="A26" s="15" t="s">
        <v>635</v>
      </c>
      <c r="B26" s="15" t="s">
        <v>398</v>
      </c>
      <c r="C26" s="21" cm="1">
        <f t="array" ref="C26">INDEX('WP_Regression Summary'!$F$5:$H$66,MATCH(1,('WP_Regression Summary'!$C$5:$C$66=$B26)*('WP_Regression Summary'!$D$5:$D$66=C$7),0),MATCH(C$6,'WP_Regression Summary'!$F$5:$H$5))</f>
        <v>2454.4109020284836</v>
      </c>
      <c r="D26" s="21">
        <f t="shared" si="3"/>
        <v>2411.6148677724473</v>
      </c>
      <c r="E26" s="21" cm="1">
        <f t="array" ref="E26">INDEX('WP_Regression Summary'!$F$5:$H$66,MATCH(1,('WP_Regression Summary'!$C$5:$C$66=$B26)*('WP_Regression Summary'!$D$5:$D$66=E$7),0),MATCH(E$6,'WP_Regression Summary'!$F$5:$H$5))</f>
        <v>2368.8188335164109</v>
      </c>
      <c r="F26" s="21" cm="1">
        <f t="array" ref="F26">INDEX('WP_Regression Summary'!$F$5:$H$66,MATCH(1,('WP_Regression Summary'!$C$5:$C$66=$B26)*('WP_Regression Summary'!$D$5:$D$66=F$7),0),MATCH(F$6,'WP_Regression Summary'!$F$5:$H$5))</f>
        <v>2515.855720118203</v>
      </c>
      <c r="G26" s="21">
        <f t="shared" si="8"/>
        <v>2457.3737975741387</v>
      </c>
      <c r="H26" s="21" cm="1">
        <f t="array" ref="H26">INDEX('WP_Regression Summary'!$F$5:$H$66,MATCH(1,('WP_Regression Summary'!$C$5:$C$66=$B26)*('WP_Regression Summary'!$D$5:$D$66=H$7),0),MATCH(H$6,'WP_Regression Summary'!$F$5:$H$5))</f>
        <v>2398.8918750300741</v>
      </c>
      <c r="I26" s="18">
        <f t="shared" si="9"/>
        <v>2.5034446367125145E-2</v>
      </c>
      <c r="J26" s="18">
        <f t="shared" si="10"/>
        <v>1.8974393636890258E-2</v>
      </c>
      <c r="K26" s="18">
        <f t="shared" si="11"/>
        <v>1.2695374204291092E-2</v>
      </c>
      <c r="L26" s="53" t="s">
        <v>721</v>
      </c>
      <c r="N26" s="15" t="s">
        <v>635</v>
      </c>
      <c r="O26" s="15" t="s">
        <v>398</v>
      </c>
      <c r="P26" s="21" cm="1">
        <f t="array" ref="P26">INDEX('WP_Regression Summary'!$P$5:$R$66,MATCH(1,('WP_Regression Summary'!$M$5:$M$66=$O26)*('WP_Regression Summary'!$N$5:$N$66=P$7),0),MATCH(P$6,'WP_Regression Summary'!$P$5:$R$5))</f>
        <v>14794.699999999997</v>
      </c>
      <c r="Q26" s="21">
        <f t="shared" si="12"/>
        <v>13092.599999999999</v>
      </c>
      <c r="R26" s="21" cm="1">
        <f t="array" ref="R26">INDEX('WP_Regression Summary'!$P$5:$R$66,MATCH(1,('WP_Regression Summary'!$M$5:$M$66=$O26)*('WP_Regression Summary'!$N$5:$N$66=R$7),0),MATCH(R$6,'WP_Regression Summary'!$P$5:$R$5))</f>
        <v>11390.499999999998</v>
      </c>
      <c r="S26" s="21" cm="1">
        <f t="array" ref="S26">INDEX('WP_Regression Summary'!$P$5:$R$66,MATCH(1,('WP_Regression Summary'!$M$5:$M$66=$O26)*('WP_Regression Summary'!$N$5:$N$66=S$7),0),MATCH(S$6,'WP_Regression Summary'!$P$5:$R$5))</f>
        <v>14879.499999999998</v>
      </c>
      <c r="T26" s="21">
        <f t="shared" si="13"/>
        <v>13092.349999999999</v>
      </c>
      <c r="U26" s="21" cm="1">
        <f t="array" ref="U26">INDEX('WP_Regression Summary'!$P$5:$R$66,MATCH(1,('WP_Regression Summary'!$M$5:$M$66=$O26)*('WP_Regression Summary'!$N$5:$N$66=U$7),0),MATCH(U$6,'WP_Regression Summary'!$P$5:$R$5))</f>
        <v>11305.199999999999</v>
      </c>
      <c r="V26" s="18">
        <f t="shared" si="14"/>
        <v>5.7317823274551771E-3</v>
      </c>
      <c r="W26" s="18">
        <f t="shared" si="15"/>
        <v>-1.9094755816262625E-5</v>
      </c>
      <c r="X26" s="18">
        <f t="shared" si="16"/>
        <v>-7.4886967209516079E-3</v>
      </c>
      <c r="Y26" s="53" t="s">
        <v>721</v>
      </c>
      <c r="Z26" s="6"/>
      <c r="AA26" s="473"/>
      <c r="AB26" s="473"/>
      <c r="AC26" s="55"/>
      <c r="AD26" s="55"/>
      <c r="AE26" s="55"/>
      <c r="AF26" s="55"/>
      <c r="AG26" s="55"/>
      <c r="AH26" s="55"/>
      <c r="AI26" s="55"/>
      <c r="AJ26" s="55"/>
      <c r="AK26" s="481"/>
      <c r="AL26" s="481"/>
      <c r="AM26" s="481"/>
      <c r="AN26" s="481"/>
      <c r="AO26" s="6"/>
    </row>
    <row r="27" spans="1:41" s="8" customFormat="1">
      <c r="A27" s="15" t="s">
        <v>635</v>
      </c>
      <c r="B27" s="15" t="s">
        <v>400</v>
      </c>
      <c r="C27" s="21" cm="1">
        <f t="array" ref="C27">INDEX('WP_Regression Summary'!$F$5:$H$66,MATCH(1,('WP_Regression Summary'!$C$5:$C$66=$B27)*('WP_Regression Summary'!$D$5:$D$66=C$7),0),MATCH(C$6,'WP_Regression Summary'!$F$5:$H$5))</f>
        <v>3636.2590892834869</v>
      </c>
      <c r="D27" s="21">
        <f t="shared" si="3"/>
        <v>3608.7204548429622</v>
      </c>
      <c r="E27" s="21" cm="1">
        <f t="array" ref="E27">INDEX('WP_Regression Summary'!$F$5:$H$66,MATCH(1,('WP_Regression Summary'!$C$5:$C$66=$B27)*('WP_Regression Summary'!$D$5:$D$66=E$7),0),MATCH(E$6,'WP_Regression Summary'!$F$5:$H$5))</f>
        <v>3581.1818204024376</v>
      </c>
      <c r="F27" s="21" cm="1">
        <f t="array" ref="F27">INDEX('WP_Regression Summary'!$F$5:$H$66,MATCH(1,('WP_Regression Summary'!$C$5:$C$66=$B27)*('WP_Regression Summary'!$D$5:$D$66=F$7),0),MATCH(F$6,'WP_Regression Summary'!$F$5:$H$5))</f>
        <v>3885.1423913124108</v>
      </c>
      <c r="G27" s="21">
        <f t="shared" si="8"/>
        <v>3827.3228924644982</v>
      </c>
      <c r="H27" s="21" cm="1">
        <f t="array" ref="H27">INDEX('WP_Regression Summary'!$F$5:$H$66,MATCH(1,('WP_Regression Summary'!$C$5:$C$66=$B27)*('WP_Regression Summary'!$D$5:$D$66=H$7),0),MATCH(H$6,'WP_Regression Summary'!$F$5:$H$5))</f>
        <v>3769.503393616586</v>
      </c>
      <c r="I27" s="18">
        <f t="shared" si="9"/>
        <v>6.8444875878733269E-2</v>
      </c>
      <c r="J27" s="18">
        <f t="shared" si="10"/>
        <v>6.0576162758234124E-2</v>
      </c>
      <c r="K27" s="18">
        <f t="shared" si="11"/>
        <v>5.2586431702868877E-2</v>
      </c>
      <c r="L27" s="53" t="s">
        <v>721</v>
      </c>
      <c r="N27" s="15" t="s">
        <v>635</v>
      </c>
      <c r="O27" s="15" t="s">
        <v>400</v>
      </c>
      <c r="P27" s="21" cm="1">
        <f t="array" ref="P27">INDEX('WP_Regression Summary'!$P$5:$R$66,MATCH(1,('WP_Regression Summary'!$M$5:$M$66=$O27)*('WP_Regression Summary'!$N$5:$N$66=P$7),0),MATCH(P$6,'WP_Regression Summary'!$P$5:$R$5))</f>
        <v>146.84340636218781</v>
      </c>
      <c r="Q27" s="21">
        <f t="shared" si="12"/>
        <v>117.07943965757477</v>
      </c>
      <c r="R27" s="21" cm="1">
        <f t="array" ref="R27">INDEX('WP_Regression Summary'!$P$5:$R$66,MATCH(1,('WP_Regression Summary'!$M$5:$M$66=$O27)*('WP_Regression Summary'!$N$5:$N$66=R$7),0),MATCH(R$6,'WP_Regression Summary'!$P$5:$R$5))</f>
        <v>87.315472952961741</v>
      </c>
      <c r="S27" s="21" cm="1">
        <f t="array" ref="S27">INDEX('WP_Regression Summary'!$P$5:$R$66,MATCH(1,('WP_Regression Summary'!$M$5:$M$66=$O27)*('WP_Regression Summary'!$N$5:$N$66=S$7),0),MATCH(S$6,'WP_Regression Summary'!$P$5:$R$5))</f>
        <v>144.7879104434009</v>
      </c>
      <c r="T27" s="21">
        <f t="shared" si="13"/>
        <v>113.23523775289279</v>
      </c>
      <c r="U27" s="21" cm="1">
        <f t="array" ref="U27">INDEX('WP_Regression Summary'!$P$5:$R$66,MATCH(1,('WP_Regression Summary'!$M$5:$M$66=$O27)*('WP_Regression Summary'!$N$5:$N$66=U$7),0),MATCH(U$6,'WP_Regression Summary'!$P$5:$R$5))</f>
        <v>81.682565062384668</v>
      </c>
      <c r="V27" s="18">
        <f t="shared" si="14"/>
        <v>-1.3997876852005481E-2</v>
      </c>
      <c r="W27" s="18">
        <f t="shared" si="15"/>
        <v>-3.2834133097367192E-2</v>
      </c>
      <c r="X27" s="18">
        <f t="shared" si="16"/>
        <v>-6.4512138571494793E-2</v>
      </c>
      <c r="Y27" s="53" t="s">
        <v>721</v>
      </c>
      <c r="Z27" s="56"/>
      <c r="AA27" s="473"/>
      <c r="AB27" s="473"/>
      <c r="AC27" s="55"/>
      <c r="AD27" s="55"/>
      <c r="AE27" s="55"/>
      <c r="AF27" s="55"/>
      <c r="AG27" s="55"/>
      <c r="AH27" s="55"/>
      <c r="AI27" s="55"/>
      <c r="AJ27" s="55"/>
      <c r="AK27" s="481"/>
      <c r="AL27" s="481"/>
      <c r="AM27" s="481"/>
      <c r="AN27" s="481"/>
      <c r="AO27" s="6"/>
    </row>
    <row r="28" spans="1:41" s="8" customFormat="1">
      <c r="A28" s="15" t="s">
        <v>635</v>
      </c>
      <c r="B28" s="15" t="s">
        <v>664</v>
      </c>
      <c r="C28" s="21" cm="1">
        <f t="array" ref="C28">INDEX('WP_Regression Summary'!$F$5:$H$66,MATCH(1,('WP_Regression Summary'!$C$5:$C$66=$B28)*('WP_Regression Summary'!$D$5:$D$66=C$7),0),MATCH(C$6,'WP_Regression Summary'!$F$5:$H$5))</f>
        <v>133.49305139693891</v>
      </c>
      <c r="D28" s="21">
        <f t="shared" si="3"/>
        <v>115.56192150241469</v>
      </c>
      <c r="E28" s="21" cm="1">
        <f t="array" ref="E28">INDEX('WP_Regression Summary'!$F$5:$H$66,MATCH(1,('WP_Regression Summary'!$C$5:$C$66=$B28)*('WP_Regression Summary'!$D$5:$D$66=E$7),0),MATCH(E$6,'WP_Regression Summary'!$F$5:$H$5))</f>
        <v>97.630791607890473</v>
      </c>
      <c r="F28" s="21" cm="1">
        <f t="array" ref="F28">INDEX('WP_Regression Summary'!$F$5:$H$66,MATCH(1,('WP_Regression Summary'!$C$5:$C$66=$B28)*('WP_Regression Summary'!$D$5:$D$66=F$7),0),MATCH(F$6,'WP_Regression Summary'!$F$5:$H$5))</f>
        <v>130.29983102787841</v>
      </c>
      <c r="G28" s="21">
        <f t="shared" si="8"/>
        <v>105.23306415420905</v>
      </c>
      <c r="H28" s="21" cm="1">
        <f t="array" ref="H28">INDEX('WP_Regression Summary'!$F$5:$H$66,MATCH(1,('WP_Regression Summary'!$C$5:$C$66=$B28)*('WP_Regression Summary'!$D$5:$D$66=H$7),0),MATCH(H$6,'WP_Regression Summary'!$F$5:$H$5))</f>
        <v>80.166297280539666</v>
      </c>
      <c r="I28" s="18">
        <f t="shared" si="9"/>
        <v>-2.3920498749897635E-2</v>
      </c>
      <c r="J28" s="18">
        <f t="shared" si="10"/>
        <v>-8.9379418530954602E-2</v>
      </c>
      <c r="K28" s="18">
        <f t="shared" si="11"/>
        <v>-0.17888305563978787</v>
      </c>
      <c r="L28" s="53" t="s">
        <v>721</v>
      </c>
      <c r="N28" s="15" t="s">
        <v>635</v>
      </c>
      <c r="O28" s="15" t="s">
        <v>664</v>
      </c>
      <c r="P28" s="21" cm="1">
        <f t="array" ref="P28">INDEX('WP_Regression Summary'!$P$5:$R$66,MATCH(1,('WP_Regression Summary'!$M$5:$M$66=$O28)*('WP_Regression Summary'!$N$5:$N$66=P$7),0),MATCH(P$6,'WP_Regression Summary'!$P$5:$R$5))</f>
        <v>87.000000000000014</v>
      </c>
      <c r="Q28" s="21">
        <f t="shared" si="12"/>
        <v>73.150000000000006</v>
      </c>
      <c r="R28" s="21" cm="1">
        <f t="array" ref="R28">INDEX('WP_Regression Summary'!$P$5:$R$66,MATCH(1,('WP_Regression Summary'!$M$5:$M$66=$O28)*('WP_Regression Summary'!$N$5:$N$66=R$7),0),MATCH(R$6,'WP_Regression Summary'!$P$5:$R$5))</f>
        <v>59.300000000000004</v>
      </c>
      <c r="S28" s="21" cm="1">
        <f t="array" ref="S28">INDEX('WP_Regression Summary'!$P$5:$R$66,MATCH(1,('WP_Regression Summary'!$M$5:$M$66=$O28)*('WP_Regression Summary'!$N$5:$N$66=S$7),0),MATCH(S$6,'WP_Regression Summary'!$P$5:$R$5))</f>
        <v>85.399999999999991</v>
      </c>
      <c r="T28" s="21">
        <f t="shared" si="13"/>
        <v>70.75</v>
      </c>
      <c r="U28" s="21" cm="1">
        <f t="array" ref="U28">INDEX('WP_Regression Summary'!$P$5:$R$66,MATCH(1,('WP_Regression Summary'!$M$5:$M$66=$O28)*('WP_Regression Summary'!$N$5:$N$66=U$7),0),MATCH(U$6,'WP_Regression Summary'!$P$5:$R$5))</f>
        <v>56.1</v>
      </c>
      <c r="V28" s="18">
        <f t="shared" si="14"/>
        <v>-1.8390804597701409E-2</v>
      </c>
      <c r="W28" s="18">
        <f t="shared" si="15"/>
        <v>-3.2809295967190781E-2</v>
      </c>
      <c r="X28" s="18">
        <f t="shared" si="16"/>
        <v>-5.3962900505902238E-2</v>
      </c>
      <c r="Y28" s="53" t="s">
        <v>721</v>
      </c>
      <c r="Z28" s="6"/>
      <c r="AA28" s="473"/>
      <c r="AB28" s="473"/>
      <c r="AC28" s="55"/>
      <c r="AD28" s="55"/>
      <c r="AE28" s="55"/>
      <c r="AF28" s="55"/>
      <c r="AG28" s="55"/>
      <c r="AH28" s="55"/>
      <c r="AI28" s="55"/>
      <c r="AJ28" s="55"/>
      <c r="AK28" s="481"/>
      <c r="AL28" s="481"/>
      <c r="AM28" s="481"/>
      <c r="AN28" s="481"/>
      <c r="AO28" s="6"/>
    </row>
    <row r="29" spans="1:41">
      <c r="D29" s="39"/>
      <c r="G29" s="39"/>
      <c r="O29" s="22"/>
      <c r="P29" s="23"/>
      <c r="Q29" s="21">
        <v>0</v>
      </c>
      <c r="R29" s="21"/>
      <c r="S29" s="23"/>
      <c r="T29" s="21">
        <v>0</v>
      </c>
      <c r="U29" s="23"/>
      <c r="V29" s="23"/>
      <c r="W29" s="23"/>
      <c r="X29" s="23"/>
      <c r="Y29" s="16"/>
      <c r="AO29" s="6"/>
    </row>
    <row r="30" spans="1:41">
      <c r="A30" s="16"/>
      <c r="B30" s="16" t="s">
        <v>336</v>
      </c>
      <c r="C30" s="16"/>
      <c r="D30" s="16"/>
      <c r="E30" s="16"/>
      <c r="F30" s="16"/>
      <c r="G30" s="16"/>
      <c r="H30" s="16"/>
      <c r="I30" s="16">
        <v>0</v>
      </c>
      <c r="J30" s="16"/>
      <c r="K30" s="16">
        <v>0</v>
      </c>
      <c r="L30" s="16" t="str">
        <f>B30</f>
        <v>N/A</v>
      </c>
      <c r="M30" s="8"/>
      <c r="N30" s="16"/>
      <c r="O30" s="16" t="s">
        <v>336</v>
      </c>
      <c r="P30" s="21">
        <v>0</v>
      </c>
      <c r="Q30" s="21"/>
      <c r="R30" s="21">
        <v>0</v>
      </c>
      <c r="S30" s="21">
        <v>0</v>
      </c>
      <c r="T30" s="21">
        <v>0</v>
      </c>
      <c r="U30" s="21">
        <v>0</v>
      </c>
      <c r="V30" s="21"/>
      <c r="W30" s="21"/>
      <c r="X30" s="21"/>
      <c r="Y30" s="16" t="s">
        <v>336</v>
      </c>
      <c r="AA30" s="6"/>
      <c r="AB30" s="6"/>
      <c r="AO30" s="6"/>
    </row>
    <row r="31" spans="1:41">
      <c r="A31" s="16"/>
      <c r="B31" s="16" t="s">
        <v>433</v>
      </c>
      <c r="C31" s="16"/>
      <c r="D31" s="16"/>
      <c r="E31" s="16"/>
      <c r="F31" s="16"/>
      <c r="G31" s="16"/>
      <c r="H31" s="16"/>
      <c r="I31" s="16">
        <v>0</v>
      </c>
      <c r="J31" s="16"/>
      <c r="K31" s="16">
        <v>0</v>
      </c>
      <c r="L31" s="16" t="s">
        <v>433</v>
      </c>
      <c r="M31" s="8"/>
      <c r="N31" s="16"/>
      <c r="O31" s="16" t="s">
        <v>433</v>
      </c>
      <c r="P31" s="21">
        <v>0</v>
      </c>
      <c r="Q31" s="21"/>
      <c r="R31" s="21">
        <v>0</v>
      </c>
      <c r="S31" s="21">
        <v>0</v>
      </c>
      <c r="T31" s="21">
        <v>0</v>
      </c>
      <c r="U31" s="21">
        <v>0</v>
      </c>
      <c r="V31" s="21"/>
      <c r="W31" s="21"/>
      <c r="X31" s="21"/>
      <c r="Y31" s="16" t="s">
        <v>433</v>
      </c>
      <c r="AA31" s="6"/>
      <c r="AB31" s="6"/>
      <c r="AO31" s="6"/>
    </row>
    <row r="32" spans="1:41">
      <c r="A32" s="42"/>
      <c r="B32" s="42"/>
      <c r="C32" s="42"/>
      <c r="D32" s="22"/>
      <c r="E32" s="42"/>
      <c r="F32" s="42"/>
      <c r="G32" s="22"/>
      <c r="H32" s="42"/>
      <c r="I32" s="19"/>
      <c r="J32" s="19"/>
      <c r="K32" s="19"/>
      <c r="L32" s="16"/>
      <c r="M32" s="8"/>
      <c r="N32" s="42"/>
      <c r="O32" s="42"/>
      <c r="P32" s="21"/>
      <c r="Q32" s="21"/>
      <c r="R32" s="21"/>
      <c r="S32" s="21"/>
      <c r="T32" s="21"/>
      <c r="U32" s="21"/>
      <c r="V32" s="21"/>
      <c r="W32" s="21"/>
      <c r="X32" s="21"/>
      <c r="Y32" s="16"/>
      <c r="AA32" s="10"/>
      <c r="AB32" s="10"/>
      <c r="AO32" s="6"/>
    </row>
    <row r="33" spans="1: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"/>
      <c r="Q33" s="3"/>
      <c r="R33" s="3"/>
      <c r="S33" s="3"/>
      <c r="T33" s="3"/>
      <c r="U33" s="3"/>
      <c r="V33" s="3"/>
      <c r="W33" s="3"/>
      <c r="X33" s="3"/>
      <c r="Y33" s="8"/>
    </row>
    <row r="34" spans="1: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"/>
      <c r="Q34" s="3"/>
      <c r="R34" s="3"/>
      <c r="S34" s="3"/>
      <c r="T34" s="3"/>
      <c r="U34" s="3"/>
      <c r="V34" s="3"/>
      <c r="W34" s="3"/>
      <c r="X34" s="3"/>
      <c r="Y34" s="8"/>
    </row>
  </sheetData>
  <mergeCells count="10">
    <mergeCell ref="A5:A7"/>
    <mergeCell ref="B5:B7"/>
    <mergeCell ref="N5:N7"/>
    <mergeCell ref="O5:O7"/>
    <mergeCell ref="C5:H5"/>
    <mergeCell ref="V5:Y5"/>
    <mergeCell ref="V6:Y6"/>
    <mergeCell ref="I6:L6"/>
    <mergeCell ref="P5:U5"/>
    <mergeCell ref="I5:L5"/>
  </mergeCells>
  <phoneticPr fontId="59" type="noConversion"/>
  <dataValidations count="1">
    <dataValidation type="list" allowBlank="1" showInputMessage="1" showErrorMessage="1" sqref="AO8:AO15 L8:L15 L17:L28 Y8:Y15 Y17:Y28 AO17:AO28" xr:uid="{8B485058-2C3E-4B48-8D40-A67057E6B547}">
      <formula1>$AR$5:$AR$7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3436-3406-456B-854A-A1E435481B3C}">
  <sheetPr codeName="Sheet32">
    <tabColor theme="4" tint="0.39997558519241921"/>
  </sheetPr>
  <dimension ref="A1:W68"/>
  <sheetViews>
    <sheetView workbookViewId="0">
      <selection activeCell="F8" sqref="E8:F26"/>
    </sheetView>
  </sheetViews>
  <sheetFormatPr defaultColWidth="9.140625" defaultRowHeight="12.75"/>
  <cols>
    <col min="1" max="1" width="19.5703125" style="45" customWidth="1"/>
    <col min="2" max="2" width="11.85546875" style="45" customWidth="1"/>
    <col min="3" max="3" width="15" style="45" bestFit="1" customWidth="1"/>
    <col min="4" max="4" width="12.85546875" style="45" bestFit="1" customWidth="1"/>
    <col min="5" max="5" width="32" style="45" bestFit="1" customWidth="1"/>
    <col min="6" max="8" width="9.28515625" style="45" bestFit="1" customWidth="1"/>
    <col min="9" max="10" width="9.140625" style="45"/>
    <col min="11" max="11" width="18" style="45" bestFit="1" customWidth="1"/>
    <col min="12" max="12" width="8.28515625" style="45" bestFit="1" customWidth="1"/>
    <col min="13" max="13" width="15.85546875" style="45" bestFit="1" customWidth="1"/>
    <col min="14" max="14" width="12.85546875" style="45" bestFit="1" customWidth="1"/>
    <col min="15" max="15" width="34.28515625" style="45" bestFit="1" customWidth="1"/>
    <col min="16" max="18" width="7.85546875" style="45" bestFit="1" customWidth="1"/>
    <col min="19" max="23" width="12.140625" style="45" customWidth="1"/>
    <col min="24" max="16384" width="9.140625" style="45"/>
  </cols>
  <sheetData>
    <row r="1" spans="1:19">
      <c r="A1" s="4" t="s">
        <v>658</v>
      </c>
    </row>
    <row r="2" spans="1:19">
      <c r="A2" s="4" t="str">
        <f>Report_Regression!A2</f>
        <v>Proceeding No.20220067-GU</v>
      </c>
    </row>
    <row r="3" spans="1:19">
      <c r="A3" s="4" t="s">
        <v>662</v>
      </c>
    </row>
    <row r="4" spans="1:19">
      <c r="H4" s="473"/>
    </row>
    <row r="5" spans="1:19">
      <c r="A5" s="51" t="s">
        <v>652</v>
      </c>
      <c r="B5" s="51" t="s">
        <v>651</v>
      </c>
      <c r="C5" s="50" t="s">
        <v>432</v>
      </c>
      <c r="D5" s="51" t="s">
        <v>650</v>
      </c>
      <c r="E5" s="51" t="s">
        <v>720</v>
      </c>
      <c r="F5" s="51">
        <v>2022</v>
      </c>
      <c r="G5" s="472">
        <v>2023</v>
      </c>
      <c r="H5" s="474"/>
      <c r="K5" s="51" t="s">
        <v>652</v>
      </c>
      <c r="L5" s="51" t="s">
        <v>651</v>
      </c>
      <c r="M5" s="50" t="s">
        <v>432</v>
      </c>
      <c r="N5" s="51" t="s">
        <v>650</v>
      </c>
      <c r="O5" s="51" t="s">
        <v>720</v>
      </c>
      <c r="P5" s="51">
        <v>2022</v>
      </c>
      <c r="Q5" s="472">
        <v>2023</v>
      </c>
      <c r="R5" s="474"/>
      <c r="S5" s="473"/>
    </row>
    <row r="6" spans="1:19">
      <c r="F6" s="46"/>
      <c r="H6" s="473"/>
      <c r="R6" s="473"/>
      <c r="S6" s="473"/>
    </row>
    <row r="7" spans="1:19">
      <c r="A7" s="45" t="s">
        <v>0</v>
      </c>
      <c r="B7" s="45" t="s">
        <v>312</v>
      </c>
      <c r="C7" s="45" t="str">
        <f t="shared" ref="C7:C38" si="0">LEFT(E7,FIND("_Forecast",E7)-1)</f>
        <v>FPU_RS</v>
      </c>
      <c r="D7" s="45" t="s">
        <v>339</v>
      </c>
      <c r="E7" s="47" t="s">
        <v>341</v>
      </c>
      <c r="F7" s="43">
        <f>SUMIFS(INDEX('WP_Regression_RES Cust Count'!$A$1:$AC$61,0,MATCH($E7,'WP_Regression_RES Cust Count'!$A$1:$AC$1,0)),'WP_Regression_RES Cust Count'!$B$1:$B$61,F$5)</f>
        <v>707922.36</v>
      </c>
      <c r="G7" s="43">
        <f>SUMIFS(INDEX('WP_Regression_RES Cust Count'!$A$1:$AC$61,0,MATCH($E7,'WP_Regression_RES Cust Count'!$A$1:$AC$1,0)),'WP_Regression_RES Cust Count'!$B$1:$B$61,G$5)</f>
        <v>731810.17999999993</v>
      </c>
      <c r="H7" s="475"/>
      <c r="I7" s="44"/>
      <c r="K7" s="45" t="s">
        <v>0</v>
      </c>
      <c r="L7" s="45" t="s">
        <v>94</v>
      </c>
      <c r="M7" s="45" t="str">
        <f t="shared" ref="M7:M38" si="1">LEFT(O7,FIND("_Forecast",O7)-1)</f>
        <v>FPU_RS</v>
      </c>
      <c r="N7" s="45" t="s">
        <v>339</v>
      </c>
      <c r="O7" s="47" t="s">
        <v>341</v>
      </c>
      <c r="P7" s="43">
        <f>SUMIFS(INDEX('WP_Regression_RES UPC'!$A$1:$AC$61,0,MATCH($O7,'WP_Regression_RES UPC'!$A$1:$AC$1,0)),'WP_Regression_RES UPC'!$B$1:$B$61,F$5)</f>
        <v>268.76067998078992</v>
      </c>
      <c r="Q7" s="43">
        <f>SUMIFS(INDEX('WP_Regression_RES UPC'!$A$1:$AC$61,0,MATCH($O7,'WP_Regression_RES UPC'!$A$1:$AC$1,0)),'WP_Regression_RES UPC'!$B$1:$B$61,G$5)</f>
        <v>268.76067998078992</v>
      </c>
      <c r="R7" s="475"/>
      <c r="S7" s="473"/>
    </row>
    <row r="8" spans="1:19">
      <c r="A8" s="45" t="s">
        <v>0</v>
      </c>
      <c r="B8" s="45" t="s">
        <v>312</v>
      </c>
      <c r="C8" s="45" t="str">
        <f t="shared" si="0"/>
        <v>FPU_RS</v>
      </c>
      <c r="D8" s="45" t="s">
        <v>340</v>
      </c>
      <c r="E8" s="48" t="s">
        <v>343</v>
      </c>
      <c r="F8" s="43">
        <f>SUMIFS(INDEX('WP_Regression_RES Cust Count'!$A$1:$AC$61,0,MATCH($E8,'WP_Regression_RES Cust Count'!$A$1:$AC$1,0)),'WP_Regression_RES Cust Count'!$B$1:$B$61,F$5)</f>
        <v>700613.22999999986</v>
      </c>
      <c r="G8" s="43">
        <f>SUMIFS(INDEX('WP_Regression_RES Cust Count'!$A$1:$AC$61,0,MATCH($E8,'WP_Regression_RES Cust Count'!$A$1:$AC$1,0)),'WP_Regression_RES Cust Count'!$B$1:$B$61,G$5)</f>
        <v>717324.59</v>
      </c>
      <c r="H8" s="475"/>
      <c r="K8" s="45" t="s">
        <v>0</v>
      </c>
      <c r="L8" s="45" t="s">
        <v>94</v>
      </c>
      <c r="M8" s="45" t="str">
        <f t="shared" si="1"/>
        <v>FPU_RS</v>
      </c>
      <c r="N8" s="45" t="s">
        <v>340</v>
      </c>
      <c r="O8" s="48" t="s">
        <v>343</v>
      </c>
      <c r="P8" s="43">
        <f>SUMIFS(INDEX('WP_Regression_RES UPC'!$A$1:$AC$61,0,MATCH($O8,'WP_Regression_RES UPC'!$A$1:$AC$1,0)),'WP_Regression_RES UPC'!$B$1:$B$61,F$5)</f>
        <v>232.63967216629609</v>
      </c>
      <c r="Q8" s="43">
        <f>SUMIFS(INDEX('WP_Regression_RES UPC'!$A$1:$AC$61,0,MATCH($O8,'WP_Regression_RES UPC'!$A$1:$AC$1,0)),'WP_Regression_RES UPC'!$B$1:$B$61,G$5)</f>
        <v>232.63967216629609</v>
      </c>
      <c r="R8" s="475"/>
      <c r="S8" s="473"/>
    </row>
    <row r="9" spans="1:19">
      <c r="A9" s="45" t="s">
        <v>0</v>
      </c>
      <c r="B9" s="45" t="s">
        <v>312</v>
      </c>
      <c r="C9" s="45" t="str">
        <f t="shared" si="0"/>
        <v>FPU_RS</v>
      </c>
      <c r="D9" s="45" t="s">
        <v>346</v>
      </c>
      <c r="E9" s="49" t="s">
        <v>345</v>
      </c>
      <c r="F9" s="43">
        <f>SUMIFS(INDEX('WP_Regression_RES Cust Count'!$A$1:$AC$61,0,MATCH($E9,'WP_Regression_RES Cust Count'!$A$1:$AC$1,0)),'WP_Regression_RES Cust Count'!$B$1:$B$61,F$5)</f>
        <v>715231.48</v>
      </c>
      <c r="G9" s="43">
        <f>SUMIFS(INDEX('WP_Regression_RES Cust Count'!$A$1:$AC$61,0,MATCH($E9,'WP_Regression_RES Cust Count'!$A$1:$AC$1,0)),'WP_Regression_RES Cust Count'!$B$1:$B$61,G$5)</f>
        <v>746295.75</v>
      </c>
      <c r="H9" s="475"/>
      <c r="K9" s="45" t="s">
        <v>0</v>
      </c>
      <c r="L9" s="45" t="s">
        <v>94</v>
      </c>
      <c r="M9" s="45" t="str">
        <f t="shared" si="1"/>
        <v>FPU_RS</v>
      </c>
      <c r="N9" s="45" t="s">
        <v>346</v>
      </c>
      <c r="O9" s="49" t="s">
        <v>345</v>
      </c>
      <c r="P9" s="43">
        <f>SUMIFS(INDEX('WP_Regression_RES UPC'!$A$1:$AC$61,0,MATCH($O9,'WP_Regression_RES UPC'!$A$1:$AC$1,0)),'WP_Regression_RES UPC'!$B$1:$B$61,F$5)</f>
        <v>312.95068753913853</v>
      </c>
      <c r="Q9" s="43">
        <f>SUMIFS(INDEX('WP_Regression_RES UPC'!$A$1:$AC$61,0,MATCH($O9,'WP_Regression_RES UPC'!$A$1:$AC$1,0)),'WP_Regression_RES UPC'!$B$1:$B$61,G$5)</f>
        <v>312.95068753913853</v>
      </c>
      <c r="R9" s="475"/>
      <c r="S9" s="473"/>
    </row>
    <row r="10" spans="1:19">
      <c r="A10" s="45" t="s">
        <v>0</v>
      </c>
      <c r="B10" s="45" t="s">
        <v>312</v>
      </c>
      <c r="C10" s="45" t="str">
        <f t="shared" si="0"/>
        <v>FTS_1</v>
      </c>
      <c r="D10" s="45" t="s">
        <v>339</v>
      </c>
      <c r="E10" s="47" t="s">
        <v>348</v>
      </c>
      <c r="F10" s="43">
        <f>SUMIFS(INDEX('WP_Regression_RES Cust Count'!$A$1:$AC$61,0,MATCH($E10,'WP_Regression_RES Cust Count'!$A$1:$AC$1,0)),'WP_Regression_RES Cust Count'!$B$1:$B$61,F$5)</f>
        <v>164309.07999999999</v>
      </c>
      <c r="G10" s="43">
        <f>SUMIFS(INDEX('WP_Regression_RES Cust Count'!$A$1:$AC$61,0,MATCH($E10,'WP_Regression_RES Cust Count'!$A$1:$AC$1,0)),'WP_Regression_RES Cust Count'!$B$1:$B$61,G$5)</f>
        <v>171122.94</v>
      </c>
      <c r="H10" s="475"/>
      <c r="K10" s="45" t="s">
        <v>0</v>
      </c>
      <c r="L10" s="45" t="s">
        <v>94</v>
      </c>
      <c r="M10" s="45" t="str">
        <f t="shared" si="1"/>
        <v>FTS_1</v>
      </c>
      <c r="N10" s="45" t="s">
        <v>339</v>
      </c>
      <c r="O10" s="47" t="s">
        <v>348</v>
      </c>
      <c r="P10" s="43">
        <f>SUMIFS(INDEX('WP_Regression_RES UPC'!$A$1:$AC$61,0,MATCH($O10,'WP_Regression_RES UPC'!$A$1:$AC$1,0)),'WP_Regression_RES UPC'!$B$1:$B$61,F$5)</f>
        <v>189.36514745983629</v>
      </c>
      <c r="Q10" s="43">
        <f>SUMIFS(INDEX('WP_Regression_RES UPC'!$A$1:$AC$61,0,MATCH($O10,'WP_Regression_RES UPC'!$A$1:$AC$1,0)),'WP_Regression_RES UPC'!$B$1:$B$61,G$5)</f>
        <v>189.36514745983629</v>
      </c>
      <c r="R10" s="475"/>
      <c r="S10" s="473"/>
    </row>
    <row r="11" spans="1:19">
      <c r="A11" s="45" t="s">
        <v>0</v>
      </c>
      <c r="B11" s="45" t="s">
        <v>312</v>
      </c>
      <c r="C11" s="45" t="str">
        <f t="shared" si="0"/>
        <v>FTS_1</v>
      </c>
      <c r="D11" s="45" t="s">
        <v>340</v>
      </c>
      <c r="E11" s="48" t="s">
        <v>350</v>
      </c>
      <c r="F11" s="43">
        <f>SUMIFS(INDEX('WP_Regression_RES Cust Count'!$A$1:$AC$61,0,MATCH($E11,'WP_Regression_RES Cust Count'!$A$1:$AC$1,0)),'WP_Regression_RES Cust Count'!$B$1:$B$61,F$5)</f>
        <v>161487.20000000001</v>
      </c>
      <c r="G11" s="43">
        <f>SUMIFS(INDEX('WP_Regression_RES Cust Count'!$A$1:$AC$61,0,MATCH($E11,'WP_Regression_RES Cust Count'!$A$1:$AC$1,0)),'WP_Regression_RES Cust Count'!$B$1:$B$61,G$5)</f>
        <v>165705.12999999998</v>
      </c>
      <c r="H11" s="475"/>
      <c r="K11" s="45" t="s">
        <v>0</v>
      </c>
      <c r="L11" s="45" t="s">
        <v>94</v>
      </c>
      <c r="M11" s="45" t="str">
        <f t="shared" si="1"/>
        <v>FTS_1</v>
      </c>
      <c r="N11" s="45" t="s">
        <v>340</v>
      </c>
      <c r="O11" s="48" t="s">
        <v>350</v>
      </c>
      <c r="P11" s="43">
        <f>SUMIFS(INDEX('WP_Regression_RES UPC'!$A$1:$AC$61,0,MATCH($O11,'WP_Regression_RES UPC'!$A$1:$AC$1,0)),'WP_Regression_RES UPC'!$B$1:$B$61,F$5)</f>
        <v>156.56991756863101</v>
      </c>
      <c r="Q11" s="43">
        <f>SUMIFS(INDEX('WP_Regression_RES UPC'!$A$1:$AC$61,0,MATCH($O11,'WP_Regression_RES UPC'!$A$1:$AC$1,0)),'WP_Regression_RES UPC'!$B$1:$B$61,G$5)</f>
        <v>156.56991756863101</v>
      </c>
      <c r="R11" s="475"/>
      <c r="S11" s="473"/>
    </row>
    <row r="12" spans="1:19">
      <c r="A12" s="45" t="s">
        <v>0</v>
      </c>
      <c r="B12" s="45" t="s">
        <v>312</v>
      </c>
      <c r="C12" s="45" t="str">
        <f t="shared" si="0"/>
        <v>FTS_1</v>
      </c>
      <c r="D12" s="45" t="s">
        <v>346</v>
      </c>
      <c r="E12" s="49" t="s">
        <v>352</v>
      </c>
      <c r="F12" s="43">
        <f>SUMIFS(INDEX('WP_Regression_RES Cust Count'!$A$1:$AC$61,0,MATCH($E12,'WP_Regression_RES Cust Count'!$A$1:$AC$1,0)),'WP_Regression_RES Cust Count'!$B$1:$B$61,F$5)</f>
        <v>167130.99000000002</v>
      </c>
      <c r="G12" s="43">
        <f>SUMIFS(INDEX('WP_Regression_RES Cust Count'!$A$1:$AC$61,0,MATCH($E12,'WP_Regression_RES Cust Count'!$A$1:$AC$1,0)),'WP_Regression_RES Cust Count'!$B$1:$B$61,G$5)</f>
        <v>176540.72999999998</v>
      </c>
      <c r="H12" s="475"/>
      <c r="K12" s="45" t="s">
        <v>0</v>
      </c>
      <c r="L12" s="45" t="s">
        <v>94</v>
      </c>
      <c r="M12" s="45" t="str">
        <f t="shared" si="1"/>
        <v>FTS_1</v>
      </c>
      <c r="N12" s="45" t="s">
        <v>346</v>
      </c>
      <c r="O12" s="49" t="s">
        <v>352</v>
      </c>
      <c r="P12" s="43">
        <f>SUMIFS(INDEX('WP_Regression_RES UPC'!$A$1:$AC$61,0,MATCH($O12,'WP_Regression_RES UPC'!$A$1:$AC$1,0)),'WP_Regression_RES UPC'!$B$1:$B$61,F$5)</f>
        <v>240.85300145436622</v>
      </c>
      <c r="Q12" s="43">
        <f>SUMIFS(INDEX('WP_Regression_RES UPC'!$A$1:$AC$61,0,MATCH($O12,'WP_Regression_RES UPC'!$A$1:$AC$1,0)),'WP_Regression_RES UPC'!$B$1:$B$61,G$5)</f>
        <v>240.85300145436622</v>
      </c>
      <c r="R12" s="475"/>
      <c r="S12" s="473"/>
    </row>
    <row r="13" spans="1:19">
      <c r="A13" s="45" t="s">
        <v>0</v>
      </c>
      <c r="B13" s="45" t="s">
        <v>312</v>
      </c>
      <c r="C13" s="45" t="str">
        <f t="shared" si="0"/>
        <v>FTS_2</v>
      </c>
      <c r="D13" s="45" t="s">
        <v>339</v>
      </c>
      <c r="E13" s="47" t="s">
        <v>354</v>
      </c>
      <c r="F13" s="43">
        <f>SUMIFS(INDEX('WP_Regression_RES Cust Count'!$A$1:$AC$61,0,MATCH($E13,'WP_Regression_RES Cust Count'!$A$1:$AC$1,0)),'WP_Regression_RES Cust Count'!$B$1:$B$61,F$5)</f>
        <v>8747.570099999999</v>
      </c>
      <c r="G13" s="43">
        <f>SUMIFS(INDEX('WP_Regression_RES Cust Count'!$A$1:$AC$61,0,MATCH($E13,'WP_Regression_RES Cust Count'!$A$1:$AC$1,0)),'WP_Regression_RES Cust Count'!$B$1:$B$61,G$5)</f>
        <v>8866.7702999999983</v>
      </c>
      <c r="H13" s="475"/>
      <c r="K13" s="45" t="s">
        <v>0</v>
      </c>
      <c r="L13" s="45" t="s">
        <v>94</v>
      </c>
      <c r="M13" s="45" t="str">
        <f t="shared" si="1"/>
        <v>FTS_2</v>
      </c>
      <c r="N13" s="45" t="s">
        <v>339</v>
      </c>
      <c r="O13" s="47" t="s">
        <v>354</v>
      </c>
      <c r="P13" s="43">
        <f>SUMIFS(INDEX('WP_Regression_RES UPC'!$A$1:$AC$61,0,MATCH($O13,'WP_Regression_RES UPC'!$A$1:$AC$1,0)),'WP_Regression_RES UPC'!$B$1:$B$61,F$5)</f>
        <v>691.72379019989842</v>
      </c>
      <c r="Q13" s="43">
        <f>SUMIFS(INDEX('WP_Regression_RES UPC'!$A$1:$AC$61,0,MATCH($O13,'WP_Regression_RES UPC'!$A$1:$AC$1,0)),'WP_Regression_RES UPC'!$B$1:$B$61,G$5)</f>
        <v>691.72379019989842</v>
      </c>
      <c r="R13" s="475"/>
      <c r="S13" s="473"/>
    </row>
    <row r="14" spans="1:19">
      <c r="A14" s="45" t="s">
        <v>0</v>
      </c>
      <c r="B14" s="45" t="s">
        <v>312</v>
      </c>
      <c r="C14" s="45" t="str">
        <f t="shared" si="0"/>
        <v>FTS_2</v>
      </c>
      <c r="D14" s="45" t="s">
        <v>340</v>
      </c>
      <c r="E14" s="48" t="s">
        <v>356</v>
      </c>
      <c r="F14" s="43">
        <f>SUMIFS(INDEX('WP_Regression_RES Cust Count'!$A$1:$AC$61,0,MATCH($E14,'WP_Regression_RES Cust Count'!$A$1:$AC$1,0)),'WP_Regression_RES Cust Count'!$B$1:$B$61,F$5)</f>
        <v>8468.6776000000009</v>
      </c>
      <c r="G14" s="43">
        <f>SUMIFS(INDEX('WP_Regression_RES Cust Count'!$A$1:$AC$61,0,MATCH($E14,'WP_Regression_RES Cust Count'!$A$1:$AC$1,0)),'WP_Regression_RES Cust Count'!$B$1:$B$61,G$5)</f>
        <v>8455.0945999999985</v>
      </c>
      <c r="H14" s="475"/>
      <c r="K14" s="45" t="s">
        <v>0</v>
      </c>
      <c r="L14" s="45" t="s">
        <v>94</v>
      </c>
      <c r="M14" s="45" t="str">
        <f t="shared" si="1"/>
        <v>FTS_2</v>
      </c>
      <c r="N14" s="45" t="s">
        <v>340</v>
      </c>
      <c r="O14" s="48" t="s">
        <v>356</v>
      </c>
      <c r="P14" s="43">
        <f>SUMIFS(INDEX('WP_Regression_RES UPC'!$A$1:$AC$61,0,MATCH($O14,'WP_Regression_RES UPC'!$A$1:$AC$1,0)),'WP_Regression_RES UPC'!$B$1:$B$61,F$5)</f>
        <v>502.88306565049282</v>
      </c>
      <c r="Q14" s="43">
        <f>SUMIFS(INDEX('WP_Regression_RES UPC'!$A$1:$AC$61,0,MATCH($O14,'WP_Regression_RES UPC'!$A$1:$AC$1,0)),'WP_Regression_RES UPC'!$B$1:$B$61,G$5)</f>
        <v>502.88306565049282</v>
      </c>
      <c r="R14" s="475"/>
      <c r="S14" s="473"/>
    </row>
    <row r="15" spans="1:19">
      <c r="A15" s="45" t="s">
        <v>0</v>
      </c>
      <c r="B15" s="45" t="s">
        <v>312</v>
      </c>
      <c r="C15" s="45" t="str">
        <f t="shared" si="0"/>
        <v>FTS_2</v>
      </c>
      <c r="D15" s="45" t="s">
        <v>346</v>
      </c>
      <c r="E15" s="49" t="s">
        <v>358</v>
      </c>
      <c r="F15" s="43">
        <f>SUMIFS(INDEX('WP_Regression_RES Cust Count'!$A$1:$AC$61,0,MATCH($E15,'WP_Regression_RES Cust Count'!$A$1:$AC$1,0)),'WP_Regression_RES Cust Count'!$B$1:$B$61,F$5)</f>
        <v>9026.4624999999978</v>
      </c>
      <c r="G15" s="43">
        <f>SUMIFS(INDEX('WP_Regression_RES Cust Count'!$A$1:$AC$61,0,MATCH($E15,'WP_Regression_RES Cust Count'!$A$1:$AC$1,0)),'WP_Regression_RES Cust Count'!$B$1:$B$61,G$5)</f>
        <v>9278.4458999999988</v>
      </c>
      <c r="H15" s="475"/>
      <c r="K15" s="45" t="s">
        <v>0</v>
      </c>
      <c r="L15" s="45" t="s">
        <v>94</v>
      </c>
      <c r="M15" s="45" t="str">
        <f t="shared" si="1"/>
        <v>FTS_2</v>
      </c>
      <c r="N15" s="45" t="s">
        <v>346</v>
      </c>
      <c r="O15" s="49" t="s">
        <v>358</v>
      </c>
      <c r="P15" s="43">
        <f>SUMIFS(INDEX('WP_Regression_RES UPC'!$A$1:$AC$61,0,MATCH($O15,'WP_Regression_RES UPC'!$A$1:$AC$1,0)),'WP_Regression_RES UPC'!$B$1:$B$61,F$5)</f>
        <v>966.39879368712559</v>
      </c>
      <c r="Q15" s="43">
        <f>SUMIFS(INDEX('WP_Regression_RES UPC'!$A$1:$AC$61,0,MATCH($O15,'WP_Regression_RES UPC'!$A$1:$AC$1,0)),'WP_Regression_RES UPC'!$B$1:$B$61,G$5)</f>
        <v>966.39879368712559</v>
      </c>
      <c r="R15" s="475"/>
      <c r="S15" s="473"/>
    </row>
    <row r="16" spans="1:19">
      <c r="A16" s="45" t="s">
        <v>0</v>
      </c>
      <c r="B16" s="45" t="s">
        <v>312</v>
      </c>
      <c r="C16" s="45" t="str">
        <f t="shared" si="0"/>
        <v>FortMeade_RS</v>
      </c>
      <c r="D16" s="45" t="s">
        <v>339</v>
      </c>
      <c r="E16" s="47" t="s">
        <v>359</v>
      </c>
      <c r="F16" s="43">
        <f>SUMIFS(INDEX('WP_Regression_RES Cust Count'!$A$1:$AC$61,0,MATCH($E16,'WP_Regression_RES Cust Count'!$A$1:$AC$1,0)),'WP_Regression_RES Cust Count'!$B$1:$B$61,F$5)</f>
        <v>5845.9627</v>
      </c>
      <c r="G16" s="43">
        <f>SUMIFS(INDEX('WP_Regression_RES Cust Count'!$A$1:$AC$61,0,MATCH($E16,'WP_Regression_RES Cust Count'!$A$1:$AC$1,0)),'WP_Regression_RES Cust Count'!$B$1:$B$61,G$5)</f>
        <v>5764.2089999999998</v>
      </c>
      <c r="H16" s="475"/>
      <c r="K16" s="45" t="s">
        <v>0</v>
      </c>
      <c r="L16" s="45" t="s">
        <v>94</v>
      </c>
      <c r="M16" s="45" t="str">
        <f t="shared" si="1"/>
        <v>FortMeade_RS</v>
      </c>
      <c r="N16" s="45" t="s">
        <v>339</v>
      </c>
      <c r="O16" s="47" t="s">
        <v>359</v>
      </c>
      <c r="P16" s="43">
        <f>SUMIFS(INDEX('WP_Regression_RES UPC'!$A$1:$AC$61,0,MATCH($O16,'WP_Regression_RES UPC'!$A$1:$AC$1,0)),'WP_Regression_RES UPC'!$B$1:$B$61,F$5)</f>
        <v>140.59</v>
      </c>
      <c r="Q16" s="43">
        <f>SUMIFS(INDEX('WP_Regression_RES UPC'!$A$1:$AC$61,0,MATCH($O16,'WP_Regression_RES UPC'!$A$1:$AC$1,0)),'WP_Regression_RES UPC'!$B$1:$B$61,G$5)</f>
        <v>140.91</v>
      </c>
      <c r="R16" s="475"/>
      <c r="S16" s="473"/>
    </row>
    <row r="17" spans="1:23">
      <c r="A17" s="45" t="s">
        <v>0</v>
      </c>
      <c r="B17" s="45" t="s">
        <v>312</v>
      </c>
      <c r="C17" s="45" t="str">
        <f t="shared" si="0"/>
        <v>FortMeade_RS</v>
      </c>
      <c r="D17" s="45" t="s">
        <v>340</v>
      </c>
      <c r="E17" s="48" t="s">
        <v>360</v>
      </c>
      <c r="F17" s="43">
        <f>SUMIFS(INDEX('WP_Regression_RES Cust Count'!$A$1:$AC$61,0,MATCH($E17,'WP_Regression_RES Cust Count'!$A$1:$AC$1,0)),'WP_Regression_RES Cust Count'!$B$1:$B$61,F$5)</f>
        <v>5422.9420000000009</v>
      </c>
      <c r="G17" s="43">
        <f>SUMIFS(INDEX('WP_Regression_RES Cust Count'!$A$1:$AC$61,0,MATCH($E17,'WP_Regression_RES Cust Count'!$A$1:$AC$1,0)),'WP_Regression_RES Cust Count'!$B$1:$B$61,G$5)</f>
        <v>4915.5375000000013</v>
      </c>
      <c r="H17" s="475"/>
      <c r="K17" s="45" t="s">
        <v>0</v>
      </c>
      <c r="L17" s="45" t="s">
        <v>94</v>
      </c>
      <c r="M17" s="45" t="str">
        <f t="shared" si="1"/>
        <v>FortMeade_RS</v>
      </c>
      <c r="N17" s="45" t="s">
        <v>340</v>
      </c>
      <c r="O17" s="48" t="s">
        <v>360</v>
      </c>
      <c r="P17" s="43">
        <f>SUMIFS(INDEX('WP_Regression_RES UPC'!$A$1:$AC$61,0,MATCH($O17,'WP_Regression_RES UPC'!$A$1:$AC$1,0)),'WP_Regression_RES UPC'!$B$1:$B$61,F$5)</f>
        <v>91.47</v>
      </c>
      <c r="Q17" s="43">
        <f>SUMIFS(INDEX('WP_Regression_RES UPC'!$A$1:$AC$61,0,MATCH($O17,'WP_Regression_RES UPC'!$A$1:$AC$1,0)),'WP_Regression_RES UPC'!$B$1:$B$61,G$5)</f>
        <v>88.59</v>
      </c>
      <c r="R17" s="475"/>
      <c r="S17" s="473"/>
    </row>
    <row r="18" spans="1:23">
      <c r="A18" s="45" t="s">
        <v>0</v>
      </c>
      <c r="B18" s="45" t="s">
        <v>312</v>
      </c>
      <c r="C18" s="45" t="str">
        <f t="shared" si="0"/>
        <v>FortMeade_RS</v>
      </c>
      <c r="D18" s="45" t="s">
        <v>346</v>
      </c>
      <c r="E18" s="49" t="s">
        <v>361</v>
      </c>
      <c r="F18" s="43">
        <f>SUMIFS(INDEX('WP_Regression_RES Cust Count'!$A$1:$AC$61,0,MATCH($E18,'WP_Regression_RES Cust Count'!$A$1:$AC$1,0)),'WP_Regression_RES Cust Count'!$B$1:$B$61,F$5)</f>
        <v>6268.9834999999994</v>
      </c>
      <c r="G18" s="43">
        <f>SUMIFS(INDEX('WP_Regression_RES Cust Count'!$A$1:$AC$61,0,MATCH($E18,'WP_Regression_RES Cust Count'!$A$1:$AC$1,0)),'WP_Regression_RES Cust Count'!$B$1:$B$61,G$5)</f>
        <v>6612.8807000000015</v>
      </c>
      <c r="H18" s="475"/>
      <c r="K18" s="45" t="s">
        <v>0</v>
      </c>
      <c r="L18" s="45" t="s">
        <v>94</v>
      </c>
      <c r="M18" s="45" t="str">
        <f t="shared" si="1"/>
        <v>FortMeade_RS</v>
      </c>
      <c r="N18" s="45" t="s">
        <v>346</v>
      </c>
      <c r="O18" s="49" t="s">
        <v>361</v>
      </c>
      <c r="P18" s="43">
        <f>SUMIFS(INDEX('WP_Regression_RES UPC'!$A$1:$AC$61,0,MATCH($O18,'WP_Regression_RES UPC'!$A$1:$AC$1,0)),'WP_Regression_RES UPC'!$B$1:$B$61,F$5)</f>
        <v>189.73000000000002</v>
      </c>
      <c r="Q18" s="43">
        <f>SUMIFS(INDEX('WP_Regression_RES UPC'!$A$1:$AC$61,0,MATCH($O18,'WP_Regression_RES UPC'!$A$1:$AC$1,0)),'WP_Regression_RES UPC'!$B$1:$B$61,G$5)</f>
        <v>193.29000000000002</v>
      </c>
      <c r="R18" s="475"/>
      <c r="S18" s="473"/>
    </row>
    <row r="19" spans="1:23">
      <c r="A19" s="45" t="s">
        <v>0</v>
      </c>
      <c r="B19" s="45" t="s">
        <v>312</v>
      </c>
      <c r="C19" s="45" t="str">
        <f t="shared" si="0"/>
        <v>TS_1</v>
      </c>
      <c r="D19" s="45" t="s">
        <v>339</v>
      </c>
      <c r="E19" s="47" t="s">
        <v>362</v>
      </c>
      <c r="F19" s="43">
        <f>SUMIFS(INDEX('WP_Regression_RES Cust Count'!$A$1:$AC$61,0,MATCH($E19,'WP_Regression_RES Cust Count'!$A$1:$AC$1,0)),'WP_Regression_RES Cust Count'!$B$1:$B$61,F$5)</f>
        <v>7866.4007000000001</v>
      </c>
      <c r="G19" s="43">
        <f>SUMIFS(INDEX('WP_Regression_RES Cust Count'!$A$1:$AC$61,0,MATCH($E19,'WP_Regression_RES Cust Count'!$A$1:$AC$1,0)),'WP_Regression_RES Cust Count'!$B$1:$B$61,G$5)</f>
        <v>7888.4994999999999</v>
      </c>
      <c r="H19" s="475"/>
      <c r="K19" s="45" t="s">
        <v>0</v>
      </c>
      <c r="L19" s="45" t="s">
        <v>94</v>
      </c>
      <c r="M19" s="45" t="str">
        <f t="shared" si="1"/>
        <v>TS_1</v>
      </c>
      <c r="N19" s="45" t="s">
        <v>339</v>
      </c>
      <c r="O19" s="47" t="s">
        <v>362</v>
      </c>
      <c r="P19" s="43">
        <f>SUMIFS(INDEX('WP_Regression_RES UPC'!$A$1:$AC$61,0,MATCH($O19,'WP_Regression_RES UPC'!$A$1:$AC$1,0)),'WP_Regression_RES UPC'!$B$1:$B$61,F$5)</f>
        <v>167.63707877370169</v>
      </c>
      <c r="Q19" s="43">
        <f>SUMIFS(INDEX('WP_Regression_RES UPC'!$A$1:$AC$61,0,MATCH($O19,'WP_Regression_RES UPC'!$A$1:$AC$1,0)),'WP_Regression_RES UPC'!$B$1:$B$61,G$5)</f>
        <v>162.75195983909569</v>
      </c>
      <c r="R19" s="475"/>
      <c r="S19" s="473"/>
    </row>
    <row r="20" spans="1:23">
      <c r="A20" s="45" t="s">
        <v>0</v>
      </c>
      <c r="B20" s="45" t="s">
        <v>312</v>
      </c>
      <c r="C20" s="45" t="str">
        <f t="shared" si="0"/>
        <v>TS_1</v>
      </c>
      <c r="D20" s="45" t="s">
        <v>340</v>
      </c>
      <c r="E20" s="48" t="s">
        <v>364</v>
      </c>
      <c r="F20" s="43">
        <f>SUMIFS(INDEX('WP_Regression_RES Cust Count'!$A$1:$AC$61,0,MATCH($E20,'WP_Regression_RES Cust Count'!$A$1:$AC$1,0)),'WP_Regression_RES Cust Count'!$B$1:$B$61,F$5)</f>
        <v>7742.9173000000001</v>
      </c>
      <c r="G20" s="43">
        <f>SUMIFS(INDEX('WP_Regression_RES Cust Count'!$A$1:$AC$61,0,MATCH($E20,'WP_Regression_RES Cust Count'!$A$1:$AC$1,0)),'WP_Regression_RES Cust Count'!$B$1:$B$61,G$5)</f>
        <v>7759.9225000000006</v>
      </c>
      <c r="H20" s="475"/>
      <c r="K20" s="45" t="s">
        <v>0</v>
      </c>
      <c r="L20" s="45" t="s">
        <v>94</v>
      </c>
      <c r="M20" s="45" t="str">
        <f t="shared" si="1"/>
        <v>TS_1</v>
      </c>
      <c r="N20" s="45" t="s">
        <v>340</v>
      </c>
      <c r="O20" s="48" t="s">
        <v>364</v>
      </c>
      <c r="P20" s="43">
        <f>SUMIFS(INDEX('WP_Regression_RES UPC'!$A$1:$AC$61,0,MATCH($O20,'WP_Regression_RES UPC'!$A$1:$AC$1,0)),'WP_Regression_RES UPC'!$B$1:$B$61,F$5)</f>
        <v>141.57425725759239</v>
      </c>
      <c r="Q20" s="43">
        <f>SUMIFS(INDEX('WP_Regression_RES UPC'!$A$1:$AC$61,0,MATCH($O20,'WP_Regression_RES UPC'!$A$1:$AC$1,0)),'WP_Regression_RES UPC'!$B$1:$B$61,G$5)</f>
        <v>132.87148021723644</v>
      </c>
      <c r="R20" s="475"/>
      <c r="S20" s="473"/>
    </row>
    <row r="21" spans="1:23">
      <c r="A21" s="45" t="s">
        <v>0</v>
      </c>
      <c r="B21" s="45" t="s">
        <v>312</v>
      </c>
      <c r="C21" s="45" t="str">
        <f t="shared" si="0"/>
        <v>TS_1</v>
      </c>
      <c r="D21" s="45" t="s">
        <v>346</v>
      </c>
      <c r="E21" s="49" t="s">
        <v>366</v>
      </c>
      <c r="F21" s="43">
        <f>SUMIFS(INDEX('WP_Regression_RES Cust Count'!$A$1:$AC$61,0,MATCH($E21,'WP_Regression_RES Cust Count'!$A$1:$AC$1,0)),'WP_Regression_RES Cust Count'!$B$1:$B$61,F$5)</f>
        <v>7993.7023999999992</v>
      </c>
      <c r="G21" s="43">
        <f>SUMIFS(INDEX('WP_Regression_RES Cust Count'!$A$1:$AC$61,0,MATCH($E21,'WP_Regression_RES Cust Count'!$A$1:$AC$1,0)),'WP_Regression_RES Cust Count'!$B$1:$B$61,G$5)</f>
        <v>8021.1854999999996</v>
      </c>
      <c r="H21" s="475"/>
      <c r="K21" s="45" t="s">
        <v>0</v>
      </c>
      <c r="L21" s="45" t="s">
        <v>94</v>
      </c>
      <c r="M21" s="45" t="str">
        <f t="shared" si="1"/>
        <v>TS_1</v>
      </c>
      <c r="N21" s="45" t="s">
        <v>346</v>
      </c>
      <c r="O21" s="49" t="s">
        <v>366</v>
      </c>
      <c r="P21" s="43">
        <f>SUMIFS(INDEX('WP_Regression_RES UPC'!$A$1:$AC$61,0,MATCH($O21,'WP_Regression_RES UPC'!$A$1:$AC$1,0)),'WP_Regression_RES UPC'!$B$1:$B$61,F$5)</f>
        <v>204.80140772994051</v>
      </c>
      <c r="Q21" s="43">
        <f>SUMIFS(INDEX('WP_Regression_RES UPC'!$A$1:$AC$61,0,MATCH($O21,'WP_Regression_RES UPC'!$A$1:$AC$1,0)),'WP_Regression_RES UPC'!$B$1:$B$61,G$5)</f>
        <v>208.87771397424308</v>
      </c>
      <c r="R21" s="475"/>
      <c r="S21" s="473"/>
    </row>
    <row r="22" spans="1:23">
      <c r="A22" s="45" t="s">
        <v>0</v>
      </c>
      <c r="B22" s="45" t="s">
        <v>312</v>
      </c>
      <c r="C22" s="45" t="str">
        <f t="shared" si="0"/>
        <v>FTS_2.1</v>
      </c>
      <c r="D22" s="45" t="s">
        <v>339</v>
      </c>
      <c r="E22" s="47" t="s">
        <v>367</v>
      </c>
      <c r="F22" s="43">
        <f>SUMIFS(INDEX('WP_Regression_RES Cust Count'!$A$1:$AC$61,0,MATCH($E22,'WP_Regression_RES Cust Count'!$A$1:$AC$1,0)),'WP_Regression_RES Cust Count'!$B$1:$B$61,F$5)</f>
        <v>5522.8490000000002</v>
      </c>
      <c r="G22" s="43">
        <f>SUMIFS(INDEX('WP_Regression_RES Cust Count'!$A$1:$AC$61,0,MATCH($E22,'WP_Regression_RES Cust Count'!$A$1:$AC$1,0)),'WP_Regression_RES Cust Count'!$B$1:$B$61,G$5)</f>
        <v>5600.0792999999994</v>
      </c>
      <c r="H22" s="475"/>
      <c r="K22" s="45" t="s">
        <v>0</v>
      </c>
      <c r="L22" s="45" t="s">
        <v>94</v>
      </c>
      <c r="M22" s="45" t="str">
        <f t="shared" si="1"/>
        <v>FTS_2.1</v>
      </c>
      <c r="N22" s="45" t="s">
        <v>339</v>
      </c>
      <c r="O22" s="47" t="s">
        <v>367</v>
      </c>
      <c r="P22" s="43">
        <f>SUMIFS(INDEX('WP_Regression_RES UPC'!$A$1:$AC$61,0,MATCH($O22,'WP_Regression_RES UPC'!$A$1:$AC$1,0)),'WP_Regression_RES UPC'!$B$1:$B$61,F$5)</f>
        <v>1099.4769818116235</v>
      </c>
      <c r="Q22" s="43">
        <f>SUMIFS(INDEX('WP_Regression_RES UPC'!$A$1:$AC$61,0,MATCH($O22,'WP_Regression_RES UPC'!$A$1:$AC$1,0)),'WP_Regression_RES UPC'!$B$1:$B$61,G$5)</f>
        <v>1090.2226156645322</v>
      </c>
      <c r="R22" s="475"/>
      <c r="S22" s="8"/>
      <c r="T22" s="41"/>
      <c r="U22" s="41"/>
      <c r="V22" s="41"/>
      <c r="W22" s="41"/>
    </row>
    <row r="23" spans="1:23">
      <c r="A23" s="45" t="s">
        <v>0</v>
      </c>
      <c r="B23" s="45" t="s">
        <v>312</v>
      </c>
      <c r="C23" s="45" t="str">
        <f t="shared" si="0"/>
        <v>FTS_2.1</v>
      </c>
      <c r="D23" s="45" t="s">
        <v>340</v>
      </c>
      <c r="E23" s="48" t="s">
        <v>368</v>
      </c>
      <c r="F23" s="43">
        <f>SUMIFS(INDEX('WP_Regression_RES Cust Count'!$A$1:$AC$61,0,MATCH($E23,'WP_Regression_RES Cust Count'!$A$1:$AC$1,0)),'WP_Regression_RES Cust Count'!$B$1:$B$61,F$5)</f>
        <v>4934.4947000000002</v>
      </c>
      <c r="G23" s="43">
        <f>SUMIFS(INDEX('WP_Regression_RES Cust Count'!$A$1:$AC$61,0,MATCH($E23,'WP_Regression_RES Cust Count'!$A$1:$AC$1,0)),'WP_Regression_RES Cust Count'!$B$1:$B$61,G$5)</f>
        <v>4643.9251000000004</v>
      </c>
      <c r="H23" s="475"/>
      <c r="K23" s="45" t="s">
        <v>0</v>
      </c>
      <c r="L23" s="45" t="s">
        <v>94</v>
      </c>
      <c r="M23" s="45" t="str">
        <f t="shared" si="1"/>
        <v>FTS_2.1</v>
      </c>
      <c r="N23" s="45" t="s">
        <v>340</v>
      </c>
      <c r="O23" s="48" t="s">
        <v>368</v>
      </c>
      <c r="P23" s="43">
        <f>SUMIFS(INDEX('WP_Regression_RES UPC'!$A$1:$AC$61,0,MATCH($O23,'WP_Regression_RES UPC'!$A$1:$AC$1,0)),'WP_Regression_RES UPC'!$B$1:$B$61,F$5)</f>
        <v>721.41716114296833</v>
      </c>
      <c r="Q23" s="43">
        <f>SUMIFS(INDEX('WP_Regression_RES UPC'!$A$1:$AC$61,0,MATCH($O23,'WP_Regression_RES UPC'!$A$1:$AC$1,0)),'WP_Regression_RES UPC'!$B$1:$B$61,G$5)</f>
        <v>652.96673277073285</v>
      </c>
      <c r="R23" s="475"/>
      <c r="S23" s="473"/>
    </row>
    <row r="24" spans="1:23">
      <c r="A24" s="45" t="s">
        <v>0</v>
      </c>
      <c r="B24" s="45" t="s">
        <v>312</v>
      </c>
      <c r="C24" s="45" t="str">
        <f t="shared" si="0"/>
        <v>FTS_2.1</v>
      </c>
      <c r="D24" s="45" t="s">
        <v>346</v>
      </c>
      <c r="E24" s="49" t="s">
        <v>369</v>
      </c>
      <c r="F24" s="43">
        <f>SUMIFS(INDEX('WP_Regression_RES Cust Count'!$A$1:$AC$61,0,MATCH($E24,'WP_Regression_RES Cust Count'!$A$1:$AC$1,0)),'WP_Regression_RES Cust Count'!$B$1:$B$61,F$5)</f>
        <v>6271.9696999999996</v>
      </c>
      <c r="G24" s="43">
        <f>SUMIFS(INDEX('WP_Regression_RES Cust Count'!$A$1:$AC$61,0,MATCH($E24,'WP_Regression_RES Cust Count'!$A$1:$AC$1,0)),'WP_Regression_RES Cust Count'!$B$1:$B$61,G$5)</f>
        <v>7021.5193000000008</v>
      </c>
      <c r="H24" s="475"/>
      <c r="K24" s="45" t="s">
        <v>0</v>
      </c>
      <c r="L24" s="45" t="s">
        <v>94</v>
      </c>
      <c r="M24" s="45" t="str">
        <f t="shared" si="1"/>
        <v>FTS_2.1</v>
      </c>
      <c r="N24" s="45" t="s">
        <v>346</v>
      </c>
      <c r="O24" s="49" t="s">
        <v>369</v>
      </c>
      <c r="P24" s="43">
        <f>SUMIFS(INDEX('WP_Regression_RES UPC'!$A$1:$AC$61,0,MATCH($O24,'WP_Regression_RES UPC'!$A$1:$AC$1,0)),'WP_Regression_RES UPC'!$B$1:$B$61,F$5)</f>
        <v>1583.4402293000485</v>
      </c>
      <c r="Q24" s="43">
        <f>SUMIFS(INDEX('WP_Regression_RES UPC'!$A$1:$AC$61,0,MATCH($O24,'WP_Regression_RES UPC'!$A$1:$AC$1,0)),'WP_Regression_RES UPC'!$B$1:$B$61,G$5)</f>
        <v>1676.2406863669164</v>
      </c>
      <c r="R24" s="475"/>
      <c r="S24" s="473"/>
    </row>
    <row r="25" spans="1:23">
      <c r="A25" s="45" t="s">
        <v>0</v>
      </c>
      <c r="B25" s="45" t="s">
        <v>312</v>
      </c>
      <c r="C25" s="45" t="str">
        <f t="shared" si="0"/>
        <v>RS_GS</v>
      </c>
      <c r="D25" s="45" t="s">
        <v>339</v>
      </c>
      <c r="E25" s="47" t="s">
        <v>370</v>
      </c>
      <c r="F25" s="43">
        <f>SUMIFS(INDEX('WP_Regression_RES Cust Count'!$A$1:$AC$61,0,MATCH($E25,'WP_Regression_RES Cust Count'!$A$1:$AC$1,0)),'WP_Regression_RES Cust Count'!$B$1:$B$61,F$5)</f>
        <v>10969</v>
      </c>
      <c r="G25" s="43">
        <f>SUMIFS(INDEX('WP_Regression_RES Cust Count'!$A$1:$AC$61,0,MATCH($E25,'WP_Regression_RES Cust Count'!$A$1:$AC$1,0)),'WP_Regression_RES Cust Count'!$B$1:$B$61,G$5)</f>
        <v>12493</v>
      </c>
      <c r="H25" s="475"/>
      <c r="K25" s="45" t="s">
        <v>0</v>
      </c>
      <c r="L25" s="45" t="s">
        <v>94</v>
      </c>
      <c r="M25" s="45" t="str">
        <f t="shared" si="1"/>
        <v>RS_GS</v>
      </c>
      <c r="N25" s="45" t="s">
        <v>339</v>
      </c>
      <c r="O25" s="47" t="s">
        <v>370</v>
      </c>
      <c r="P25" s="43">
        <f>SUMIFS(INDEX('WP_Regression_RES UPC'!$A$1:$AC$61,0,MATCH($O25,'WP_Regression_RES UPC'!$A$1:$AC$1,0)),'WP_Regression_RES UPC'!$B$1:$B$61,F$5)</f>
        <v>102.3512499185934</v>
      </c>
      <c r="Q25" s="43">
        <f>SUMIFS(INDEX('WP_Regression_RES UPC'!$A$1:$AC$61,0,MATCH($O25,'WP_Regression_RES UPC'!$A$1:$AC$1,0)),'WP_Regression_RES UPC'!$B$1:$B$61,G$5)</f>
        <v>103.55965676925655</v>
      </c>
      <c r="R25" s="475"/>
      <c r="S25" s="473"/>
    </row>
    <row r="26" spans="1:23">
      <c r="A26" s="45" t="s">
        <v>0</v>
      </c>
      <c r="B26" s="45" t="s">
        <v>312</v>
      </c>
      <c r="C26" s="45" t="str">
        <f t="shared" si="0"/>
        <v>RS_GS</v>
      </c>
      <c r="D26" s="45" t="s">
        <v>340</v>
      </c>
      <c r="E26" s="48" t="s">
        <v>371</v>
      </c>
      <c r="F26" s="43">
        <f>SUMIFS(INDEX('WP_Regression_RES Cust Count'!$A$1:$AC$61,0,MATCH($E26,'WP_Regression_RES Cust Count'!$A$1:$AC$1,0)),'WP_Regression_RES Cust Count'!$B$1:$B$61,F$5)</f>
        <v>10478.385</v>
      </c>
      <c r="G26" s="43">
        <f>SUMIFS(INDEX('WP_Regression_RES Cust Count'!$A$1:$AC$61,0,MATCH($E26,'WP_Regression_RES Cust Count'!$A$1:$AC$1,0)),'WP_Regression_RES Cust Count'!$B$1:$B$61,G$5)</f>
        <v>11274.4578</v>
      </c>
      <c r="H26" s="475"/>
      <c r="K26" s="45" t="s">
        <v>0</v>
      </c>
      <c r="L26" s="45" t="s">
        <v>94</v>
      </c>
      <c r="M26" s="45" t="str">
        <f t="shared" si="1"/>
        <v>RS_GS</v>
      </c>
      <c r="N26" s="45" t="s">
        <v>340</v>
      </c>
      <c r="O26" s="48" t="s">
        <v>371</v>
      </c>
      <c r="P26" s="43">
        <f>SUMIFS(INDEX('WP_Regression_RES UPC'!$A$1:$AC$61,0,MATCH($O26,'WP_Regression_RES UPC'!$A$1:$AC$1,0)),'WP_Regression_RES UPC'!$B$1:$B$61,F$5)</f>
        <v>60.62101193504791</v>
      </c>
      <c r="Q26" s="43">
        <f>SUMIFS(INDEX('WP_Regression_RES UPC'!$A$1:$AC$61,0,MATCH($O26,'WP_Regression_RES UPC'!$A$1:$AC$1,0)),'WP_Regression_RES UPC'!$B$1:$B$61,G$5)</f>
        <v>58.353016544855414</v>
      </c>
      <c r="R26" s="475"/>
      <c r="S26" s="473"/>
    </row>
    <row r="27" spans="1:23">
      <c r="A27" s="45" t="s">
        <v>0</v>
      </c>
      <c r="B27" s="45" t="s">
        <v>312</v>
      </c>
      <c r="C27" s="45" t="str">
        <f t="shared" si="0"/>
        <v>RS_GS</v>
      </c>
      <c r="D27" s="45" t="s">
        <v>346</v>
      </c>
      <c r="E27" s="49" t="s">
        <v>372</v>
      </c>
      <c r="F27" s="43">
        <f>SUMIFS(INDEX('WP_Regression_RES Cust Count'!$A$1:$AC$61,0,MATCH($E27,'WP_Regression_RES Cust Count'!$A$1:$AC$1,0)),'WP_Regression_RES Cust Count'!$B$1:$B$61,F$5)</f>
        <v>11459.615</v>
      </c>
      <c r="G27" s="43">
        <f>SUMIFS(INDEX('WP_Regression_RES Cust Count'!$A$1:$AC$61,0,MATCH($E27,'WP_Regression_RES Cust Count'!$A$1:$AC$1,0)),'WP_Regression_RES Cust Count'!$B$1:$B$61,G$5)</f>
        <v>13711.540999999999</v>
      </c>
      <c r="H27" s="475"/>
      <c r="K27" s="45" t="s">
        <v>0</v>
      </c>
      <c r="L27" s="45" t="s">
        <v>94</v>
      </c>
      <c r="M27" s="45" t="str">
        <f t="shared" si="1"/>
        <v>RS_GS</v>
      </c>
      <c r="N27" s="45" t="s">
        <v>346</v>
      </c>
      <c r="O27" s="49" t="s">
        <v>372</v>
      </c>
      <c r="P27" s="43">
        <f>SUMIFS(INDEX('WP_Regression_RES UPC'!$A$1:$AC$61,0,MATCH($O27,'WP_Regression_RES UPC'!$A$1:$AC$1,0)),'WP_Regression_RES UPC'!$B$1:$B$61,F$5)</f>
        <v>422.25019491136203</v>
      </c>
      <c r="Q27" s="43">
        <f>SUMIFS(INDEX('WP_Regression_RES UPC'!$A$1:$AC$61,0,MATCH($O27,'WP_Regression_RES UPC'!$A$1:$AC$1,0)),'WP_Regression_RES UPC'!$B$1:$B$61,G$5)</f>
        <v>9129.5387900718815</v>
      </c>
      <c r="R27" s="475"/>
      <c r="S27" s="473"/>
    </row>
    <row r="28" spans="1:23" s="170" customFormat="1">
      <c r="A28" s="170" t="s">
        <v>0</v>
      </c>
      <c r="B28" s="170" t="s">
        <v>312</v>
      </c>
      <c r="C28" s="170" t="str">
        <f t="shared" si="0"/>
        <v>FTS_AB</v>
      </c>
      <c r="D28" s="170" t="s">
        <v>339</v>
      </c>
      <c r="E28" s="47" t="s">
        <v>373</v>
      </c>
      <c r="F28" s="171">
        <f>SUMIFS(INDEX('WP_Regression_RES Cust Count'!$A$1:$AC$61,0,MATCH($E28,'WP_Regression_RES Cust Count'!$A$1:$AC$1,0)),'WP_Regression_RES Cust Count'!$B$1:$B$61,F$5)</f>
        <v>39225.557000000001</v>
      </c>
      <c r="G28" s="171">
        <f>SUMIFS(INDEX('WP_Regression_RES Cust Count'!$A$1:$AC$61,0,MATCH($E28,'WP_Regression_RES Cust Count'!$A$1:$AC$1,0)),'WP_Regression_RES Cust Count'!$B$1:$B$61,G$5)</f>
        <v>38956.623</v>
      </c>
      <c r="H28" s="475"/>
      <c r="K28" s="170" t="s">
        <v>0</v>
      </c>
      <c r="L28" s="170" t="s">
        <v>94</v>
      </c>
      <c r="M28" s="170" t="str">
        <f t="shared" si="1"/>
        <v>FTS_AB</v>
      </c>
      <c r="N28" s="170" t="s">
        <v>339</v>
      </c>
      <c r="O28" s="47" t="s">
        <v>373</v>
      </c>
      <c r="P28" s="171">
        <f>SUMIFS(INDEX('WP_Regression_RES UPC'!$A$1:$AC$61,0,MATCH($O28,'WP_Regression_RES UPC'!$A$1:$AC$1,0)),'WP_Regression_RES UPC'!$B$1:$B$61,F$5)</f>
        <v>111.26955512600672</v>
      </c>
      <c r="Q28" s="171">
        <f>SUMIFS(INDEX('WP_Regression_RES UPC'!$A$1:$AC$61,0,MATCH($O28,'WP_Regression_RES UPC'!$A$1:$AC$1,0)),'WP_Regression_RES UPC'!$B$1:$B$61,G$5)</f>
        <v>111.26955512600672</v>
      </c>
      <c r="R28" s="475"/>
      <c r="S28" s="473"/>
    </row>
    <row r="29" spans="1:23" s="170" customFormat="1">
      <c r="A29" s="170" t="s">
        <v>0</v>
      </c>
      <c r="B29" s="170" t="s">
        <v>312</v>
      </c>
      <c r="C29" s="170" t="str">
        <f t="shared" si="0"/>
        <v>FTS_AB</v>
      </c>
      <c r="D29" s="170" t="s">
        <v>340</v>
      </c>
      <c r="E29" s="48" t="s">
        <v>374</v>
      </c>
      <c r="F29" s="171">
        <f>SUMIFS(INDEX('WP_Regression_RES Cust Count'!$A$1:$AC$61,0,MATCH($E29,'WP_Regression_RES Cust Count'!$A$1:$AC$1,0)),'WP_Regression_RES Cust Count'!$B$1:$B$61,F$5)</f>
        <v>38772.532000000007</v>
      </c>
      <c r="G29" s="171">
        <f>SUMIFS(INDEX('WP_Regression_RES Cust Count'!$A$1:$AC$61,0,MATCH($E29,'WP_Regression_RES Cust Count'!$A$1:$AC$1,0)),'WP_Regression_RES Cust Count'!$B$1:$B$61,G$5)</f>
        <v>38454.012000000002</v>
      </c>
      <c r="H29" s="475"/>
      <c r="K29" s="170" t="s">
        <v>0</v>
      </c>
      <c r="L29" s="170" t="s">
        <v>94</v>
      </c>
      <c r="M29" s="170" t="str">
        <f t="shared" si="1"/>
        <v>FTS_AB</v>
      </c>
      <c r="N29" s="170" t="s">
        <v>340</v>
      </c>
      <c r="O29" s="48" t="s">
        <v>374</v>
      </c>
      <c r="P29" s="171">
        <f>SUMIFS(INDEX('WP_Regression_RES UPC'!$A$1:$AC$61,0,MATCH($O29,'WP_Regression_RES UPC'!$A$1:$AC$1,0)),'WP_Regression_RES UPC'!$B$1:$B$61,F$5)</f>
        <v>96.05709389912397</v>
      </c>
      <c r="Q29" s="171">
        <f>SUMIFS(INDEX('WP_Regression_RES UPC'!$A$1:$AC$61,0,MATCH($O29,'WP_Regression_RES UPC'!$A$1:$AC$1,0)),'WP_Regression_RES UPC'!$B$1:$B$61,G$5)</f>
        <v>96.05709389912397</v>
      </c>
      <c r="R29" s="475"/>
      <c r="S29" s="473"/>
    </row>
    <row r="30" spans="1:23" s="170" customFormat="1" ht="13.5" thickBot="1">
      <c r="A30" s="172" t="s">
        <v>0</v>
      </c>
      <c r="B30" s="172" t="s">
        <v>312</v>
      </c>
      <c r="C30" s="172" t="str">
        <f t="shared" si="0"/>
        <v>FTS_AB</v>
      </c>
      <c r="D30" s="172" t="s">
        <v>346</v>
      </c>
      <c r="E30" s="52" t="s">
        <v>375</v>
      </c>
      <c r="F30" s="173">
        <f>SUMIFS(INDEX('WP_Regression_RES Cust Count'!$A$1:$AC$61,0,MATCH($E30,'WP_Regression_RES Cust Count'!$A$1:$AC$1,0)),'WP_Regression_RES Cust Count'!$B$1:$B$61,F$5)</f>
        <v>39678.580999999998</v>
      </c>
      <c r="G30" s="173">
        <f>SUMIFS(INDEX('WP_Regression_RES Cust Count'!$A$1:$AC$61,0,MATCH($E30,'WP_Regression_RES Cust Count'!$A$1:$AC$1,0)),'WP_Regression_RES Cust Count'!$B$1:$B$61,G$5)</f>
        <v>39459.235000000001</v>
      </c>
      <c r="H30" s="475"/>
      <c r="K30" s="172" t="s">
        <v>0</v>
      </c>
      <c r="L30" s="172" t="s">
        <v>94</v>
      </c>
      <c r="M30" s="172" t="str">
        <f t="shared" si="1"/>
        <v>FTS_AB</v>
      </c>
      <c r="N30" s="172" t="s">
        <v>346</v>
      </c>
      <c r="O30" s="52" t="s">
        <v>375</v>
      </c>
      <c r="P30" s="173">
        <f>SUMIFS(INDEX('WP_Regression_RES UPC'!$A$1:$AC$61,0,MATCH($O30,'WP_Regression_RES UPC'!$A$1:$AC$1,0)),'WP_Regression_RES UPC'!$B$1:$B$61,F$5)</f>
        <v>130.92630028951973</v>
      </c>
      <c r="Q30" s="173">
        <f>SUMIFS(INDEX('WP_Regression_RES UPC'!$A$1:$AC$61,0,MATCH($O30,'WP_Regression_RES UPC'!$A$1:$AC$1,0)),'WP_Regression_RES UPC'!$B$1:$B$61,G$5)</f>
        <v>130.92630028951973</v>
      </c>
      <c r="R30" s="475"/>
      <c r="S30" s="473"/>
    </row>
    <row r="31" spans="1:23">
      <c r="A31" s="45" t="s">
        <v>635</v>
      </c>
      <c r="B31" s="45" t="s">
        <v>312</v>
      </c>
      <c r="C31" s="45" t="str">
        <f t="shared" si="0"/>
        <v>GS2</v>
      </c>
      <c r="D31" s="45" t="s">
        <v>339</v>
      </c>
      <c r="E31" s="47" t="s">
        <v>380</v>
      </c>
      <c r="F31" s="43">
        <f>SUMIFS(INDEX('WP_Regreession_COM Cust Count'!$A$1:$AP$61,0,MATCH($E31,'WP_Regreession_COM Cust Count'!$A$1:$AP$1,0)),'WP_Regreession_COM Cust Count'!$B$1:$B$61,F$5)</f>
        <v>36652.339991968511</v>
      </c>
      <c r="G31" s="43">
        <f>SUMIFS(INDEX('WP_Regreession_COM Cust Count'!$A$1:$AP$61,0,MATCH($E31,'WP_Regreession_COM Cust Count'!$A$1:$AP$1,0)),'WP_Regreession_COM Cust Count'!$B$1:$B$61,G$5)</f>
        <v>37699.888681285622</v>
      </c>
      <c r="H31" s="475"/>
      <c r="K31" s="45" t="s">
        <v>635</v>
      </c>
      <c r="L31" s="45" t="s">
        <v>94</v>
      </c>
      <c r="M31" s="45" t="str">
        <f t="shared" si="1"/>
        <v>GS2</v>
      </c>
      <c r="N31" s="45" t="s">
        <v>339</v>
      </c>
      <c r="O31" s="47" t="s">
        <v>380</v>
      </c>
      <c r="P31" s="43">
        <f>SUMIFS(INDEX('WP_Regression_COM UPC'!$A$1:$AP$61,0,MATCH($O31,'WP_Regression_COM UPC'!$A$1:$AP$1,0)),'WP_Regression_COM UPC'!$B$1:$B$61,F$5)</f>
        <v>4035.1</v>
      </c>
      <c r="Q31" s="43">
        <f>SUMIFS(INDEX('WP_Regression_COM UPC'!$A$1:$AP$61,0,MATCH($O31,'WP_Regression_COM UPC'!$A$1:$AP$1,0)),'WP_Regression_COM UPC'!$B$1:$B$61,G$5)</f>
        <v>4001.7999999999997</v>
      </c>
      <c r="R31" s="475"/>
      <c r="S31" s="473"/>
    </row>
    <row r="32" spans="1:23">
      <c r="A32" s="45" t="s">
        <v>635</v>
      </c>
      <c r="B32" s="45" t="s">
        <v>312</v>
      </c>
      <c r="C32" s="45" t="str">
        <f t="shared" si="0"/>
        <v>GS2</v>
      </c>
      <c r="D32" s="45" t="s">
        <v>340</v>
      </c>
      <c r="E32" s="48" t="s">
        <v>382</v>
      </c>
      <c r="F32" s="43">
        <f>SUMIFS(INDEX('WP_Regreession_COM Cust Count'!$A$1:$AP$61,0,MATCH($E32,'WP_Regreession_COM Cust Count'!$A$1:$AP$1,0)),'WP_Regreession_COM Cust Count'!$B$1:$B$61,F$5)</f>
        <v>35636.219944830744</v>
      </c>
      <c r="G32" s="43">
        <f>SUMIFS(INDEX('WP_Regreession_COM Cust Count'!$A$1:$AP$61,0,MATCH($E32,'WP_Regreession_COM Cust Count'!$A$1:$AP$1,0)),'WP_Regreession_COM Cust Count'!$B$1:$B$61,G$5)</f>
        <v>35932.346121495073</v>
      </c>
      <c r="H32" s="475"/>
      <c r="K32" s="45" t="s">
        <v>635</v>
      </c>
      <c r="L32" s="45" t="s">
        <v>94</v>
      </c>
      <c r="M32" s="45" t="str">
        <f t="shared" si="1"/>
        <v>GS2</v>
      </c>
      <c r="N32" s="45" t="s">
        <v>340</v>
      </c>
      <c r="O32" s="48" t="s">
        <v>382</v>
      </c>
      <c r="P32" s="43">
        <f>SUMIFS(INDEX('WP_Regression_COM UPC'!$A$1:$AP$61,0,MATCH($O32,'WP_Regression_COM UPC'!$A$1:$AP$1,0)),'WP_Regression_COM UPC'!$B$1:$B$61,F$5)</f>
        <v>3405.2000000000003</v>
      </c>
      <c r="Q32" s="43">
        <f>SUMIFS(INDEX('WP_Regression_COM UPC'!$A$1:$AP$61,0,MATCH($O32,'WP_Regression_COM UPC'!$A$1:$AP$1,0)),'WP_Regression_COM UPC'!$B$1:$B$61,G$5)</f>
        <v>3302.4</v>
      </c>
      <c r="R32" s="475"/>
      <c r="S32" s="473"/>
    </row>
    <row r="33" spans="1:19">
      <c r="A33" s="45" t="s">
        <v>635</v>
      </c>
      <c r="B33" s="45" t="s">
        <v>312</v>
      </c>
      <c r="C33" s="45" t="str">
        <f t="shared" si="0"/>
        <v>GS2</v>
      </c>
      <c r="D33" s="45" t="s">
        <v>346</v>
      </c>
      <c r="E33" s="49" t="s">
        <v>383</v>
      </c>
      <c r="F33" s="43">
        <f>SUMIFS(INDEX('WP_Regreession_COM Cust Count'!$A$1:$AP$61,0,MATCH($E33,'WP_Regreession_COM Cust Count'!$A$1:$AP$1,0)),'WP_Regreession_COM Cust Count'!$B$1:$B$61,F$5)</f>
        <v>37689.615222452696</v>
      </c>
      <c r="G33" s="43">
        <f>SUMIFS(INDEX('WP_Regreession_COM Cust Count'!$A$1:$AP$61,0,MATCH($E33,'WP_Regreession_COM Cust Count'!$A$1:$AP$1,0)),'WP_Regreession_COM Cust Count'!$B$1:$B$61,G$5)</f>
        <v>39527.694050504157</v>
      </c>
      <c r="H33" s="475"/>
      <c r="K33" s="45" t="s">
        <v>635</v>
      </c>
      <c r="L33" s="45" t="s">
        <v>94</v>
      </c>
      <c r="M33" s="45" t="str">
        <f t="shared" si="1"/>
        <v>GS2</v>
      </c>
      <c r="N33" s="45" t="s">
        <v>346</v>
      </c>
      <c r="O33" s="49" t="s">
        <v>383</v>
      </c>
      <c r="P33" s="43">
        <f>SUMIFS(INDEX('WP_Regression_COM UPC'!$A$1:$AP$61,0,MATCH($O33,'WP_Regression_COM UPC'!$A$1:$AP$1,0)),'WP_Regression_COM UPC'!$B$1:$B$61,F$5)</f>
        <v>4618.4999999999991</v>
      </c>
      <c r="Q33" s="43">
        <f>SUMIFS(INDEX('WP_Regression_COM UPC'!$A$1:$AP$61,0,MATCH($O33,'WP_Regression_COM UPC'!$A$1:$AP$1,0)),'WP_Regression_COM UPC'!$B$1:$B$61,G$5)</f>
        <v>4644.2999999999993</v>
      </c>
      <c r="R33" s="475"/>
      <c r="S33" s="473"/>
    </row>
    <row r="34" spans="1:19">
      <c r="A34" s="45" t="s">
        <v>635</v>
      </c>
      <c r="B34" s="45" t="s">
        <v>312</v>
      </c>
      <c r="C34" s="45" t="str">
        <f t="shared" si="0"/>
        <v>LVS</v>
      </c>
      <c r="D34" s="45" t="s">
        <v>339</v>
      </c>
      <c r="E34" s="47" t="s">
        <v>385</v>
      </c>
      <c r="F34" s="43">
        <f>SUMIFS(INDEX('WP_Regreession_COM Cust Count'!$A$1:$AP$61,0,MATCH($E34,'WP_Regreession_COM Cust Count'!$A$1:$AP$1,0)),'WP_Regreession_COM Cust Count'!$B$1:$B$61,F$5)</f>
        <v>22370.815694678182</v>
      </c>
      <c r="G34" s="43">
        <f>SUMIFS(INDEX('WP_Regreession_COM Cust Count'!$A$1:$AP$61,0,MATCH($E34,'WP_Regreession_COM Cust Count'!$A$1:$AP$1,0)),'WP_Regreession_COM Cust Count'!$B$1:$B$61,G$5)</f>
        <v>22638.003834991079</v>
      </c>
      <c r="H34" s="475"/>
      <c r="K34" s="45" t="s">
        <v>635</v>
      </c>
      <c r="L34" s="45" t="s">
        <v>94</v>
      </c>
      <c r="M34" s="45" t="str">
        <f t="shared" si="1"/>
        <v>LVS</v>
      </c>
      <c r="N34" s="45" t="s">
        <v>339</v>
      </c>
      <c r="O34" s="47" t="s">
        <v>385</v>
      </c>
      <c r="P34" s="43">
        <f>SUMIFS(INDEX('WP_Regression_COM UPC'!$A$1:$AP$61,0,MATCH($O34,'WP_Regression_COM UPC'!$A$1:$AP$1,0)),'WP_Regression_COM UPC'!$B$1:$B$61,F$5)</f>
        <v>21447.399999999998</v>
      </c>
      <c r="Q34" s="43">
        <f>SUMIFS(INDEX('WP_Regression_COM UPC'!$A$1:$AP$61,0,MATCH($O34,'WP_Regression_COM UPC'!$A$1:$AP$1,0)),'WP_Regression_COM UPC'!$B$1:$B$61,G$5)</f>
        <v>21325.699999999997</v>
      </c>
      <c r="R34" s="475"/>
      <c r="S34" s="473"/>
    </row>
    <row r="35" spans="1:19">
      <c r="A35" s="45" t="s">
        <v>635</v>
      </c>
      <c r="B35" s="45" t="s">
        <v>312</v>
      </c>
      <c r="C35" s="45" t="str">
        <f t="shared" si="0"/>
        <v>LVS</v>
      </c>
      <c r="D35" s="45" t="s">
        <v>340</v>
      </c>
      <c r="E35" s="48" t="s">
        <v>387</v>
      </c>
      <c r="F35" s="43">
        <f>SUMIFS(INDEX('WP_Regreession_COM Cust Count'!$A$1:$AP$61,0,MATCH($E35,'WP_Regreession_COM Cust Count'!$A$1:$AP$1,0)),'WP_Regreession_COM Cust Count'!$B$1:$B$61,F$5)</f>
        <v>22074.171582164294</v>
      </c>
      <c r="G35" s="43">
        <f>SUMIFS(INDEX('WP_Regreession_COM Cust Count'!$A$1:$AP$61,0,MATCH($E35,'WP_Regreession_COM Cust Count'!$A$1:$AP$1,0)),'WP_Regreession_COM Cust Count'!$B$1:$B$61,G$5)</f>
        <v>22301.793623074849</v>
      </c>
      <c r="H35" s="475"/>
      <c r="K35" s="45" t="s">
        <v>635</v>
      </c>
      <c r="L35" s="45" t="s">
        <v>94</v>
      </c>
      <c r="M35" s="45" t="str">
        <f t="shared" si="1"/>
        <v>LVS</v>
      </c>
      <c r="N35" s="45" t="s">
        <v>340</v>
      </c>
      <c r="O35" s="48" t="s">
        <v>387</v>
      </c>
      <c r="P35" s="43">
        <f>SUMIFS(INDEX('WP_Regression_COM UPC'!$A$1:$AP$61,0,MATCH($O35,'WP_Regression_COM UPC'!$A$1:$AP$1,0)),'WP_Regression_COM UPC'!$B$1:$B$61,F$5)</f>
        <v>18245.900000000001</v>
      </c>
      <c r="Q35" s="43">
        <f>SUMIFS(INDEX('WP_Regression_COM UPC'!$A$1:$AP$61,0,MATCH($O35,'WP_Regression_COM UPC'!$A$1:$AP$1,0)),'WP_Regression_COM UPC'!$B$1:$B$61,G$5)</f>
        <v>17678.5</v>
      </c>
      <c r="R35" s="475"/>
      <c r="S35" s="473"/>
    </row>
    <row r="36" spans="1:19">
      <c r="A36" s="45" t="s">
        <v>635</v>
      </c>
      <c r="B36" s="45" t="s">
        <v>312</v>
      </c>
      <c r="C36" s="45" t="str">
        <f t="shared" si="0"/>
        <v>LVS</v>
      </c>
      <c r="D36" s="45" t="s">
        <v>346</v>
      </c>
      <c r="E36" s="49" t="s">
        <v>389</v>
      </c>
      <c r="F36" s="43">
        <f>SUMIFS(INDEX('WP_Regreession_COM Cust Count'!$A$1:$AP$61,0,MATCH($E36,'WP_Regreession_COM Cust Count'!$A$1:$AP$1,0)),'WP_Regreession_COM Cust Count'!$B$1:$B$61,F$5)</f>
        <v>22667.459807192052</v>
      </c>
      <c r="G36" s="43">
        <f>SUMIFS(INDEX('WP_Regreession_COM Cust Count'!$A$1:$AP$61,0,MATCH($E36,'WP_Regreession_COM Cust Count'!$A$1:$AP$1,0)),'WP_Regreession_COM Cust Count'!$B$1:$B$61,G$5)</f>
        <v>22974.214046907306</v>
      </c>
      <c r="H36" s="475"/>
      <c r="K36" s="45" t="s">
        <v>635</v>
      </c>
      <c r="L36" s="45" t="s">
        <v>94</v>
      </c>
      <c r="M36" s="45" t="str">
        <f t="shared" si="1"/>
        <v>LVS</v>
      </c>
      <c r="N36" s="45" t="s">
        <v>346</v>
      </c>
      <c r="O36" s="49" t="s">
        <v>389</v>
      </c>
      <c r="P36" s="43">
        <f>SUMIFS(INDEX('WP_Regression_COM UPC'!$A$1:$AP$61,0,MATCH($O36,'WP_Regression_COM UPC'!$A$1:$AP$1,0)),'WP_Regression_COM UPC'!$B$1:$B$61,F$5)</f>
        <v>24455.8</v>
      </c>
      <c r="Q36" s="43">
        <f>SUMIFS(INDEX('WP_Regression_COM UPC'!$A$1:$AP$61,0,MATCH($O36,'WP_Regression_COM UPC'!$A$1:$AP$1,0)),'WP_Regression_COM UPC'!$B$1:$B$61,G$5)</f>
        <v>24725.800000000003</v>
      </c>
      <c r="R36" s="475"/>
      <c r="S36" s="473"/>
    </row>
    <row r="37" spans="1:19">
      <c r="A37" s="45" t="s">
        <v>635</v>
      </c>
      <c r="B37" s="45" t="s">
        <v>312</v>
      </c>
      <c r="C37" s="45" t="str">
        <f t="shared" si="0"/>
        <v>GS1</v>
      </c>
      <c r="D37" s="45" t="s">
        <v>339</v>
      </c>
      <c r="E37" s="47" t="s">
        <v>391</v>
      </c>
      <c r="F37" s="43">
        <f>SUMIFS(INDEX('WP_Regreession_COM Cust Count'!$A$1:$AP$61,0,MATCH($E37,'WP_Regreession_COM Cust Count'!$A$1:$AP$1,0)),'WP_Regreession_COM Cust Count'!$B$1:$B$61,F$5)</f>
        <v>10041.095904024827</v>
      </c>
      <c r="G37" s="43">
        <f>SUMIFS(INDEX('WP_Regreession_COM Cust Count'!$A$1:$AP$61,0,MATCH($E37,'WP_Regreession_COM Cust Count'!$A$1:$AP$1,0)),'WP_Regreession_COM Cust Count'!$B$1:$B$61,G$5)</f>
        <v>9840.2386966449449</v>
      </c>
      <c r="H37" s="475"/>
      <c r="K37" s="45" t="s">
        <v>635</v>
      </c>
      <c r="L37" s="45" t="s">
        <v>94</v>
      </c>
      <c r="M37" s="45" t="str">
        <f t="shared" si="1"/>
        <v>GS1</v>
      </c>
      <c r="N37" s="45" t="s">
        <v>339</v>
      </c>
      <c r="O37" s="47" t="s">
        <v>391</v>
      </c>
      <c r="P37" s="43">
        <f>SUMIFS(INDEX('WP_Regression_COM UPC'!$A$1:$AP$61,0,MATCH($O37,'WP_Regression_COM UPC'!$A$1:$AP$1,0)),'WP_Regression_COM UPC'!$B$1:$B$61,F$5)</f>
        <v>3529.4000000000005</v>
      </c>
      <c r="Q37" s="43">
        <f>SUMIFS(INDEX('WP_Regression_COM UPC'!$A$1:$AP$61,0,MATCH($O37,'WP_Regression_COM UPC'!$A$1:$AP$1,0)),'WP_Regression_COM UPC'!$B$1:$B$61,G$5)</f>
        <v>3746.3</v>
      </c>
      <c r="R37" s="475"/>
      <c r="S37" s="473"/>
    </row>
    <row r="38" spans="1:19">
      <c r="A38" s="45" t="s">
        <v>635</v>
      </c>
      <c r="B38" s="45" t="s">
        <v>312</v>
      </c>
      <c r="C38" s="45" t="str">
        <f t="shared" si="0"/>
        <v>GS1</v>
      </c>
      <c r="D38" s="45" t="s">
        <v>340</v>
      </c>
      <c r="E38" s="48" t="s">
        <v>393</v>
      </c>
      <c r="F38" s="43">
        <f>SUMIFS(INDEX('WP_Regreession_COM Cust Count'!$A$1:$AP$61,0,MATCH($E38,'WP_Regreession_COM Cust Count'!$A$1:$AP$1,0)),'WP_Regreession_COM Cust Count'!$B$1:$B$61,F$5)</f>
        <v>9599.4832270487459</v>
      </c>
      <c r="G38" s="43">
        <f>SUMIFS(INDEX('WP_Regreession_COM Cust Count'!$A$1:$AP$61,0,MATCH($E38,'WP_Regreession_COM Cust Count'!$A$1:$AP$1,0)),'WP_Regreession_COM Cust Count'!$B$1:$B$61,G$5)</f>
        <v>9145.5932475409154</v>
      </c>
      <c r="H38" s="475"/>
      <c r="K38" s="45" t="s">
        <v>635</v>
      </c>
      <c r="L38" s="45" t="s">
        <v>94</v>
      </c>
      <c r="M38" s="45" t="str">
        <f t="shared" si="1"/>
        <v>GS1</v>
      </c>
      <c r="N38" s="45" t="s">
        <v>340</v>
      </c>
      <c r="O38" s="48" t="s">
        <v>393</v>
      </c>
      <c r="P38" s="43">
        <f>SUMIFS(INDEX('WP_Regression_COM UPC'!$A$1:$AP$61,0,MATCH($O38,'WP_Regression_COM UPC'!$A$1:$AP$1,0)),'WP_Regression_COM UPC'!$B$1:$B$61,F$5)</f>
        <v>3168.9</v>
      </c>
      <c r="Q38" s="43">
        <f>SUMIFS(INDEX('WP_Regression_COM UPC'!$A$1:$AP$61,0,MATCH($O38,'WP_Regression_COM UPC'!$A$1:$AP$1,0)),'WP_Regression_COM UPC'!$B$1:$B$61,G$5)</f>
        <v>3219.2000000000003</v>
      </c>
      <c r="R38" s="475"/>
      <c r="S38" s="473"/>
    </row>
    <row r="39" spans="1:19">
      <c r="A39" s="45" t="s">
        <v>635</v>
      </c>
      <c r="B39" s="45" t="s">
        <v>312</v>
      </c>
      <c r="C39" s="45" t="str">
        <f t="shared" ref="C39:C66" si="2">LEFT(E39,FIND("_Forecast",E39)-1)</f>
        <v>GS1</v>
      </c>
      <c r="D39" s="45" t="s">
        <v>346</v>
      </c>
      <c r="E39" s="49" t="s">
        <v>395</v>
      </c>
      <c r="F39" s="43">
        <f>SUMIFS(INDEX('WP_Regreession_COM Cust Count'!$A$1:$AP$61,0,MATCH($E39,'WP_Regreession_COM Cust Count'!$A$1:$AP$1,0)),'WP_Regreession_COM Cust Count'!$B$1:$B$61,F$5)</f>
        <v>10463.166377416797</v>
      </c>
      <c r="G39" s="43">
        <f>SUMIFS(INDEX('WP_Regreession_COM Cust Count'!$A$1:$AP$61,0,MATCH($E39,'WP_Regreession_COM Cust Count'!$A$1:$AP$1,0)),'WP_Regreession_COM Cust Count'!$B$1:$B$61,G$5)</f>
        <v>10488.238659913897</v>
      </c>
      <c r="H39" s="475"/>
      <c r="K39" s="45" t="s">
        <v>635</v>
      </c>
      <c r="L39" s="45" t="s">
        <v>94</v>
      </c>
      <c r="M39" s="45" t="str">
        <f t="shared" ref="M39:M66" si="3">LEFT(O39,FIND("_Forecast",O39)-1)</f>
        <v>GS1</v>
      </c>
      <c r="N39" s="45" t="s">
        <v>346</v>
      </c>
      <c r="O39" s="49" t="s">
        <v>395</v>
      </c>
      <c r="P39" s="43">
        <f>SUMIFS(INDEX('WP_Regression_COM UPC'!$A$1:$AP$61,0,MATCH($O39,'WP_Regression_COM UPC'!$A$1:$AP$1,0)),'WP_Regression_COM UPC'!$B$1:$B$61,F$5)</f>
        <v>3880.2</v>
      </c>
      <c r="Q39" s="43">
        <f>SUMIFS(INDEX('WP_Regression_COM UPC'!$A$1:$AP$61,0,MATCH($O39,'WP_Regression_COM UPC'!$A$1:$AP$1,0)),'WP_Regression_COM UPC'!$B$1:$B$61,G$5)</f>
        <v>4255.5</v>
      </c>
      <c r="R39" s="475"/>
      <c r="S39" s="473"/>
    </row>
    <row r="40" spans="1:19">
      <c r="A40" s="45" t="s">
        <v>635</v>
      </c>
      <c r="B40" s="45" t="s">
        <v>312</v>
      </c>
      <c r="C40" s="45" t="str">
        <f t="shared" si="2"/>
        <v>GS1_FortMeade</v>
      </c>
      <c r="D40" s="45" t="s">
        <v>339</v>
      </c>
      <c r="E40" s="47" t="s">
        <v>397</v>
      </c>
      <c r="F40" s="43">
        <f>SUMIFS(INDEX('WP_Regreession_COM Cust Count'!$A$1:$AP$61,0,MATCH($E40,'WP_Regreession_COM Cust Count'!$A$1:$AP$1,0)),'WP_Regreession_COM Cust Count'!$B$1:$B$61,F$5)</f>
        <v>277.75148785908851</v>
      </c>
      <c r="G40" s="43">
        <f>SUMIFS(INDEX('WP_Regreession_COM Cust Count'!$A$1:$AP$61,0,MATCH($E40,'WP_Regreession_COM Cust Count'!$A$1:$AP$1,0)),'WP_Regreession_COM Cust Count'!$B$1:$B$61,G$5)</f>
        <v>277.7120464699571</v>
      </c>
      <c r="H40" s="475"/>
      <c r="K40" s="45" t="s">
        <v>635</v>
      </c>
      <c r="L40" s="45" t="s">
        <v>94</v>
      </c>
      <c r="M40" s="45" t="str">
        <f t="shared" si="3"/>
        <v>GS1_FortMeade</v>
      </c>
      <c r="N40" s="45" t="s">
        <v>339</v>
      </c>
      <c r="O40" s="47" t="s">
        <v>397</v>
      </c>
      <c r="P40" s="43">
        <f>SUMIFS(INDEX('WP_Regression_COM UPC'!$A$1:$AP$61,0,MATCH($O40,'WP_Regression_COM UPC'!$A$1:$AP$1,0)),'WP_Regression_COM UPC'!$B$1:$B$61,F$5)</f>
        <v>3263.6000000000004</v>
      </c>
      <c r="Q40" s="43">
        <f>SUMIFS(INDEX('WP_Regression_COM UPC'!$A$1:$AP$61,0,MATCH($O40,'WP_Regression_COM UPC'!$A$1:$AP$1,0)),'WP_Regression_COM UPC'!$B$1:$B$61,G$5)</f>
        <v>3265.2000000000003</v>
      </c>
      <c r="R40" s="475"/>
      <c r="S40" s="473"/>
    </row>
    <row r="41" spans="1:19">
      <c r="A41" s="45" t="s">
        <v>635</v>
      </c>
      <c r="B41" s="45" t="s">
        <v>312</v>
      </c>
      <c r="C41" s="45" t="str">
        <f t="shared" si="2"/>
        <v>GS1_FortMeade</v>
      </c>
      <c r="D41" s="45" t="s">
        <v>340</v>
      </c>
      <c r="E41" s="48" t="s">
        <v>399</v>
      </c>
      <c r="F41" s="43">
        <f>SUMIFS(INDEX('WP_Regreession_COM Cust Count'!$A$1:$AP$61,0,MATCH($E41,'WP_Regreession_COM Cust Count'!$A$1:$AP$1,0)),'WP_Regreession_COM Cust Count'!$B$1:$B$61,F$5)</f>
        <v>230.80242137819093</v>
      </c>
      <c r="G41" s="43">
        <f>SUMIFS(INDEX('WP_Regreession_COM Cust Count'!$A$1:$AP$61,0,MATCH($E41,'WP_Regreession_COM Cust Count'!$A$1:$AP$1,0)),'WP_Regreession_COM Cust Count'!$B$1:$B$61,G$5)</f>
        <v>216.79414965961129</v>
      </c>
      <c r="H41" s="475"/>
      <c r="K41" s="45" t="s">
        <v>635</v>
      </c>
      <c r="L41" s="45" t="s">
        <v>94</v>
      </c>
      <c r="M41" s="45" t="str">
        <f t="shared" si="3"/>
        <v>GS1_FortMeade</v>
      </c>
      <c r="N41" s="45" t="s">
        <v>340</v>
      </c>
      <c r="O41" s="48" t="s">
        <v>399</v>
      </c>
      <c r="P41" s="43">
        <f>SUMIFS(INDEX('WP_Regression_COM UPC'!$A$1:$AP$61,0,MATCH($O41,'WP_Regression_COM UPC'!$A$1:$AP$1,0)),'WP_Regression_COM UPC'!$B$1:$B$61,F$5)</f>
        <v>2378.3999999999996</v>
      </c>
      <c r="Q41" s="43">
        <f>SUMIFS(INDEX('WP_Regression_COM UPC'!$A$1:$AP$61,0,MATCH($O41,'WP_Regression_COM UPC'!$A$1:$AP$1,0)),'WP_Regression_COM UPC'!$B$1:$B$61,G$5)</f>
        <v>2340.9</v>
      </c>
      <c r="R41" s="475"/>
      <c r="S41" s="473"/>
    </row>
    <row r="42" spans="1:19">
      <c r="A42" s="45" t="s">
        <v>635</v>
      </c>
      <c r="B42" s="45" t="s">
        <v>312</v>
      </c>
      <c r="C42" s="45" t="str">
        <f t="shared" si="2"/>
        <v>GS1_FortMeade</v>
      </c>
      <c r="D42" s="45" t="s">
        <v>346</v>
      </c>
      <c r="E42" s="49" t="s">
        <v>401</v>
      </c>
      <c r="F42" s="43">
        <f>SUMIFS(INDEX('WP_Regreession_COM Cust Count'!$A$1:$AP$61,0,MATCH($E42,'WP_Regreession_COM Cust Count'!$A$1:$AP$1,0)),'WP_Regreession_COM Cust Count'!$B$1:$B$61,F$5)</f>
        <v>324.7005543399863</v>
      </c>
      <c r="G42" s="43">
        <f>SUMIFS(INDEX('WP_Regreession_COM Cust Count'!$A$1:$AP$61,0,MATCH($E42,'WP_Regreession_COM Cust Count'!$A$1:$AP$1,0)),'WP_Regreession_COM Cust Count'!$B$1:$B$61,G$5)</f>
        <v>338.62994328030277</v>
      </c>
      <c r="H42" s="475"/>
      <c r="K42" s="45" t="s">
        <v>635</v>
      </c>
      <c r="L42" s="45" t="s">
        <v>94</v>
      </c>
      <c r="M42" s="45" t="str">
        <f t="shared" si="3"/>
        <v>GS1_FortMeade</v>
      </c>
      <c r="N42" s="45" t="s">
        <v>346</v>
      </c>
      <c r="O42" s="49" t="s">
        <v>401</v>
      </c>
      <c r="P42" s="43">
        <f>SUMIFS(INDEX('WP_Regression_COM UPC'!$A$1:$AP$61,0,MATCH($O42,'WP_Regression_COM UPC'!$A$1:$AP$1,0)),'WP_Regression_COM UPC'!$B$1:$B$61,F$5)</f>
        <v>4486.5</v>
      </c>
      <c r="Q42" s="43">
        <f>SUMIFS(INDEX('WP_Regression_COM UPC'!$A$1:$AP$61,0,MATCH($O42,'WP_Regression_COM UPC'!$A$1:$AP$1,0)),'WP_Regression_COM UPC'!$B$1:$B$61,G$5)</f>
        <v>4563.7</v>
      </c>
      <c r="R42" s="475"/>
      <c r="S42" s="473"/>
    </row>
    <row r="43" spans="1:19">
      <c r="A43" s="45" t="s">
        <v>635</v>
      </c>
      <c r="B43" s="45" t="s">
        <v>312</v>
      </c>
      <c r="C43" s="45" t="str">
        <f t="shared" si="2"/>
        <v>FTS1</v>
      </c>
      <c r="D43" s="45" t="s">
        <v>339</v>
      </c>
      <c r="E43" s="47" t="s">
        <v>402</v>
      </c>
      <c r="F43" s="43">
        <f>SUMIFS(INDEX('WP_Regreession_COM Cust Count'!$A$1:$AP$61,0,MATCH($E43,'WP_Regreession_COM Cust Count'!$A$1:$AP$1,0)),'WP_Regreession_COM Cust Count'!$B$1:$B$61,F$5)</f>
        <v>2226.2370760902772</v>
      </c>
      <c r="G43" s="43">
        <f>SUMIFS(INDEX('WP_Regreession_COM Cust Count'!$A$1:$AP$61,0,MATCH($E43,'WP_Regreession_COM Cust Count'!$A$1:$AP$1,0)),'WP_Regreession_COM Cust Count'!$B$1:$B$61,G$5)</f>
        <v>2171.730434495621</v>
      </c>
      <c r="H43" s="475"/>
      <c r="K43" s="45" t="s">
        <v>635</v>
      </c>
      <c r="L43" s="45" t="s">
        <v>94</v>
      </c>
      <c r="M43" s="45" t="str">
        <f t="shared" si="3"/>
        <v>FTS1</v>
      </c>
      <c r="N43" s="45" t="s">
        <v>339</v>
      </c>
      <c r="O43" s="47" t="s">
        <v>402</v>
      </c>
      <c r="P43" s="43">
        <f>SUMIFS(INDEX('WP_Regression_COM UPC'!$A$1:$AP$61,0,MATCH($O43,'WP_Regression_COM UPC'!$A$1:$AP$1,0)),'WP_Regression_COM UPC'!$B$1:$B$61,F$5)</f>
        <v>376</v>
      </c>
      <c r="Q43" s="43">
        <f>SUMIFS(INDEX('WP_Regression_COM UPC'!$A$1:$AP$61,0,MATCH($O43,'WP_Regression_COM UPC'!$A$1:$AP$1,0)),'WP_Regression_COM UPC'!$B$1:$B$61,G$5)</f>
        <v>385.1</v>
      </c>
      <c r="R43" s="475"/>
      <c r="S43" s="473"/>
    </row>
    <row r="44" spans="1:19">
      <c r="A44" s="45" t="s">
        <v>635</v>
      </c>
      <c r="B44" s="45" t="s">
        <v>312</v>
      </c>
      <c r="C44" s="45" t="str">
        <f t="shared" si="2"/>
        <v>FTS1</v>
      </c>
      <c r="D44" s="45" t="s">
        <v>340</v>
      </c>
      <c r="E44" s="48" t="s">
        <v>403</v>
      </c>
      <c r="F44" s="43">
        <f>SUMIFS(INDEX('WP_Regreession_COM Cust Count'!$A$1:$AP$61,0,MATCH($E44,'WP_Regreession_COM Cust Count'!$A$1:$AP$1,0)),'WP_Regreession_COM Cust Count'!$B$1:$B$61,F$5)</f>
        <v>2031.5334623356071</v>
      </c>
      <c r="G44" s="43">
        <f>SUMIFS(INDEX('WP_Regreession_COM Cust Count'!$A$1:$AP$61,0,MATCH($E44,'WP_Regreession_COM Cust Count'!$A$1:$AP$1,0)),'WP_Regreession_COM Cust Count'!$B$1:$B$61,G$5)</f>
        <v>1874.8308468723901</v>
      </c>
      <c r="H44" s="475"/>
      <c r="K44" s="45" t="s">
        <v>635</v>
      </c>
      <c r="L44" s="45" t="s">
        <v>94</v>
      </c>
      <c r="M44" s="45" t="str">
        <f t="shared" si="3"/>
        <v>FTS1</v>
      </c>
      <c r="N44" s="45" t="s">
        <v>340</v>
      </c>
      <c r="O44" s="48" t="s">
        <v>403</v>
      </c>
      <c r="P44" s="43">
        <f>SUMIFS(INDEX('WP_Regression_COM UPC'!$A$1:$AP$61,0,MATCH($O44,'WP_Regression_COM UPC'!$A$1:$AP$1,0)),'WP_Regression_COM UPC'!$B$1:$B$61,F$5)</f>
        <v>179.39999999999998</v>
      </c>
      <c r="Q44" s="43">
        <f>SUMIFS(INDEX('WP_Regression_COM UPC'!$A$1:$AP$61,0,MATCH($O44,'WP_Regression_COM UPC'!$A$1:$AP$1,0)),'WP_Regression_COM UPC'!$B$1:$B$61,G$5)</f>
        <v>124.7</v>
      </c>
      <c r="R44" s="475"/>
      <c r="S44" s="473"/>
    </row>
    <row r="45" spans="1:19">
      <c r="A45" s="45" t="s">
        <v>635</v>
      </c>
      <c r="B45" s="45" t="s">
        <v>312</v>
      </c>
      <c r="C45" s="45" t="str">
        <f t="shared" si="2"/>
        <v>FTS1</v>
      </c>
      <c r="D45" s="45" t="s">
        <v>346</v>
      </c>
      <c r="E45" s="49" t="s">
        <v>404</v>
      </c>
      <c r="F45" s="43">
        <f>SUMIFS(INDEX('WP_Regreession_COM Cust Count'!$A$1:$AP$61,0,MATCH($E45,'WP_Regreession_COM Cust Count'!$A$1:$AP$1,0)),'WP_Regreession_COM Cust Count'!$B$1:$B$61,F$5)</f>
        <v>2404.8251510996552</v>
      </c>
      <c r="G45" s="43">
        <f>SUMIFS(INDEX('WP_Regreession_COM Cust Count'!$A$1:$AP$61,0,MATCH($E45,'WP_Regreession_COM Cust Count'!$A$1:$AP$1,0)),'WP_Regreession_COM Cust Count'!$B$1:$B$61,G$5)</f>
        <v>2431.9757734705831</v>
      </c>
      <c r="H45" s="475"/>
      <c r="K45" s="45" t="s">
        <v>635</v>
      </c>
      <c r="L45" s="45" t="s">
        <v>94</v>
      </c>
      <c r="M45" s="45" t="str">
        <f t="shared" si="3"/>
        <v>FTS1</v>
      </c>
      <c r="N45" s="45" t="s">
        <v>346</v>
      </c>
      <c r="O45" s="49" t="s">
        <v>404</v>
      </c>
      <c r="P45" s="43">
        <f>SUMIFS(INDEX('WP_Regression_COM UPC'!$A$1:$AP$61,0,MATCH($O45,'WP_Regression_COM UPC'!$A$1:$AP$1,0)),'WP_Regression_COM UPC'!$B$1:$B$61,F$5)</f>
        <v>824.3</v>
      </c>
      <c r="Q45" s="43">
        <f>SUMIFS(INDEX('WP_Regression_COM UPC'!$A$1:$AP$61,0,MATCH($O45,'WP_Regression_COM UPC'!$A$1:$AP$1,0)),'WP_Regression_COM UPC'!$B$1:$B$61,G$5)</f>
        <v>1303.2</v>
      </c>
      <c r="R45" s="475"/>
      <c r="S45" s="473"/>
    </row>
    <row r="46" spans="1:19">
      <c r="A46" s="45" t="s">
        <v>635</v>
      </c>
      <c r="B46" s="45" t="s">
        <v>312</v>
      </c>
      <c r="C46" s="45" t="str">
        <f t="shared" si="2"/>
        <v>FTS2</v>
      </c>
      <c r="D46" s="45" t="s">
        <v>339</v>
      </c>
      <c r="E46" s="47" t="s">
        <v>405</v>
      </c>
      <c r="F46" s="43">
        <f>SUMIFS(INDEX('WP_Regreession_COM Cust Count'!$A$1:$AP$61,0,MATCH($E46,'WP_Regreession_COM Cust Count'!$A$1:$AP$1,0)),'WP_Regreession_COM Cust Count'!$B$1:$B$61,F$5)</f>
        <v>1214.090832967318</v>
      </c>
      <c r="G46" s="43">
        <f>SUMIFS(INDEX('WP_Regreession_COM Cust Count'!$A$1:$AP$61,0,MATCH($E46,'WP_Regreession_COM Cust Count'!$A$1:$AP$1,0)),'WP_Regreession_COM Cust Count'!$B$1:$B$61,G$5)</f>
        <v>1288.2135235636858</v>
      </c>
      <c r="H46" s="475"/>
      <c r="K46" s="45" t="s">
        <v>635</v>
      </c>
      <c r="L46" s="45" t="s">
        <v>94</v>
      </c>
      <c r="M46" s="45" t="str">
        <f t="shared" si="3"/>
        <v>FTS2</v>
      </c>
      <c r="N46" s="45" t="s">
        <v>339</v>
      </c>
      <c r="O46" s="47" t="s">
        <v>405</v>
      </c>
      <c r="P46" s="43">
        <f>SUMIFS(INDEX('WP_Regression_COM UPC'!$A$1:$AP$61,0,MATCH($O46,'WP_Regression_COM UPC'!$A$1:$AP$1,0)),'WP_Regression_COM UPC'!$B$1:$B$61,F$5)</f>
        <v>721.40000000000009</v>
      </c>
      <c r="Q46" s="43">
        <f>SUMIFS(INDEX('WP_Regression_COM UPC'!$A$1:$AP$61,0,MATCH($O46,'WP_Regression_COM UPC'!$A$1:$AP$1,0)),'WP_Regression_COM UPC'!$B$1:$B$61,G$5)</f>
        <v>710.3</v>
      </c>
      <c r="R46" s="475"/>
      <c r="S46" s="473"/>
    </row>
    <row r="47" spans="1:19">
      <c r="A47" s="45" t="s">
        <v>635</v>
      </c>
      <c r="B47" s="45" t="s">
        <v>312</v>
      </c>
      <c r="C47" s="45" t="str">
        <f t="shared" si="2"/>
        <v>FTS2</v>
      </c>
      <c r="D47" s="45" t="s">
        <v>340</v>
      </c>
      <c r="E47" s="48" t="s">
        <v>406</v>
      </c>
      <c r="F47" s="43">
        <f>SUMIFS(INDEX('WP_Regreession_COM Cust Count'!$A$1:$AP$61,0,MATCH($E47,'WP_Regreession_COM Cust Count'!$A$1:$AP$1,0)),'WP_Regreession_COM Cust Count'!$B$1:$B$61,F$5)</f>
        <v>1126.2494056862395</v>
      </c>
      <c r="G47" s="43">
        <f>SUMIFS(INDEX('WP_Regreession_COM Cust Count'!$A$1:$AP$61,0,MATCH($E47,'WP_Regreession_COM Cust Count'!$A$1:$AP$1,0)),'WP_Regreession_COM Cust Count'!$B$1:$B$61,G$5)</f>
        <v>1186.5266285643368</v>
      </c>
      <c r="H47" s="475"/>
      <c r="K47" s="45" t="s">
        <v>635</v>
      </c>
      <c r="L47" s="45" t="s">
        <v>94</v>
      </c>
      <c r="M47" s="45" t="str">
        <f t="shared" si="3"/>
        <v>FTS2</v>
      </c>
      <c r="N47" s="45" t="s">
        <v>340</v>
      </c>
      <c r="O47" s="48" t="s">
        <v>406</v>
      </c>
      <c r="P47" s="43">
        <f>SUMIFS(INDEX('WP_Regression_COM UPC'!$A$1:$AP$61,0,MATCH($O47,'WP_Regression_COM UPC'!$A$1:$AP$1,0)),'WP_Regression_COM UPC'!$B$1:$B$61,F$5)</f>
        <v>577.80000000000007</v>
      </c>
      <c r="Q47" s="43">
        <f>SUMIFS(INDEX('WP_Regression_COM UPC'!$A$1:$AP$61,0,MATCH($O47,'WP_Regression_COM UPC'!$A$1:$AP$1,0)),'WP_Regression_COM UPC'!$B$1:$B$61,G$5)</f>
        <v>563.30000000000007</v>
      </c>
      <c r="R47" s="475"/>
      <c r="S47" s="473"/>
    </row>
    <row r="48" spans="1:19">
      <c r="A48" s="45" t="s">
        <v>635</v>
      </c>
      <c r="B48" s="45" t="s">
        <v>312</v>
      </c>
      <c r="C48" s="45" t="str">
        <f t="shared" si="2"/>
        <v>FTS2</v>
      </c>
      <c r="D48" s="45" t="s">
        <v>346</v>
      </c>
      <c r="E48" s="49" t="s">
        <v>407</v>
      </c>
      <c r="F48" s="43">
        <f>SUMIFS(INDEX('WP_Regreession_COM Cust Count'!$A$1:$AP$61,0,MATCH($E48,'WP_Regreession_COM Cust Count'!$A$1:$AP$1,0)),'WP_Regreession_COM Cust Count'!$B$1:$B$61,F$5)</f>
        <v>1312.6515803708642</v>
      </c>
      <c r="G48" s="43">
        <f>SUMIFS(INDEX('WP_Regreession_COM Cust Count'!$A$1:$AP$61,0,MATCH($E48,'WP_Regreession_COM Cust Count'!$A$1:$AP$1,0)),'WP_Regreession_COM Cust Count'!$B$1:$B$61,G$5)</f>
        <v>1403.4548642333953</v>
      </c>
      <c r="H48" s="475"/>
      <c r="K48" s="45" t="s">
        <v>635</v>
      </c>
      <c r="L48" s="45" t="s">
        <v>94</v>
      </c>
      <c r="M48" s="45" t="str">
        <f t="shared" si="3"/>
        <v>FTS2</v>
      </c>
      <c r="N48" s="45" t="s">
        <v>346</v>
      </c>
      <c r="O48" s="49" t="s">
        <v>407</v>
      </c>
      <c r="P48" s="43">
        <f>SUMIFS(INDEX('WP_Regression_COM UPC'!$A$1:$AP$61,0,MATCH($O48,'WP_Regression_COM UPC'!$A$1:$AP$1,0)),'WP_Regression_COM UPC'!$B$1:$B$61,F$5)</f>
        <v>954.80000000000007</v>
      </c>
      <c r="Q48" s="43">
        <f>SUMIFS(INDEX('WP_Regression_COM UPC'!$A$1:$AP$61,0,MATCH($O48,'WP_Regression_COM UPC'!$A$1:$AP$1,0)),'WP_Regression_COM UPC'!$B$1:$B$61,G$5)</f>
        <v>955.7</v>
      </c>
      <c r="R48" s="475"/>
      <c r="S48" s="473"/>
    </row>
    <row r="49" spans="1:19">
      <c r="A49" s="45" t="s">
        <v>635</v>
      </c>
      <c r="B49" s="45" t="s">
        <v>312</v>
      </c>
      <c r="C49" s="45" t="str">
        <f t="shared" si="2"/>
        <v>FTS2.1</v>
      </c>
      <c r="D49" s="45" t="s">
        <v>339</v>
      </c>
      <c r="E49" s="47" t="s">
        <v>408</v>
      </c>
      <c r="F49" s="43">
        <f>SUMIFS(INDEX('WP_Regreession_COM Cust Count'!$A$1:$AP$61,0,MATCH($E49,'WP_Regreession_COM Cust Count'!$A$1:$AP$1,0)),'WP_Regreession_COM Cust Count'!$B$1:$B$61,F$5)</f>
        <v>2691.9395780834589</v>
      </c>
      <c r="G49" s="43">
        <f>SUMIFS(INDEX('WP_Regreession_COM Cust Count'!$A$1:$AP$61,0,MATCH($E49,'WP_Regreession_COM Cust Count'!$A$1:$AP$1,0)),'WP_Regreession_COM Cust Count'!$B$1:$B$61,G$5)</f>
        <v>2770.9212989007897</v>
      </c>
      <c r="H49" s="475"/>
      <c r="K49" s="45" t="s">
        <v>635</v>
      </c>
      <c r="L49" s="45" t="s">
        <v>94</v>
      </c>
      <c r="M49" s="45" t="str">
        <f t="shared" si="3"/>
        <v>FTS2.1</v>
      </c>
      <c r="N49" s="45" t="s">
        <v>339</v>
      </c>
      <c r="O49" s="47" t="s">
        <v>408</v>
      </c>
      <c r="P49" s="43">
        <f>SUMIFS(INDEX('WP_Regression_COM UPC'!$A$1:$AP$61,0,MATCH($O49,'WP_Regression_COM UPC'!$A$1:$AP$1,0)),'WP_Regression_COM UPC'!$B$1:$B$61,F$5)</f>
        <v>1876.0000000000002</v>
      </c>
      <c r="Q49" s="43">
        <f>SUMIFS(INDEX('WP_Regression_COM UPC'!$A$1:$AP$61,0,MATCH($O49,'WP_Regression_COM UPC'!$A$1:$AP$1,0)),'WP_Regression_COM UPC'!$B$1:$B$61,G$5)</f>
        <v>1845.1999999999998</v>
      </c>
      <c r="R49" s="475"/>
      <c r="S49" s="473"/>
    </row>
    <row r="50" spans="1:19">
      <c r="A50" s="45" t="s">
        <v>635</v>
      </c>
      <c r="B50" s="45" t="s">
        <v>312</v>
      </c>
      <c r="C50" s="45" t="str">
        <f t="shared" si="2"/>
        <v>FTS2.1</v>
      </c>
      <c r="D50" s="45" t="s">
        <v>340</v>
      </c>
      <c r="E50" s="48" t="s">
        <v>409</v>
      </c>
      <c r="F50" s="43">
        <f>SUMIFS(INDEX('WP_Regreession_COM Cust Count'!$A$1:$AP$61,0,MATCH($E50,'WP_Regreession_COM Cust Count'!$A$1:$AP$1,0)),'WP_Regreession_COM Cust Count'!$B$1:$B$61,F$5)</f>
        <v>2585.5400196053001</v>
      </c>
      <c r="G50" s="43">
        <f>SUMIFS(INDEX('WP_Regreession_COM Cust Count'!$A$1:$AP$61,0,MATCH($E50,'WP_Regreession_COM Cust Count'!$A$1:$AP$1,0)),'WP_Regreession_COM Cust Count'!$B$1:$B$61,G$5)</f>
        <v>2651.6312812204387</v>
      </c>
      <c r="H50" s="475"/>
      <c r="K50" s="45" t="s">
        <v>635</v>
      </c>
      <c r="L50" s="45" t="s">
        <v>94</v>
      </c>
      <c r="M50" s="45" t="str">
        <f t="shared" si="3"/>
        <v>FTS2.1</v>
      </c>
      <c r="N50" s="45" t="s">
        <v>340</v>
      </c>
      <c r="O50" s="48" t="s">
        <v>409</v>
      </c>
      <c r="P50" s="43">
        <f>SUMIFS(INDEX('WP_Regression_COM UPC'!$A$1:$AP$61,0,MATCH($O50,'WP_Regression_COM UPC'!$A$1:$AP$1,0)),'WP_Regression_COM UPC'!$B$1:$B$61,F$5)</f>
        <v>1529.5</v>
      </c>
      <c r="Q50" s="43">
        <f>SUMIFS(INDEX('WP_Regression_COM UPC'!$A$1:$AP$61,0,MATCH($O50,'WP_Regression_COM UPC'!$A$1:$AP$1,0)),'WP_Regression_COM UPC'!$B$1:$B$61,G$5)</f>
        <v>1498.8</v>
      </c>
      <c r="R50" s="475"/>
      <c r="S50" s="473"/>
    </row>
    <row r="51" spans="1:19">
      <c r="A51" s="45" t="s">
        <v>635</v>
      </c>
      <c r="B51" s="45" t="s">
        <v>312</v>
      </c>
      <c r="C51" s="45" t="str">
        <f t="shared" si="2"/>
        <v>FTS2.1</v>
      </c>
      <c r="D51" s="45" t="s">
        <v>346</v>
      </c>
      <c r="E51" s="49" t="s">
        <v>410</v>
      </c>
      <c r="F51" s="43">
        <f>SUMIFS(INDEX('WP_Regreession_COM Cust Count'!$A$1:$AP$61,0,MATCH($E51,'WP_Regreession_COM Cust Count'!$A$1:$AP$1,0)),'WP_Regreession_COM Cust Count'!$B$1:$B$61,F$5)</f>
        <v>2800.6924400596708</v>
      </c>
      <c r="G51" s="43">
        <f>SUMIFS(INDEX('WP_Regreession_COM Cust Count'!$A$1:$AP$61,0,MATCH($E51,'WP_Regreession_COM Cust Count'!$A$1:$AP$1,0)),'WP_Regreession_COM Cust Count'!$B$1:$B$61,G$5)</f>
        <v>2893.0703960093811</v>
      </c>
      <c r="H51" s="475"/>
      <c r="K51" s="45" t="s">
        <v>635</v>
      </c>
      <c r="L51" s="45" t="s">
        <v>94</v>
      </c>
      <c r="M51" s="45" t="str">
        <f t="shared" si="3"/>
        <v>FTS2.1</v>
      </c>
      <c r="N51" s="45" t="s">
        <v>346</v>
      </c>
      <c r="O51" s="49" t="s">
        <v>410</v>
      </c>
      <c r="P51" s="43">
        <f>SUMIFS(INDEX('WP_Regression_COM UPC'!$A$1:$AP$61,0,MATCH($O51,'WP_Regression_COM UPC'!$A$1:$AP$1,0)),'WP_Regression_COM UPC'!$B$1:$B$61,F$5)</f>
        <v>2222.3000000000002</v>
      </c>
      <c r="Q51" s="43">
        <f>SUMIFS(INDEX('WP_Regression_COM UPC'!$A$1:$AP$61,0,MATCH($O51,'WP_Regression_COM UPC'!$A$1:$AP$1,0)),'WP_Regression_COM UPC'!$B$1:$B$61,G$5)</f>
        <v>2191.6999999999998</v>
      </c>
      <c r="R51" s="475"/>
      <c r="S51" s="473"/>
    </row>
    <row r="52" spans="1:19">
      <c r="A52" s="45" t="s">
        <v>635</v>
      </c>
      <c r="B52" s="45" t="s">
        <v>312</v>
      </c>
      <c r="C52" s="45" t="str">
        <f t="shared" si="2"/>
        <v>FTS3</v>
      </c>
      <c r="D52" s="45" t="s">
        <v>339</v>
      </c>
      <c r="E52" s="47" t="s">
        <v>411</v>
      </c>
      <c r="F52" s="43">
        <f>SUMIFS(INDEX('WP_Regreession_COM Cust Count'!$A$1:$AP$61,0,MATCH($E52,'WP_Regreession_COM Cust Count'!$A$1:$AP$1,0)),'WP_Regreession_COM Cust Count'!$B$1:$B$61,F$5)</f>
        <v>3645.2164656877349</v>
      </c>
      <c r="G52" s="43">
        <f>SUMIFS(INDEX('WP_Regreession_COM Cust Count'!$A$1:$AP$61,0,MATCH($E52,'WP_Regreession_COM Cust Count'!$A$1:$AP$1,0)),'WP_Regreession_COM Cust Count'!$B$1:$B$61,G$5)</f>
        <v>3758.2922618465104</v>
      </c>
      <c r="H52" s="475"/>
      <c r="K52" s="45" t="s">
        <v>635</v>
      </c>
      <c r="L52" s="45" t="s">
        <v>94</v>
      </c>
      <c r="M52" s="45" t="str">
        <f t="shared" si="3"/>
        <v>FTS3</v>
      </c>
      <c r="N52" s="45" t="s">
        <v>339</v>
      </c>
      <c r="O52" s="47" t="s">
        <v>411</v>
      </c>
      <c r="P52" s="43">
        <f>SUMIFS(INDEX('WP_Regression_COM UPC'!$A$1:$AP$61,0,MATCH($O52,'WP_Regression_COM UPC'!$A$1:$AP$1,0)),'WP_Regression_COM UPC'!$B$1:$B$61,F$5)</f>
        <v>3839.1000000000004</v>
      </c>
      <c r="Q52" s="43">
        <f>SUMIFS(INDEX('WP_Regression_COM UPC'!$A$1:$AP$61,0,MATCH($O52,'WP_Regression_COM UPC'!$A$1:$AP$1,0)),'WP_Regression_COM UPC'!$B$1:$B$61,G$5)</f>
        <v>3845.9999999999995</v>
      </c>
      <c r="R52" s="475"/>
      <c r="S52" s="473"/>
    </row>
    <row r="53" spans="1:19">
      <c r="A53" s="45" t="s">
        <v>635</v>
      </c>
      <c r="B53" s="45" t="s">
        <v>312</v>
      </c>
      <c r="C53" s="45" t="str">
        <f t="shared" si="2"/>
        <v>FTS3</v>
      </c>
      <c r="D53" s="45" t="s">
        <v>340</v>
      </c>
      <c r="E53" s="48" t="s">
        <v>412</v>
      </c>
      <c r="F53" s="43">
        <f>SUMIFS(INDEX('WP_Regreession_COM Cust Count'!$A$1:$AP$61,0,MATCH($E53,'WP_Regreession_COM Cust Count'!$A$1:$AP$1,0)),'WP_Regreession_COM Cust Count'!$B$1:$B$61,F$5)</f>
        <v>3544.1881134931209</v>
      </c>
      <c r="G53" s="43">
        <f>SUMIFS(INDEX('WP_Regreession_COM Cust Count'!$A$1:$AP$61,0,MATCH($E53,'WP_Regreession_COM Cust Count'!$A$1:$AP$1,0)),'WP_Regreession_COM Cust Count'!$B$1:$B$61,G$5)</f>
        <v>3623.6753701455368</v>
      </c>
      <c r="H53" s="475"/>
      <c r="K53" s="45" t="s">
        <v>635</v>
      </c>
      <c r="L53" s="45" t="s">
        <v>94</v>
      </c>
      <c r="M53" s="45" t="str">
        <f t="shared" si="3"/>
        <v>FTS3</v>
      </c>
      <c r="N53" s="45" t="s">
        <v>340</v>
      </c>
      <c r="O53" s="48" t="s">
        <v>412</v>
      </c>
      <c r="P53" s="43">
        <f>SUMIFS(INDEX('WP_Regression_COM UPC'!$A$1:$AP$61,0,MATCH($O53,'WP_Regression_COM UPC'!$A$1:$AP$1,0)),'WP_Regression_COM UPC'!$B$1:$B$61,F$5)</f>
        <v>3334.5</v>
      </c>
      <c r="Q53" s="43">
        <f>SUMIFS(INDEX('WP_Regression_COM UPC'!$A$1:$AP$61,0,MATCH($O53,'WP_Regression_COM UPC'!$A$1:$AP$1,0)),'WP_Regression_COM UPC'!$B$1:$B$61,G$5)</f>
        <v>3336.4000000000005</v>
      </c>
      <c r="R53" s="475"/>
      <c r="S53" s="473"/>
    </row>
    <row r="54" spans="1:19">
      <c r="A54" s="45" t="s">
        <v>635</v>
      </c>
      <c r="B54" s="45" t="s">
        <v>312</v>
      </c>
      <c r="C54" s="45" t="str">
        <f t="shared" si="2"/>
        <v>FTS3</v>
      </c>
      <c r="D54" s="45" t="s">
        <v>346</v>
      </c>
      <c r="E54" s="49" t="s">
        <v>413</v>
      </c>
      <c r="F54" s="43">
        <f>SUMIFS(INDEX('WP_Regreession_COM Cust Count'!$A$1:$AP$61,0,MATCH($E54,'WP_Regreession_COM Cust Count'!$A$1:$AP$1,0)),'WP_Regreession_COM Cust Count'!$B$1:$B$61,F$5)</f>
        <v>3746.1950656214863</v>
      </c>
      <c r="G54" s="43">
        <f>SUMIFS(INDEX('WP_Regreession_COM Cust Count'!$A$1:$AP$61,0,MATCH($E54,'WP_Regreession_COM Cust Count'!$A$1:$AP$1,0)),'WP_Regreession_COM Cust Count'!$B$1:$B$61,G$5)</f>
        <v>3892.8246733024416</v>
      </c>
      <c r="H54" s="475"/>
      <c r="K54" s="45" t="s">
        <v>635</v>
      </c>
      <c r="L54" s="45" t="s">
        <v>94</v>
      </c>
      <c r="M54" s="45" t="str">
        <f t="shared" si="3"/>
        <v>FTS3</v>
      </c>
      <c r="N54" s="45" t="s">
        <v>346</v>
      </c>
      <c r="O54" s="49" t="s">
        <v>413</v>
      </c>
      <c r="P54" s="43">
        <f>SUMIFS(INDEX('WP_Regression_COM UPC'!$A$1:$AP$61,0,MATCH($O54,'WP_Regression_COM UPC'!$A$1:$AP$1,0)),'WP_Regression_COM UPC'!$B$1:$B$61,F$5)</f>
        <v>4406.3</v>
      </c>
      <c r="Q54" s="43">
        <f>SUMIFS(INDEX('WP_Regression_COM UPC'!$A$1:$AP$61,0,MATCH($O54,'WP_Regression_COM UPC'!$A$1:$AP$1,0)),'WP_Regression_COM UPC'!$B$1:$B$61,G$5)</f>
        <v>4419.7</v>
      </c>
      <c r="R54" s="475"/>
      <c r="S54" s="473"/>
    </row>
    <row r="55" spans="1:19">
      <c r="A55" s="45" t="s">
        <v>635</v>
      </c>
      <c r="B55" s="45" t="s">
        <v>312</v>
      </c>
      <c r="C55" s="45" t="str">
        <f t="shared" si="2"/>
        <v>FTS3.1</v>
      </c>
      <c r="D55" s="45" t="s">
        <v>339</v>
      </c>
      <c r="E55" s="47" t="s">
        <v>414</v>
      </c>
      <c r="F55" s="43">
        <f>SUMIFS(INDEX('WP_Regreession_COM Cust Count'!$A$1:$AP$61,0,MATCH($E55,'WP_Regreession_COM Cust Count'!$A$1:$AP$1,0)),'WP_Regreession_COM Cust Count'!$B$1:$B$61,F$5)</f>
        <v>3946.9038319089968</v>
      </c>
      <c r="G55" s="43">
        <f>SUMIFS(INDEX('WP_Regreession_COM Cust Count'!$A$1:$AP$61,0,MATCH($E55,'WP_Regreession_COM Cust Count'!$A$1:$AP$1,0)),'WP_Regreession_COM Cust Count'!$B$1:$B$61,G$5)</f>
        <v>3948.3167690041196</v>
      </c>
      <c r="H55" s="475"/>
      <c r="K55" s="45" t="s">
        <v>635</v>
      </c>
      <c r="L55" s="45" t="s">
        <v>94</v>
      </c>
      <c r="M55" s="45" t="str">
        <f t="shared" si="3"/>
        <v>FTS3.1</v>
      </c>
      <c r="N55" s="45" t="s">
        <v>339</v>
      </c>
      <c r="O55" s="47" t="s">
        <v>414</v>
      </c>
      <c r="P55" s="43">
        <f>SUMIFS(INDEX('WP_Regression_COM UPC'!$A$1:$AP$61,0,MATCH($O55,'WP_Regression_COM UPC'!$A$1:$AP$1,0)),'WP_Regression_COM UPC'!$B$1:$B$61,F$5)</f>
        <v>7285.9999999999991</v>
      </c>
      <c r="Q55" s="43">
        <f>SUMIFS(INDEX('WP_Regression_COM UPC'!$A$1:$AP$61,0,MATCH($O55,'WP_Regression_COM UPC'!$A$1:$AP$1,0)),'WP_Regression_COM UPC'!$B$1:$B$61,G$5)</f>
        <v>7254.9</v>
      </c>
      <c r="R55" s="475"/>
      <c r="S55" s="473"/>
    </row>
    <row r="56" spans="1:19">
      <c r="A56" s="45" t="s">
        <v>635</v>
      </c>
      <c r="B56" s="45" t="s">
        <v>312</v>
      </c>
      <c r="C56" s="45" t="str">
        <f t="shared" si="2"/>
        <v>FTS3.1</v>
      </c>
      <c r="D56" s="45" t="s">
        <v>340</v>
      </c>
      <c r="E56" s="48" t="s">
        <v>415</v>
      </c>
      <c r="F56" s="43">
        <f>SUMIFS(INDEX('WP_Regreession_COM Cust Count'!$A$1:$AP$61,0,MATCH($E56,'WP_Regreession_COM Cust Count'!$A$1:$AP$1,0)),'WP_Regreession_COM Cust Count'!$B$1:$B$61,F$5)</f>
        <v>3820.8227432645526</v>
      </c>
      <c r="G56" s="43">
        <f>SUMIFS(INDEX('WP_Regreession_COM Cust Count'!$A$1:$AP$61,0,MATCH($E56,'WP_Regreession_COM Cust Count'!$A$1:$AP$1,0)),'WP_Regreession_COM Cust Count'!$B$1:$B$61,G$5)</f>
        <v>3737.5968948345248</v>
      </c>
      <c r="H56" s="475"/>
      <c r="K56" s="45" t="s">
        <v>635</v>
      </c>
      <c r="L56" s="45" t="s">
        <v>94</v>
      </c>
      <c r="M56" s="45" t="str">
        <f t="shared" si="3"/>
        <v>FTS3.1</v>
      </c>
      <c r="N56" s="45" t="s">
        <v>340</v>
      </c>
      <c r="O56" s="48" t="s">
        <v>415</v>
      </c>
      <c r="P56" s="43">
        <f>SUMIFS(INDEX('WP_Regression_COM UPC'!$A$1:$AP$61,0,MATCH($O56,'WP_Regression_COM UPC'!$A$1:$AP$1,0)),'WP_Regression_COM UPC'!$B$1:$B$61,F$5)</f>
        <v>6090</v>
      </c>
      <c r="Q56" s="43">
        <f>SUMIFS(INDEX('WP_Regression_COM UPC'!$A$1:$AP$61,0,MATCH($O56,'WP_Regression_COM UPC'!$A$1:$AP$1,0)),'WP_Regression_COM UPC'!$B$1:$B$61,G$5)</f>
        <v>6049.2000000000007</v>
      </c>
      <c r="R56" s="475"/>
      <c r="S56" s="473"/>
    </row>
    <row r="57" spans="1:19">
      <c r="A57" s="45" t="s">
        <v>635</v>
      </c>
      <c r="B57" s="45" t="s">
        <v>312</v>
      </c>
      <c r="C57" s="45" t="str">
        <f t="shared" si="2"/>
        <v>FTS3.1</v>
      </c>
      <c r="D57" s="45" t="s">
        <v>346</v>
      </c>
      <c r="E57" s="49" t="s">
        <v>416</v>
      </c>
      <c r="F57" s="43">
        <f>SUMIFS(INDEX('WP_Regreession_COM Cust Count'!$A$1:$AP$61,0,MATCH($E57,'WP_Regreession_COM Cust Count'!$A$1:$AP$1,0)),'WP_Regreession_COM Cust Count'!$B$1:$B$61,F$5)</f>
        <v>4072.9849205534401</v>
      </c>
      <c r="G57" s="43">
        <f>SUMIFS(INDEX('WP_Regreession_COM Cust Count'!$A$1:$AP$61,0,MATCH($E57,'WP_Regreession_COM Cust Count'!$A$1:$AP$1,0)),'WP_Regreession_COM Cust Count'!$B$1:$B$61,G$5)</f>
        <v>4159.0366431737166</v>
      </c>
      <c r="H57" s="475"/>
      <c r="K57" s="45" t="s">
        <v>635</v>
      </c>
      <c r="L57" s="45" t="s">
        <v>94</v>
      </c>
      <c r="M57" s="45" t="str">
        <f t="shared" si="3"/>
        <v>FTS3.1</v>
      </c>
      <c r="N57" s="45" t="s">
        <v>346</v>
      </c>
      <c r="O57" s="49" t="s">
        <v>416</v>
      </c>
      <c r="P57" s="43">
        <f>SUMIFS(INDEX('WP_Regression_COM UPC'!$A$1:$AP$61,0,MATCH($O57,'WP_Regression_COM UPC'!$A$1:$AP$1,0)),'WP_Regression_COM UPC'!$B$1:$B$61,F$5)</f>
        <v>8305.7999999999993</v>
      </c>
      <c r="Q57" s="43">
        <f>SUMIFS(INDEX('WP_Regression_COM UPC'!$A$1:$AP$61,0,MATCH($O57,'WP_Regression_COM UPC'!$A$1:$AP$1,0)),'WP_Regression_COM UPC'!$B$1:$B$61,G$5)</f>
        <v>8281.7999999999993</v>
      </c>
      <c r="R57" s="475"/>
      <c r="S57" s="473"/>
    </row>
    <row r="58" spans="1:19">
      <c r="A58" s="45" t="s">
        <v>635</v>
      </c>
      <c r="B58" s="45" t="s">
        <v>312</v>
      </c>
      <c r="C58" s="45" t="str">
        <f t="shared" si="2"/>
        <v>FTS4</v>
      </c>
      <c r="D58" s="45" t="s">
        <v>339</v>
      </c>
      <c r="E58" s="47" t="s">
        <v>417</v>
      </c>
      <c r="F58" s="43">
        <f>SUMIFS(INDEX('WP_Regreession_COM Cust Count'!$A$1:$AP$61,0,MATCH($E58,'WP_Regreession_COM Cust Count'!$A$1:$AP$1,0)),'WP_Regreession_COM Cust Count'!$B$1:$B$61,F$5)</f>
        <v>2454.4109020284836</v>
      </c>
      <c r="G58" s="43">
        <f>SUMIFS(INDEX('WP_Regreession_COM Cust Count'!$A$1:$AP$61,0,MATCH($E58,'WP_Regreession_COM Cust Count'!$A$1:$AP$1,0)),'WP_Regreession_COM Cust Count'!$B$1:$B$61,G$5)</f>
        <v>2515.855720118203</v>
      </c>
      <c r="H58" s="475"/>
      <c r="K58" s="45" t="s">
        <v>635</v>
      </c>
      <c r="L58" s="45" t="s">
        <v>94</v>
      </c>
      <c r="M58" s="45" t="str">
        <f t="shared" si="3"/>
        <v>FTS4</v>
      </c>
      <c r="N58" s="45" t="s">
        <v>339</v>
      </c>
      <c r="O58" s="47" t="s">
        <v>417</v>
      </c>
      <c r="P58" s="43">
        <f>SUMIFS(INDEX('WP_Regression_COM UPC'!$A$1:$AP$61,0,MATCH($O58,'WP_Regression_COM UPC'!$A$1:$AP$1,0)),'WP_Regression_COM UPC'!$B$1:$B$61,F$5)</f>
        <v>14794.699999999997</v>
      </c>
      <c r="Q58" s="43">
        <f>SUMIFS(INDEX('WP_Regression_COM UPC'!$A$1:$AP$61,0,MATCH($O58,'WP_Regression_COM UPC'!$A$1:$AP$1,0)),'WP_Regression_COM UPC'!$B$1:$B$61,G$5)</f>
        <v>14879.499999999998</v>
      </c>
      <c r="R58" s="475"/>
      <c r="S58" s="473"/>
    </row>
    <row r="59" spans="1:19">
      <c r="A59" s="45" t="s">
        <v>635</v>
      </c>
      <c r="B59" s="45" t="s">
        <v>312</v>
      </c>
      <c r="C59" s="45" t="str">
        <f t="shared" si="2"/>
        <v>FTS4</v>
      </c>
      <c r="D59" s="45" t="s">
        <v>340</v>
      </c>
      <c r="E59" s="48" t="s">
        <v>418</v>
      </c>
      <c r="F59" s="43">
        <f>SUMIFS(INDEX('WP_Regreession_COM Cust Count'!$A$1:$AP$61,0,MATCH($E59,'WP_Regreession_COM Cust Count'!$A$1:$AP$1,0)),'WP_Regreession_COM Cust Count'!$B$1:$B$61,F$5)</f>
        <v>2368.8188335164109</v>
      </c>
      <c r="G59" s="43">
        <f>SUMIFS(INDEX('WP_Regreession_COM Cust Count'!$A$1:$AP$61,0,MATCH($E59,'WP_Regreession_COM Cust Count'!$A$1:$AP$1,0)),'WP_Regreession_COM Cust Count'!$B$1:$B$61,G$5)</f>
        <v>2398.8918750300741</v>
      </c>
      <c r="H59" s="475"/>
      <c r="K59" s="45" t="s">
        <v>635</v>
      </c>
      <c r="L59" s="45" t="s">
        <v>94</v>
      </c>
      <c r="M59" s="45" t="str">
        <f t="shared" si="3"/>
        <v>FTS4</v>
      </c>
      <c r="N59" s="45" t="s">
        <v>340</v>
      </c>
      <c r="O59" s="48" t="s">
        <v>418</v>
      </c>
      <c r="P59" s="43">
        <f>SUMIFS(INDEX('WP_Regression_COM UPC'!$A$1:$AP$61,0,MATCH($O59,'WP_Regression_COM UPC'!$A$1:$AP$1,0)),'WP_Regression_COM UPC'!$B$1:$B$61,F$5)</f>
        <v>11390.499999999998</v>
      </c>
      <c r="Q59" s="43">
        <f>SUMIFS(INDEX('WP_Regression_COM UPC'!$A$1:$AP$61,0,MATCH($O59,'WP_Regression_COM UPC'!$A$1:$AP$1,0)),'WP_Regression_COM UPC'!$B$1:$B$61,G$5)</f>
        <v>11305.199999999999</v>
      </c>
      <c r="R59" s="475"/>
      <c r="S59" s="473"/>
    </row>
    <row r="60" spans="1:19">
      <c r="A60" s="45" t="s">
        <v>635</v>
      </c>
      <c r="B60" s="45" t="s">
        <v>312</v>
      </c>
      <c r="C60" s="45" t="str">
        <f t="shared" si="2"/>
        <v>FTS4</v>
      </c>
      <c r="D60" s="45" t="s">
        <v>346</v>
      </c>
      <c r="E60" s="49" t="s">
        <v>419</v>
      </c>
      <c r="F60" s="43">
        <f>SUMIFS(INDEX('WP_Regreession_COM Cust Count'!$A$1:$AP$61,0,MATCH($E60,'WP_Regreession_COM Cust Count'!$A$1:$AP$1,0)),'WP_Regreession_COM Cust Count'!$B$1:$B$61,F$5)</f>
        <v>2540.0029705405582</v>
      </c>
      <c r="G60" s="43">
        <f>SUMIFS(INDEX('WP_Regreession_COM Cust Count'!$A$1:$AP$61,0,MATCH($E60,'WP_Regreession_COM Cust Count'!$A$1:$AP$1,0)),'WP_Regreession_COM Cust Count'!$B$1:$B$61,G$5)</f>
        <v>2632.8195652063341</v>
      </c>
      <c r="H60" s="475"/>
      <c r="K60" s="45" t="s">
        <v>635</v>
      </c>
      <c r="L60" s="45" t="s">
        <v>94</v>
      </c>
      <c r="M60" s="45" t="str">
        <f t="shared" si="3"/>
        <v>FTS4</v>
      </c>
      <c r="N60" s="45" t="s">
        <v>346</v>
      </c>
      <c r="O60" s="49" t="s">
        <v>419</v>
      </c>
      <c r="P60" s="43">
        <f>SUMIFS(INDEX('WP_Regression_COM UPC'!$A$1:$AP$61,0,MATCH($O60,'WP_Regression_COM UPC'!$A$1:$AP$1,0)),'WP_Regression_COM UPC'!$B$1:$B$61,F$5)</f>
        <v>17505.3</v>
      </c>
      <c r="Q60" s="43">
        <f>SUMIFS(INDEX('WP_Regression_COM UPC'!$A$1:$AP$61,0,MATCH($O60,'WP_Regression_COM UPC'!$A$1:$AP$1,0)),'WP_Regression_COM UPC'!$B$1:$B$61,G$5)</f>
        <v>17702.3</v>
      </c>
      <c r="R60" s="475"/>
      <c r="S60" s="473"/>
    </row>
    <row r="61" spans="1:19">
      <c r="A61" s="45" t="s">
        <v>635</v>
      </c>
      <c r="B61" s="45" t="s">
        <v>312</v>
      </c>
      <c r="C61" s="45" t="str">
        <f t="shared" si="2"/>
        <v>CSGS</v>
      </c>
      <c r="D61" s="45" t="s">
        <v>339</v>
      </c>
      <c r="E61" s="47" t="s">
        <v>420</v>
      </c>
      <c r="F61" s="43">
        <f>SUMIFS(INDEX('WP_Regreession_COM Cust Count'!$A$1:$AP$61,0,MATCH($E61,'WP_Regreession_COM Cust Count'!$A$1:$AP$1,0)),'WP_Regreession_COM Cust Count'!$B$1:$B$61,F$5)</f>
        <v>3636.2590892834869</v>
      </c>
      <c r="G61" s="43">
        <f>SUMIFS(INDEX('WP_Regreession_COM Cust Count'!$A$1:$AP$61,0,MATCH($E61,'WP_Regreession_COM Cust Count'!$A$1:$AP$1,0)),'WP_Regreession_COM Cust Count'!$B$1:$B$61,G$5)</f>
        <v>3885.1423913124108</v>
      </c>
      <c r="H61" s="475"/>
      <c r="K61" s="45" t="s">
        <v>635</v>
      </c>
      <c r="L61" s="45" t="s">
        <v>94</v>
      </c>
      <c r="M61" s="45" t="str">
        <f t="shared" si="3"/>
        <v>CSGS</v>
      </c>
      <c r="N61" s="45" t="s">
        <v>339</v>
      </c>
      <c r="O61" s="47" t="s">
        <v>420</v>
      </c>
      <c r="P61" s="43">
        <f>SUMIFS(INDEX('WP_Regression_COM UPC'!$A$1:$AP$61,0,MATCH($O61,'WP_Regression_COM UPC'!$A$1:$AP$1,0)),'WP_Regression_COM UPC'!$B$1:$B$61,F$5)</f>
        <v>146.84340636218781</v>
      </c>
      <c r="Q61" s="43">
        <f>SUMIFS(INDEX('WP_Regression_COM UPC'!$A$1:$AP$61,0,MATCH($O61,'WP_Regression_COM UPC'!$A$1:$AP$1,0)),'WP_Regression_COM UPC'!$B$1:$B$61,G$5)</f>
        <v>144.7879104434009</v>
      </c>
      <c r="R61" s="475"/>
      <c r="S61" s="473"/>
    </row>
    <row r="62" spans="1:19">
      <c r="A62" s="45" t="s">
        <v>635</v>
      </c>
      <c r="B62" s="45" t="s">
        <v>312</v>
      </c>
      <c r="C62" s="45" t="str">
        <f t="shared" si="2"/>
        <v>CSGS</v>
      </c>
      <c r="D62" s="45" t="s">
        <v>340</v>
      </c>
      <c r="E62" s="48" t="s">
        <v>421</v>
      </c>
      <c r="F62" s="43">
        <f>SUMIFS(INDEX('WP_Regreession_COM Cust Count'!$A$1:$AP$61,0,MATCH($E62,'WP_Regreession_COM Cust Count'!$A$1:$AP$1,0)),'WP_Regreession_COM Cust Count'!$B$1:$B$61,F$5)</f>
        <v>3581.1818204024376</v>
      </c>
      <c r="G62" s="43">
        <f>SUMIFS(INDEX('WP_Regreession_COM Cust Count'!$A$1:$AP$61,0,MATCH($E62,'WP_Regreession_COM Cust Count'!$A$1:$AP$1,0)),'WP_Regreession_COM Cust Count'!$B$1:$B$61,G$5)</f>
        <v>3769.503393616586</v>
      </c>
      <c r="H62" s="475"/>
      <c r="K62" s="45" t="s">
        <v>635</v>
      </c>
      <c r="L62" s="45" t="s">
        <v>94</v>
      </c>
      <c r="M62" s="45" t="str">
        <f t="shared" si="3"/>
        <v>CSGS</v>
      </c>
      <c r="N62" s="45" t="s">
        <v>340</v>
      </c>
      <c r="O62" s="48" t="s">
        <v>421</v>
      </c>
      <c r="P62" s="43">
        <f>SUMIFS(INDEX('WP_Regression_COM UPC'!$A$1:$AP$61,0,MATCH($O62,'WP_Regression_COM UPC'!$A$1:$AP$1,0)),'WP_Regression_COM UPC'!$B$1:$B$61,F$5)</f>
        <v>87.315472952961741</v>
      </c>
      <c r="Q62" s="43">
        <f>SUMIFS(INDEX('WP_Regression_COM UPC'!$A$1:$AP$61,0,MATCH($O62,'WP_Regression_COM UPC'!$A$1:$AP$1,0)),'WP_Regression_COM UPC'!$B$1:$B$61,G$5)</f>
        <v>81.682565062384668</v>
      </c>
      <c r="R62" s="475"/>
      <c r="S62" s="473"/>
    </row>
    <row r="63" spans="1:19">
      <c r="A63" s="45" t="s">
        <v>635</v>
      </c>
      <c r="B63" s="45" t="s">
        <v>312</v>
      </c>
      <c r="C63" s="45" t="str">
        <f t="shared" si="2"/>
        <v>CSGS</v>
      </c>
      <c r="D63" s="45" t="s">
        <v>346</v>
      </c>
      <c r="E63" s="49" t="s">
        <v>422</v>
      </c>
      <c r="F63" s="43">
        <f>SUMIFS(INDEX('WP_Regreession_COM Cust Count'!$A$1:$AP$61,0,MATCH($E63,'WP_Regreession_COM Cust Count'!$A$1:$AP$1,0)),'WP_Regreession_COM Cust Count'!$B$1:$B$61,F$5)</f>
        <v>3691.3363581645385</v>
      </c>
      <c r="G63" s="43">
        <f>SUMIFS(INDEX('WP_Regreession_COM Cust Count'!$A$1:$AP$61,0,MATCH($E63,'WP_Regreession_COM Cust Count'!$A$1:$AP$1,0)),'WP_Regreession_COM Cust Count'!$B$1:$B$61,G$5)</f>
        <v>4000.7813890082384</v>
      </c>
      <c r="H63" s="475"/>
      <c r="K63" s="45" t="s">
        <v>635</v>
      </c>
      <c r="L63" s="45" t="s">
        <v>94</v>
      </c>
      <c r="M63" s="45" t="str">
        <f t="shared" si="3"/>
        <v>CSGS</v>
      </c>
      <c r="N63" s="45" t="s">
        <v>346</v>
      </c>
      <c r="O63" s="49" t="s">
        <v>422</v>
      </c>
      <c r="P63" s="43">
        <f>SUMIFS(INDEX('WP_Regression_COM UPC'!$A$1:$AP$61,0,MATCH($O63,'WP_Regression_COM UPC'!$A$1:$AP$1,0)),'WP_Regression_COM UPC'!$B$1:$B$61,F$5)</f>
        <v>409.34976570202849</v>
      </c>
      <c r="Q63" s="43">
        <f>SUMIFS(INDEX('WP_Regression_COM UPC'!$A$1:$AP$61,0,MATCH($O63,'WP_Regression_COM UPC'!$A$1:$AP$1,0)),'WP_Regression_COM UPC'!$B$1:$B$61,G$5)</f>
        <v>504.37346023248563</v>
      </c>
      <c r="R63" s="475"/>
      <c r="S63" s="473"/>
    </row>
    <row r="64" spans="1:19">
      <c r="A64" s="45" t="s">
        <v>635</v>
      </c>
      <c r="B64" s="45" t="s">
        <v>312</v>
      </c>
      <c r="C64" s="45" t="str">
        <f t="shared" si="2"/>
        <v>FTS_AB_C</v>
      </c>
      <c r="D64" s="45" t="s">
        <v>339</v>
      </c>
      <c r="E64" s="47" t="s">
        <v>665</v>
      </c>
      <c r="F64" s="43">
        <f>SUMIFS(INDEX('WP_Regreession_COM Cust Count'!$A$1:$AP$61,0,MATCH($E64,'WP_Regreession_COM Cust Count'!$A$1:$AP$1,0)),'WP_Regreession_COM Cust Count'!$B$1:$B$61,F$5)</f>
        <v>133.49305139693891</v>
      </c>
      <c r="G64" s="43">
        <f>SUMIFS(INDEX('WP_Regreession_COM Cust Count'!$A$1:$AP$61,0,MATCH($E64,'WP_Regreession_COM Cust Count'!$A$1:$AP$1,0)),'WP_Regreession_COM Cust Count'!$B$1:$B$61,G$5)</f>
        <v>130.29983102787841</v>
      </c>
      <c r="H64" s="475"/>
      <c r="K64" s="45" t="s">
        <v>635</v>
      </c>
      <c r="L64" s="45" t="s">
        <v>94</v>
      </c>
      <c r="M64" s="45" t="str">
        <f t="shared" si="3"/>
        <v>FTS_AB_C</v>
      </c>
      <c r="N64" s="45" t="s">
        <v>339</v>
      </c>
      <c r="O64" s="47" t="s">
        <v>665</v>
      </c>
      <c r="P64" s="43">
        <f>SUMIFS(INDEX('WP_Regression_COM UPC'!$A$1:$AP$61,0,MATCH($O64,'WP_Regression_COM UPC'!$A$1:$AP$1,0)),'WP_Regression_COM UPC'!$B$1:$B$61,F$5)</f>
        <v>87.000000000000014</v>
      </c>
      <c r="Q64" s="43">
        <f>SUMIFS(INDEX('WP_Regression_COM UPC'!$A$1:$AP$61,0,MATCH($O64,'WP_Regression_COM UPC'!$A$1:$AP$1,0)),'WP_Regression_COM UPC'!$B$1:$B$61,G$5)</f>
        <v>85.399999999999991</v>
      </c>
      <c r="R64" s="475"/>
      <c r="S64" s="473"/>
    </row>
    <row r="65" spans="1:19">
      <c r="A65" s="45" t="s">
        <v>635</v>
      </c>
      <c r="B65" s="45" t="s">
        <v>312</v>
      </c>
      <c r="C65" s="45" t="str">
        <f t="shared" si="2"/>
        <v>FTS_AB_C</v>
      </c>
      <c r="D65" s="45" t="s">
        <v>340</v>
      </c>
      <c r="E65" s="48" t="s">
        <v>666</v>
      </c>
      <c r="F65" s="43">
        <f>SUMIFS(INDEX('WP_Regreession_COM Cust Count'!$A$1:$AP$61,0,MATCH($E65,'WP_Regreession_COM Cust Count'!$A$1:$AP$1,0)),'WP_Regreession_COM Cust Count'!$B$1:$B$61,F$5)</f>
        <v>97.630791607890473</v>
      </c>
      <c r="G65" s="43">
        <f>SUMIFS(INDEX('WP_Regreession_COM Cust Count'!$A$1:$AP$61,0,MATCH($E65,'WP_Regreession_COM Cust Count'!$A$1:$AP$1,0)),'WP_Regreession_COM Cust Count'!$B$1:$B$61,G$5)</f>
        <v>80.166297280539666</v>
      </c>
      <c r="H65" s="475"/>
      <c r="K65" s="45" t="s">
        <v>635</v>
      </c>
      <c r="L65" s="45" t="s">
        <v>94</v>
      </c>
      <c r="M65" s="45" t="str">
        <f t="shared" si="3"/>
        <v>FTS_AB_C</v>
      </c>
      <c r="N65" s="45" t="s">
        <v>340</v>
      </c>
      <c r="O65" s="48" t="s">
        <v>666</v>
      </c>
      <c r="P65" s="43">
        <f>SUMIFS(INDEX('WP_Regression_COM UPC'!$A$1:$AP$61,0,MATCH($O65,'WP_Regression_COM UPC'!$A$1:$AP$1,0)),'WP_Regression_COM UPC'!$B$1:$B$61,F$5)</f>
        <v>59.300000000000004</v>
      </c>
      <c r="Q65" s="43">
        <f>SUMIFS(INDEX('WP_Regression_COM UPC'!$A$1:$AP$61,0,MATCH($O65,'WP_Regression_COM UPC'!$A$1:$AP$1,0)),'WP_Regression_COM UPC'!$B$1:$B$61,G$5)</f>
        <v>56.1</v>
      </c>
      <c r="R65" s="475"/>
      <c r="S65" s="473"/>
    </row>
    <row r="66" spans="1:19">
      <c r="A66" s="45" t="s">
        <v>635</v>
      </c>
      <c r="B66" s="45" t="s">
        <v>312</v>
      </c>
      <c r="C66" s="45" t="str">
        <f t="shared" si="2"/>
        <v>FTS_AB_C</v>
      </c>
      <c r="D66" s="45" t="s">
        <v>346</v>
      </c>
      <c r="E66" s="49" t="s">
        <v>667</v>
      </c>
      <c r="F66" s="43">
        <f>SUMIFS(INDEX('WP_Regreession_COM Cust Count'!$A$1:$AP$61,0,MATCH($E66,'WP_Regreession_COM Cust Count'!$A$1:$AP$1,0)),'WP_Regreession_COM Cust Count'!$B$1:$B$61,F$5)</f>
        <v>171.17739008806529</v>
      </c>
      <c r="G66" s="43">
        <f>SUMIFS(INDEX('WP_Regreession_COM Cust Count'!$A$1:$AP$61,0,MATCH($E66,'WP_Regreession_COM Cust Count'!$A$1:$AP$1,0)),'WP_Regreession_COM Cust Count'!$B$1:$B$61,G$5)</f>
        <v>184.1997376615866</v>
      </c>
      <c r="H66" s="475"/>
      <c r="K66" s="45" t="s">
        <v>635</v>
      </c>
      <c r="L66" s="45" t="s">
        <v>94</v>
      </c>
      <c r="M66" s="45" t="str">
        <f t="shared" si="3"/>
        <v>FTS_AB_C</v>
      </c>
      <c r="N66" s="45" t="s">
        <v>346</v>
      </c>
      <c r="O66" s="49" t="s">
        <v>667</v>
      </c>
      <c r="P66" s="43">
        <f>SUMIFS(INDEX('WP_Regression_COM UPC'!$A$1:$AP$61,0,MATCH($O66,'WP_Regression_COM UPC'!$A$1:$AP$1,0)),'WP_Regression_COM UPC'!$B$1:$B$61,F$5)</f>
        <v>157.19999999999999</v>
      </c>
      <c r="Q66" s="43">
        <f>SUMIFS(INDEX('WP_Regression_COM UPC'!$A$1:$AP$61,0,MATCH($O66,'WP_Regression_COM UPC'!$A$1:$AP$1,0)),'WP_Regression_COM UPC'!$B$1:$B$61,G$5)</f>
        <v>167.79999999999998</v>
      </c>
      <c r="R66" s="475"/>
      <c r="S66" s="473"/>
    </row>
    <row r="67" spans="1:19">
      <c r="H67" s="473"/>
      <c r="I67" s="44"/>
      <c r="R67" s="473"/>
      <c r="S67" s="473"/>
    </row>
    <row r="68" spans="1:19">
      <c r="R68" s="473"/>
      <c r="S68" s="4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FA764-66F5-4427-9726-B688DF2B25E5}">
  <sheetPr codeName="Sheet34">
    <tabColor theme="4" tint="0.39997558519241921"/>
  </sheetPr>
  <dimension ref="A1:AC61"/>
  <sheetViews>
    <sheetView topLeftCell="A31" workbookViewId="0"/>
  </sheetViews>
  <sheetFormatPr defaultColWidth="9.140625" defaultRowHeight="12.75"/>
  <cols>
    <col min="1" max="1" width="10.42578125" style="45" bestFit="1" customWidth="1"/>
    <col min="2" max="2" width="10.42578125" style="45" customWidth="1"/>
    <col min="3" max="3" width="22.7109375" style="45" bestFit="1" customWidth="1"/>
    <col min="4" max="4" width="21.42578125" style="45" bestFit="1" customWidth="1"/>
    <col min="5" max="5" width="21.7109375" style="45" bestFit="1" customWidth="1"/>
    <col min="6" max="6" width="23" style="45" bestFit="1" customWidth="1"/>
    <col min="7" max="7" width="21.5703125" style="45" bestFit="1" customWidth="1"/>
    <col min="8" max="8" width="22" style="45" bestFit="1" customWidth="1"/>
    <col min="9" max="9" width="21.5703125" style="45" bestFit="1" customWidth="1"/>
    <col min="10" max="10" width="20.140625" style="45" bestFit="1" customWidth="1"/>
    <col min="11" max="11" width="20.5703125" style="45" bestFit="1" customWidth="1"/>
    <col min="12" max="12" width="21.5703125" style="45" bestFit="1" customWidth="1"/>
    <col min="13" max="13" width="20.140625" style="45" bestFit="1" customWidth="1"/>
    <col min="14" max="14" width="20.5703125" style="45" bestFit="1" customWidth="1"/>
    <col min="15" max="15" width="29.140625" style="45" bestFit="1" customWidth="1"/>
    <col min="16" max="16" width="27.7109375" style="45" bestFit="1" customWidth="1"/>
    <col min="17" max="17" width="28.140625" style="45" bestFit="1" customWidth="1"/>
    <col min="18" max="18" width="20.5703125" style="45" bestFit="1" customWidth="1"/>
    <col min="19" max="19" width="19.28515625" style="45" bestFit="1" customWidth="1"/>
    <col min="20" max="20" width="19.5703125" style="45" bestFit="1" customWidth="1"/>
    <col min="21" max="21" width="23.140625" style="45" bestFit="1" customWidth="1"/>
    <col min="22" max="22" width="21.85546875" style="45" bestFit="1" customWidth="1"/>
    <col min="23" max="23" width="22.140625" style="45" bestFit="1" customWidth="1"/>
    <col min="24" max="24" width="22" style="45" bestFit="1" customWidth="1"/>
    <col min="25" max="25" width="20.5703125" style="45" bestFit="1" customWidth="1"/>
    <col min="26" max="26" width="20.85546875" style="45" bestFit="1" customWidth="1"/>
    <col min="27" max="27" width="22.85546875" style="45" bestFit="1" customWidth="1"/>
    <col min="28" max="28" width="21.5703125" style="45" bestFit="1" customWidth="1"/>
    <col min="29" max="29" width="21.85546875" style="45" bestFit="1" customWidth="1"/>
    <col min="30" max="16384" width="9.140625" style="45"/>
  </cols>
  <sheetData>
    <row r="1" spans="1:29">
      <c r="A1" s="154" t="s">
        <v>109</v>
      </c>
      <c r="B1" s="154" t="s">
        <v>110</v>
      </c>
      <c r="C1" s="47" t="s">
        <v>376</v>
      </c>
      <c r="D1" s="48" t="s">
        <v>377</v>
      </c>
      <c r="E1" s="49" t="s">
        <v>378</v>
      </c>
      <c r="F1" s="47" t="s">
        <v>341</v>
      </c>
      <c r="G1" s="48" t="s">
        <v>343</v>
      </c>
      <c r="H1" s="49" t="s">
        <v>345</v>
      </c>
      <c r="I1" s="47" t="s">
        <v>348</v>
      </c>
      <c r="J1" s="48" t="s">
        <v>350</v>
      </c>
      <c r="K1" s="49" t="s">
        <v>352</v>
      </c>
      <c r="L1" s="47" t="s">
        <v>354</v>
      </c>
      <c r="M1" s="48" t="s">
        <v>356</v>
      </c>
      <c r="N1" s="49" t="s">
        <v>358</v>
      </c>
      <c r="O1" s="47" t="s">
        <v>359</v>
      </c>
      <c r="P1" s="48" t="s">
        <v>360</v>
      </c>
      <c r="Q1" s="49" t="s">
        <v>361</v>
      </c>
      <c r="R1" s="47" t="s">
        <v>362</v>
      </c>
      <c r="S1" s="48" t="s">
        <v>364</v>
      </c>
      <c r="T1" s="49" t="s">
        <v>366</v>
      </c>
      <c r="U1" s="47" t="s">
        <v>367</v>
      </c>
      <c r="V1" s="48" t="s">
        <v>368</v>
      </c>
      <c r="W1" s="49" t="s">
        <v>369</v>
      </c>
      <c r="X1" s="47" t="s">
        <v>370</v>
      </c>
      <c r="Y1" s="48" t="s">
        <v>371</v>
      </c>
      <c r="Z1" s="49" t="s">
        <v>372</v>
      </c>
      <c r="AA1" s="47" t="s">
        <v>373</v>
      </c>
      <c r="AB1" s="48" t="s">
        <v>374</v>
      </c>
      <c r="AC1" s="49" t="s">
        <v>375</v>
      </c>
    </row>
    <row r="2" spans="1:29">
      <c r="A2" s="155">
        <v>44562</v>
      </c>
      <c r="B2" s="45">
        <f>YEAR(A2)</f>
        <v>2022</v>
      </c>
      <c r="C2" s="195">
        <v>78821.89</v>
      </c>
      <c r="D2" s="195">
        <v>78426.990000000005</v>
      </c>
      <c r="E2" s="195">
        <v>79216.22</v>
      </c>
      <c r="F2" s="195">
        <v>58994.13</v>
      </c>
      <c r="G2" s="195">
        <v>58694.68</v>
      </c>
      <c r="H2" s="195">
        <v>59293.58</v>
      </c>
      <c r="I2" s="195">
        <v>13630.96</v>
      </c>
      <c r="J2" s="195">
        <v>13522.07</v>
      </c>
      <c r="K2" s="195">
        <v>13739.86</v>
      </c>
      <c r="L2" s="195">
        <v>734.35730000000001</v>
      </c>
      <c r="M2" s="195">
        <v>719.98500000000001</v>
      </c>
      <c r="N2" s="195">
        <v>748.72950000000003</v>
      </c>
      <c r="O2" s="195">
        <v>515.37260000000003</v>
      </c>
      <c r="P2" s="195">
        <v>496.60559999999998</v>
      </c>
      <c r="Q2" s="195">
        <v>534.13959999999997</v>
      </c>
      <c r="R2" s="195">
        <v>649.82010000000002</v>
      </c>
      <c r="S2" s="195">
        <v>641.92160000000001</v>
      </c>
      <c r="T2" s="195">
        <v>657.90539999999999</v>
      </c>
      <c r="U2" s="195">
        <v>471.3954</v>
      </c>
      <c r="V2" s="195">
        <v>443.26420000000002</v>
      </c>
      <c r="W2" s="195">
        <v>503.12400000000002</v>
      </c>
      <c r="X2" s="195">
        <v>916</v>
      </c>
      <c r="Y2" s="195">
        <v>899.22630000000004</v>
      </c>
      <c r="Z2" s="195">
        <v>932.77369999999996</v>
      </c>
      <c r="AA2" s="195">
        <v>3325.4720000000002</v>
      </c>
      <c r="AB2" s="195">
        <v>3295.5529999999999</v>
      </c>
      <c r="AC2" s="195">
        <v>3355.39</v>
      </c>
    </row>
    <row r="3" spans="1:29">
      <c r="A3" s="155">
        <v>44593</v>
      </c>
      <c r="B3" s="45">
        <f t="shared" ref="B3:B61" si="0">YEAR(A3)</f>
        <v>2022</v>
      </c>
      <c r="C3" s="195">
        <v>78829.119999999995</v>
      </c>
      <c r="D3" s="195">
        <v>78270.759999999995</v>
      </c>
      <c r="E3" s="195">
        <v>79386.31</v>
      </c>
      <c r="F3" s="195">
        <v>58965.38</v>
      </c>
      <c r="G3" s="195">
        <v>58583.519999999997</v>
      </c>
      <c r="H3" s="195">
        <v>59347.24</v>
      </c>
      <c r="I3" s="195">
        <v>13650.23</v>
      </c>
      <c r="J3" s="195">
        <v>13508.12</v>
      </c>
      <c r="K3" s="195">
        <v>13792.35</v>
      </c>
      <c r="L3" s="195">
        <v>733.28840000000002</v>
      </c>
      <c r="M3" s="195">
        <v>713.97550000000001</v>
      </c>
      <c r="N3" s="195">
        <v>752.60130000000004</v>
      </c>
      <c r="O3" s="195">
        <v>510.00349999999997</v>
      </c>
      <c r="P3" s="195">
        <v>487.98</v>
      </c>
      <c r="Q3" s="195">
        <v>532.02700000000004</v>
      </c>
      <c r="R3" s="195">
        <v>652.3682</v>
      </c>
      <c r="S3" s="195">
        <v>642.85249999999996</v>
      </c>
      <c r="T3" s="195">
        <v>662.15530000000001</v>
      </c>
      <c r="U3" s="195">
        <v>473.48259999999999</v>
      </c>
      <c r="V3" s="195">
        <v>435.87569999999999</v>
      </c>
      <c r="W3" s="195">
        <v>517.77260000000001</v>
      </c>
      <c r="X3" s="195">
        <v>916</v>
      </c>
      <c r="Y3" s="195">
        <v>892.27840000000003</v>
      </c>
      <c r="Z3" s="195">
        <v>939.72159999999997</v>
      </c>
      <c r="AA3" s="195">
        <v>3333.864</v>
      </c>
      <c r="AB3" s="195">
        <v>3298.3229999999999</v>
      </c>
      <c r="AC3" s="195">
        <v>3369.4050000000002</v>
      </c>
    </row>
    <row r="4" spans="1:29">
      <c r="A4" s="155">
        <v>44621</v>
      </c>
      <c r="B4" s="45">
        <f t="shared" si="0"/>
        <v>2022</v>
      </c>
      <c r="C4" s="195">
        <v>79014.880000000005</v>
      </c>
      <c r="D4" s="195">
        <v>78331.47</v>
      </c>
      <c r="E4" s="195">
        <v>79696.56</v>
      </c>
      <c r="F4" s="195">
        <v>59108.4</v>
      </c>
      <c r="G4" s="195">
        <v>58658.99</v>
      </c>
      <c r="H4" s="195">
        <v>59557.8</v>
      </c>
      <c r="I4" s="195">
        <v>13707.3</v>
      </c>
      <c r="J4" s="195">
        <v>13536.84</v>
      </c>
      <c r="K4" s="195">
        <v>13877.77</v>
      </c>
      <c r="L4" s="195">
        <v>739.16150000000005</v>
      </c>
      <c r="M4" s="195">
        <v>718.77440000000001</v>
      </c>
      <c r="N4" s="195">
        <v>759.54849999999999</v>
      </c>
      <c r="O4" s="195">
        <v>503.72930000000002</v>
      </c>
      <c r="P4" s="195">
        <v>477.45979999999997</v>
      </c>
      <c r="Q4" s="195">
        <v>529.99890000000005</v>
      </c>
      <c r="R4" s="195">
        <v>654.06259999999997</v>
      </c>
      <c r="S4" s="195">
        <v>643.89430000000004</v>
      </c>
      <c r="T4" s="195">
        <v>664.5403</v>
      </c>
      <c r="U4" s="195">
        <v>472.178</v>
      </c>
      <c r="V4" s="195">
        <v>431.46100000000001</v>
      </c>
      <c r="W4" s="195">
        <v>520.87220000000002</v>
      </c>
      <c r="X4" s="195">
        <v>914</v>
      </c>
      <c r="Y4" s="195">
        <v>884.947</v>
      </c>
      <c r="Z4" s="195">
        <v>943.053</v>
      </c>
      <c r="AA4" s="195">
        <v>3326.7280000000001</v>
      </c>
      <c r="AB4" s="195">
        <v>3289.1179999999999</v>
      </c>
      <c r="AC4" s="195">
        <v>3364.3380000000002</v>
      </c>
    </row>
    <row r="5" spans="1:29">
      <c r="A5" s="155">
        <v>44652</v>
      </c>
      <c r="B5" s="45">
        <f t="shared" si="0"/>
        <v>2022</v>
      </c>
      <c r="C5" s="195">
        <v>79237.09</v>
      </c>
      <c r="D5" s="195">
        <v>78448.53</v>
      </c>
      <c r="E5" s="195">
        <v>80023.360000000001</v>
      </c>
      <c r="F5" s="195">
        <v>59378.720000000001</v>
      </c>
      <c r="G5" s="195">
        <v>58870.68</v>
      </c>
      <c r="H5" s="195">
        <v>59886.77</v>
      </c>
      <c r="I5" s="195">
        <v>13739.96</v>
      </c>
      <c r="J5" s="195">
        <v>13545.44</v>
      </c>
      <c r="K5" s="195">
        <v>13934.47</v>
      </c>
      <c r="L5" s="195">
        <v>735.72630000000004</v>
      </c>
      <c r="M5" s="195">
        <v>714.31889999999999</v>
      </c>
      <c r="N5" s="195">
        <v>757.13369999999998</v>
      </c>
      <c r="O5" s="195">
        <v>503.28579999999999</v>
      </c>
      <c r="P5" s="195">
        <v>473.86770000000001</v>
      </c>
      <c r="Q5" s="195">
        <v>532.70399999999995</v>
      </c>
      <c r="R5" s="195">
        <v>655.18679999999995</v>
      </c>
      <c r="S5" s="195">
        <v>644.73170000000005</v>
      </c>
      <c r="T5" s="195">
        <v>665.96889999999996</v>
      </c>
      <c r="U5" s="195">
        <v>459.2405</v>
      </c>
      <c r="V5" s="195">
        <v>417.17790000000002</v>
      </c>
      <c r="W5" s="195">
        <v>510.16410000000002</v>
      </c>
      <c r="X5" s="195">
        <v>914</v>
      </c>
      <c r="Y5" s="195">
        <v>880.45249999999999</v>
      </c>
      <c r="Z5" s="195">
        <v>947.54750000000001</v>
      </c>
      <c r="AA5" s="195">
        <v>3311.4250000000002</v>
      </c>
      <c r="AB5" s="195">
        <v>3272.9969999999998</v>
      </c>
      <c r="AC5" s="195">
        <v>3349.8530000000001</v>
      </c>
    </row>
    <row r="6" spans="1:29">
      <c r="A6" s="155">
        <v>44682</v>
      </c>
      <c r="B6" s="45">
        <f t="shared" si="0"/>
        <v>2022</v>
      </c>
      <c r="C6" s="195">
        <v>78596.009999999995</v>
      </c>
      <c r="D6" s="195">
        <v>77712.13</v>
      </c>
      <c r="E6" s="195">
        <v>79476.97</v>
      </c>
      <c r="F6" s="195">
        <v>59083.25</v>
      </c>
      <c r="G6" s="195">
        <v>58522.67</v>
      </c>
      <c r="H6" s="195">
        <v>59643.83</v>
      </c>
      <c r="I6" s="195">
        <v>13615.63</v>
      </c>
      <c r="J6" s="195">
        <v>13399.69</v>
      </c>
      <c r="K6" s="195">
        <v>13831.56</v>
      </c>
      <c r="L6" s="195">
        <v>724.28139999999996</v>
      </c>
      <c r="M6" s="195">
        <v>701.90020000000004</v>
      </c>
      <c r="N6" s="195">
        <v>746.6626</v>
      </c>
      <c r="O6" s="195">
        <v>482.24799999999999</v>
      </c>
      <c r="P6" s="195">
        <v>449.8141</v>
      </c>
      <c r="Q6" s="195">
        <v>514.68179999999995</v>
      </c>
      <c r="R6" s="195">
        <v>655.93179999999995</v>
      </c>
      <c r="S6" s="195">
        <v>645.3451</v>
      </c>
      <c r="T6" s="195">
        <v>666.85339999999997</v>
      </c>
      <c r="U6" s="195">
        <v>438.7577</v>
      </c>
      <c r="V6" s="195">
        <v>396.46730000000002</v>
      </c>
      <c r="W6" s="195">
        <v>490.52800000000002</v>
      </c>
      <c r="X6" s="195">
        <v>915</v>
      </c>
      <c r="Y6" s="195">
        <v>877.49279999999999</v>
      </c>
      <c r="Z6" s="195">
        <v>952.50720000000001</v>
      </c>
      <c r="AA6" s="195">
        <v>3265.5740000000001</v>
      </c>
      <c r="AB6" s="195">
        <v>3226.8139999999999</v>
      </c>
      <c r="AC6" s="195">
        <v>3304.3339999999998</v>
      </c>
    </row>
    <row r="7" spans="1:29">
      <c r="A7" s="155">
        <v>44713</v>
      </c>
      <c r="B7" s="45">
        <f t="shared" si="0"/>
        <v>2022</v>
      </c>
      <c r="C7" s="195">
        <v>78155.17</v>
      </c>
      <c r="D7" s="195">
        <v>77185.2</v>
      </c>
      <c r="E7" s="195">
        <v>79121.62</v>
      </c>
      <c r="F7" s="195">
        <v>58700.21</v>
      </c>
      <c r="G7" s="195">
        <v>58091.61</v>
      </c>
      <c r="H7" s="195">
        <v>59308.82</v>
      </c>
      <c r="I7" s="195">
        <v>13586.53</v>
      </c>
      <c r="J7" s="195">
        <v>13351.13</v>
      </c>
      <c r="K7" s="195">
        <v>13821.94</v>
      </c>
      <c r="L7" s="195">
        <v>724.51580000000001</v>
      </c>
      <c r="M7" s="195">
        <v>701.20140000000004</v>
      </c>
      <c r="N7" s="195">
        <v>747.83019999999999</v>
      </c>
      <c r="O7" s="195">
        <v>473.1669</v>
      </c>
      <c r="P7" s="195">
        <v>438.03680000000003</v>
      </c>
      <c r="Q7" s="195">
        <v>508.29700000000003</v>
      </c>
      <c r="R7" s="195">
        <v>656.42499999999995</v>
      </c>
      <c r="S7" s="195">
        <v>645.77589999999998</v>
      </c>
      <c r="T7" s="195">
        <v>667.41269999999997</v>
      </c>
      <c r="U7" s="195">
        <v>453.94</v>
      </c>
      <c r="V7" s="195">
        <v>405.7475</v>
      </c>
      <c r="W7" s="195">
        <v>514.30759999999998</v>
      </c>
      <c r="X7" s="195">
        <v>911</v>
      </c>
      <c r="Y7" s="195">
        <v>869.91290000000004</v>
      </c>
      <c r="Z7" s="195">
        <v>952.08709999999996</v>
      </c>
      <c r="AA7" s="195">
        <v>3242.9389999999999</v>
      </c>
      <c r="AB7" s="195">
        <v>3204.0439999999999</v>
      </c>
      <c r="AC7" s="195">
        <v>3281.8339999999998</v>
      </c>
    </row>
    <row r="8" spans="1:29">
      <c r="A8" s="155">
        <v>44743</v>
      </c>
      <c r="B8" s="45">
        <f t="shared" si="0"/>
        <v>2022</v>
      </c>
      <c r="C8" s="195">
        <v>77805.05</v>
      </c>
      <c r="D8" s="195">
        <v>76755.839999999997</v>
      </c>
      <c r="E8" s="195">
        <v>78850.12</v>
      </c>
      <c r="F8" s="195">
        <v>58462.33</v>
      </c>
      <c r="G8" s="195">
        <v>57809.23</v>
      </c>
      <c r="H8" s="195">
        <v>59115.43</v>
      </c>
      <c r="I8" s="195">
        <v>13546.88</v>
      </c>
      <c r="J8" s="195">
        <v>13293.49</v>
      </c>
      <c r="K8" s="195">
        <v>13800.27</v>
      </c>
      <c r="L8" s="195">
        <v>726.56110000000001</v>
      </c>
      <c r="M8" s="195">
        <v>702.34939999999995</v>
      </c>
      <c r="N8" s="195">
        <v>750.77279999999996</v>
      </c>
      <c r="O8" s="195">
        <v>470.45639999999997</v>
      </c>
      <c r="P8" s="195">
        <v>432.80040000000002</v>
      </c>
      <c r="Q8" s="195">
        <v>508.1123</v>
      </c>
      <c r="R8" s="195">
        <v>656.75130000000001</v>
      </c>
      <c r="S8" s="195">
        <v>646.07159999999999</v>
      </c>
      <c r="T8" s="195">
        <v>667.77139999999997</v>
      </c>
      <c r="U8" s="195">
        <v>463.29950000000002</v>
      </c>
      <c r="V8" s="195">
        <v>410.45139999999998</v>
      </c>
      <c r="W8" s="195">
        <v>530.76760000000002</v>
      </c>
      <c r="X8" s="195">
        <v>914</v>
      </c>
      <c r="Y8" s="195">
        <v>869.62090000000001</v>
      </c>
      <c r="Z8" s="195">
        <v>958.37909999999999</v>
      </c>
      <c r="AA8" s="195">
        <v>3224.1179999999999</v>
      </c>
      <c r="AB8" s="195">
        <v>3185.1669999999999</v>
      </c>
      <c r="AC8" s="195">
        <v>3263.069</v>
      </c>
    </row>
    <row r="9" spans="1:29">
      <c r="A9" s="155">
        <v>44774</v>
      </c>
      <c r="B9" s="45">
        <f t="shared" si="0"/>
        <v>2022</v>
      </c>
      <c r="C9" s="195">
        <v>77624.039999999994</v>
      </c>
      <c r="D9" s="195">
        <v>76501.48</v>
      </c>
      <c r="E9" s="195">
        <v>78741.86</v>
      </c>
      <c r="F9" s="195">
        <v>58236.06</v>
      </c>
      <c r="G9" s="195">
        <v>57541.3</v>
      </c>
      <c r="H9" s="195">
        <v>58930.81</v>
      </c>
      <c r="I9" s="195">
        <v>13555.98</v>
      </c>
      <c r="J9" s="195">
        <v>13285.81</v>
      </c>
      <c r="K9" s="195">
        <v>13826.16</v>
      </c>
      <c r="L9" s="195">
        <v>723.80960000000005</v>
      </c>
      <c r="M9" s="195">
        <v>698.7328</v>
      </c>
      <c r="N9" s="195">
        <v>748.88649999999996</v>
      </c>
      <c r="O9" s="195">
        <v>468.59840000000003</v>
      </c>
      <c r="P9" s="195">
        <v>428.58390000000003</v>
      </c>
      <c r="Q9" s="195">
        <v>508.613</v>
      </c>
      <c r="R9" s="195">
        <v>656.96709999999996</v>
      </c>
      <c r="S9" s="195">
        <v>646.27179999999998</v>
      </c>
      <c r="T9" s="195">
        <v>668.00369999999998</v>
      </c>
      <c r="U9" s="195">
        <v>454.95940000000002</v>
      </c>
      <c r="V9" s="195">
        <v>401.17329999999998</v>
      </c>
      <c r="W9" s="195">
        <v>524.32349999999997</v>
      </c>
      <c r="X9" s="195">
        <v>914</v>
      </c>
      <c r="Y9" s="195">
        <v>866.55669999999998</v>
      </c>
      <c r="Z9" s="195">
        <v>961.44330000000002</v>
      </c>
      <c r="AA9" s="195">
        <v>3216.1030000000001</v>
      </c>
      <c r="AB9" s="195">
        <v>3177.1289999999999</v>
      </c>
      <c r="AC9" s="195">
        <v>3255.0770000000002</v>
      </c>
    </row>
    <row r="10" spans="1:29">
      <c r="A10" s="155">
        <v>44805</v>
      </c>
      <c r="B10" s="45">
        <f t="shared" si="0"/>
        <v>2022</v>
      </c>
      <c r="C10" s="195">
        <v>77867.259999999995</v>
      </c>
      <c r="D10" s="195">
        <v>76677.570000000007</v>
      </c>
      <c r="E10" s="195">
        <v>79051.64</v>
      </c>
      <c r="F10" s="195">
        <v>58425.4</v>
      </c>
      <c r="G10" s="195">
        <v>57691.34</v>
      </c>
      <c r="H10" s="195">
        <v>59159.45</v>
      </c>
      <c r="I10" s="195">
        <v>13606.46</v>
      </c>
      <c r="J10" s="195">
        <v>13320.49</v>
      </c>
      <c r="K10" s="195">
        <v>13892.44</v>
      </c>
      <c r="L10" s="195">
        <v>718.85109999999997</v>
      </c>
      <c r="M10" s="195">
        <v>692.93790000000001</v>
      </c>
      <c r="N10" s="195">
        <v>744.76419999999996</v>
      </c>
      <c r="O10" s="195">
        <v>475.09789999999998</v>
      </c>
      <c r="P10" s="195">
        <v>432.85320000000002</v>
      </c>
      <c r="Q10" s="195">
        <v>517.34259999999995</v>
      </c>
      <c r="R10" s="195">
        <v>657.10969999999998</v>
      </c>
      <c r="S10" s="195">
        <v>646.40620000000001</v>
      </c>
      <c r="T10" s="195">
        <v>668.15509999999995</v>
      </c>
      <c r="U10" s="195">
        <v>455.38529999999997</v>
      </c>
      <c r="V10" s="195">
        <v>398.98360000000002</v>
      </c>
      <c r="W10" s="195">
        <v>529.14</v>
      </c>
      <c r="X10" s="195">
        <v>914</v>
      </c>
      <c r="Y10" s="195">
        <v>863.67880000000002</v>
      </c>
      <c r="Z10" s="195">
        <v>964.32119999999998</v>
      </c>
      <c r="AA10" s="195">
        <v>3223.299</v>
      </c>
      <c r="AB10" s="195">
        <v>3184.3159999999998</v>
      </c>
      <c r="AC10" s="195">
        <v>3262.2820000000002</v>
      </c>
    </row>
    <row r="11" spans="1:29">
      <c r="A11" s="155">
        <v>44835</v>
      </c>
      <c r="B11" s="45">
        <f t="shared" si="0"/>
        <v>2022</v>
      </c>
      <c r="C11" s="195">
        <v>78148.960000000006</v>
      </c>
      <c r="D11" s="195">
        <v>76896.11</v>
      </c>
      <c r="E11" s="195">
        <v>79395.929999999993</v>
      </c>
      <c r="F11" s="195">
        <v>58662.94</v>
      </c>
      <c r="G11" s="195">
        <v>57891.59</v>
      </c>
      <c r="H11" s="195">
        <v>59434.29</v>
      </c>
      <c r="I11" s="195">
        <v>13698.51</v>
      </c>
      <c r="J11" s="195">
        <v>13397.56</v>
      </c>
      <c r="K11" s="195">
        <v>13999.46</v>
      </c>
      <c r="L11" s="195">
        <v>720.75220000000002</v>
      </c>
      <c r="M11" s="195">
        <v>694.02890000000002</v>
      </c>
      <c r="N11" s="195">
        <v>747.47550000000001</v>
      </c>
      <c r="O11" s="195">
        <v>465.81150000000002</v>
      </c>
      <c r="P11" s="195">
        <v>421.44979999999998</v>
      </c>
      <c r="Q11" s="195">
        <v>510.17320000000001</v>
      </c>
      <c r="R11" s="195">
        <v>657.20410000000004</v>
      </c>
      <c r="S11" s="195">
        <v>646.49590000000001</v>
      </c>
      <c r="T11" s="195">
        <v>668.25429999999994</v>
      </c>
      <c r="U11" s="195">
        <v>453.50659999999999</v>
      </c>
      <c r="V11" s="195">
        <v>395.1866</v>
      </c>
      <c r="W11" s="195">
        <v>530.6789</v>
      </c>
      <c r="X11" s="195">
        <v>912</v>
      </c>
      <c r="Y11" s="195">
        <v>858.95680000000004</v>
      </c>
      <c r="Z11" s="195">
        <v>965.04319999999996</v>
      </c>
      <c r="AA11" s="195">
        <v>3210.0830000000001</v>
      </c>
      <c r="AB11" s="195">
        <v>3171.096</v>
      </c>
      <c r="AC11" s="195">
        <v>3249.069</v>
      </c>
    </row>
    <row r="12" spans="1:29">
      <c r="A12" s="155">
        <v>44866</v>
      </c>
      <c r="B12" s="45">
        <f t="shared" si="0"/>
        <v>2022</v>
      </c>
      <c r="C12" s="195">
        <v>79230.759999999995</v>
      </c>
      <c r="D12" s="195">
        <v>77921.98</v>
      </c>
      <c r="E12" s="195">
        <v>80533.23</v>
      </c>
      <c r="F12" s="195">
        <v>59518.46</v>
      </c>
      <c r="G12" s="195">
        <v>58711.53</v>
      </c>
      <c r="H12" s="195">
        <v>60325.38</v>
      </c>
      <c r="I12" s="195">
        <v>13896.49</v>
      </c>
      <c r="J12" s="195">
        <v>13581.27</v>
      </c>
      <c r="K12" s="195">
        <v>14211.7</v>
      </c>
      <c r="L12" s="195">
        <v>727.78470000000004</v>
      </c>
      <c r="M12" s="195">
        <v>700.27509999999995</v>
      </c>
      <c r="N12" s="195">
        <v>755.29430000000002</v>
      </c>
      <c r="O12" s="195">
        <v>480.74079999999998</v>
      </c>
      <c r="P12" s="195">
        <v>434.35809999999998</v>
      </c>
      <c r="Q12" s="195">
        <v>527.12350000000004</v>
      </c>
      <c r="R12" s="195">
        <v>657.26639999999998</v>
      </c>
      <c r="S12" s="195">
        <v>646.55550000000005</v>
      </c>
      <c r="T12" s="195">
        <v>668.31949999999995</v>
      </c>
      <c r="U12" s="195">
        <v>457.36669999999998</v>
      </c>
      <c r="V12" s="195">
        <v>395.92619999999999</v>
      </c>
      <c r="W12" s="195">
        <v>539.85739999999998</v>
      </c>
      <c r="X12" s="195">
        <v>914</v>
      </c>
      <c r="Y12" s="195">
        <v>858.36779999999999</v>
      </c>
      <c r="Z12" s="195">
        <v>969.63220000000001</v>
      </c>
      <c r="AA12" s="195">
        <v>3249.4780000000001</v>
      </c>
      <c r="AB12" s="195">
        <v>3210.49</v>
      </c>
      <c r="AC12" s="195">
        <v>3288.4670000000001</v>
      </c>
    </row>
    <row r="13" spans="1:29">
      <c r="A13" s="155">
        <v>44896</v>
      </c>
      <c r="B13" s="45">
        <f t="shared" si="0"/>
        <v>2022</v>
      </c>
      <c r="C13" s="195">
        <v>80229.86</v>
      </c>
      <c r="D13" s="195">
        <v>78867.820000000007</v>
      </c>
      <c r="E13" s="195">
        <v>81585.14</v>
      </c>
      <c r="F13" s="195">
        <v>60387.08</v>
      </c>
      <c r="G13" s="195">
        <v>59546.09</v>
      </c>
      <c r="H13" s="195">
        <v>61228.08</v>
      </c>
      <c r="I13" s="195">
        <v>14074.15</v>
      </c>
      <c r="J13" s="195">
        <v>13745.29</v>
      </c>
      <c r="K13" s="195">
        <v>14403.01</v>
      </c>
      <c r="L13" s="195">
        <v>738.48069999999996</v>
      </c>
      <c r="M13" s="195">
        <v>710.19809999999995</v>
      </c>
      <c r="N13" s="195">
        <v>766.76340000000005</v>
      </c>
      <c r="O13" s="195">
        <v>497.45159999999998</v>
      </c>
      <c r="P13" s="195">
        <v>449.13260000000002</v>
      </c>
      <c r="Q13" s="195">
        <v>545.77059999999994</v>
      </c>
      <c r="R13" s="195">
        <v>657.30759999999998</v>
      </c>
      <c r="S13" s="195">
        <v>646.59519999999998</v>
      </c>
      <c r="T13" s="195">
        <v>668.36239999999998</v>
      </c>
      <c r="U13" s="195">
        <v>469.33730000000003</v>
      </c>
      <c r="V13" s="195">
        <v>402.78</v>
      </c>
      <c r="W13" s="195">
        <v>560.43380000000002</v>
      </c>
      <c r="X13" s="195">
        <v>915</v>
      </c>
      <c r="Y13" s="195">
        <v>856.89409999999998</v>
      </c>
      <c r="Z13" s="195">
        <v>973.10590000000002</v>
      </c>
      <c r="AA13" s="195">
        <v>3296.4740000000002</v>
      </c>
      <c r="AB13" s="195">
        <v>3257.4850000000001</v>
      </c>
      <c r="AC13" s="195">
        <v>3335.4630000000002</v>
      </c>
    </row>
    <row r="14" spans="1:29">
      <c r="A14" s="155">
        <v>44927</v>
      </c>
      <c r="B14" s="45">
        <f t="shared" si="0"/>
        <v>2023</v>
      </c>
      <c r="C14" s="195">
        <v>80980.73</v>
      </c>
      <c r="D14" s="195">
        <v>79541.03</v>
      </c>
      <c r="E14" s="195">
        <v>82412.960000000006</v>
      </c>
      <c r="F14" s="195">
        <v>60984.78</v>
      </c>
      <c r="G14" s="195">
        <v>60066.29</v>
      </c>
      <c r="H14" s="195">
        <v>61903.27</v>
      </c>
      <c r="I14" s="195">
        <v>14199.62</v>
      </c>
      <c r="J14" s="195">
        <v>13846.9</v>
      </c>
      <c r="K14" s="195">
        <v>14552.35</v>
      </c>
      <c r="L14" s="195">
        <v>746.41089999999997</v>
      </c>
      <c r="M14" s="195">
        <v>716.86770000000001</v>
      </c>
      <c r="N14" s="195">
        <v>775.95420000000001</v>
      </c>
      <c r="O14" s="195">
        <v>509.42410000000001</v>
      </c>
      <c r="P14" s="195">
        <v>455.93830000000003</v>
      </c>
      <c r="Q14" s="195">
        <v>562.90989999999999</v>
      </c>
      <c r="R14" s="195">
        <v>657.33479999999997</v>
      </c>
      <c r="S14" s="195">
        <v>646.62139999999999</v>
      </c>
      <c r="T14" s="195">
        <v>668.39059999999995</v>
      </c>
      <c r="U14" s="195">
        <v>469.71230000000003</v>
      </c>
      <c r="V14" s="195">
        <v>400.41210000000001</v>
      </c>
      <c r="W14" s="195">
        <v>565.99570000000006</v>
      </c>
      <c r="X14" s="195">
        <v>1043</v>
      </c>
      <c r="Y14" s="195">
        <v>975.90509999999995</v>
      </c>
      <c r="Z14" s="195">
        <v>1110.095</v>
      </c>
      <c r="AA14" s="195">
        <v>3303.6579999999999</v>
      </c>
      <c r="AB14" s="195">
        <v>3262.8339999999998</v>
      </c>
      <c r="AC14" s="195">
        <v>3344.482</v>
      </c>
    </row>
    <row r="15" spans="1:29">
      <c r="A15" s="155">
        <v>44958</v>
      </c>
      <c r="B15" s="45">
        <f t="shared" si="0"/>
        <v>2023</v>
      </c>
      <c r="C15" s="195">
        <v>80987.899999999994</v>
      </c>
      <c r="D15" s="195">
        <v>79471.45</v>
      </c>
      <c r="E15" s="195">
        <v>82496.06</v>
      </c>
      <c r="F15" s="195">
        <v>60956.03</v>
      </c>
      <c r="G15" s="195">
        <v>59976.06</v>
      </c>
      <c r="H15" s="195">
        <v>61936</v>
      </c>
      <c r="I15" s="195">
        <v>14217.84</v>
      </c>
      <c r="J15" s="195">
        <v>13844.6</v>
      </c>
      <c r="K15" s="195">
        <v>14591.09</v>
      </c>
      <c r="L15" s="195">
        <v>743.029</v>
      </c>
      <c r="M15" s="195">
        <v>712.36019999999996</v>
      </c>
      <c r="N15" s="195">
        <v>773.69770000000005</v>
      </c>
      <c r="O15" s="195">
        <v>502.45600000000002</v>
      </c>
      <c r="P15" s="195">
        <v>445.59109999999998</v>
      </c>
      <c r="Q15" s="195">
        <v>559.32090000000005</v>
      </c>
      <c r="R15" s="195">
        <v>657.3528</v>
      </c>
      <c r="S15" s="195">
        <v>646.63879999999995</v>
      </c>
      <c r="T15" s="195">
        <v>668.40930000000003</v>
      </c>
      <c r="U15" s="195">
        <v>466.8843</v>
      </c>
      <c r="V15" s="195">
        <v>395.89069999999998</v>
      </c>
      <c r="W15" s="195">
        <v>566.71079999999995</v>
      </c>
      <c r="X15" s="195">
        <v>1043</v>
      </c>
      <c r="Y15" s="195">
        <v>967.98559999999998</v>
      </c>
      <c r="Z15" s="195">
        <v>1118.0139999999999</v>
      </c>
      <c r="AA15" s="195">
        <v>3304.61</v>
      </c>
      <c r="AB15" s="195">
        <v>3263.0549999999998</v>
      </c>
      <c r="AC15" s="195">
        <v>3346.165</v>
      </c>
    </row>
    <row r="16" spans="1:29">
      <c r="A16" s="155">
        <v>44986</v>
      </c>
      <c r="B16" s="45">
        <f t="shared" si="0"/>
        <v>2023</v>
      </c>
      <c r="C16" s="195">
        <v>81172.2</v>
      </c>
      <c r="D16" s="195">
        <v>79583.710000000006</v>
      </c>
      <c r="E16" s="195">
        <v>82751.61</v>
      </c>
      <c r="F16" s="195">
        <v>61099.05</v>
      </c>
      <c r="G16" s="195">
        <v>60061.23</v>
      </c>
      <c r="H16" s="195">
        <v>62136.86</v>
      </c>
      <c r="I16" s="195">
        <v>14275.08</v>
      </c>
      <c r="J16" s="195">
        <v>13882.11</v>
      </c>
      <c r="K16" s="195">
        <v>14668.05</v>
      </c>
      <c r="L16" s="195">
        <v>748.90210000000002</v>
      </c>
      <c r="M16" s="195">
        <v>717.3578</v>
      </c>
      <c r="N16" s="195">
        <v>780.44629999999995</v>
      </c>
      <c r="O16" s="195">
        <v>497.95949999999999</v>
      </c>
      <c r="P16" s="195">
        <v>437.44119999999998</v>
      </c>
      <c r="Q16" s="195">
        <v>558.47789999999998</v>
      </c>
      <c r="R16" s="195">
        <v>657.36469999999997</v>
      </c>
      <c r="S16" s="195">
        <v>646.65030000000002</v>
      </c>
      <c r="T16" s="195">
        <v>668.42160000000001</v>
      </c>
      <c r="U16" s="195">
        <v>470.20569999999998</v>
      </c>
      <c r="V16" s="195">
        <v>396.12650000000002</v>
      </c>
      <c r="W16" s="195">
        <v>575.91949999999997</v>
      </c>
      <c r="X16" s="195">
        <v>1041</v>
      </c>
      <c r="Y16" s="195">
        <v>958.82579999999996</v>
      </c>
      <c r="Z16" s="195">
        <v>1123.174</v>
      </c>
      <c r="AA16" s="195">
        <v>3295.7539999999999</v>
      </c>
      <c r="AB16" s="195">
        <v>3253.902</v>
      </c>
      <c r="AC16" s="195">
        <v>3337.6060000000002</v>
      </c>
    </row>
    <row r="17" spans="1:29">
      <c r="A17" s="155">
        <v>45017</v>
      </c>
      <c r="B17" s="45">
        <f t="shared" si="0"/>
        <v>2023</v>
      </c>
      <c r="C17" s="195">
        <v>81392.66</v>
      </c>
      <c r="D17" s="195">
        <v>79735.64</v>
      </c>
      <c r="E17" s="195">
        <v>83039.839999999997</v>
      </c>
      <c r="F17" s="195">
        <v>61369.38</v>
      </c>
      <c r="G17" s="195">
        <v>60276.78</v>
      </c>
      <c r="H17" s="195">
        <v>62461.98</v>
      </c>
      <c r="I17" s="195">
        <v>14307.71</v>
      </c>
      <c r="J17" s="195">
        <v>13896.01</v>
      </c>
      <c r="K17" s="195">
        <v>14719.41</v>
      </c>
      <c r="L17" s="195">
        <v>745.46690000000001</v>
      </c>
      <c r="M17" s="195">
        <v>713.07079999999996</v>
      </c>
      <c r="N17" s="195">
        <v>777.86310000000003</v>
      </c>
      <c r="O17" s="195">
        <v>496.09679999999997</v>
      </c>
      <c r="P17" s="195">
        <v>432.30599999999998</v>
      </c>
      <c r="Q17" s="195">
        <v>559.8877</v>
      </c>
      <c r="R17" s="195">
        <v>657.37260000000003</v>
      </c>
      <c r="S17" s="195">
        <v>646.65790000000004</v>
      </c>
      <c r="T17" s="195">
        <v>668.42970000000003</v>
      </c>
      <c r="U17" s="195">
        <v>472.0111</v>
      </c>
      <c r="V17" s="195">
        <v>395.29509999999999</v>
      </c>
      <c r="W17" s="195">
        <v>582.98599999999999</v>
      </c>
      <c r="X17" s="195">
        <v>1041</v>
      </c>
      <c r="Y17" s="195">
        <v>952.24180000000001</v>
      </c>
      <c r="Z17" s="195">
        <v>1129.758</v>
      </c>
      <c r="AA17" s="195">
        <v>3297.4409999999998</v>
      </c>
      <c r="AB17" s="195">
        <v>3255.4679999999998</v>
      </c>
      <c r="AC17" s="195">
        <v>3339.415</v>
      </c>
    </row>
    <row r="18" spans="1:29">
      <c r="A18" s="155">
        <v>45047</v>
      </c>
      <c r="B18" s="45">
        <f t="shared" si="0"/>
        <v>2023</v>
      </c>
      <c r="C18" s="195">
        <v>80756.639999999999</v>
      </c>
      <c r="D18" s="195">
        <v>79028.570000000007</v>
      </c>
      <c r="E18" s="195">
        <v>82473.91</v>
      </c>
      <c r="F18" s="195">
        <v>61073.9</v>
      </c>
      <c r="G18" s="195">
        <v>59929.13</v>
      </c>
      <c r="H18" s="195">
        <v>62218.67</v>
      </c>
      <c r="I18" s="195">
        <v>14183.38</v>
      </c>
      <c r="J18" s="195">
        <v>13753.75</v>
      </c>
      <c r="K18" s="195">
        <v>14613.01</v>
      </c>
      <c r="L18" s="195">
        <v>734.02200000000005</v>
      </c>
      <c r="M18" s="195">
        <v>700.79579999999999</v>
      </c>
      <c r="N18" s="195">
        <v>767.2482</v>
      </c>
      <c r="O18" s="195">
        <v>474.86380000000003</v>
      </c>
      <c r="P18" s="195">
        <v>407.89729999999997</v>
      </c>
      <c r="Q18" s="195">
        <v>541.83029999999997</v>
      </c>
      <c r="R18" s="195">
        <v>657.37779999999998</v>
      </c>
      <c r="S18" s="195">
        <v>646.66290000000004</v>
      </c>
      <c r="T18" s="195">
        <v>668.43510000000003</v>
      </c>
      <c r="U18" s="195">
        <v>465.47620000000001</v>
      </c>
      <c r="V18" s="195">
        <v>388.58080000000001</v>
      </c>
      <c r="W18" s="195">
        <v>577.53129999999999</v>
      </c>
      <c r="X18" s="195">
        <v>1042</v>
      </c>
      <c r="Y18" s="195">
        <v>947.11339999999996</v>
      </c>
      <c r="Z18" s="195">
        <v>1136.8869999999999</v>
      </c>
      <c r="AA18" s="195">
        <v>3245.4969999999998</v>
      </c>
      <c r="AB18" s="195">
        <v>3203.4740000000002</v>
      </c>
      <c r="AC18" s="195">
        <v>3287.5210000000002</v>
      </c>
    </row>
    <row r="19" spans="1:29">
      <c r="A19" s="155">
        <v>45078</v>
      </c>
      <c r="B19" s="45">
        <f t="shared" si="0"/>
        <v>2023</v>
      </c>
      <c r="C19" s="195">
        <v>80319.31</v>
      </c>
      <c r="D19" s="195">
        <v>78523.66</v>
      </c>
      <c r="E19" s="195">
        <v>82103.240000000005</v>
      </c>
      <c r="F19" s="195">
        <v>60690.87</v>
      </c>
      <c r="G19" s="195">
        <v>59496.21</v>
      </c>
      <c r="H19" s="195">
        <v>61885.53</v>
      </c>
      <c r="I19" s="195">
        <v>14154.29</v>
      </c>
      <c r="J19" s="195">
        <v>13707.45</v>
      </c>
      <c r="K19" s="195">
        <v>14601.12</v>
      </c>
      <c r="L19" s="195">
        <v>734.25639999999999</v>
      </c>
      <c r="M19" s="195">
        <v>700.22040000000004</v>
      </c>
      <c r="N19" s="195">
        <v>768.29240000000004</v>
      </c>
      <c r="O19" s="195">
        <v>466.46570000000003</v>
      </c>
      <c r="P19" s="195">
        <v>396.49079999999998</v>
      </c>
      <c r="Q19" s="195">
        <v>536.44060000000002</v>
      </c>
      <c r="R19" s="195">
        <v>657.38120000000004</v>
      </c>
      <c r="S19" s="195">
        <v>646.66629999999998</v>
      </c>
      <c r="T19" s="195">
        <v>668.43859999999995</v>
      </c>
      <c r="U19" s="195">
        <v>467.74689999999998</v>
      </c>
      <c r="V19" s="195">
        <v>388.22800000000001</v>
      </c>
      <c r="W19" s="195">
        <v>585.18650000000002</v>
      </c>
      <c r="X19" s="195">
        <v>1038</v>
      </c>
      <c r="Y19" s="195">
        <v>937.35760000000005</v>
      </c>
      <c r="Z19" s="195">
        <v>1138.6420000000001</v>
      </c>
      <c r="AA19" s="195">
        <v>3221.442</v>
      </c>
      <c r="AB19" s="195">
        <v>3179.3980000000001</v>
      </c>
      <c r="AC19" s="195">
        <v>3263.4859999999999</v>
      </c>
    </row>
    <row r="20" spans="1:29">
      <c r="A20" s="155">
        <v>45108</v>
      </c>
      <c r="B20" s="45">
        <f t="shared" si="0"/>
        <v>2023</v>
      </c>
      <c r="C20" s="195">
        <v>79971.990000000005</v>
      </c>
      <c r="D20" s="195">
        <v>78111.39</v>
      </c>
      <c r="E20" s="195">
        <v>81819.97</v>
      </c>
      <c r="F20" s="195">
        <v>60452.98</v>
      </c>
      <c r="G20" s="195">
        <v>59210.43</v>
      </c>
      <c r="H20" s="195">
        <v>61695.53</v>
      </c>
      <c r="I20" s="195">
        <v>14114.64</v>
      </c>
      <c r="J20" s="195">
        <v>13651.23</v>
      </c>
      <c r="K20" s="195">
        <v>14578.04</v>
      </c>
      <c r="L20" s="195">
        <v>736.30169999999998</v>
      </c>
      <c r="M20" s="195">
        <v>701.47469999999998</v>
      </c>
      <c r="N20" s="195">
        <v>771.12860000000001</v>
      </c>
      <c r="O20" s="195">
        <v>463.75310000000002</v>
      </c>
      <c r="P20" s="195">
        <v>390.88529999999997</v>
      </c>
      <c r="Q20" s="195">
        <v>536.62090000000001</v>
      </c>
      <c r="R20" s="195">
        <v>657.38350000000003</v>
      </c>
      <c r="S20" s="195">
        <v>646.66849999999999</v>
      </c>
      <c r="T20" s="195">
        <v>668.44090000000006</v>
      </c>
      <c r="U20" s="195">
        <v>467.7319</v>
      </c>
      <c r="V20" s="195">
        <v>386.33890000000002</v>
      </c>
      <c r="W20" s="195">
        <v>589.30629999999996</v>
      </c>
      <c r="X20" s="195">
        <v>1041</v>
      </c>
      <c r="Y20" s="195">
        <v>934.91359999999997</v>
      </c>
      <c r="Z20" s="195">
        <v>1147.086</v>
      </c>
      <c r="AA20" s="195">
        <v>3200.1129999999998</v>
      </c>
      <c r="AB20" s="195">
        <v>3158.06</v>
      </c>
      <c r="AC20" s="195">
        <v>3242.165</v>
      </c>
    </row>
    <row r="21" spans="1:29">
      <c r="A21" s="155">
        <v>45139</v>
      </c>
      <c r="B21" s="45">
        <f t="shared" si="0"/>
        <v>2023</v>
      </c>
      <c r="C21" s="195">
        <v>79792.44</v>
      </c>
      <c r="D21" s="195">
        <v>77869.94</v>
      </c>
      <c r="E21" s="195">
        <v>81701.429999999993</v>
      </c>
      <c r="F21" s="195">
        <v>60226.71</v>
      </c>
      <c r="G21" s="195">
        <v>58938.05</v>
      </c>
      <c r="H21" s="195">
        <v>61515.37</v>
      </c>
      <c r="I21" s="195">
        <v>14123.74</v>
      </c>
      <c r="J21" s="195">
        <v>13644.34</v>
      </c>
      <c r="K21" s="195">
        <v>14603.14</v>
      </c>
      <c r="L21" s="195">
        <v>733.55020000000002</v>
      </c>
      <c r="M21" s="195">
        <v>697.94979999999998</v>
      </c>
      <c r="N21" s="195">
        <v>769.15060000000005</v>
      </c>
      <c r="O21" s="195">
        <v>460.46899999999999</v>
      </c>
      <c r="P21" s="195">
        <v>384.822</v>
      </c>
      <c r="Q21" s="195">
        <v>536.11590000000001</v>
      </c>
      <c r="R21" s="195">
        <v>657.38499999999999</v>
      </c>
      <c r="S21" s="195">
        <v>646.66989999999998</v>
      </c>
      <c r="T21" s="195">
        <v>668.4425</v>
      </c>
      <c r="U21" s="195">
        <v>463.54730000000001</v>
      </c>
      <c r="V21" s="195">
        <v>381.63510000000002</v>
      </c>
      <c r="W21" s="195">
        <v>586.83759999999995</v>
      </c>
      <c r="X21" s="195">
        <v>1041</v>
      </c>
      <c r="Y21" s="195">
        <v>929.73569999999995</v>
      </c>
      <c r="Z21" s="195">
        <v>1152.2639999999999</v>
      </c>
      <c r="AA21" s="195">
        <v>3192.1060000000002</v>
      </c>
      <c r="AB21" s="195">
        <v>3150.0509999999999</v>
      </c>
      <c r="AC21" s="195">
        <v>3234.1619999999998</v>
      </c>
    </row>
    <row r="22" spans="1:29">
      <c r="A22" s="155">
        <v>45170</v>
      </c>
      <c r="B22" s="45">
        <f t="shared" si="0"/>
        <v>2023</v>
      </c>
      <c r="C22" s="195">
        <v>80033.7</v>
      </c>
      <c r="D22" s="195">
        <v>78054.17</v>
      </c>
      <c r="E22" s="195">
        <v>81998.960000000006</v>
      </c>
      <c r="F22" s="195">
        <v>60416.05</v>
      </c>
      <c r="G22" s="195">
        <v>59082.87</v>
      </c>
      <c r="H22" s="195">
        <v>61749.23</v>
      </c>
      <c r="I22" s="195">
        <v>14174.22</v>
      </c>
      <c r="J22" s="195">
        <v>13679.34</v>
      </c>
      <c r="K22" s="195">
        <v>14669.1</v>
      </c>
      <c r="L22" s="195">
        <v>728.59169999999995</v>
      </c>
      <c r="M22" s="195">
        <v>692.23429999999996</v>
      </c>
      <c r="N22" s="195">
        <v>764.94899999999996</v>
      </c>
      <c r="O22" s="195">
        <v>469.35829999999999</v>
      </c>
      <c r="P22" s="195">
        <v>391.02960000000002</v>
      </c>
      <c r="Q22" s="195">
        <v>547.68709999999999</v>
      </c>
      <c r="R22" s="195">
        <v>657.38599999999997</v>
      </c>
      <c r="S22" s="195">
        <v>646.67089999999996</v>
      </c>
      <c r="T22" s="195">
        <v>668.44349999999997</v>
      </c>
      <c r="U22" s="195">
        <v>458.74669999999998</v>
      </c>
      <c r="V22" s="195">
        <v>376.60890000000001</v>
      </c>
      <c r="W22" s="195">
        <v>583.20870000000002</v>
      </c>
      <c r="X22" s="195">
        <v>1041</v>
      </c>
      <c r="Y22" s="195">
        <v>924.78819999999996</v>
      </c>
      <c r="Z22" s="195">
        <v>1157.212</v>
      </c>
      <c r="AA22" s="195">
        <v>3193.1819999999998</v>
      </c>
      <c r="AB22" s="195">
        <v>3151.1239999999998</v>
      </c>
      <c r="AC22" s="195">
        <v>3235.239</v>
      </c>
    </row>
    <row r="23" spans="1:29">
      <c r="A23" s="155">
        <v>45200</v>
      </c>
      <c r="B23" s="45">
        <f t="shared" si="0"/>
        <v>2023</v>
      </c>
      <c r="C23" s="195">
        <v>80313.14</v>
      </c>
      <c r="D23" s="195">
        <v>78278.64</v>
      </c>
      <c r="E23" s="195">
        <v>82332.62</v>
      </c>
      <c r="F23" s="195">
        <v>60653.59</v>
      </c>
      <c r="G23" s="195">
        <v>59277.33</v>
      </c>
      <c r="H23" s="195">
        <v>62029.84</v>
      </c>
      <c r="I23" s="195">
        <v>14266.27</v>
      </c>
      <c r="J23" s="195">
        <v>13756.38</v>
      </c>
      <c r="K23" s="195">
        <v>14776.15</v>
      </c>
      <c r="L23" s="195">
        <v>730.49279999999999</v>
      </c>
      <c r="M23" s="195">
        <v>693.39390000000003</v>
      </c>
      <c r="N23" s="195">
        <v>767.59169999999995</v>
      </c>
      <c r="O23" s="195">
        <v>458.71679999999998</v>
      </c>
      <c r="P23" s="195">
        <v>377.79559999999998</v>
      </c>
      <c r="Q23" s="195">
        <v>539.63810000000001</v>
      </c>
      <c r="R23" s="195">
        <v>657.38660000000004</v>
      </c>
      <c r="S23" s="195">
        <v>646.67150000000004</v>
      </c>
      <c r="T23" s="195">
        <v>668.44420000000002</v>
      </c>
      <c r="U23" s="195">
        <v>462.9828</v>
      </c>
      <c r="V23" s="195">
        <v>377.84609999999998</v>
      </c>
      <c r="W23" s="195">
        <v>593.80939999999998</v>
      </c>
      <c r="X23" s="195">
        <v>1039</v>
      </c>
      <c r="Y23" s="195">
        <v>918.04290000000003</v>
      </c>
      <c r="Z23" s="195">
        <v>1159.9570000000001</v>
      </c>
      <c r="AA23" s="195">
        <v>3191.5010000000002</v>
      </c>
      <c r="AB23" s="195">
        <v>3149.4430000000002</v>
      </c>
      <c r="AC23" s="195">
        <v>3233.5590000000002</v>
      </c>
    </row>
    <row r="24" spans="1:29">
      <c r="A24" s="155">
        <v>45231</v>
      </c>
      <c r="B24" s="45">
        <f t="shared" si="0"/>
        <v>2023</v>
      </c>
      <c r="C24" s="195">
        <v>81386.39</v>
      </c>
      <c r="D24" s="195">
        <v>79304.66</v>
      </c>
      <c r="E24" s="195">
        <v>83452.59</v>
      </c>
      <c r="F24" s="195">
        <v>61509.11</v>
      </c>
      <c r="G24" s="195">
        <v>60091.08</v>
      </c>
      <c r="H24" s="195">
        <v>62927.13</v>
      </c>
      <c r="I24" s="195">
        <v>14464.24</v>
      </c>
      <c r="J24" s="195">
        <v>13939.77</v>
      </c>
      <c r="K24" s="195">
        <v>14988.71</v>
      </c>
      <c r="L24" s="195">
        <v>737.52530000000002</v>
      </c>
      <c r="M24" s="195">
        <v>699.69949999999994</v>
      </c>
      <c r="N24" s="195">
        <v>775.35109999999997</v>
      </c>
      <c r="O24" s="195">
        <v>474.7516</v>
      </c>
      <c r="P24" s="195">
        <v>391.31810000000002</v>
      </c>
      <c r="Q24" s="195">
        <v>558.18499999999995</v>
      </c>
      <c r="R24" s="195">
        <v>657.38710000000003</v>
      </c>
      <c r="S24" s="195">
        <v>646.67190000000005</v>
      </c>
      <c r="T24" s="195">
        <v>668.44460000000004</v>
      </c>
      <c r="U24" s="195">
        <v>466.77870000000001</v>
      </c>
      <c r="V24" s="195">
        <v>378.7842</v>
      </c>
      <c r="W24" s="195">
        <v>603.84590000000003</v>
      </c>
      <c r="X24" s="195">
        <v>1041</v>
      </c>
      <c r="Y24" s="195">
        <v>915.4769</v>
      </c>
      <c r="Z24" s="195">
        <v>1166.5229999999999</v>
      </c>
      <c r="AA24" s="195">
        <v>3231.26</v>
      </c>
      <c r="AB24" s="195">
        <v>3189.2020000000002</v>
      </c>
      <c r="AC24" s="195">
        <v>3273.3180000000002</v>
      </c>
    </row>
    <row r="25" spans="1:29">
      <c r="A25" s="155">
        <v>45261</v>
      </c>
      <c r="B25" s="45">
        <f t="shared" si="0"/>
        <v>2023</v>
      </c>
      <c r="C25" s="195">
        <v>82377.7</v>
      </c>
      <c r="D25" s="195">
        <v>80249.83</v>
      </c>
      <c r="E25" s="195">
        <v>84489.54</v>
      </c>
      <c r="F25" s="195">
        <v>62377.73</v>
      </c>
      <c r="G25" s="195">
        <v>60919.13</v>
      </c>
      <c r="H25" s="195">
        <v>63836.34</v>
      </c>
      <c r="I25" s="195">
        <v>14641.91</v>
      </c>
      <c r="J25" s="195">
        <v>14103.25</v>
      </c>
      <c r="K25" s="195">
        <v>15180.56</v>
      </c>
      <c r="L25" s="195">
        <v>748.22130000000004</v>
      </c>
      <c r="M25" s="195">
        <v>709.66970000000003</v>
      </c>
      <c r="N25" s="195">
        <v>786.77300000000002</v>
      </c>
      <c r="O25" s="195">
        <v>489.89429999999999</v>
      </c>
      <c r="P25" s="195">
        <v>404.0222</v>
      </c>
      <c r="Q25" s="195">
        <v>575.76639999999998</v>
      </c>
      <c r="R25" s="195">
        <v>657.38739999999996</v>
      </c>
      <c r="S25" s="195">
        <v>646.67219999999998</v>
      </c>
      <c r="T25" s="195">
        <v>668.44489999999996</v>
      </c>
      <c r="U25" s="195">
        <v>468.25540000000001</v>
      </c>
      <c r="V25" s="195">
        <v>378.17869999999999</v>
      </c>
      <c r="W25" s="195">
        <v>610.1816</v>
      </c>
      <c r="X25" s="195">
        <v>1042</v>
      </c>
      <c r="Y25" s="195">
        <v>912.07119999999998</v>
      </c>
      <c r="Z25" s="195">
        <v>1171.9290000000001</v>
      </c>
      <c r="AA25" s="195">
        <v>3280.0590000000002</v>
      </c>
      <c r="AB25" s="195">
        <v>3238.0010000000002</v>
      </c>
      <c r="AC25" s="195">
        <v>3322.1170000000002</v>
      </c>
    </row>
    <row r="26" spans="1:29">
      <c r="A26" s="155">
        <v>45292</v>
      </c>
      <c r="B26" s="45">
        <f t="shared" si="0"/>
        <v>2024</v>
      </c>
      <c r="C26" s="195">
        <v>83122.8</v>
      </c>
      <c r="D26" s="195">
        <v>80928.52</v>
      </c>
      <c r="E26" s="195">
        <v>85300.21</v>
      </c>
      <c r="F26" s="195">
        <v>62975.44</v>
      </c>
      <c r="G26" s="195">
        <v>61441.77</v>
      </c>
      <c r="H26" s="195">
        <v>64509.11</v>
      </c>
      <c r="I26" s="195">
        <v>14767.38</v>
      </c>
      <c r="J26" s="195">
        <v>14206.42</v>
      </c>
      <c r="K26" s="195">
        <v>15328.34</v>
      </c>
      <c r="L26" s="195">
        <v>756.15150000000006</v>
      </c>
      <c r="M26" s="195">
        <v>716.46270000000004</v>
      </c>
      <c r="N26" s="195">
        <v>795.84040000000005</v>
      </c>
      <c r="O26" s="195">
        <v>501.98689999999999</v>
      </c>
      <c r="P26" s="195">
        <v>410.8999</v>
      </c>
      <c r="Q26" s="195">
        <v>593.07399999999996</v>
      </c>
      <c r="R26" s="195">
        <v>657.38750000000005</v>
      </c>
      <c r="S26" s="195">
        <v>646.67240000000004</v>
      </c>
      <c r="T26" s="195">
        <v>668.44510000000002</v>
      </c>
      <c r="U26" s="195">
        <v>468.0283</v>
      </c>
      <c r="V26" s="195">
        <v>374.27940000000001</v>
      </c>
      <c r="W26" s="195">
        <v>619.33100000000002</v>
      </c>
      <c r="X26" s="195">
        <v>1170</v>
      </c>
      <c r="Y26" s="195">
        <v>1030.6669999999999</v>
      </c>
      <c r="Z26" s="195">
        <v>1309.3330000000001</v>
      </c>
      <c r="AA26" s="195">
        <v>3291.0169999999998</v>
      </c>
      <c r="AB26" s="195">
        <v>3243.1770000000001</v>
      </c>
      <c r="AC26" s="195">
        <v>3338.857</v>
      </c>
    </row>
    <row r="27" spans="1:29">
      <c r="A27" s="155">
        <v>45323</v>
      </c>
      <c r="B27" s="45">
        <f t="shared" si="0"/>
        <v>2024</v>
      </c>
      <c r="C27" s="195">
        <v>83129.919999999998</v>
      </c>
      <c r="D27" s="195">
        <v>80866.17</v>
      </c>
      <c r="E27" s="195">
        <v>85375.7</v>
      </c>
      <c r="F27" s="195">
        <v>62946.68</v>
      </c>
      <c r="G27" s="195">
        <v>61349.39</v>
      </c>
      <c r="H27" s="195">
        <v>64543.98</v>
      </c>
      <c r="I27" s="195">
        <v>14785.6</v>
      </c>
      <c r="J27" s="195">
        <v>14204.65</v>
      </c>
      <c r="K27" s="195">
        <v>15366.55</v>
      </c>
      <c r="L27" s="195">
        <v>752.76959999999997</v>
      </c>
      <c r="M27" s="195">
        <v>712.05799999999999</v>
      </c>
      <c r="N27" s="195">
        <v>793.48119999999994</v>
      </c>
      <c r="O27" s="195">
        <v>496.32459999999998</v>
      </c>
      <c r="P27" s="195">
        <v>401.46179999999998</v>
      </c>
      <c r="Q27" s="195">
        <v>591.18730000000005</v>
      </c>
      <c r="R27" s="195">
        <v>657.3877</v>
      </c>
      <c r="S27" s="195">
        <v>646.67250000000001</v>
      </c>
      <c r="T27" s="195">
        <v>668.44529999999997</v>
      </c>
      <c r="U27" s="195">
        <v>468.67779999999999</v>
      </c>
      <c r="V27" s="195">
        <v>371.40660000000003</v>
      </c>
      <c r="W27" s="195">
        <v>629.22170000000006</v>
      </c>
      <c r="X27" s="195">
        <v>1170</v>
      </c>
      <c r="Y27" s="195">
        <v>1021.8579999999999</v>
      </c>
      <c r="Z27" s="195">
        <v>1318.1420000000001</v>
      </c>
      <c r="AA27" s="195">
        <v>3296.4360000000001</v>
      </c>
      <c r="AB27" s="195">
        <v>3246.4119999999998</v>
      </c>
      <c r="AC27" s="195">
        <v>3346.46</v>
      </c>
    </row>
    <row r="28" spans="1:29">
      <c r="A28" s="155">
        <v>45352</v>
      </c>
      <c r="B28" s="45">
        <f t="shared" si="0"/>
        <v>2024</v>
      </c>
      <c r="C28" s="195">
        <v>83312.81</v>
      </c>
      <c r="D28" s="195">
        <v>80983.13</v>
      </c>
      <c r="E28" s="195">
        <v>85623.52</v>
      </c>
      <c r="F28" s="195">
        <v>63089.7</v>
      </c>
      <c r="G28" s="195">
        <v>61431.22</v>
      </c>
      <c r="H28" s="195">
        <v>64748.18</v>
      </c>
      <c r="I28" s="195">
        <v>14842.84</v>
      </c>
      <c r="J28" s="195">
        <v>14242.34</v>
      </c>
      <c r="K28" s="195">
        <v>15443.34</v>
      </c>
      <c r="L28" s="195">
        <v>758.64269999999999</v>
      </c>
      <c r="M28" s="195">
        <v>717.11180000000002</v>
      </c>
      <c r="N28" s="195">
        <v>800.17359999999996</v>
      </c>
      <c r="O28" s="195">
        <v>490.78480000000002</v>
      </c>
      <c r="P28" s="195">
        <v>391.8777</v>
      </c>
      <c r="Q28" s="195">
        <v>589.69200000000001</v>
      </c>
      <c r="R28" s="195">
        <v>657.3877</v>
      </c>
      <c r="S28" s="195">
        <v>646.67259999999999</v>
      </c>
      <c r="T28" s="195">
        <v>668.44529999999997</v>
      </c>
      <c r="U28" s="195">
        <v>468.40600000000001</v>
      </c>
      <c r="V28" s="195">
        <v>368.7765</v>
      </c>
      <c r="W28" s="195">
        <v>635.53930000000003</v>
      </c>
      <c r="X28" s="195">
        <v>1168</v>
      </c>
      <c r="Y28" s="195">
        <v>1011.545</v>
      </c>
      <c r="Z28" s="195">
        <v>1324.4549999999999</v>
      </c>
      <c r="AA28" s="195">
        <v>3288.6129999999998</v>
      </c>
      <c r="AB28" s="195">
        <v>3237.7179999999998</v>
      </c>
      <c r="AC28" s="195">
        <v>3339.5070000000001</v>
      </c>
    </row>
    <row r="29" spans="1:29">
      <c r="A29" s="155">
        <v>45383</v>
      </c>
      <c r="B29" s="45">
        <f t="shared" si="0"/>
        <v>2024</v>
      </c>
      <c r="C29" s="195">
        <v>83531.600000000006</v>
      </c>
      <c r="D29" s="195">
        <v>81138.25</v>
      </c>
      <c r="E29" s="195">
        <v>85904.98</v>
      </c>
      <c r="F29" s="195">
        <v>63360.03</v>
      </c>
      <c r="G29" s="195">
        <v>61642.54</v>
      </c>
      <c r="H29" s="195">
        <v>65077.52</v>
      </c>
      <c r="I29" s="195">
        <v>14875.47</v>
      </c>
      <c r="J29" s="195">
        <v>14256.07</v>
      </c>
      <c r="K29" s="195">
        <v>15494.86</v>
      </c>
      <c r="L29" s="195">
        <v>755.20749999999998</v>
      </c>
      <c r="M29" s="195">
        <v>712.87310000000002</v>
      </c>
      <c r="N29" s="195">
        <v>797.54190000000006</v>
      </c>
      <c r="O29" s="195">
        <v>489.93990000000002</v>
      </c>
      <c r="P29" s="195">
        <v>387.3032</v>
      </c>
      <c r="Q29" s="195">
        <v>592.57659999999998</v>
      </c>
      <c r="R29" s="195">
        <v>657.38779999999997</v>
      </c>
      <c r="S29" s="195">
        <v>646.67259999999999</v>
      </c>
      <c r="T29" s="195">
        <v>668.44539999999995</v>
      </c>
      <c r="U29" s="195">
        <v>462.93029999999999</v>
      </c>
      <c r="V29" s="195">
        <v>362.87529999999998</v>
      </c>
      <c r="W29" s="195">
        <v>632.63170000000002</v>
      </c>
      <c r="X29" s="195">
        <v>1168</v>
      </c>
      <c r="Y29" s="195">
        <v>1003.652</v>
      </c>
      <c r="Z29" s="195">
        <v>1332.348</v>
      </c>
      <c r="AA29" s="195">
        <v>3280.1</v>
      </c>
      <c r="AB29" s="195">
        <v>3228.8519999999999</v>
      </c>
      <c r="AC29" s="195">
        <v>3331.348</v>
      </c>
    </row>
    <row r="30" spans="1:29">
      <c r="A30" s="155">
        <v>45413</v>
      </c>
      <c r="B30" s="45">
        <f t="shared" si="0"/>
        <v>2024</v>
      </c>
      <c r="C30" s="195">
        <v>82900.42</v>
      </c>
      <c r="D30" s="195">
        <v>80437.710000000006</v>
      </c>
      <c r="E30" s="195">
        <v>85341.83</v>
      </c>
      <c r="F30" s="195">
        <v>63064.55</v>
      </c>
      <c r="G30" s="195">
        <v>61290.01</v>
      </c>
      <c r="H30" s="195">
        <v>64839.09</v>
      </c>
      <c r="I30" s="195">
        <v>14751.14</v>
      </c>
      <c r="J30" s="195">
        <v>14113.4</v>
      </c>
      <c r="K30" s="195">
        <v>15388.88</v>
      </c>
      <c r="L30" s="195">
        <v>743.76260000000002</v>
      </c>
      <c r="M30" s="195">
        <v>700.63969999999995</v>
      </c>
      <c r="N30" s="195">
        <v>786.8854</v>
      </c>
      <c r="O30" s="195">
        <v>468.8125</v>
      </c>
      <c r="P30" s="195">
        <v>362.51929999999999</v>
      </c>
      <c r="Q30" s="195">
        <v>575.10569999999996</v>
      </c>
      <c r="R30" s="195">
        <v>657.38779999999997</v>
      </c>
      <c r="S30" s="195">
        <v>646.67269999999996</v>
      </c>
      <c r="T30" s="195">
        <v>668.44539999999995</v>
      </c>
      <c r="U30" s="195">
        <v>453.1345</v>
      </c>
      <c r="V30" s="195">
        <v>354.27379999999999</v>
      </c>
      <c r="W30" s="195">
        <v>621.91570000000002</v>
      </c>
      <c r="X30" s="195">
        <v>1169</v>
      </c>
      <c r="Y30" s="195">
        <v>997.12040000000002</v>
      </c>
      <c r="Z30" s="195">
        <v>1340.88</v>
      </c>
      <c r="AA30" s="195">
        <v>3231.8139999999999</v>
      </c>
      <c r="AB30" s="195">
        <v>3180.4209999999998</v>
      </c>
      <c r="AC30" s="195">
        <v>3283.2069999999999</v>
      </c>
    </row>
    <row r="31" spans="1:29">
      <c r="A31" s="155">
        <v>45444</v>
      </c>
      <c r="B31" s="45">
        <f t="shared" si="0"/>
        <v>2024</v>
      </c>
      <c r="C31" s="195">
        <v>82466.460000000006</v>
      </c>
      <c r="D31" s="195">
        <v>79937.45</v>
      </c>
      <c r="E31" s="195">
        <v>84972.89</v>
      </c>
      <c r="F31" s="195">
        <v>62681.52</v>
      </c>
      <c r="G31" s="195">
        <v>60851.71</v>
      </c>
      <c r="H31" s="195">
        <v>64511.32</v>
      </c>
      <c r="I31" s="195">
        <v>14722.05</v>
      </c>
      <c r="J31" s="195">
        <v>14066.48</v>
      </c>
      <c r="K31" s="195">
        <v>15377.61</v>
      </c>
      <c r="L31" s="195">
        <v>743.99699999999996</v>
      </c>
      <c r="M31" s="195">
        <v>700.09979999999996</v>
      </c>
      <c r="N31" s="195">
        <v>787.89419999999996</v>
      </c>
      <c r="O31" s="195">
        <v>460.73270000000002</v>
      </c>
      <c r="P31" s="195">
        <v>350.92630000000003</v>
      </c>
      <c r="Q31" s="195">
        <v>570.53899999999999</v>
      </c>
      <c r="R31" s="195">
        <v>657.38789999999995</v>
      </c>
      <c r="S31" s="195">
        <v>646.67269999999996</v>
      </c>
      <c r="T31" s="195">
        <v>668.44550000000004</v>
      </c>
      <c r="U31" s="195">
        <v>460.22149999999999</v>
      </c>
      <c r="V31" s="195">
        <v>356.38350000000003</v>
      </c>
      <c r="W31" s="195">
        <v>641.88340000000005</v>
      </c>
      <c r="X31" s="195">
        <v>1165</v>
      </c>
      <c r="Y31" s="195">
        <v>985.90560000000005</v>
      </c>
      <c r="Z31" s="195">
        <v>1344.0940000000001</v>
      </c>
      <c r="AA31" s="195">
        <v>3208.6109999999999</v>
      </c>
      <c r="AB31" s="195">
        <v>3157.1590000000001</v>
      </c>
      <c r="AC31" s="195">
        <v>3260.0639999999999</v>
      </c>
    </row>
    <row r="32" spans="1:29">
      <c r="A32" s="155">
        <v>45474</v>
      </c>
      <c r="B32" s="45">
        <f t="shared" si="0"/>
        <v>2024</v>
      </c>
      <c r="C32" s="195">
        <v>82121.83</v>
      </c>
      <c r="D32" s="195">
        <v>79528.63</v>
      </c>
      <c r="E32" s="195">
        <v>84691.199999999997</v>
      </c>
      <c r="F32" s="195">
        <v>62443.63</v>
      </c>
      <c r="G32" s="195">
        <v>60560.18</v>
      </c>
      <c r="H32" s="195">
        <v>64327.09</v>
      </c>
      <c r="I32" s="195">
        <v>14682.39</v>
      </c>
      <c r="J32" s="195">
        <v>14009.47</v>
      </c>
      <c r="K32" s="195">
        <v>15355.32</v>
      </c>
      <c r="L32" s="195">
        <v>746.04229999999995</v>
      </c>
      <c r="M32" s="195">
        <v>701.38419999999996</v>
      </c>
      <c r="N32" s="195">
        <v>790.70039999999995</v>
      </c>
      <c r="O32" s="195">
        <v>457.74509999999998</v>
      </c>
      <c r="P32" s="195">
        <v>344.52640000000002</v>
      </c>
      <c r="Q32" s="195">
        <v>570.96379999999999</v>
      </c>
      <c r="R32" s="195">
        <v>657.38789999999995</v>
      </c>
      <c r="S32" s="195">
        <v>646.67269999999996</v>
      </c>
      <c r="T32" s="195">
        <v>668.44550000000004</v>
      </c>
      <c r="U32" s="195">
        <v>464.35399999999998</v>
      </c>
      <c r="V32" s="195">
        <v>356.71069999999997</v>
      </c>
      <c r="W32" s="195">
        <v>656.61770000000001</v>
      </c>
      <c r="X32" s="195">
        <v>1168</v>
      </c>
      <c r="Y32" s="195">
        <v>981.97029999999995</v>
      </c>
      <c r="Z32" s="195">
        <v>1354.03</v>
      </c>
      <c r="AA32" s="195">
        <v>3188.788</v>
      </c>
      <c r="AB32" s="195">
        <v>3137.3110000000001</v>
      </c>
      <c r="AC32" s="195">
        <v>3240.2649999999999</v>
      </c>
    </row>
    <row r="33" spans="1:29">
      <c r="A33" s="155">
        <v>45505</v>
      </c>
      <c r="B33" s="45">
        <f t="shared" si="0"/>
        <v>2024</v>
      </c>
      <c r="C33" s="195">
        <v>81943.67</v>
      </c>
      <c r="D33" s="195">
        <v>79289.100000000006</v>
      </c>
      <c r="E33" s="195">
        <v>84573.22</v>
      </c>
      <c r="F33" s="195">
        <v>62217.36</v>
      </c>
      <c r="G33" s="195">
        <v>60281.74</v>
      </c>
      <c r="H33" s="195">
        <v>64152.98</v>
      </c>
      <c r="I33" s="195">
        <v>14691.49</v>
      </c>
      <c r="J33" s="195">
        <v>14001.65</v>
      </c>
      <c r="K33" s="195">
        <v>15381.34</v>
      </c>
      <c r="L33" s="195">
        <v>743.29079999999999</v>
      </c>
      <c r="M33" s="195">
        <v>697.8845</v>
      </c>
      <c r="N33" s="195">
        <v>788.69709999999998</v>
      </c>
      <c r="O33" s="195">
        <v>455.57100000000003</v>
      </c>
      <c r="P33" s="195">
        <v>339.04289999999997</v>
      </c>
      <c r="Q33" s="195">
        <v>572.09910000000002</v>
      </c>
      <c r="R33" s="195">
        <v>657.38789999999995</v>
      </c>
      <c r="S33" s="195">
        <v>646.67269999999996</v>
      </c>
      <c r="T33" s="195">
        <v>668.44550000000004</v>
      </c>
      <c r="U33" s="195">
        <v>460.322</v>
      </c>
      <c r="V33" s="195">
        <v>352.14460000000003</v>
      </c>
      <c r="W33" s="195">
        <v>655.64909999999998</v>
      </c>
      <c r="X33" s="195">
        <v>1168</v>
      </c>
      <c r="Y33" s="195">
        <v>975.28449999999998</v>
      </c>
      <c r="Z33" s="195">
        <v>1360.7149999999999</v>
      </c>
      <c r="AA33" s="195">
        <v>3180.7759999999998</v>
      </c>
      <c r="AB33" s="195">
        <v>3129.29</v>
      </c>
      <c r="AC33" s="195">
        <v>3232.2629999999999</v>
      </c>
    </row>
    <row r="34" spans="1:29">
      <c r="A34" s="155">
        <v>45536</v>
      </c>
      <c r="B34" s="45">
        <f t="shared" si="0"/>
        <v>2024</v>
      </c>
      <c r="C34" s="195">
        <v>82183.06</v>
      </c>
      <c r="D34" s="195">
        <v>79472.490000000005</v>
      </c>
      <c r="E34" s="195">
        <v>84867.63</v>
      </c>
      <c r="F34" s="195">
        <v>62406.7</v>
      </c>
      <c r="G34" s="195">
        <v>60420.29</v>
      </c>
      <c r="H34" s="195">
        <v>64393.11</v>
      </c>
      <c r="I34" s="195">
        <v>14741.98</v>
      </c>
      <c r="J34" s="195">
        <v>14035.61</v>
      </c>
      <c r="K34" s="195">
        <v>15448.34</v>
      </c>
      <c r="L34" s="195">
        <v>738.33230000000003</v>
      </c>
      <c r="M34" s="195">
        <v>692.18989999999997</v>
      </c>
      <c r="N34" s="195">
        <v>784.47460000000001</v>
      </c>
      <c r="O34" s="195">
        <v>462.73169999999999</v>
      </c>
      <c r="P34" s="195">
        <v>342.98450000000003</v>
      </c>
      <c r="Q34" s="195">
        <v>582.47889999999995</v>
      </c>
      <c r="R34" s="195">
        <v>657.38789999999995</v>
      </c>
      <c r="S34" s="195">
        <v>646.67269999999996</v>
      </c>
      <c r="T34" s="195">
        <v>668.44550000000004</v>
      </c>
      <c r="U34" s="195">
        <v>460.0994</v>
      </c>
      <c r="V34" s="195">
        <v>349.95679999999999</v>
      </c>
      <c r="W34" s="195">
        <v>662.00390000000004</v>
      </c>
      <c r="X34" s="195">
        <v>1168</v>
      </c>
      <c r="Y34" s="195">
        <v>968.82299999999998</v>
      </c>
      <c r="Z34" s="195">
        <v>1367.1769999999999</v>
      </c>
      <c r="AA34" s="195">
        <v>3185.5259999999998</v>
      </c>
      <c r="AB34" s="195">
        <v>3134.0349999999999</v>
      </c>
      <c r="AC34" s="195">
        <v>3237.0169999999998</v>
      </c>
    </row>
    <row r="35" spans="1:29">
      <c r="A35" s="155">
        <v>45566</v>
      </c>
      <c r="B35" s="45">
        <f t="shared" si="0"/>
        <v>2024</v>
      </c>
      <c r="C35" s="195">
        <v>82460.34</v>
      </c>
      <c r="D35" s="195">
        <v>79695.44</v>
      </c>
      <c r="E35" s="195">
        <v>85198.27</v>
      </c>
      <c r="F35" s="195">
        <v>62644.24</v>
      </c>
      <c r="G35" s="195">
        <v>60608.31</v>
      </c>
      <c r="H35" s="195">
        <v>64680.17</v>
      </c>
      <c r="I35" s="195">
        <v>14834.02</v>
      </c>
      <c r="J35" s="195">
        <v>14111.52</v>
      </c>
      <c r="K35" s="195">
        <v>15556.52</v>
      </c>
      <c r="L35" s="195">
        <v>740.23339999999996</v>
      </c>
      <c r="M35" s="195">
        <v>693.36659999999995</v>
      </c>
      <c r="N35" s="195">
        <v>787.10019999999997</v>
      </c>
      <c r="O35" s="195">
        <v>452.82830000000001</v>
      </c>
      <c r="P35" s="195">
        <v>329.9468</v>
      </c>
      <c r="Q35" s="195">
        <v>575.70989999999995</v>
      </c>
      <c r="R35" s="195">
        <v>657.38789999999995</v>
      </c>
      <c r="S35" s="195">
        <v>646.67269999999996</v>
      </c>
      <c r="T35" s="195">
        <v>668.44550000000004</v>
      </c>
      <c r="U35" s="195">
        <v>459.6268</v>
      </c>
      <c r="V35" s="195">
        <v>347.70100000000002</v>
      </c>
      <c r="W35" s="195">
        <v>667.78309999999999</v>
      </c>
      <c r="X35" s="195">
        <v>1166</v>
      </c>
      <c r="Y35" s="195">
        <v>960.56460000000004</v>
      </c>
      <c r="Z35" s="195">
        <v>1371.4349999999999</v>
      </c>
      <c r="AA35" s="195">
        <v>3176.92</v>
      </c>
      <c r="AB35" s="195">
        <v>3125.4270000000001</v>
      </c>
      <c r="AC35" s="195">
        <v>3228.413</v>
      </c>
    </row>
    <row r="36" spans="1:29">
      <c r="A36" s="155">
        <v>45597</v>
      </c>
      <c r="B36" s="45">
        <f t="shared" si="0"/>
        <v>2024</v>
      </c>
      <c r="C36" s="195">
        <v>83525.37</v>
      </c>
      <c r="D36" s="195">
        <v>80715.399999999994</v>
      </c>
      <c r="E36" s="195">
        <v>86307.85</v>
      </c>
      <c r="F36" s="195">
        <v>63499.76</v>
      </c>
      <c r="G36" s="195">
        <v>61415.47</v>
      </c>
      <c r="H36" s="195">
        <v>65584.039999999994</v>
      </c>
      <c r="I36" s="195">
        <v>15032</v>
      </c>
      <c r="J36" s="195">
        <v>14293.71</v>
      </c>
      <c r="K36" s="195">
        <v>15770.28</v>
      </c>
      <c r="L36" s="195">
        <v>747.26589999999999</v>
      </c>
      <c r="M36" s="195">
        <v>699.6857</v>
      </c>
      <c r="N36" s="195">
        <v>794.84609999999998</v>
      </c>
      <c r="O36" s="195">
        <v>468.3261</v>
      </c>
      <c r="P36" s="195">
        <v>342.3879</v>
      </c>
      <c r="Q36" s="195">
        <v>594.26419999999996</v>
      </c>
      <c r="R36" s="195">
        <v>657.38789999999995</v>
      </c>
      <c r="S36" s="195">
        <v>646.67269999999996</v>
      </c>
      <c r="T36" s="195">
        <v>668.44550000000004</v>
      </c>
      <c r="U36" s="195">
        <v>461.66390000000001</v>
      </c>
      <c r="V36" s="195">
        <v>346.97879999999998</v>
      </c>
      <c r="W36" s="195">
        <v>678.70010000000002</v>
      </c>
      <c r="X36" s="195">
        <v>1168</v>
      </c>
      <c r="Y36" s="195">
        <v>956.49130000000002</v>
      </c>
      <c r="Z36" s="195">
        <v>1379.509</v>
      </c>
      <c r="AA36" s="195">
        <v>3216.4609999999998</v>
      </c>
      <c r="AB36" s="195">
        <v>3164.9679999999998</v>
      </c>
      <c r="AC36" s="195">
        <v>3267.9540000000002</v>
      </c>
    </row>
    <row r="37" spans="1:29">
      <c r="A37" s="155">
        <v>45627</v>
      </c>
      <c r="B37" s="45">
        <f t="shared" si="0"/>
        <v>2024</v>
      </c>
      <c r="C37" s="195">
        <v>84509.22</v>
      </c>
      <c r="D37" s="195">
        <v>81654.66</v>
      </c>
      <c r="E37" s="195">
        <v>87335.73</v>
      </c>
      <c r="F37" s="195">
        <v>64368.39</v>
      </c>
      <c r="G37" s="195">
        <v>62236.85</v>
      </c>
      <c r="H37" s="195">
        <v>66499.92</v>
      </c>
      <c r="I37" s="195">
        <v>15209.66</v>
      </c>
      <c r="J37" s="195">
        <v>14455.92</v>
      </c>
      <c r="K37" s="195">
        <v>15963.4</v>
      </c>
      <c r="L37" s="195">
        <v>757.96190000000001</v>
      </c>
      <c r="M37" s="195">
        <v>709.66380000000004</v>
      </c>
      <c r="N37" s="195">
        <v>806.26009999999997</v>
      </c>
      <c r="O37" s="195">
        <v>483.67189999999999</v>
      </c>
      <c r="P37" s="195">
        <v>354.74970000000002</v>
      </c>
      <c r="Q37" s="195">
        <v>612.59400000000005</v>
      </c>
      <c r="R37" s="195">
        <v>657.38789999999995</v>
      </c>
      <c r="S37" s="195">
        <v>646.67269999999996</v>
      </c>
      <c r="T37" s="195">
        <v>668.44550000000004</v>
      </c>
      <c r="U37" s="195">
        <v>467.01850000000002</v>
      </c>
      <c r="V37" s="195">
        <v>348.19029999999998</v>
      </c>
      <c r="W37" s="195">
        <v>696.8569</v>
      </c>
      <c r="X37" s="195">
        <v>1169</v>
      </c>
      <c r="Y37" s="195">
        <v>951.58759999999995</v>
      </c>
      <c r="Z37" s="195">
        <v>1386.412</v>
      </c>
      <c r="AA37" s="195">
        <v>3264.1779999999999</v>
      </c>
      <c r="AB37" s="195">
        <v>3212.6840000000002</v>
      </c>
      <c r="AC37" s="195">
        <v>3315.6709999999998</v>
      </c>
    </row>
    <row r="38" spans="1:29">
      <c r="A38" s="155">
        <v>45658</v>
      </c>
      <c r="B38" s="45">
        <f t="shared" si="0"/>
        <v>2025</v>
      </c>
      <c r="C38" s="195">
        <v>85248.79</v>
      </c>
      <c r="D38" s="195">
        <v>82331.19</v>
      </c>
      <c r="E38" s="195">
        <v>88137.35</v>
      </c>
      <c r="F38" s="195">
        <v>64966.09</v>
      </c>
      <c r="G38" s="195">
        <v>62757.41</v>
      </c>
      <c r="H38" s="195">
        <v>67174.77</v>
      </c>
      <c r="I38" s="195">
        <v>15335.14</v>
      </c>
      <c r="J38" s="195">
        <v>14558.87</v>
      </c>
      <c r="K38" s="195">
        <v>16111.41</v>
      </c>
      <c r="L38" s="195">
        <v>765.89210000000003</v>
      </c>
      <c r="M38" s="195">
        <v>716.50750000000005</v>
      </c>
      <c r="N38" s="195">
        <v>815.27679999999998</v>
      </c>
      <c r="O38" s="195">
        <v>495.7901</v>
      </c>
      <c r="P38" s="195">
        <v>361.00810000000001</v>
      </c>
      <c r="Q38" s="195">
        <v>630.57209999999998</v>
      </c>
      <c r="R38" s="195">
        <v>657.38789999999995</v>
      </c>
      <c r="S38" s="195">
        <v>646.67269999999996</v>
      </c>
      <c r="T38" s="195">
        <v>668.44550000000004</v>
      </c>
      <c r="U38" s="195">
        <v>467.16050000000001</v>
      </c>
      <c r="V38" s="195">
        <v>346.17590000000001</v>
      </c>
      <c r="W38" s="195">
        <v>705.12540000000001</v>
      </c>
      <c r="X38" s="195">
        <v>1297</v>
      </c>
      <c r="Y38" s="195">
        <v>1069.47</v>
      </c>
      <c r="Z38" s="195">
        <v>1524.53</v>
      </c>
      <c r="AA38" s="195">
        <v>3272.87</v>
      </c>
      <c r="AB38" s="195">
        <v>3218.835</v>
      </c>
      <c r="AC38" s="195">
        <v>3326.9050000000002</v>
      </c>
    </row>
    <row r="39" spans="1:29">
      <c r="A39" s="155">
        <v>45689</v>
      </c>
      <c r="B39" s="45">
        <f t="shared" si="0"/>
        <v>2025</v>
      </c>
      <c r="C39" s="195">
        <v>85255.85</v>
      </c>
      <c r="D39" s="195">
        <v>82269.83</v>
      </c>
      <c r="E39" s="195">
        <v>88211.46</v>
      </c>
      <c r="F39" s="195">
        <v>64937.33</v>
      </c>
      <c r="G39" s="195">
        <v>62660.959999999999</v>
      </c>
      <c r="H39" s="195">
        <v>67213.710000000006</v>
      </c>
      <c r="I39" s="195">
        <v>15353.36</v>
      </c>
      <c r="J39" s="195">
        <v>14556.46</v>
      </c>
      <c r="K39" s="195">
        <v>16150.25</v>
      </c>
      <c r="L39" s="195">
        <v>762.51020000000005</v>
      </c>
      <c r="M39" s="195">
        <v>712.14520000000005</v>
      </c>
      <c r="N39" s="195">
        <v>812.87509999999997</v>
      </c>
      <c r="O39" s="195">
        <v>489.8177</v>
      </c>
      <c r="P39" s="195">
        <v>350.61989999999997</v>
      </c>
      <c r="Q39" s="195">
        <v>629.01559999999995</v>
      </c>
      <c r="R39" s="195">
        <v>657.38789999999995</v>
      </c>
      <c r="S39" s="195">
        <v>646.67269999999996</v>
      </c>
      <c r="T39" s="195">
        <v>668.44550000000004</v>
      </c>
      <c r="U39" s="195">
        <v>465.99439999999998</v>
      </c>
      <c r="V39" s="195">
        <v>343.52100000000002</v>
      </c>
      <c r="W39" s="195">
        <v>710.38509999999997</v>
      </c>
      <c r="X39" s="195">
        <v>1297</v>
      </c>
      <c r="Y39" s="195">
        <v>1059.7840000000001</v>
      </c>
      <c r="Z39" s="195">
        <v>1534.2159999999999</v>
      </c>
      <c r="AA39" s="195">
        <v>3275.607</v>
      </c>
      <c r="AB39" s="195">
        <v>3220.5610000000001</v>
      </c>
      <c r="AC39" s="195">
        <v>3330.6529999999998</v>
      </c>
    </row>
    <row r="40" spans="1:29">
      <c r="A40" s="155">
        <v>45717</v>
      </c>
      <c r="B40" s="45">
        <f t="shared" si="0"/>
        <v>2025</v>
      </c>
      <c r="C40" s="195">
        <v>85437.39</v>
      </c>
      <c r="D40" s="195">
        <v>82386.34</v>
      </c>
      <c r="E40" s="195">
        <v>88456.77</v>
      </c>
      <c r="F40" s="195">
        <v>65080.35</v>
      </c>
      <c r="G40" s="195">
        <v>62738.23</v>
      </c>
      <c r="H40" s="195">
        <v>67422.47</v>
      </c>
      <c r="I40" s="195">
        <v>15410.59</v>
      </c>
      <c r="J40" s="195">
        <v>14593.4</v>
      </c>
      <c r="K40" s="195">
        <v>16227.79</v>
      </c>
      <c r="L40" s="195">
        <v>768.38329999999996</v>
      </c>
      <c r="M40" s="195">
        <v>717.21669999999995</v>
      </c>
      <c r="N40" s="195">
        <v>819.5498</v>
      </c>
      <c r="O40" s="195">
        <v>484.4187</v>
      </c>
      <c r="P40" s="195">
        <v>340.50740000000002</v>
      </c>
      <c r="Q40" s="195">
        <v>628.32989999999995</v>
      </c>
      <c r="R40" s="195">
        <v>657.38789999999995</v>
      </c>
      <c r="S40" s="195">
        <v>646.67269999999996</v>
      </c>
      <c r="T40" s="195">
        <v>668.44550000000004</v>
      </c>
      <c r="U40" s="195">
        <v>467.40530000000001</v>
      </c>
      <c r="V40" s="195">
        <v>342.44600000000003</v>
      </c>
      <c r="W40" s="195">
        <v>721.09180000000003</v>
      </c>
      <c r="X40" s="195">
        <v>1295</v>
      </c>
      <c r="Y40" s="195">
        <v>1048.4780000000001</v>
      </c>
      <c r="Z40" s="195">
        <v>1541.5219999999999</v>
      </c>
      <c r="AA40" s="195">
        <v>3267.1640000000002</v>
      </c>
      <c r="AB40" s="195">
        <v>3211.7069999999999</v>
      </c>
      <c r="AC40" s="195">
        <v>3322.6210000000001</v>
      </c>
    </row>
    <row r="41" spans="1:29">
      <c r="A41" s="155">
        <v>45748</v>
      </c>
      <c r="B41" s="45">
        <f t="shared" si="0"/>
        <v>2025</v>
      </c>
      <c r="C41" s="195">
        <v>85654.57</v>
      </c>
      <c r="D41" s="195">
        <v>82540.38</v>
      </c>
      <c r="E41" s="195">
        <v>88735.86</v>
      </c>
      <c r="F41" s="195">
        <v>65350.68</v>
      </c>
      <c r="G41" s="195">
        <v>62944.62</v>
      </c>
      <c r="H41" s="195">
        <v>67756.740000000005</v>
      </c>
      <c r="I41" s="195">
        <v>15443.22</v>
      </c>
      <c r="J41" s="195">
        <v>14606.25</v>
      </c>
      <c r="K41" s="195">
        <v>16280.2</v>
      </c>
      <c r="L41" s="195">
        <v>764.94809999999995</v>
      </c>
      <c r="M41" s="195">
        <v>712.99239999999998</v>
      </c>
      <c r="N41" s="195">
        <v>816.90380000000005</v>
      </c>
      <c r="O41" s="195">
        <v>483.3691</v>
      </c>
      <c r="P41" s="195">
        <v>335.05840000000001</v>
      </c>
      <c r="Q41" s="195">
        <v>631.67989999999998</v>
      </c>
      <c r="R41" s="195">
        <v>657.38789999999995</v>
      </c>
      <c r="S41" s="195">
        <v>646.67269999999996</v>
      </c>
      <c r="T41" s="195">
        <v>668.44550000000004</v>
      </c>
      <c r="U41" s="195">
        <v>467.70429999999999</v>
      </c>
      <c r="V41" s="195">
        <v>340.7869</v>
      </c>
      <c r="W41" s="195">
        <v>729.40380000000005</v>
      </c>
      <c r="X41" s="195">
        <v>1295</v>
      </c>
      <c r="Y41" s="195">
        <v>1039.51</v>
      </c>
      <c r="Z41" s="195">
        <v>1550.49</v>
      </c>
      <c r="AA41" s="195">
        <v>3264.7750000000001</v>
      </c>
      <c r="AB41" s="195">
        <v>3209.15</v>
      </c>
      <c r="AC41" s="195">
        <v>3320.3989999999999</v>
      </c>
    </row>
    <row r="42" spans="1:29">
      <c r="A42" s="155">
        <v>45778</v>
      </c>
      <c r="B42" s="45">
        <f t="shared" si="0"/>
        <v>2025</v>
      </c>
      <c r="C42" s="195">
        <v>85028.05</v>
      </c>
      <c r="D42" s="195">
        <v>81842.679999999993</v>
      </c>
      <c r="E42" s="195">
        <v>88178.75</v>
      </c>
      <c r="F42" s="195">
        <v>65055.199999999997</v>
      </c>
      <c r="G42" s="195">
        <v>62586.85</v>
      </c>
      <c r="H42" s="195">
        <v>67523.55</v>
      </c>
      <c r="I42" s="195">
        <v>15318.9</v>
      </c>
      <c r="J42" s="195">
        <v>14462.6</v>
      </c>
      <c r="K42" s="195">
        <v>16175.2</v>
      </c>
      <c r="L42" s="195">
        <v>753.50319999999999</v>
      </c>
      <c r="M42" s="195">
        <v>700.77009999999996</v>
      </c>
      <c r="N42" s="195">
        <v>806.23630000000003</v>
      </c>
      <c r="O42" s="195">
        <v>462.23070000000001</v>
      </c>
      <c r="P42" s="195">
        <v>309.58600000000001</v>
      </c>
      <c r="Q42" s="195">
        <v>614.87549999999999</v>
      </c>
      <c r="R42" s="195">
        <v>657.38789999999995</v>
      </c>
      <c r="S42" s="195">
        <v>646.67269999999996</v>
      </c>
      <c r="T42" s="195">
        <v>668.44550000000004</v>
      </c>
      <c r="U42" s="195">
        <v>464.02330000000001</v>
      </c>
      <c r="V42" s="195">
        <v>336.99299999999999</v>
      </c>
      <c r="W42" s="195">
        <v>728.42750000000001</v>
      </c>
      <c r="X42" s="195">
        <v>1296</v>
      </c>
      <c r="Y42" s="195">
        <v>1031.847</v>
      </c>
      <c r="Z42" s="195">
        <v>1560.153</v>
      </c>
      <c r="AA42" s="195">
        <v>3214.2930000000001</v>
      </c>
      <c r="AB42" s="195">
        <v>3158.5990000000002</v>
      </c>
      <c r="AC42" s="195">
        <v>3269.9859999999999</v>
      </c>
    </row>
    <row r="43" spans="1:29">
      <c r="A43" s="155">
        <v>45809</v>
      </c>
      <c r="B43" s="45">
        <f t="shared" si="0"/>
        <v>2025</v>
      </c>
      <c r="C43" s="195">
        <v>84597.31</v>
      </c>
      <c r="D43" s="195">
        <v>81343.929999999993</v>
      </c>
      <c r="E43" s="195">
        <v>87814.36</v>
      </c>
      <c r="F43" s="195">
        <v>64672.17</v>
      </c>
      <c r="G43" s="195">
        <v>62143.06</v>
      </c>
      <c r="H43" s="195">
        <v>67201.279999999999</v>
      </c>
      <c r="I43" s="195">
        <v>15289.8</v>
      </c>
      <c r="J43" s="195">
        <v>14414.6</v>
      </c>
      <c r="K43" s="195">
        <v>16165</v>
      </c>
      <c r="L43" s="195">
        <v>753.73760000000004</v>
      </c>
      <c r="M43" s="195">
        <v>700.23839999999996</v>
      </c>
      <c r="N43" s="195">
        <v>807.23680000000002</v>
      </c>
      <c r="O43" s="195">
        <v>453.84570000000002</v>
      </c>
      <c r="P43" s="195">
        <v>297.00970000000001</v>
      </c>
      <c r="Q43" s="195">
        <v>610.68169999999998</v>
      </c>
      <c r="R43" s="195">
        <v>657.38789999999995</v>
      </c>
      <c r="S43" s="195">
        <v>646.67269999999996</v>
      </c>
      <c r="T43" s="195">
        <v>668.44550000000004</v>
      </c>
      <c r="U43" s="195">
        <v>465.63510000000002</v>
      </c>
      <c r="V43" s="195">
        <v>336.14409999999998</v>
      </c>
      <c r="W43" s="195">
        <v>739.84389999999996</v>
      </c>
      <c r="X43" s="195">
        <v>1292</v>
      </c>
      <c r="Y43" s="195">
        <v>1019.4589999999999</v>
      </c>
      <c r="Z43" s="195">
        <v>1564.5409999999999</v>
      </c>
      <c r="AA43" s="195">
        <v>3190.578</v>
      </c>
      <c r="AB43" s="195">
        <v>3134.857</v>
      </c>
      <c r="AC43" s="195">
        <v>3246.3</v>
      </c>
    </row>
    <row r="44" spans="1:29">
      <c r="A44" s="155">
        <v>45839</v>
      </c>
      <c r="B44" s="45">
        <f t="shared" si="0"/>
        <v>2025</v>
      </c>
      <c r="C44" s="195">
        <v>84255.26</v>
      </c>
      <c r="D44" s="195">
        <v>80935.87</v>
      </c>
      <c r="E44" s="195">
        <v>87536.68</v>
      </c>
      <c r="F44" s="195">
        <v>64434.29</v>
      </c>
      <c r="G44" s="195">
        <v>61845.85</v>
      </c>
      <c r="H44" s="195">
        <v>67022.720000000001</v>
      </c>
      <c r="I44" s="195">
        <v>15250.15</v>
      </c>
      <c r="J44" s="195">
        <v>14356.45</v>
      </c>
      <c r="K44" s="195">
        <v>16143.85</v>
      </c>
      <c r="L44" s="195">
        <v>755.78290000000004</v>
      </c>
      <c r="M44" s="195">
        <v>701.52840000000003</v>
      </c>
      <c r="N44" s="195">
        <v>810.03729999999996</v>
      </c>
      <c r="O44" s="195">
        <v>450.99599999999998</v>
      </c>
      <c r="P44" s="195">
        <v>290.06920000000002</v>
      </c>
      <c r="Q44" s="195">
        <v>611.92269999999996</v>
      </c>
      <c r="R44" s="195">
        <v>657.38789999999995</v>
      </c>
      <c r="S44" s="195">
        <v>646.67269999999996</v>
      </c>
      <c r="T44" s="195">
        <v>668.44550000000004</v>
      </c>
      <c r="U44" s="195">
        <v>465.98970000000003</v>
      </c>
      <c r="V44" s="195">
        <v>334.65980000000002</v>
      </c>
      <c r="W44" s="195">
        <v>748.31560000000002</v>
      </c>
      <c r="X44" s="195">
        <v>1295</v>
      </c>
      <c r="Y44" s="195">
        <v>1014.322</v>
      </c>
      <c r="Z44" s="195">
        <v>1575.6780000000001</v>
      </c>
      <c r="AA44" s="195">
        <v>3169.85</v>
      </c>
      <c r="AB44" s="195">
        <v>3114.1170000000002</v>
      </c>
      <c r="AC44" s="195">
        <v>3225.5839999999998</v>
      </c>
    </row>
    <row r="45" spans="1:29">
      <c r="A45" s="155">
        <v>45870</v>
      </c>
      <c r="B45" s="45">
        <f t="shared" si="0"/>
        <v>2025</v>
      </c>
      <c r="C45" s="195">
        <v>84078.44</v>
      </c>
      <c r="D45" s="195">
        <v>80695.990000000005</v>
      </c>
      <c r="E45" s="195">
        <v>87421.39</v>
      </c>
      <c r="F45" s="195">
        <v>64208.01</v>
      </c>
      <c r="G45" s="195">
        <v>61561.58</v>
      </c>
      <c r="H45" s="195">
        <v>66854.45</v>
      </c>
      <c r="I45" s="195">
        <v>15259.25</v>
      </c>
      <c r="J45" s="195">
        <v>14347.43</v>
      </c>
      <c r="K45" s="195">
        <v>16171.07</v>
      </c>
      <c r="L45" s="195">
        <v>753.03139999999996</v>
      </c>
      <c r="M45" s="195">
        <v>698.03200000000004</v>
      </c>
      <c r="N45" s="195">
        <v>808.0308</v>
      </c>
      <c r="O45" s="195">
        <v>448.57260000000002</v>
      </c>
      <c r="P45" s="195">
        <v>283.65980000000002</v>
      </c>
      <c r="Q45" s="195">
        <v>613.4855</v>
      </c>
      <c r="R45" s="195">
        <v>657.38789999999995</v>
      </c>
      <c r="S45" s="195">
        <v>646.67269999999996</v>
      </c>
      <c r="T45" s="195">
        <v>668.44550000000004</v>
      </c>
      <c r="U45" s="195">
        <v>463.82389999999998</v>
      </c>
      <c r="V45" s="195">
        <v>331.88119999999998</v>
      </c>
      <c r="W45" s="195">
        <v>750.54129999999998</v>
      </c>
      <c r="X45" s="195">
        <v>1295</v>
      </c>
      <c r="Y45" s="195">
        <v>1006.414</v>
      </c>
      <c r="Z45" s="195">
        <v>1583.586</v>
      </c>
      <c r="AA45" s="195">
        <v>3161.8420000000001</v>
      </c>
      <c r="AB45" s="195">
        <v>3106.1039999999998</v>
      </c>
      <c r="AC45" s="195">
        <v>3217.58</v>
      </c>
    </row>
    <row r="46" spans="1:29">
      <c r="A46" s="155">
        <v>45901</v>
      </c>
      <c r="B46" s="45">
        <f t="shared" si="0"/>
        <v>2025</v>
      </c>
      <c r="C46" s="195">
        <v>84316.03</v>
      </c>
      <c r="D46" s="195">
        <v>80876.61</v>
      </c>
      <c r="E46" s="195">
        <v>87714.73</v>
      </c>
      <c r="F46" s="195">
        <v>64397.35</v>
      </c>
      <c r="G46" s="195">
        <v>61694.16</v>
      </c>
      <c r="H46" s="195">
        <v>67100.539999999994</v>
      </c>
      <c r="I46" s="195">
        <v>15309.73</v>
      </c>
      <c r="J46" s="195">
        <v>14380.14</v>
      </c>
      <c r="K46" s="195">
        <v>16239.33</v>
      </c>
      <c r="L46" s="195">
        <v>748.07280000000003</v>
      </c>
      <c r="M46" s="195">
        <v>692.33849999999995</v>
      </c>
      <c r="N46" s="195">
        <v>803.80719999999997</v>
      </c>
      <c r="O46" s="195">
        <v>456.08530000000002</v>
      </c>
      <c r="P46" s="195">
        <v>287.27929999999998</v>
      </c>
      <c r="Q46" s="195">
        <v>624.8913</v>
      </c>
      <c r="R46" s="195">
        <v>657.38789999999995</v>
      </c>
      <c r="S46" s="195">
        <v>646.67269999999996</v>
      </c>
      <c r="T46" s="195">
        <v>668.44550000000004</v>
      </c>
      <c r="U46" s="195">
        <v>461.7022</v>
      </c>
      <c r="V46" s="195">
        <v>329.1841</v>
      </c>
      <c r="W46" s="195">
        <v>752.72349999999994</v>
      </c>
      <c r="X46" s="195">
        <v>1295</v>
      </c>
      <c r="Y46" s="195">
        <v>998.71680000000003</v>
      </c>
      <c r="Z46" s="195">
        <v>1591.2829999999999</v>
      </c>
      <c r="AA46" s="195">
        <v>3164.386</v>
      </c>
      <c r="AB46" s="195">
        <v>3108.6460000000002</v>
      </c>
      <c r="AC46" s="195">
        <v>3220.1260000000002</v>
      </c>
    </row>
    <row r="47" spans="1:29">
      <c r="A47" s="155">
        <v>45931</v>
      </c>
      <c r="B47" s="45">
        <f t="shared" si="0"/>
        <v>2025</v>
      </c>
      <c r="C47" s="195">
        <v>84591.24</v>
      </c>
      <c r="D47" s="195">
        <v>81096.42</v>
      </c>
      <c r="E47" s="195">
        <v>88044.160000000003</v>
      </c>
      <c r="F47" s="195">
        <v>64634.89</v>
      </c>
      <c r="G47" s="195">
        <v>61876.11</v>
      </c>
      <c r="H47" s="195">
        <v>67393.67</v>
      </c>
      <c r="I47" s="195">
        <v>15401.78</v>
      </c>
      <c r="J47" s="195">
        <v>14454.75</v>
      </c>
      <c r="K47" s="195">
        <v>16348.81</v>
      </c>
      <c r="L47" s="195">
        <v>749.97400000000005</v>
      </c>
      <c r="M47" s="195">
        <v>693.51430000000005</v>
      </c>
      <c r="N47" s="195">
        <v>806.43370000000004</v>
      </c>
      <c r="O47" s="195">
        <v>446.10329999999999</v>
      </c>
      <c r="P47" s="195">
        <v>273.4923</v>
      </c>
      <c r="Q47" s="195">
        <v>618.71429999999998</v>
      </c>
      <c r="R47" s="195">
        <v>657.38789999999995</v>
      </c>
      <c r="S47" s="195">
        <v>646.67269999999996</v>
      </c>
      <c r="T47" s="195">
        <v>668.44550000000004</v>
      </c>
      <c r="U47" s="195">
        <v>463.51710000000003</v>
      </c>
      <c r="V47" s="195">
        <v>328.59640000000002</v>
      </c>
      <c r="W47" s="195">
        <v>764.89449999999999</v>
      </c>
      <c r="X47" s="195">
        <v>1293</v>
      </c>
      <c r="Y47" s="195">
        <v>989.21479999999997</v>
      </c>
      <c r="Z47" s="195">
        <v>1596.7850000000001</v>
      </c>
      <c r="AA47" s="195">
        <v>3159.9380000000001</v>
      </c>
      <c r="AB47" s="195">
        <v>3104.1970000000001</v>
      </c>
      <c r="AC47" s="195">
        <v>3215.6790000000001</v>
      </c>
    </row>
    <row r="48" spans="1:29">
      <c r="A48" s="155">
        <v>45962</v>
      </c>
      <c r="B48" s="45">
        <f t="shared" si="0"/>
        <v>2025</v>
      </c>
      <c r="C48" s="195">
        <v>85648.39</v>
      </c>
      <c r="D48" s="195">
        <v>82109.03</v>
      </c>
      <c r="E48" s="195">
        <v>89145.3</v>
      </c>
      <c r="F48" s="195">
        <v>65490.41</v>
      </c>
      <c r="G48" s="195">
        <v>62677.14</v>
      </c>
      <c r="H48" s="195">
        <v>68303.679999999993</v>
      </c>
      <c r="I48" s="195">
        <v>15599.75</v>
      </c>
      <c r="J48" s="195">
        <v>14635.6</v>
      </c>
      <c r="K48" s="195">
        <v>16563.91</v>
      </c>
      <c r="L48" s="195">
        <v>757.00649999999996</v>
      </c>
      <c r="M48" s="195">
        <v>699.8306</v>
      </c>
      <c r="N48" s="195">
        <v>814.18240000000003</v>
      </c>
      <c r="O48" s="195">
        <v>461.63260000000002</v>
      </c>
      <c r="P48" s="195">
        <v>285.29860000000002</v>
      </c>
      <c r="Q48" s="195">
        <v>637.96669999999995</v>
      </c>
      <c r="R48" s="195">
        <v>657.38789999999995</v>
      </c>
      <c r="S48" s="195">
        <v>646.67269999999996</v>
      </c>
      <c r="T48" s="195">
        <v>668.44550000000004</v>
      </c>
      <c r="U48" s="195">
        <v>465.34350000000001</v>
      </c>
      <c r="V48" s="195">
        <v>328.03370000000001</v>
      </c>
      <c r="W48" s="195">
        <v>777.31489999999997</v>
      </c>
      <c r="X48" s="195">
        <v>1295</v>
      </c>
      <c r="Y48" s="195">
        <v>983.89359999999999</v>
      </c>
      <c r="Z48" s="195">
        <v>1606.106</v>
      </c>
      <c r="AA48" s="195">
        <v>3199.6089999999999</v>
      </c>
      <c r="AB48" s="195">
        <v>3143.8679999999999</v>
      </c>
      <c r="AC48" s="195">
        <v>3255.35</v>
      </c>
    </row>
    <row r="49" spans="1:29">
      <c r="A49" s="155">
        <v>45992</v>
      </c>
      <c r="B49" s="45">
        <f t="shared" si="0"/>
        <v>2025</v>
      </c>
      <c r="C49" s="195">
        <v>86625.06</v>
      </c>
      <c r="D49" s="195">
        <v>83041.289999999994</v>
      </c>
      <c r="E49" s="195">
        <v>90165.81</v>
      </c>
      <c r="F49" s="195">
        <v>66359.039999999994</v>
      </c>
      <c r="G49" s="195">
        <v>63492.32</v>
      </c>
      <c r="H49" s="195">
        <v>69225.759999999995</v>
      </c>
      <c r="I49" s="195">
        <v>15777.42</v>
      </c>
      <c r="J49" s="195">
        <v>14796.45</v>
      </c>
      <c r="K49" s="195">
        <v>16758.400000000001</v>
      </c>
      <c r="L49" s="195">
        <v>767.70249999999999</v>
      </c>
      <c r="M49" s="195">
        <v>709.80250000000001</v>
      </c>
      <c r="N49" s="195">
        <v>825.60249999999996</v>
      </c>
      <c r="O49" s="195">
        <v>477.21260000000001</v>
      </c>
      <c r="P49" s="195">
        <v>297.23259999999999</v>
      </c>
      <c r="Q49" s="195">
        <v>657.19259999999997</v>
      </c>
      <c r="R49" s="195">
        <v>657.38789999999995</v>
      </c>
      <c r="S49" s="195">
        <v>646.67269999999996</v>
      </c>
      <c r="T49" s="195">
        <v>668.44550000000004</v>
      </c>
      <c r="U49" s="195">
        <v>466.44569999999999</v>
      </c>
      <c r="V49" s="195">
        <v>327.11930000000001</v>
      </c>
      <c r="W49" s="195">
        <v>788.00490000000002</v>
      </c>
      <c r="X49" s="195">
        <v>1296</v>
      </c>
      <c r="Y49" s="195">
        <v>977.74080000000004</v>
      </c>
      <c r="Z49" s="195">
        <v>1614.259</v>
      </c>
      <c r="AA49" s="195">
        <v>3247.9760000000001</v>
      </c>
      <c r="AB49" s="195">
        <v>3192.2339999999999</v>
      </c>
      <c r="AC49" s="195">
        <v>3303.7170000000001</v>
      </c>
    </row>
    <row r="50" spans="1:29">
      <c r="A50" s="155">
        <v>46023</v>
      </c>
      <c r="B50" s="45">
        <f t="shared" si="0"/>
        <v>2026</v>
      </c>
      <c r="C50" s="195">
        <v>87359.31</v>
      </c>
      <c r="D50" s="195">
        <v>83713.649999999994</v>
      </c>
      <c r="E50" s="195">
        <v>90960.83</v>
      </c>
      <c r="F50" s="195">
        <v>66956.740000000005</v>
      </c>
      <c r="G50" s="195">
        <v>64009.7</v>
      </c>
      <c r="H50" s="195">
        <v>69903.78</v>
      </c>
      <c r="I50" s="195">
        <v>15902.89</v>
      </c>
      <c r="J50" s="195">
        <v>14898.7</v>
      </c>
      <c r="K50" s="195">
        <v>16907.09</v>
      </c>
      <c r="L50" s="195">
        <v>775.6327</v>
      </c>
      <c r="M50" s="195">
        <v>716.66849999999999</v>
      </c>
      <c r="N50" s="195">
        <v>834.59699999999998</v>
      </c>
      <c r="O50" s="195">
        <v>489.29230000000001</v>
      </c>
      <c r="P50" s="195">
        <v>303.3279</v>
      </c>
      <c r="Q50" s="195">
        <v>675.2568</v>
      </c>
      <c r="R50" s="195">
        <v>657.38789999999995</v>
      </c>
      <c r="S50" s="195">
        <v>646.67269999999996</v>
      </c>
      <c r="T50" s="195">
        <v>668.44550000000004</v>
      </c>
      <c r="U50" s="195">
        <v>466.35980000000001</v>
      </c>
      <c r="V50" s="195">
        <v>325.09050000000002</v>
      </c>
      <c r="W50" s="195">
        <v>798.51620000000003</v>
      </c>
      <c r="X50" s="195">
        <v>1424</v>
      </c>
      <c r="Y50" s="195">
        <v>1094.876</v>
      </c>
      <c r="Z50" s="195">
        <v>1753.124</v>
      </c>
      <c r="AA50" s="195">
        <v>3258.0279999999998</v>
      </c>
      <c r="AB50" s="195">
        <v>3198.7289999999998</v>
      </c>
      <c r="AC50" s="195">
        <v>3317.328</v>
      </c>
    </row>
    <row r="51" spans="1:29">
      <c r="A51" s="155">
        <v>46054</v>
      </c>
      <c r="B51" s="45">
        <f t="shared" si="0"/>
        <v>2026</v>
      </c>
      <c r="C51" s="195">
        <v>87366.32</v>
      </c>
      <c r="D51" s="195">
        <v>83651.44</v>
      </c>
      <c r="E51" s="195">
        <v>91035.37</v>
      </c>
      <c r="F51" s="195">
        <v>66927.990000000005</v>
      </c>
      <c r="G51" s="195">
        <v>63908.88</v>
      </c>
      <c r="H51" s="195">
        <v>69947.09</v>
      </c>
      <c r="I51" s="195">
        <v>15921.11</v>
      </c>
      <c r="J51" s="195">
        <v>14895.36</v>
      </c>
      <c r="K51" s="195">
        <v>16946.87</v>
      </c>
      <c r="L51" s="195">
        <v>772.25080000000003</v>
      </c>
      <c r="M51" s="195">
        <v>712.32410000000004</v>
      </c>
      <c r="N51" s="195">
        <v>832.17750000000001</v>
      </c>
      <c r="O51" s="195">
        <v>483.19540000000001</v>
      </c>
      <c r="P51" s="195">
        <v>292.4033</v>
      </c>
      <c r="Q51" s="195">
        <v>673.98739999999998</v>
      </c>
      <c r="R51" s="195">
        <v>657.38789999999995</v>
      </c>
      <c r="S51" s="195">
        <v>646.67269999999996</v>
      </c>
      <c r="T51" s="195">
        <v>668.44550000000004</v>
      </c>
      <c r="U51" s="195">
        <v>466.53980000000001</v>
      </c>
      <c r="V51" s="195">
        <v>323.30549999999999</v>
      </c>
      <c r="W51" s="195">
        <v>809.5539</v>
      </c>
      <c r="X51" s="195">
        <v>1424</v>
      </c>
      <c r="Y51" s="195">
        <v>1084.3579999999999</v>
      </c>
      <c r="Z51" s="195">
        <v>1763.6420000000001</v>
      </c>
      <c r="AA51" s="195">
        <v>3262.375</v>
      </c>
      <c r="AB51" s="195">
        <v>3201.6729999999998</v>
      </c>
      <c r="AC51" s="195">
        <v>3323.0770000000002</v>
      </c>
    </row>
    <row r="52" spans="1:29">
      <c r="A52" s="155">
        <v>46082</v>
      </c>
      <c r="B52" s="45">
        <f t="shared" si="0"/>
        <v>2026</v>
      </c>
      <c r="C52" s="195">
        <v>87546.57</v>
      </c>
      <c r="D52" s="195">
        <v>83765.990000000005</v>
      </c>
      <c r="E52" s="195">
        <v>91279.8</v>
      </c>
      <c r="F52" s="195">
        <v>67071</v>
      </c>
      <c r="G52" s="195">
        <v>63981.51</v>
      </c>
      <c r="H52" s="195">
        <v>70160.490000000005</v>
      </c>
      <c r="I52" s="195">
        <v>15978.35</v>
      </c>
      <c r="J52" s="195">
        <v>14931.31</v>
      </c>
      <c r="K52" s="195">
        <v>17025.39</v>
      </c>
      <c r="L52" s="195">
        <v>778.12379999999996</v>
      </c>
      <c r="M52" s="195">
        <v>717.39760000000001</v>
      </c>
      <c r="N52" s="195">
        <v>838.8501</v>
      </c>
      <c r="O52" s="195">
        <v>477.94929999999999</v>
      </c>
      <c r="P52" s="195">
        <v>282.0933</v>
      </c>
      <c r="Q52" s="195">
        <v>673.80529999999999</v>
      </c>
      <c r="R52" s="195">
        <v>657.38789999999995</v>
      </c>
      <c r="S52" s="195">
        <v>646.67269999999996</v>
      </c>
      <c r="T52" s="195">
        <v>668.44550000000004</v>
      </c>
      <c r="U52" s="195">
        <v>466.54390000000001</v>
      </c>
      <c r="V52" s="195">
        <v>321.64600000000002</v>
      </c>
      <c r="W52" s="195">
        <v>819.22439999999995</v>
      </c>
      <c r="X52" s="195">
        <v>1422</v>
      </c>
      <c r="Y52" s="195">
        <v>1072.1559999999999</v>
      </c>
      <c r="Z52" s="195">
        <v>1771.8440000000001</v>
      </c>
      <c r="AA52" s="195">
        <v>3254.3040000000001</v>
      </c>
      <c r="AB52" s="195">
        <v>3193.0349999999999</v>
      </c>
      <c r="AC52" s="195">
        <v>3315.5740000000001</v>
      </c>
    </row>
    <row r="53" spans="1:29">
      <c r="A53" s="155">
        <v>46113</v>
      </c>
      <c r="B53" s="45">
        <f t="shared" si="0"/>
        <v>2026</v>
      </c>
      <c r="C53" s="195">
        <v>87762.2</v>
      </c>
      <c r="D53" s="195">
        <v>83917.64</v>
      </c>
      <c r="E53" s="195">
        <v>91557.92</v>
      </c>
      <c r="F53" s="195">
        <v>67341.33</v>
      </c>
      <c r="G53" s="195">
        <v>64183.03</v>
      </c>
      <c r="H53" s="195">
        <v>70499.64</v>
      </c>
      <c r="I53" s="195">
        <v>16010.98</v>
      </c>
      <c r="J53" s="195">
        <v>14943.1</v>
      </c>
      <c r="K53" s="195">
        <v>17078.849999999999</v>
      </c>
      <c r="L53" s="195">
        <v>774.68870000000004</v>
      </c>
      <c r="M53" s="195">
        <v>713.17319999999995</v>
      </c>
      <c r="N53" s="195">
        <v>836.20420000000001</v>
      </c>
      <c r="O53" s="195">
        <v>476.78410000000002</v>
      </c>
      <c r="P53" s="195">
        <v>276.12709999999998</v>
      </c>
      <c r="Q53" s="195">
        <v>677.44119999999998</v>
      </c>
      <c r="R53" s="195">
        <v>657.38789999999995</v>
      </c>
      <c r="S53" s="195">
        <v>646.67269999999996</v>
      </c>
      <c r="T53" s="195">
        <v>668.44550000000004</v>
      </c>
      <c r="U53" s="195">
        <v>464.19029999999998</v>
      </c>
      <c r="V53" s="195">
        <v>318.8476</v>
      </c>
      <c r="W53" s="195">
        <v>822.11900000000003</v>
      </c>
      <c r="X53" s="195">
        <v>1422</v>
      </c>
      <c r="Y53" s="195">
        <v>1062.2439999999999</v>
      </c>
      <c r="Z53" s="195">
        <v>1781.7560000000001</v>
      </c>
      <c r="AA53" s="195">
        <v>3248.239</v>
      </c>
      <c r="AB53" s="195">
        <v>3186.7379999999998</v>
      </c>
      <c r="AC53" s="195">
        <v>3309.74</v>
      </c>
    </row>
    <row r="54" spans="1:29">
      <c r="A54" s="155">
        <v>46143</v>
      </c>
      <c r="B54" s="45">
        <f t="shared" si="0"/>
        <v>2026</v>
      </c>
      <c r="C54" s="195">
        <v>87140.160000000003</v>
      </c>
      <c r="D54" s="195">
        <v>83221.509999999995</v>
      </c>
      <c r="E54" s="195">
        <v>91007.71</v>
      </c>
      <c r="F54" s="195">
        <v>67045.850000000006</v>
      </c>
      <c r="G54" s="195">
        <v>63820.2</v>
      </c>
      <c r="H54" s="195">
        <v>70271.509999999995</v>
      </c>
      <c r="I54" s="195">
        <v>15886.65</v>
      </c>
      <c r="J54" s="195">
        <v>14798.34</v>
      </c>
      <c r="K54" s="195">
        <v>16974.97</v>
      </c>
      <c r="L54" s="195">
        <v>763.24379999999996</v>
      </c>
      <c r="M54" s="195">
        <v>700.94910000000004</v>
      </c>
      <c r="N54" s="195">
        <v>825.5385</v>
      </c>
      <c r="O54" s="195">
        <v>455.62860000000001</v>
      </c>
      <c r="P54" s="195">
        <v>250.2321</v>
      </c>
      <c r="Q54" s="195">
        <v>661.02520000000004</v>
      </c>
      <c r="R54" s="195">
        <v>657.38789999999995</v>
      </c>
      <c r="S54" s="195">
        <v>646.67269999999996</v>
      </c>
      <c r="T54" s="195">
        <v>668.44550000000004</v>
      </c>
      <c r="U54" s="195">
        <v>459.5489</v>
      </c>
      <c r="V54" s="195">
        <v>314.95089999999999</v>
      </c>
      <c r="W54" s="195">
        <v>818.21389999999997</v>
      </c>
      <c r="X54" s="195">
        <v>1423</v>
      </c>
      <c r="Y54" s="195">
        <v>1053.597</v>
      </c>
      <c r="Z54" s="195">
        <v>1792.403</v>
      </c>
      <c r="AA54" s="195">
        <v>3199.0749999999998</v>
      </c>
      <c r="AB54" s="195">
        <v>3137.4789999999998</v>
      </c>
      <c r="AC54" s="195">
        <v>3260.672</v>
      </c>
    </row>
    <row r="55" spans="1:29">
      <c r="A55" s="155">
        <v>46174</v>
      </c>
      <c r="B55" s="45">
        <f t="shared" si="0"/>
        <v>2026</v>
      </c>
      <c r="C55" s="195">
        <v>86712.52</v>
      </c>
      <c r="D55" s="195">
        <v>82723.19</v>
      </c>
      <c r="E55" s="195">
        <v>90648.65</v>
      </c>
      <c r="F55" s="195">
        <v>66662.820000000007</v>
      </c>
      <c r="G55" s="195">
        <v>63371.199999999997</v>
      </c>
      <c r="H55" s="195">
        <v>69954.45</v>
      </c>
      <c r="I55" s="195">
        <v>15857.56</v>
      </c>
      <c r="J55" s="195">
        <v>14749.18</v>
      </c>
      <c r="K55" s="195">
        <v>16965.939999999999</v>
      </c>
      <c r="L55" s="195">
        <v>763.47820000000002</v>
      </c>
      <c r="M55" s="195">
        <v>700.41390000000001</v>
      </c>
      <c r="N55" s="195">
        <v>826.54250000000002</v>
      </c>
      <c r="O55" s="195">
        <v>447.3279</v>
      </c>
      <c r="P55" s="195">
        <v>237.31790000000001</v>
      </c>
      <c r="Q55" s="195">
        <v>657.33799999999997</v>
      </c>
      <c r="R55" s="195">
        <v>657.38789999999995</v>
      </c>
      <c r="S55" s="195">
        <v>646.67269999999996</v>
      </c>
      <c r="T55" s="195">
        <v>668.44550000000004</v>
      </c>
      <c r="U55" s="195">
        <v>462.82670000000002</v>
      </c>
      <c r="V55" s="195">
        <v>314.9676</v>
      </c>
      <c r="W55" s="195">
        <v>838.04169999999999</v>
      </c>
      <c r="X55" s="195">
        <v>1419</v>
      </c>
      <c r="Y55" s="195">
        <v>1040.1959999999999</v>
      </c>
      <c r="Z55" s="195">
        <v>1797.8040000000001</v>
      </c>
      <c r="AA55" s="195">
        <v>3175.6680000000001</v>
      </c>
      <c r="AB55" s="195">
        <v>3114.0329999999999</v>
      </c>
      <c r="AC55" s="195">
        <v>3237.3040000000001</v>
      </c>
    </row>
    <row r="56" spans="1:29">
      <c r="A56" s="155">
        <v>46204</v>
      </c>
      <c r="B56" s="45">
        <f t="shared" si="0"/>
        <v>2026</v>
      </c>
      <c r="C56" s="195">
        <v>86372.95</v>
      </c>
      <c r="D56" s="195">
        <v>82314.97</v>
      </c>
      <c r="E56" s="195">
        <v>90375.679999999993</v>
      </c>
      <c r="F56" s="195">
        <v>66424.94</v>
      </c>
      <c r="G56" s="195">
        <v>63068.639999999999</v>
      </c>
      <c r="H56" s="195">
        <v>69781.240000000005</v>
      </c>
      <c r="I56" s="195">
        <v>15817.9</v>
      </c>
      <c r="J56" s="195">
        <v>14689.82</v>
      </c>
      <c r="K56" s="195">
        <v>16945.990000000002</v>
      </c>
      <c r="L56" s="195">
        <v>765.52350000000001</v>
      </c>
      <c r="M56" s="195">
        <v>701.69889999999998</v>
      </c>
      <c r="N56" s="195">
        <v>829.34810000000004</v>
      </c>
      <c r="O56" s="195">
        <v>444.46820000000002</v>
      </c>
      <c r="P56" s="195">
        <v>229.9367</v>
      </c>
      <c r="Q56" s="195">
        <v>658.99980000000005</v>
      </c>
      <c r="R56" s="195">
        <v>657.38789999999995</v>
      </c>
      <c r="S56" s="195">
        <v>646.67269999999996</v>
      </c>
      <c r="T56" s="195">
        <v>668.44550000000004</v>
      </c>
      <c r="U56" s="195">
        <v>464.66550000000001</v>
      </c>
      <c r="V56" s="195">
        <v>314.31479999999999</v>
      </c>
      <c r="W56" s="195">
        <v>853.83680000000004</v>
      </c>
      <c r="X56" s="195">
        <v>1422</v>
      </c>
      <c r="Y56" s="195">
        <v>1034.0219999999999</v>
      </c>
      <c r="Z56" s="195">
        <v>1809.9780000000001</v>
      </c>
      <c r="AA56" s="195">
        <v>3155.4830000000002</v>
      </c>
      <c r="AB56" s="195">
        <v>3093.8319999999999</v>
      </c>
      <c r="AC56" s="195">
        <v>3217.1350000000002</v>
      </c>
    </row>
    <row r="57" spans="1:29">
      <c r="A57" s="155">
        <v>46235</v>
      </c>
      <c r="B57" s="45">
        <f t="shared" si="0"/>
        <v>2026</v>
      </c>
      <c r="C57" s="195">
        <v>86197.41</v>
      </c>
      <c r="D57" s="195">
        <v>82073.960000000006</v>
      </c>
      <c r="E57" s="195">
        <v>90263.73</v>
      </c>
      <c r="F57" s="195">
        <v>66198.66</v>
      </c>
      <c r="G57" s="195">
        <v>62778.91</v>
      </c>
      <c r="H57" s="195">
        <v>69618.41</v>
      </c>
      <c r="I57" s="195">
        <v>15827.01</v>
      </c>
      <c r="J57" s="195">
        <v>14679.55</v>
      </c>
      <c r="K57" s="195">
        <v>16974.46</v>
      </c>
      <c r="L57" s="195">
        <v>762.77200000000005</v>
      </c>
      <c r="M57" s="195">
        <v>698.1961</v>
      </c>
      <c r="N57" s="195">
        <v>827.34789999999998</v>
      </c>
      <c r="O57" s="195">
        <v>441.93180000000001</v>
      </c>
      <c r="P57" s="195">
        <v>222.97479999999999</v>
      </c>
      <c r="Q57" s="195">
        <v>660.88879999999995</v>
      </c>
      <c r="R57" s="195">
        <v>657.38789999999995</v>
      </c>
      <c r="S57" s="195">
        <v>646.67269999999996</v>
      </c>
      <c r="T57" s="195">
        <v>668.44550000000004</v>
      </c>
      <c r="U57" s="195">
        <v>462.71620000000001</v>
      </c>
      <c r="V57" s="195">
        <v>311.88940000000002</v>
      </c>
      <c r="W57" s="195">
        <v>857.73220000000003</v>
      </c>
      <c r="X57" s="195">
        <v>1422</v>
      </c>
      <c r="Y57" s="195">
        <v>1025.0609999999999</v>
      </c>
      <c r="Z57" s="195">
        <v>1818.9390000000001</v>
      </c>
      <c r="AA57" s="195">
        <v>3147.473</v>
      </c>
      <c r="AB57" s="195">
        <v>3085.8150000000001</v>
      </c>
      <c r="AC57" s="195">
        <v>3209.1309999999999</v>
      </c>
    </row>
    <row r="58" spans="1:29">
      <c r="A58" s="155">
        <v>46266</v>
      </c>
      <c r="B58" s="45">
        <f t="shared" si="0"/>
        <v>2026</v>
      </c>
      <c r="C58" s="195">
        <v>86433.279999999999</v>
      </c>
      <c r="D58" s="195">
        <v>82251.240000000005</v>
      </c>
      <c r="E58" s="195">
        <v>90556.71</v>
      </c>
      <c r="F58" s="195">
        <v>66388.009999999995</v>
      </c>
      <c r="G58" s="195">
        <v>62905.96</v>
      </c>
      <c r="H58" s="195">
        <v>69870.05</v>
      </c>
      <c r="I58" s="195">
        <v>15877.49</v>
      </c>
      <c r="J58" s="195">
        <v>14710.99</v>
      </c>
      <c r="K58" s="195">
        <v>17043.990000000002</v>
      </c>
      <c r="L58" s="195">
        <v>757.8134</v>
      </c>
      <c r="M58" s="195">
        <v>692.49480000000005</v>
      </c>
      <c r="N58" s="195">
        <v>823.13210000000004</v>
      </c>
      <c r="O58" s="195">
        <v>449.6386</v>
      </c>
      <c r="P58" s="195">
        <v>226.34289999999999</v>
      </c>
      <c r="Q58" s="195">
        <v>672.93439999999998</v>
      </c>
      <c r="R58" s="195">
        <v>657.38789999999995</v>
      </c>
      <c r="S58" s="195">
        <v>646.67269999999996</v>
      </c>
      <c r="T58" s="195">
        <v>668.44550000000004</v>
      </c>
      <c r="U58" s="195">
        <v>462.43579999999997</v>
      </c>
      <c r="V58" s="195">
        <v>310.29259999999999</v>
      </c>
      <c r="W58" s="195">
        <v>866.98149999999998</v>
      </c>
      <c r="X58" s="195">
        <v>1422</v>
      </c>
      <c r="Y58" s="195">
        <v>1016.298</v>
      </c>
      <c r="Z58" s="195">
        <v>1827.702</v>
      </c>
      <c r="AA58" s="195">
        <v>3151.3409999999999</v>
      </c>
      <c r="AB58" s="195">
        <v>3089.68</v>
      </c>
      <c r="AC58" s="195">
        <v>3213.002</v>
      </c>
    </row>
    <row r="59" spans="1:29">
      <c r="A59" s="155">
        <v>46296</v>
      </c>
      <c r="B59" s="45">
        <f t="shared" si="0"/>
        <v>2026</v>
      </c>
      <c r="C59" s="195">
        <v>86706.49</v>
      </c>
      <c r="D59" s="195">
        <v>82467.399999999994</v>
      </c>
      <c r="E59" s="195">
        <v>90885.57</v>
      </c>
      <c r="F59" s="195">
        <v>66625.539999999994</v>
      </c>
      <c r="G59" s="195">
        <v>63082.3</v>
      </c>
      <c r="H59" s="195">
        <v>70168.789999999994</v>
      </c>
      <c r="I59" s="195">
        <v>15969.53</v>
      </c>
      <c r="J59" s="195">
        <v>14784.29</v>
      </c>
      <c r="K59" s="195">
        <v>17154.78</v>
      </c>
      <c r="L59" s="195">
        <v>759.71460000000002</v>
      </c>
      <c r="M59" s="195">
        <v>693.66160000000002</v>
      </c>
      <c r="N59" s="195">
        <v>825.76760000000002</v>
      </c>
      <c r="O59" s="195">
        <v>439.53789999999998</v>
      </c>
      <c r="P59" s="195">
        <v>211.98650000000001</v>
      </c>
      <c r="Q59" s="195">
        <v>667.08939999999996</v>
      </c>
      <c r="R59" s="195">
        <v>657.38789999999995</v>
      </c>
      <c r="S59" s="195">
        <v>646.67269999999996</v>
      </c>
      <c r="T59" s="195">
        <v>668.44550000000004</v>
      </c>
      <c r="U59" s="195">
        <v>462.38420000000002</v>
      </c>
      <c r="V59" s="195">
        <v>308.83890000000002</v>
      </c>
      <c r="W59" s="195">
        <v>877.03589999999997</v>
      </c>
      <c r="X59" s="195">
        <v>1420</v>
      </c>
      <c r="Y59" s="195">
        <v>1005.7190000000001</v>
      </c>
      <c r="Z59" s="195">
        <v>1834.2809999999999</v>
      </c>
      <c r="AA59" s="195">
        <v>3144.3969999999999</v>
      </c>
      <c r="AB59" s="195">
        <v>3082.7350000000001</v>
      </c>
      <c r="AC59" s="195">
        <v>3206.0590000000002</v>
      </c>
    </row>
    <row r="60" spans="1:29">
      <c r="A60" s="155">
        <v>46327</v>
      </c>
      <c r="B60" s="45">
        <f t="shared" si="0"/>
        <v>2026</v>
      </c>
      <c r="C60" s="195">
        <v>87756.06</v>
      </c>
      <c r="D60" s="195">
        <v>83472.42</v>
      </c>
      <c r="E60" s="195">
        <v>91979.14</v>
      </c>
      <c r="F60" s="195">
        <v>67481.06</v>
      </c>
      <c r="G60" s="195">
        <v>63877.65</v>
      </c>
      <c r="H60" s="195">
        <v>71084.47</v>
      </c>
      <c r="I60" s="195">
        <v>16167.51</v>
      </c>
      <c r="J60" s="195">
        <v>14963.82</v>
      </c>
      <c r="K60" s="195">
        <v>17371.2</v>
      </c>
      <c r="L60" s="195">
        <v>766.74710000000005</v>
      </c>
      <c r="M60" s="195">
        <v>699.96780000000001</v>
      </c>
      <c r="N60" s="195">
        <v>833.52639999999997</v>
      </c>
      <c r="O60" s="195">
        <v>455.16640000000001</v>
      </c>
      <c r="P60" s="195">
        <v>223.43729999999999</v>
      </c>
      <c r="Q60" s="195">
        <v>686.89549999999997</v>
      </c>
      <c r="R60" s="195">
        <v>657.38789999999995</v>
      </c>
      <c r="S60" s="195">
        <v>646.67269999999996</v>
      </c>
      <c r="T60" s="195">
        <v>668.44550000000004</v>
      </c>
      <c r="U60" s="195">
        <v>463.435</v>
      </c>
      <c r="V60" s="195">
        <v>307.92520000000002</v>
      </c>
      <c r="W60" s="195">
        <v>890.97550000000001</v>
      </c>
      <c r="X60" s="195">
        <v>1422</v>
      </c>
      <c r="Y60" s="195">
        <v>999.31529999999998</v>
      </c>
      <c r="Z60" s="195">
        <v>1844.6849999999999</v>
      </c>
      <c r="AA60" s="195">
        <v>3183.99</v>
      </c>
      <c r="AB60" s="195">
        <v>3122.3270000000002</v>
      </c>
      <c r="AC60" s="195">
        <v>3245.652</v>
      </c>
    </row>
    <row r="61" spans="1:29">
      <c r="A61" s="155">
        <v>46357</v>
      </c>
      <c r="B61" s="45">
        <f t="shared" si="0"/>
        <v>2026</v>
      </c>
      <c r="C61" s="195">
        <v>88725.84</v>
      </c>
      <c r="D61" s="195">
        <v>84397.48</v>
      </c>
      <c r="E61" s="195">
        <v>92993.04</v>
      </c>
      <c r="F61" s="195">
        <v>68349.69</v>
      </c>
      <c r="G61" s="195">
        <v>64687.11</v>
      </c>
      <c r="H61" s="195">
        <v>72012.27</v>
      </c>
      <c r="I61" s="195">
        <v>16345.18</v>
      </c>
      <c r="J61" s="195">
        <v>15123.31</v>
      </c>
      <c r="K61" s="195">
        <v>17567.04</v>
      </c>
      <c r="L61" s="195">
        <v>777.44309999999996</v>
      </c>
      <c r="M61" s="195">
        <v>709.92740000000003</v>
      </c>
      <c r="N61" s="195">
        <v>844.9588</v>
      </c>
      <c r="O61" s="195">
        <v>470.58600000000001</v>
      </c>
      <c r="P61" s="195">
        <v>234.75319999999999</v>
      </c>
      <c r="Q61" s="195">
        <v>706.41869999999994</v>
      </c>
      <c r="R61" s="195">
        <v>657.38789999999995</v>
      </c>
      <c r="S61" s="195">
        <v>646.67269999999996</v>
      </c>
      <c r="T61" s="195">
        <v>668.44550000000004</v>
      </c>
      <c r="U61" s="195">
        <v>465.86169999999998</v>
      </c>
      <c r="V61" s="195">
        <v>307.65820000000002</v>
      </c>
      <c r="W61" s="195">
        <v>910.08839999999998</v>
      </c>
      <c r="X61" s="195">
        <v>1423</v>
      </c>
      <c r="Y61" s="195">
        <v>992.07500000000005</v>
      </c>
      <c r="Z61" s="195">
        <v>1853.925</v>
      </c>
      <c r="AA61" s="195">
        <v>3231.9659999999999</v>
      </c>
      <c r="AB61" s="195">
        <v>3170.3040000000001</v>
      </c>
      <c r="AC61" s="195">
        <v>3293.6289999999999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333F-4527-4763-809B-207BAA24FE36}">
  <sheetPr codeName="Sheet35">
    <tabColor theme="4" tint="0.39997558519241921"/>
  </sheetPr>
  <dimension ref="A1:AC66"/>
  <sheetViews>
    <sheetView workbookViewId="0"/>
  </sheetViews>
  <sheetFormatPr defaultColWidth="9.140625" defaultRowHeight="12.75"/>
  <cols>
    <col min="1" max="1" width="10.42578125" style="45" bestFit="1" customWidth="1"/>
    <col min="2" max="2" width="10.42578125" style="45" customWidth="1"/>
    <col min="3" max="3" width="22.7109375" style="45" bestFit="1" customWidth="1"/>
    <col min="4" max="4" width="21.42578125" style="45" bestFit="1" customWidth="1"/>
    <col min="5" max="5" width="21.7109375" style="45" bestFit="1" customWidth="1"/>
    <col min="6" max="6" width="23" style="45" bestFit="1" customWidth="1"/>
    <col min="7" max="7" width="21.5703125" style="45" bestFit="1" customWidth="1"/>
    <col min="8" max="8" width="22" style="45" bestFit="1" customWidth="1"/>
    <col min="9" max="9" width="21.5703125" style="45" bestFit="1" customWidth="1"/>
    <col min="10" max="10" width="20.140625" style="45" bestFit="1" customWidth="1"/>
    <col min="11" max="11" width="20.5703125" style="45" bestFit="1" customWidth="1"/>
    <col min="12" max="12" width="21.5703125" style="45" bestFit="1" customWidth="1"/>
    <col min="13" max="13" width="20.140625" style="45" bestFit="1" customWidth="1"/>
    <col min="14" max="14" width="20.5703125" style="45" bestFit="1" customWidth="1"/>
    <col min="15" max="15" width="29.140625" style="454" bestFit="1" customWidth="1"/>
    <col min="16" max="16" width="21.85546875" style="454" bestFit="1" customWidth="1"/>
    <col min="17" max="17" width="22.140625" style="454" bestFit="1" customWidth="1"/>
    <col min="18" max="18" width="20.5703125" style="45" bestFit="1" customWidth="1"/>
    <col min="19" max="19" width="19.28515625" style="45" bestFit="1" customWidth="1"/>
    <col min="20" max="20" width="19.5703125" style="45" bestFit="1" customWidth="1"/>
    <col min="21" max="21" width="23.140625" style="45" bestFit="1" customWidth="1"/>
    <col min="22" max="22" width="21.85546875" style="45" bestFit="1" customWidth="1"/>
    <col min="23" max="23" width="22.140625" style="45" bestFit="1" customWidth="1"/>
    <col min="24" max="24" width="22" style="45" bestFit="1" customWidth="1"/>
    <col min="25" max="25" width="20.5703125" style="45" bestFit="1" customWidth="1"/>
    <col min="26" max="26" width="20.85546875" style="45" bestFit="1" customWidth="1"/>
    <col min="27" max="27" width="22.85546875" style="45" bestFit="1" customWidth="1"/>
    <col min="28" max="28" width="21.5703125" style="45" bestFit="1" customWidth="1"/>
    <col min="29" max="29" width="21.85546875" style="45" bestFit="1" customWidth="1"/>
    <col min="30" max="16384" width="9.140625" style="45"/>
  </cols>
  <sheetData>
    <row r="1" spans="1:29" s="449" customFormat="1" ht="25.5">
      <c r="A1" s="445" t="s">
        <v>109</v>
      </c>
      <c r="B1" s="445" t="s">
        <v>110</v>
      </c>
      <c r="C1" s="446" t="s">
        <v>376</v>
      </c>
      <c r="D1" s="447" t="s">
        <v>377</v>
      </c>
      <c r="E1" s="448" t="s">
        <v>378</v>
      </c>
      <c r="F1" s="446" t="s">
        <v>341</v>
      </c>
      <c r="G1" s="447" t="s">
        <v>343</v>
      </c>
      <c r="H1" s="448" t="s">
        <v>345</v>
      </c>
      <c r="I1" s="446" t="s">
        <v>348</v>
      </c>
      <c r="J1" s="447" t="s">
        <v>350</v>
      </c>
      <c r="K1" s="448" t="s">
        <v>352</v>
      </c>
      <c r="L1" s="446" t="s">
        <v>354</v>
      </c>
      <c r="M1" s="447" t="s">
        <v>356</v>
      </c>
      <c r="N1" s="448" t="s">
        <v>358</v>
      </c>
      <c r="O1" s="450" t="s">
        <v>359</v>
      </c>
      <c r="P1" s="451" t="s">
        <v>360</v>
      </c>
      <c r="Q1" s="452" t="s">
        <v>361</v>
      </c>
      <c r="R1" s="446" t="s">
        <v>362</v>
      </c>
      <c r="S1" s="447" t="s">
        <v>364</v>
      </c>
      <c r="T1" s="448" t="s">
        <v>366</v>
      </c>
      <c r="U1" s="446" t="s">
        <v>367</v>
      </c>
      <c r="V1" s="447" t="s">
        <v>368</v>
      </c>
      <c r="W1" s="448" t="s">
        <v>369</v>
      </c>
      <c r="X1" s="446" t="s">
        <v>370</v>
      </c>
      <c r="Y1" s="447" t="s">
        <v>371</v>
      </c>
      <c r="Z1" s="448" t="s">
        <v>372</v>
      </c>
      <c r="AA1" s="446" t="s">
        <v>373</v>
      </c>
      <c r="AB1" s="447" t="s">
        <v>374</v>
      </c>
      <c r="AC1" s="448" t="s">
        <v>375</v>
      </c>
    </row>
    <row r="2" spans="1:29">
      <c r="A2" s="155">
        <v>44562</v>
      </c>
      <c r="B2" s="45">
        <f>YEAR(A2)</f>
        <v>2022</v>
      </c>
      <c r="C2" s="158">
        <v>36.245464820011399</v>
      </c>
      <c r="D2" s="158">
        <v>31.0840129897352</v>
      </c>
      <c r="E2" s="158">
        <v>42.578872179720598</v>
      </c>
      <c r="F2" s="158">
        <v>38.199522317166398</v>
      </c>
      <c r="G2" s="158">
        <v>32.2930448046408</v>
      </c>
      <c r="H2" s="158">
        <v>45.648518461393401</v>
      </c>
      <c r="I2" s="158">
        <v>24.3760953524949</v>
      </c>
      <c r="J2" s="158">
        <v>18.784803549120898</v>
      </c>
      <c r="K2" s="158">
        <v>34.489188514612202</v>
      </c>
      <c r="L2" s="158">
        <v>106.996797968698</v>
      </c>
      <c r="M2" s="158">
        <v>76.183080028532402</v>
      </c>
      <c r="N2" s="158">
        <v>152.84432857829799</v>
      </c>
      <c r="O2" s="453">
        <v>13.69</v>
      </c>
      <c r="P2" s="453">
        <v>9.8699999999999992</v>
      </c>
      <c r="Q2" s="453">
        <v>17.52</v>
      </c>
      <c r="R2" s="158">
        <v>17.683340884379099</v>
      </c>
      <c r="S2" s="158">
        <v>14.5850242029399</v>
      </c>
      <c r="T2" s="158">
        <v>22.326934355111899</v>
      </c>
      <c r="U2" s="158">
        <v>186.05292102106901</v>
      </c>
      <c r="V2" s="158">
        <v>137.568871536627</v>
      </c>
      <c r="W2" s="158">
        <v>243.18077689739101</v>
      </c>
      <c r="X2" s="158">
        <v>14.123130600517401</v>
      </c>
      <c r="Y2" s="158">
        <v>7.1526128929810602</v>
      </c>
      <c r="Z2" s="158">
        <v>111.772840736955</v>
      </c>
      <c r="AA2" s="158">
        <v>12.657643028241401</v>
      </c>
      <c r="AB2" s="158">
        <v>10.6277059809119</v>
      </c>
      <c r="AC2" s="158">
        <v>15.4053792289276</v>
      </c>
    </row>
    <row r="3" spans="1:29">
      <c r="A3" s="155">
        <v>44593</v>
      </c>
      <c r="B3" s="45">
        <f t="shared" ref="B3:B61" si="0">YEAR(A3)</f>
        <v>2022</v>
      </c>
      <c r="C3" s="158">
        <v>32.164998468911499</v>
      </c>
      <c r="D3" s="158">
        <v>27.7270175964026</v>
      </c>
      <c r="E3" s="158">
        <v>37.572526205444198</v>
      </c>
      <c r="F3" s="158">
        <v>33.692026794258801</v>
      </c>
      <c r="G3" s="158">
        <v>28.680217634077799</v>
      </c>
      <c r="H3" s="158">
        <v>39.950745628308901</v>
      </c>
      <c r="I3" s="158">
        <v>22.4383699221138</v>
      </c>
      <c r="J3" s="158">
        <v>17.610710777367402</v>
      </c>
      <c r="K3" s="158">
        <v>30.753600590714601</v>
      </c>
      <c r="L3" s="158">
        <v>95.837588817356604</v>
      </c>
      <c r="M3" s="158">
        <v>68.665253208411897</v>
      </c>
      <c r="N3" s="158">
        <v>135.96463195830799</v>
      </c>
      <c r="O3" s="453">
        <v>15.15</v>
      </c>
      <c r="P3" s="453">
        <v>11.03</v>
      </c>
      <c r="Q3" s="453">
        <v>19.27</v>
      </c>
      <c r="R3" s="158">
        <v>14.589302010079001</v>
      </c>
      <c r="S3" s="158">
        <v>12.3538542571078</v>
      </c>
      <c r="T3" s="158">
        <v>17.742463052734799</v>
      </c>
      <c r="U3" s="158">
        <v>156.953879544486</v>
      </c>
      <c r="V3" s="158">
        <v>112.302525748064</v>
      </c>
      <c r="W3" s="158">
        <v>210.44914037246201</v>
      </c>
      <c r="X3" s="158">
        <v>13.490212196022201</v>
      </c>
      <c r="Y3" s="158">
        <v>6.9190384639336697</v>
      </c>
      <c r="Z3" s="158">
        <v>92.810478083158102</v>
      </c>
      <c r="AA3" s="158">
        <v>11.8020705174869</v>
      </c>
      <c r="AB3" s="158">
        <v>9.9856562594393097</v>
      </c>
      <c r="AC3" s="158">
        <v>14.226268789912201</v>
      </c>
    </row>
    <row r="4" spans="1:29">
      <c r="A4" s="155">
        <v>44621</v>
      </c>
      <c r="B4" s="45">
        <f t="shared" si="0"/>
        <v>2022</v>
      </c>
      <c r="C4" s="158">
        <v>27.8522913625992</v>
      </c>
      <c r="D4" s="158">
        <v>24.163675930624802</v>
      </c>
      <c r="E4" s="158">
        <v>32.307689333697198</v>
      </c>
      <c r="F4" s="158">
        <v>28.5797760966617</v>
      </c>
      <c r="G4" s="158">
        <v>24.548668658176901</v>
      </c>
      <c r="H4" s="158">
        <v>33.549810863693999</v>
      </c>
      <c r="I4" s="158">
        <v>19.702319879086701</v>
      </c>
      <c r="J4" s="158">
        <v>15.8614404341933</v>
      </c>
      <c r="K4" s="158">
        <v>25.897833392935102</v>
      </c>
      <c r="L4" s="158">
        <v>104.724690221055</v>
      </c>
      <c r="M4" s="158">
        <v>74.722496127644504</v>
      </c>
      <c r="N4" s="158">
        <v>149.251864344475</v>
      </c>
      <c r="O4" s="453">
        <v>16.25</v>
      </c>
      <c r="P4" s="453">
        <v>12.14</v>
      </c>
      <c r="Q4" s="453">
        <v>20.37</v>
      </c>
      <c r="R4" s="158">
        <v>14.8615307862159</v>
      </c>
      <c r="S4" s="158">
        <v>12.5272875069876</v>
      </c>
      <c r="T4" s="158">
        <v>18.1882603498109</v>
      </c>
      <c r="U4" s="158">
        <v>159.77808906835401</v>
      </c>
      <c r="V4" s="158">
        <v>113.79640167433701</v>
      </c>
      <c r="W4" s="158">
        <v>214.99534099195199</v>
      </c>
      <c r="X4" s="158">
        <v>11.850177253853801</v>
      </c>
      <c r="Y4" s="158">
        <v>6.4323279526411596</v>
      </c>
      <c r="Z4" s="158">
        <v>51.405323190474903</v>
      </c>
      <c r="AA4" s="158">
        <v>10.246564911970999</v>
      </c>
      <c r="AB4" s="158">
        <v>8.7877718764469304</v>
      </c>
      <c r="AC4" s="158">
        <v>12.1458960983363</v>
      </c>
    </row>
    <row r="5" spans="1:29">
      <c r="A5" s="155">
        <v>44652</v>
      </c>
      <c r="B5" s="45">
        <f t="shared" si="0"/>
        <v>2022</v>
      </c>
      <c r="C5" s="158">
        <v>24.528487550861701</v>
      </c>
      <c r="D5" s="158">
        <v>21.390652475110102</v>
      </c>
      <c r="E5" s="158">
        <v>28.291995187845298</v>
      </c>
      <c r="F5" s="158">
        <v>25.212564318015801</v>
      </c>
      <c r="G5" s="158">
        <v>21.790197833701399</v>
      </c>
      <c r="H5" s="158">
        <v>29.395446577361898</v>
      </c>
      <c r="I5" s="158">
        <v>17.845451094601401</v>
      </c>
      <c r="J5" s="158">
        <v>14.624166629943799</v>
      </c>
      <c r="K5" s="158">
        <v>22.8160064196408</v>
      </c>
      <c r="L5" s="158">
        <v>85.221335676424701</v>
      </c>
      <c r="M5" s="158">
        <v>61.384284705430503</v>
      </c>
      <c r="N5" s="158">
        <v>120.19905792739</v>
      </c>
      <c r="O5" s="453">
        <v>14.12</v>
      </c>
      <c r="P5" s="453">
        <v>10</v>
      </c>
      <c r="Q5" s="453">
        <v>18.239999999999998</v>
      </c>
      <c r="R5" s="158">
        <v>14.0662735697461</v>
      </c>
      <c r="S5" s="158">
        <v>11.9283369735526</v>
      </c>
      <c r="T5" s="158">
        <v>17.071953713700701</v>
      </c>
      <c r="U5" s="158">
        <v>118.850327443011</v>
      </c>
      <c r="V5" s="158">
        <v>80.0273860631102</v>
      </c>
      <c r="W5" s="158">
        <v>166.789363932171</v>
      </c>
      <c r="X5" s="158">
        <v>9.7262142275469099</v>
      </c>
      <c r="Y5" s="158">
        <v>5.7151604877283901</v>
      </c>
      <c r="Z5" s="158">
        <v>27.9820912707807</v>
      </c>
      <c r="AA5" s="158">
        <v>9.6666354717205696</v>
      </c>
      <c r="AB5" s="158">
        <v>8.3345717002060393</v>
      </c>
      <c r="AC5" s="158">
        <v>11.3843381310051</v>
      </c>
    </row>
    <row r="6" spans="1:29">
      <c r="A6" s="155">
        <v>44682</v>
      </c>
      <c r="B6" s="45">
        <f t="shared" si="0"/>
        <v>2022</v>
      </c>
      <c r="C6" s="158">
        <v>18.217326744929</v>
      </c>
      <c r="D6" s="158">
        <v>16.070453740763298</v>
      </c>
      <c r="E6" s="158">
        <v>20.752479880156599</v>
      </c>
      <c r="F6" s="158">
        <v>19.430576141962199</v>
      </c>
      <c r="G6" s="158">
        <v>16.997898462921601</v>
      </c>
      <c r="H6" s="158">
        <v>22.353438774380201</v>
      </c>
      <c r="I6" s="158">
        <v>12.912355443988799</v>
      </c>
      <c r="J6" s="158">
        <v>11.1144008085701</v>
      </c>
      <c r="K6" s="158">
        <v>15.380363394663</v>
      </c>
      <c r="L6" s="158">
        <v>38.983388987257896</v>
      </c>
      <c r="M6" s="158">
        <v>29.031360807957999</v>
      </c>
      <c r="N6" s="158">
        <v>53.015468054640102</v>
      </c>
      <c r="O6" s="453">
        <v>14.46</v>
      </c>
      <c r="P6" s="453">
        <v>10.34</v>
      </c>
      <c r="Q6" s="453">
        <v>18.579999999999998</v>
      </c>
      <c r="R6" s="158">
        <v>13.2428561635182</v>
      </c>
      <c r="S6" s="158">
        <v>11.303879450749299</v>
      </c>
      <c r="T6" s="158">
        <v>15.9288667116549</v>
      </c>
      <c r="U6" s="158">
        <v>61.755465903756999</v>
      </c>
      <c r="V6" s="158">
        <v>35.813004469464502</v>
      </c>
      <c r="W6" s="158">
        <v>96.154135024868694</v>
      </c>
      <c r="X6" s="158">
        <v>7.3594375148274596</v>
      </c>
      <c r="Y6" s="158">
        <v>4.7695735125466401</v>
      </c>
      <c r="Z6" s="158">
        <v>15.137968930015299</v>
      </c>
      <c r="AA6" s="158">
        <v>8.0107654725429995</v>
      </c>
      <c r="AB6" s="158">
        <v>7.0174597118704902</v>
      </c>
      <c r="AC6" s="158">
        <v>9.2555704438360493</v>
      </c>
    </row>
    <row r="7" spans="1:29">
      <c r="A7" s="155">
        <v>44713</v>
      </c>
      <c r="B7" s="45">
        <f t="shared" si="0"/>
        <v>2022</v>
      </c>
      <c r="C7" s="158">
        <v>15.413184035026299</v>
      </c>
      <c r="D7" s="158">
        <v>13.6789319271707</v>
      </c>
      <c r="E7" s="158">
        <v>17.444482885014899</v>
      </c>
      <c r="F7" s="158">
        <v>16.301405299284799</v>
      </c>
      <c r="G7" s="158">
        <v>14.369119203533399</v>
      </c>
      <c r="H7" s="158">
        <v>18.598430119698801</v>
      </c>
      <c r="I7" s="158">
        <v>12.033182193299201</v>
      </c>
      <c r="J7" s="158">
        <v>10.452278132016</v>
      </c>
      <c r="K7" s="158">
        <v>14.1585253939433</v>
      </c>
      <c r="L7" s="158">
        <v>28.054403743395099</v>
      </c>
      <c r="M7" s="158">
        <v>21.1660269851794</v>
      </c>
      <c r="N7" s="158">
        <v>37.617347759557703</v>
      </c>
      <c r="O7" s="453">
        <v>12.14</v>
      </c>
      <c r="P7" s="453">
        <v>8.02</v>
      </c>
      <c r="Q7" s="453">
        <v>16.260000000000002</v>
      </c>
      <c r="R7" s="158">
        <v>13.0194831286327</v>
      </c>
      <c r="S7" s="158">
        <v>11.121092524852701</v>
      </c>
      <c r="T7" s="158">
        <v>15.6450911490441</v>
      </c>
      <c r="U7" s="158">
        <v>42.564234359212101</v>
      </c>
      <c r="V7" s="158">
        <v>21.9981694181824</v>
      </c>
      <c r="W7" s="158">
        <v>71.291791398271698</v>
      </c>
      <c r="X7" s="158">
        <v>5.3023100812668202</v>
      </c>
      <c r="Y7" s="158">
        <v>3.7816961084958498</v>
      </c>
      <c r="Z7" s="158">
        <v>8.6384218721974708</v>
      </c>
      <c r="AA7" s="158">
        <v>7.8109317236053899</v>
      </c>
      <c r="AB7" s="158">
        <v>6.8561511689721604</v>
      </c>
      <c r="AC7" s="158">
        <v>9.0031760955722699</v>
      </c>
    </row>
    <row r="8" spans="1:29">
      <c r="A8" s="155">
        <v>44743</v>
      </c>
      <c r="B8" s="45">
        <f t="shared" si="0"/>
        <v>2022</v>
      </c>
      <c r="C8" s="158">
        <v>13.7273662181908</v>
      </c>
      <c r="D8" s="158">
        <v>12.2317120276204</v>
      </c>
      <c r="E8" s="158">
        <v>15.469753436954999</v>
      </c>
      <c r="F8" s="158">
        <v>14.3495387006847</v>
      </c>
      <c r="G8" s="158">
        <v>12.715138988362501</v>
      </c>
      <c r="H8" s="158">
        <v>16.278218990060999</v>
      </c>
      <c r="I8" s="158">
        <v>11.446175225203399</v>
      </c>
      <c r="J8" s="158">
        <v>10.0035746887076</v>
      </c>
      <c r="K8" s="158">
        <v>13.358791481413</v>
      </c>
      <c r="L8" s="158">
        <v>24.6850270548791</v>
      </c>
      <c r="M8" s="158">
        <v>18.715553922816099</v>
      </c>
      <c r="N8" s="158">
        <v>32.9240286347016</v>
      </c>
      <c r="O8" s="453">
        <v>9.7799999999999994</v>
      </c>
      <c r="P8" s="453">
        <v>5.66</v>
      </c>
      <c r="Q8" s="453">
        <v>13.9</v>
      </c>
      <c r="R8" s="158">
        <v>12.873025733370101</v>
      </c>
      <c r="S8" s="158">
        <v>10.995831560908</v>
      </c>
      <c r="T8" s="158">
        <v>15.469401666792701</v>
      </c>
      <c r="U8" s="158">
        <v>37.067006970595401</v>
      </c>
      <c r="V8" s="158">
        <v>18.1469096131611</v>
      </c>
      <c r="W8" s="158">
        <v>64.128662694880703</v>
      </c>
      <c r="X8" s="158">
        <v>3.9192940856507499</v>
      </c>
      <c r="Y8" s="158">
        <v>3.00295932686568</v>
      </c>
      <c r="Z8" s="158">
        <v>5.5670636715851396</v>
      </c>
      <c r="AA8" s="158">
        <v>7.7223188978122703</v>
      </c>
      <c r="AB8" s="158">
        <v>6.7844511674363801</v>
      </c>
      <c r="AC8" s="158">
        <v>8.8915721110787906</v>
      </c>
    </row>
    <row r="9" spans="1:29">
      <c r="A9" s="155">
        <v>44774</v>
      </c>
      <c r="B9" s="45">
        <f t="shared" si="0"/>
        <v>2022</v>
      </c>
      <c r="C9" s="158">
        <v>12.666043518213</v>
      </c>
      <c r="D9" s="158">
        <v>11.3166001947054</v>
      </c>
      <c r="E9" s="158">
        <v>14.2323779473665</v>
      </c>
      <c r="F9" s="158">
        <v>13.2112888504978</v>
      </c>
      <c r="G9" s="158">
        <v>11.7450484672916</v>
      </c>
      <c r="H9" s="158">
        <v>14.933599574501701</v>
      </c>
      <c r="I9" s="158">
        <v>10.743075853776199</v>
      </c>
      <c r="J9" s="158">
        <v>9.4589835880920994</v>
      </c>
      <c r="K9" s="158">
        <v>12.4173851312963</v>
      </c>
      <c r="L9" s="158">
        <v>21.8186452736606</v>
      </c>
      <c r="M9" s="158">
        <v>16.6194983592741</v>
      </c>
      <c r="N9" s="158">
        <v>28.954846354730801</v>
      </c>
      <c r="O9" s="453">
        <v>9.06</v>
      </c>
      <c r="P9" s="453">
        <v>4.95</v>
      </c>
      <c r="Q9" s="453">
        <v>13.18</v>
      </c>
      <c r="R9" s="158">
        <v>11.9846210166848</v>
      </c>
      <c r="S9" s="158">
        <v>10.317048275734599</v>
      </c>
      <c r="T9" s="158">
        <v>14.2512980698612</v>
      </c>
      <c r="U9" s="158">
        <v>31.891494463754</v>
      </c>
      <c r="V9" s="158">
        <v>14.6649735633387</v>
      </c>
      <c r="W9" s="158">
        <v>57.198988642122004</v>
      </c>
      <c r="X9" s="158">
        <v>3.5648427737088002</v>
      </c>
      <c r="Y9" s="158">
        <v>2.7852577384894799</v>
      </c>
      <c r="Z9" s="158">
        <v>4.8980260681011796</v>
      </c>
      <c r="AA9" s="158">
        <v>7.3778183001357203</v>
      </c>
      <c r="AB9" s="158">
        <v>6.5046976771499398</v>
      </c>
      <c r="AC9" s="158">
        <v>8.4595326115430094</v>
      </c>
    </row>
    <row r="10" spans="1:29">
      <c r="A10" s="155">
        <v>44805</v>
      </c>
      <c r="B10" s="45">
        <f t="shared" si="0"/>
        <v>2022</v>
      </c>
      <c r="C10" s="158">
        <v>13.4973569462445</v>
      </c>
      <c r="D10" s="158">
        <v>12.0268233386841</v>
      </c>
      <c r="E10" s="158">
        <v>15.2104679792819</v>
      </c>
      <c r="F10" s="158">
        <v>14.250689275631499</v>
      </c>
      <c r="G10" s="158">
        <v>12.6235422103298</v>
      </c>
      <c r="H10" s="158">
        <v>16.171664213617799</v>
      </c>
      <c r="I10" s="158">
        <v>11.164489567025299</v>
      </c>
      <c r="J10" s="158">
        <v>9.7863377158633291</v>
      </c>
      <c r="K10" s="158">
        <v>12.979495975092201</v>
      </c>
      <c r="L10" s="158">
        <v>20.7575723541778</v>
      </c>
      <c r="M10" s="158">
        <v>15.840668421559799</v>
      </c>
      <c r="N10" s="158">
        <v>27.491488627576199</v>
      </c>
      <c r="O10" s="453">
        <v>8.3800000000000008</v>
      </c>
      <c r="P10" s="453">
        <v>4.26</v>
      </c>
      <c r="Q10" s="453">
        <v>12.49</v>
      </c>
      <c r="R10" s="158">
        <v>12.961500141387299</v>
      </c>
      <c r="S10" s="158">
        <v>11.028525795060601</v>
      </c>
      <c r="T10" s="158">
        <v>15.658454121123</v>
      </c>
      <c r="U10" s="158">
        <v>27.450248836138201</v>
      </c>
      <c r="V10" s="158">
        <v>11.7962842318501</v>
      </c>
      <c r="W10" s="158">
        <v>51.104853726285199</v>
      </c>
      <c r="X10" s="158">
        <v>5.0639179309276203</v>
      </c>
      <c r="Y10" s="158">
        <v>3.65483691622482</v>
      </c>
      <c r="Z10" s="158">
        <v>8.0497307806433103</v>
      </c>
      <c r="AA10" s="158">
        <v>7.7866146165253198</v>
      </c>
      <c r="AB10" s="158">
        <v>6.83648570326607</v>
      </c>
      <c r="AC10" s="158">
        <v>8.9725304942218003</v>
      </c>
    </row>
    <row r="11" spans="1:29">
      <c r="A11" s="155">
        <v>44835</v>
      </c>
      <c r="B11" s="45">
        <f t="shared" si="0"/>
        <v>2022</v>
      </c>
      <c r="C11" s="158">
        <v>14.6254662115016</v>
      </c>
      <c r="D11" s="158">
        <v>13.003589630299</v>
      </c>
      <c r="E11" s="158">
        <v>16.5204610188479</v>
      </c>
      <c r="F11" s="158">
        <v>15.189780446719899</v>
      </c>
      <c r="G11" s="158">
        <v>13.428500356227</v>
      </c>
      <c r="H11" s="158">
        <v>17.274947888433601</v>
      </c>
      <c r="I11" s="158">
        <v>11.6260732435296</v>
      </c>
      <c r="J11" s="158">
        <v>10.141647143745899</v>
      </c>
      <c r="K11" s="158">
        <v>13.6025578130719</v>
      </c>
      <c r="L11" s="158">
        <v>31.511221393477701</v>
      </c>
      <c r="M11" s="158">
        <v>23.6665788536143</v>
      </c>
      <c r="N11" s="158">
        <v>42.460669191086403</v>
      </c>
      <c r="O11" s="453">
        <v>9.1199999999999992</v>
      </c>
      <c r="P11" s="453">
        <v>5</v>
      </c>
      <c r="Q11" s="453">
        <v>13.24</v>
      </c>
      <c r="R11" s="158">
        <v>12.7051333672722</v>
      </c>
      <c r="S11" s="158">
        <v>10.8238324011988</v>
      </c>
      <c r="T11" s="158">
        <v>15.322655946674899</v>
      </c>
      <c r="U11" s="158">
        <v>43.9440957101911</v>
      </c>
      <c r="V11" s="158">
        <v>22.415353812489801</v>
      </c>
      <c r="W11" s="158">
        <v>74.190692229721193</v>
      </c>
      <c r="X11" s="158">
        <v>6.0361479823198501</v>
      </c>
      <c r="Y11" s="158">
        <v>4.1550024888951702</v>
      </c>
      <c r="Z11" s="158">
        <v>10.6374513877476</v>
      </c>
      <c r="AA11" s="158">
        <v>7.7374688466945498</v>
      </c>
      <c r="AB11" s="158">
        <v>6.7967099307569203</v>
      </c>
      <c r="AC11" s="158">
        <v>8.9106500802295194</v>
      </c>
    </row>
    <row r="12" spans="1:29">
      <c r="A12" s="155">
        <v>44866</v>
      </c>
      <c r="B12" s="45">
        <f t="shared" si="0"/>
        <v>2022</v>
      </c>
      <c r="C12" s="158">
        <v>19.834132325324902</v>
      </c>
      <c r="D12" s="158">
        <v>17.441115918095001</v>
      </c>
      <c r="E12" s="158">
        <v>22.672148875665801</v>
      </c>
      <c r="F12" s="158">
        <v>20.441080132837602</v>
      </c>
      <c r="G12" s="158">
        <v>17.840814229597701</v>
      </c>
      <c r="H12" s="158">
        <v>23.5754287141832</v>
      </c>
      <c r="I12" s="158">
        <v>14.768718264821301</v>
      </c>
      <c r="J12" s="158">
        <v>12.474426625302099</v>
      </c>
      <c r="K12" s="158">
        <v>18.0598560729158</v>
      </c>
      <c r="L12" s="158">
        <v>56.266838499733502</v>
      </c>
      <c r="M12" s="158">
        <v>41.2668481536288</v>
      </c>
      <c r="N12" s="158">
        <v>77.806291210524904</v>
      </c>
      <c r="O12" s="453">
        <v>8.92</v>
      </c>
      <c r="P12" s="453">
        <v>4.8</v>
      </c>
      <c r="Q12" s="453">
        <v>13.04</v>
      </c>
      <c r="R12" s="158">
        <v>12.7861473610552</v>
      </c>
      <c r="S12" s="158">
        <v>10.8681422816062</v>
      </c>
      <c r="T12" s="158">
        <v>15.468428825158099</v>
      </c>
      <c r="U12" s="158">
        <v>83.773103220792706</v>
      </c>
      <c r="V12" s="158">
        <v>50.9462036164675</v>
      </c>
      <c r="W12" s="158">
        <v>126.344672088783</v>
      </c>
      <c r="X12" s="158">
        <v>9.7248221547173799</v>
      </c>
      <c r="Y12" s="158">
        <v>5.7146535413080199</v>
      </c>
      <c r="Z12" s="158">
        <v>27.971727599800001</v>
      </c>
      <c r="AA12" s="158">
        <v>8.9945190926446994</v>
      </c>
      <c r="AB12" s="158">
        <v>7.8038089444453496</v>
      </c>
      <c r="AC12" s="158">
        <v>10.512680753575999</v>
      </c>
    </row>
    <row r="13" spans="1:29">
      <c r="A13" s="155">
        <v>44896</v>
      </c>
      <c r="B13" s="45">
        <f t="shared" si="0"/>
        <v>2022</v>
      </c>
      <c r="C13" s="158">
        <v>28.513746441457599</v>
      </c>
      <c r="D13" s="158">
        <v>24.703538196833801</v>
      </c>
      <c r="E13" s="158">
        <v>33.124634966612298</v>
      </c>
      <c r="F13" s="158">
        <v>29.902431607068699</v>
      </c>
      <c r="G13" s="158">
        <v>25.6074813174356</v>
      </c>
      <c r="H13" s="158">
        <v>35.220437733503999</v>
      </c>
      <c r="I13" s="158">
        <v>20.3088414198957</v>
      </c>
      <c r="J13" s="158">
        <v>16.2571474757085</v>
      </c>
      <c r="K13" s="158">
        <v>26.939397274068</v>
      </c>
      <c r="L13" s="158">
        <v>76.866280209782303</v>
      </c>
      <c r="M13" s="158">
        <v>55.621416076443097</v>
      </c>
      <c r="N13" s="158">
        <v>107.86877104583699</v>
      </c>
      <c r="O13" s="453">
        <v>9.52</v>
      </c>
      <c r="P13" s="453">
        <v>5.4</v>
      </c>
      <c r="Q13" s="453">
        <v>13.64</v>
      </c>
      <c r="R13" s="158">
        <v>16.863864611361102</v>
      </c>
      <c r="S13" s="158">
        <v>13.7214020268943</v>
      </c>
      <c r="T13" s="158">
        <v>21.727599768273301</v>
      </c>
      <c r="U13" s="158">
        <v>149.39611527026301</v>
      </c>
      <c r="V13" s="158">
        <v>101.94107739587599</v>
      </c>
      <c r="W13" s="158">
        <v>207.61181130113999</v>
      </c>
      <c r="X13" s="158">
        <v>12.190743117234399</v>
      </c>
      <c r="Y13" s="158">
        <v>6.5378925049379797</v>
      </c>
      <c r="Z13" s="158">
        <v>57.379071319903403</v>
      </c>
      <c r="AA13" s="158">
        <v>11.4562042466259</v>
      </c>
      <c r="AB13" s="158">
        <v>9.7216237782224795</v>
      </c>
      <c r="AC13" s="158">
        <v>13.7587054512811</v>
      </c>
    </row>
    <row r="14" spans="1:29">
      <c r="A14" s="155">
        <v>44927</v>
      </c>
      <c r="B14" s="45">
        <f t="shared" si="0"/>
        <v>2023</v>
      </c>
      <c r="C14" s="158">
        <v>36.245464820011399</v>
      </c>
      <c r="D14" s="158">
        <v>31.0840129897352</v>
      </c>
      <c r="E14" s="158">
        <v>42.578872179720598</v>
      </c>
      <c r="F14" s="158">
        <v>38.199522317166398</v>
      </c>
      <c r="G14" s="158">
        <v>32.2930448046408</v>
      </c>
      <c r="H14" s="158">
        <v>45.648518461393401</v>
      </c>
      <c r="I14" s="158">
        <v>24.3760953524949</v>
      </c>
      <c r="J14" s="158">
        <v>18.784803549120898</v>
      </c>
      <c r="K14" s="158">
        <v>34.489188514612202</v>
      </c>
      <c r="L14" s="158">
        <v>106.996797968698</v>
      </c>
      <c r="M14" s="158">
        <v>76.183080028532402</v>
      </c>
      <c r="N14" s="158">
        <v>152.84432857829799</v>
      </c>
      <c r="O14" s="453">
        <v>14.01</v>
      </c>
      <c r="P14" s="453">
        <v>9.67</v>
      </c>
      <c r="Q14" s="453">
        <v>18.34</v>
      </c>
      <c r="R14" s="158">
        <v>16.737800821783299</v>
      </c>
      <c r="S14" s="158">
        <v>13.325217575345899</v>
      </c>
      <c r="T14" s="158">
        <v>22.3064207840814</v>
      </c>
      <c r="U14" s="158">
        <v>184.34487244345999</v>
      </c>
      <c r="V14" s="158">
        <v>125.747170528753</v>
      </c>
      <c r="W14" s="158">
        <v>256.24155625106602</v>
      </c>
      <c r="X14" s="158">
        <v>14.7947734745481</v>
      </c>
      <c r="Y14" s="158">
        <v>6.86091381842642</v>
      </c>
      <c r="Z14" s="158">
        <v>8684.3734228540907</v>
      </c>
      <c r="AA14" s="158">
        <v>12.657643028241401</v>
      </c>
      <c r="AB14" s="158">
        <v>10.6277059809119</v>
      </c>
      <c r="AC14" s="158">
        <v>15.4053792289276</v>
      </c>
    </row>
    <row r="15" spans="1:29">
      <c r="A15" s="155">
        <v>44958</v>
      </c>
      <c r="B15" s="45">
        <f t="shared" si="0"/>
        <v>2023</v>
      </c>
      <c r="C15" s="158">
        <v>32.164998468911499</v>
      </c>
      <c r="D15" s="158">
        <v>27.7270175964026</v>
      </c>
      <c r="E15" s="158">
        <v>37.572526205444198</v>
      </c>
      <c r="F15" s="158">
        <v>33.692026794258801</v>
      </c>
      <c r="G15" s="158">
        <v>28.680217634077799</v>
      </c>
      <c r="H15" s="158">
        <v>39.950745628308901</v>
      </c>
      <c r="I15" s="158">
        <v>22.4383699221138</v>
      </c>
      <c r="J15" s="158">
        <v>17.610710777367402</v>
      </c>
      <c r="K15" s="158">
        <v>30.753600590714601</v>
      </c>
      <c r="L15" s="158">
        <v>95.837588817356604</v>
      </c>
      <c r="M15" s="158">
        <v>68.665253208411897</v>
      </c>
      <c r="N15" s="158">
        <v>135.96463195830799</v>
      </c>
      <c r="O15" s="453">
        <v>15.15</v>
      </c>
      <c r="P15" s="453">
        <v>10.79</v>
      </c>
      <c r="Q15" s="453">
        <v>19.52</v>
      </c>
      <c r="R15" s="158">
        <v>14.4078932195346</v>
      </c>
      <c r="S15" s="158">
        <v>11.771939027025599</v>
      </c>
      <c r="T15" s="158">
        <v>18.447455929347498</v>
      </c>
      <c r="U15" s="158">
        <v>155.52197153334899</v>
      </c>
      <c r="V15" s="158">
        <v>102.355924602618</v>
      </c>
      <c r="W15" s="158">
        <v>221.90923376584701</v>
      </c>
      <c r="X15" s="158">
        <v>12.7341554089938</v>
      </c>
      <c r="Y15" s="158">
        <v>6.3378125051676797</v>
      </c>
      <c r="Z15" s="158">
        <v>126.935100785749</v>
      </c>
      <c r="AA15" s="158">
        <v>11.8020705174869</v>
      </c>
      <c r="AB15" s="158">
        <v>9.9856562594393097</v>
      </c>
      <c r="AC15" s="158">
        <v>14.226268789912201</v>
      </c>
    </row>
    <row r="16" spans="1:29">
      <c r="A16" s="155">
        <v>44986</v>
      </c>
      <c r="B16" s="45">
        <f t="shared" si="0"/>
        <v>2023</v>
      </c>
      <c r="C16" s="158">
        <v>27.8522913625992</v>
      </c>
      <c r="D16" s="158">
        <v>24.163675930624802</v>
      </c>
      <c r="E16" s="158">
        <v>32.307689333697198</v>
      </c>
      <c r="F16" s="158">
        <v>28.5797760966617</v>
      </c>
      <c r="G16" s="158">
        <v>24.548668658176901</v>
      </c>
      <c r="H16" s="158">
        <v>33.549810863693999</v>
      </c>
      <c r="I16" s="158">
        <v>19.702319879086701</v>
      </c>
      <c r="J16" s="158">
        <v>15.8614404341933</v>
      </c>
      <c r="K16" s="158">
        <v>25.897833392935102</v>
      </c>
      <c r="L16" s="158">
        <v>104.724690221055</v>
      </c>
      <c r="M16" s="158">
        <v>74.722496127644504</v>
      </c>
      <c r="N16" s="158">
        <v>149.251864344475</v>
      </c>
      <c r="O16" s="453">
        <v>16.25</v>
      </c>
      <c r="P16" s="453">
        <v>11.89</v>
      </c>
      <c r="Q16" s="453">
        <v>20.62</v>
      </c>
      <c r="R16" s="158">
        <v>14.376084278018</v>
      </c>
      <c r="S16" s="158">
        <v>11.745514551002801</v>
      </c>
      <c r="T16" s="158">
        <v>18.407750142733502</v>
      </c>
      <c r="U16" s="158">
        <v>158.43960992894799</v>
      </c>
      <c r="V16" s="158">
        <v>104.23289668797401</v>
      </c>
      <c r="W16" s="158">
        <v>226.13999911095499</v>
      </c>
      <c r="X16" s="158">
        <v>11.7063871029473</v>
      </c>
      <c r="Y16" s="158">
        <v>6.0546702814260902</v>
      </c>
      <c r="Z16" s="158">
        <v>74.108628187464703</v>
      </c>
      <c r="AA16" s="158">
        <v>10.246564911970999</v>
      </c>
      <c r="AB16" s="158">
        <v>8.7877718764469304</v>
      </c>
      <c r="AC16" s="158">
        <v>12.1458960983363</v>
      </c>
    </row>
    <row r="17" spans="1:29">
      <c r="A17" s="155">
        <v>45017</v>
      </c>
      <c r="B17" s="45">
        <f t="shared" si="0"/>
        <v>2023</v>
      </c>
      <c r="C17" s="158">
        <v>24.528487550861701</v>
      </c>
      <c r="D17" s="158">
        <v>21.390652475110102</v>
      </c>
      <c r="E17" s="158">
        <v>28.291995187845298</v>
      </c>
      <c r="F17" s="158">
        <v>25.212564318015801</v>
      </c>
      <c r="G17" s="158">
        <v>21.790197833701399</v>
      </c>
      <c r="H17" s="158">
        <v>29.395446577361898</v>
      </c>
      <c r="I17" s="158">
        <v>17.845451094601401</v>
      </c>
      <c r="J17" s="158">
        <v>14.624166629943799</v>
      </c>
      <c r="K17" s="158">
        <v>22.8160064196408</v>
      </c>
      <c r="L17" s="158">
        <v>85.221335676424701</v>
      </c>
      <c r="M17" s="158">
        <v>61.384284705430503</v>
      </c>
      <c r="N17" s="158">
        <v>120.19905792739</v>
      </c>
      <c r="O17" s="453">
        <v>14.12</v>
      </c>
      <c r="P17" s="453">
        <v>9.76</v>
      </c>
      <c r="Q17" s="453">
        <v>18.489999999999998</v>
      </c>
      <c r="R17" s="158">
        <v>13.648131428352301</v>
      </c>
      <c r="S17" s="158">
        <v>11.216544465362899</v>
      </c>
      <c r="T17" s="158">
        <v>17.323317732544499</v>
      </c>
      <c r="U17" s="158">
        <v>117.807137506655</v>
      </c>
      <c r="V17" s="158">
        <v>72.573934381241003</v>
      </c>
      <c r="W17" s="158">
        <v>176.11121667082199</v>
      </c>
      <c r="X17" s="158">
        <v>9.8102943862480494</v>
      </c>
      <c r="Y17" s="158">
        <v>5.4725975703955099</v>
      </c>
      <c r="Z17" s="158">
        <v>36.166308154652199</v>
      </c>
      <c r="AA17" s="158">
        <v>9.6666354717205696</v>
      </c>
      <c r="AB17" s="158">
        <v>8.3345717002060393</v>
      </c>
      <c r="AC17" s="158">
        <v>11.3843381310051</v>
      </c>
    </row>
    <row r="18" spans="1:29">
      <c r="A18" s="155">
        <v>45047</v>
      </c>
      <c r="B18" s="45">
        <f t="shared" si="0"/>
        <v>2023</v>
      </c>
      <c r="C18" s="158">
        <v>18.217326744929</v>
      </c>
      <c r="D18" s="158">
        <v>16.070453740763298</v>
      </c>
      <c r="E18" s="158">
        <v>20.752479880156599</v>
      </c>
      <c r="F18" s="158">
        <v>19.430576141962199</v>
      </c>
      <c r="G18" s="158">
        <v>16.997898462921601</v>
      </c>
      <c r="H18" s="158">
        <v>22.353438774380201</v>
      </c>
      <c r="I18" s="158">
        <v>12.912355443988799</v>
      </c>
      <c r="J18" s="158">
        <v>11.1144008085701</v>
      </c>
      <c r="K18" s="158">
        <v>15.380363394663</v>
      </c>
      <c r="L18" s="158">
        <v>38.983388987257896</v>
      </c>
      <c r="M18" s="158">
        <v>29.031360807957999</v>
      </c>
      <c r="N18" s="158">
        <v>53.015468054640102</v>
      </c>
      <c r="O18" s="453">
        <v>14.46</v>
      </c>
      <c r="P18" s="453">
        <v>10.1</v>
      </c>
      <c r="Q18" s="453">
        <v>18.829999999999998</v>
      </c>
      <c r="R18" s="158">
        <v>12.958112017504</v>
      </c>
      <c r="S18" s="158">
        <v>10.7112296105451</v>
      </c>
      <c r="T18" s="158">
        <v>16.3083236418783</v>
      </c>
      <c r="U18" s="158">
        <v>61.095046237116598</v>
      </c>
      <c r="V18" s="158">
        <v>31.350556147020001</v>
      </c>
      <c r="W18" s="158">
        <v>102.77457715011499</v>
      </c>
      <c r="X18" s="158">
        <v>7.3523910706139102</v>
      </c>
      <c r="Y18" s="158">
        <v>4.5736488098373203</v>
      </c>
      <c r="Z18" s="158">
        <v>17.133845206013198</v>
      </c>
      <c r="AA18" s="158">
        <v>8.0107654725429995</v>
      </c>
      <c r="AB18" s="158">
        <v>7.0174597118704902</v>
      </c>
      <c r="AC18" s="158">
        <v>9.2555704438360493</v>
      </c>
    </row>
    <row r="19" spans="1:29">
      <c r="A19" s="155">
        <v>45078</v>
      </c>
      <c r="B19" s="45">
        <f t="shared" si="0"/>
        <v>2023</v>
      </c>
      <c r="C19" s="158">
        <v>15.413184035026299</v>
      </c>
      <c r="D19" s="158">
        <v>13.6789319271707</v>
      </c>
      <c r="E19" s="158">
        <v>17.444482885014899</v>
      </c>
      <c r="F19" s="158">
        <v>16.301405299284799</v>
      </c>
      <c r="G19" s="158">
        <v>14.369119203533399</v>
      </c>
      <c r="H19" s="158">
        <v>18.598430119698801</v>
      </c>
      <c r="I19" s="158">
        <v>12.033182193299201</v>
      </c>
      <c r="J19" s="158">
        <v>10.452278132016</v>
      </c>
      <c r="K19" s="158">
        <v>14.1585253939433</v>
      </c>
      <c r="L19" s="158">
        <v>28.054403743395099</v>
      </c>
      <c r="M19" s="158">
        <v>21.1660269851794</v>
      </c>
      <c r="N19" s="158">
        <v>37.617347759557703</v>
      </c>
      <c r="O19" s="453">
        <v>12.14</v>
      </c>
      <c r="P19" s="453">
        <v>7.78</v>
      </c>
      <c r="Q19" s="453">
        <v>16.510000000000002</v>
      </c>
      <c r="R19" s="158">
        <v>12.590184855521899</v>
      </c>
      <c r="S19" s="158">
        <v>10.4292573121238</v>
      </c>
      <c r="T19" s="158">
        <v>15.796266856488399</v>
      </c>
      <c r="U19" s="158">
        <v>42.071784586277801</v>
      </c>
      <c r="V19" s="158">
        <v>18.7669642708534</v>
      </c>
      <c r="W19" s="158">
        <v>76.748126496298298</v>
      </c>
      <c r="X19" s="158">
        <v>5.3777221083575997</v>
      </c>
      <c r="Y19" s="158">
        <v>3.6936438696149398</v>
      </c>
      <c r="Z19" s="158">
        <v>9.5259491460143693</v>
      </c>
      <c r="AA19" s="158">
        <v>7.8109317236053899</v>
      </c>
      <c r="AB19" s="158">
        <v>6.8561511689721604</v>
      </c>
      <c r="AC19" s="158">
        <v>9.0031760955722699</v>
      </c>
    </row>
    <row r="20" spans="1:29">
      <c r="A20" s="155">
        <v>45108</v>
      </c>
      <c r="B20" s="45">
        <f t="shared" si="0"/>
        <v>2023</v>
      </c>
      <c r="C20" s="158">
        <v>13.7273662181908</v>
      </c>
      <c r="D20" s="158">
        <v>12.2317120276204</v>
      </c>
      <c r="E20" s="158">
        <v>15.469753436954999</v>
      </c>
      <c r="F20" s="158">
        <v>14.3495387006847</v>
      </c>
      <c r="G20" s="158">
        <v>12.715138988362501</v>
      </c>
      <c r="H20" s="158">
        <v>16.278218990060999</v>
      </c>
      <c r="I20" s="158">
        <v>11.446175225203399</v>
      </c>
      <c r="J20" s="158">
        <v>10.0035746887076</v>
      </c>
      <c r="K20" s="158">
        <v>13.358791481413</v>
      </c>
      <c r="L20" s="158">
        <v>24.6850270548791</v>
      </c>
      <c r="M20" s="158">
        <v>18.715553922816099</v>
      </c>
      <c r="N20" s="158">
        <v>32.9240286347016</v>
      </c>
      <c r="O20" s="453">
        <v>9.7799999999999994</v>
      </c>
      <c r="P20" s="453">
        <v>5.42</v>
      </c>
      <c r="Q20" s="453">
        <v>14.15</v>
      </c>
      <c r="R20" s="158">
        <v>12.5104926536963</v>
      </c>
      <c r="S20" s="158">
        <v>10.3495189113517</v>
      </c>
      <c r="T20" s="158">
        <v>15.726577380079201</v>
      </c>
      <c r="U20" s="158">
        <v>36.646490815763698</v>
      </c>
      <c r="V20" s="158">
        <v>15.348323327572601</v>
      </c>
      <c r="W20" s="158">
        <v>69.170023956362002</v>
      </c>
      <c r="X20" s="158">
        <v>3.9173020380375299</v>
      </c>
      <c r="Y20" s="158">
        <v>2.9205949543177399</v>
      </c>
      <c r="Z20" s="158">
        <v>5.8451198918637601</v>
      </c>
      <c r="AA20" s="158">
        <v>7.7223188978122703</v>
      </c>
      <c r="AB20" s="158">
        <v>6.7844511674363801</v>
      </c>
      <c r="AC20" s="158">
        <v>8.8915721110787906</v>
      </c>
    </row>
    <row r="21" spans="1:29">
      <c r="A21" s="155">
        <v>45139</v>
      </c>
      <c r="B21" s="45">
        <f t="shared" si="0"/>
        <v>2023</v>
      </c>
      <c r="C21" s="158">
        <v>12.666043518213</v>
      </c>
      <c r="D21" s="158">
        <v>11.3166001947054</v>
      </c>
      <c r="E21" s="158">
        <v>14.2323779473665</v>
      </c>
      <c r="F21" s="158">
        <v>13.2112888504978</v>
      </c>
      <c r="G21" s="158">
        <v>11.7450484672916</v>
      </c>
      <c r="H21" s="158">
        <v>14.933599574501701</v>
      </c>
      <c r="I21" s="158">
        <v>10.743075853776199</v>
      </c>
      <c r="J21" s="158">
        <v>9.4589835880920994</v>
      </c>
      <c r="K21" s="158">
        <v>12.4173851312963</v>
      </c>
      <c r="L21" s="158">
        <v>21.8186452736606</v>
      </c>
      <c r="M21" s="158">
        <v>16.6194983592741</v>
      </c>
      <c r="N21" s="158">
        <v>28.954846354730801</v>
      </c>
      <c r="O21" s="453">
        <v>9.06</v>
      </c>
      <c r="P21" s="453">
        <v>4.7</v>
      </c>
      <c r="Q21" s="453">
        <v>13.43</v>
      </c>
      <c r="R21" s="158">
        <v>11.7667474577745</v>
      </c>
      <c r="S21" s="158">
        <v>9.8047870104050698</v>
      </c>
      <c r="T21" s="158">
        <v>14.6380274191252</v>
      </c>
      <c r="U21" s="158">
        <v>31.534914824124701</v>
      </c>
      <c r="V21" s="158">
        <v>12.263525720411099</v>
      </c>
      <c r="W21" s="158">
        <v>61.850847079973903</v>
      </c>
      <c r="X21" s="158">
        <v>3.8086581657067402</v>
      </c>
      <c r="Y21" s="158">
        <v>2.8580197903679898</v>
      </c>
      <c r="Z21" s="158">
        <v>5.6153535489715303</v>
      </c>
      <c r="AA21" s="158">
        <v>7.3778183001357203</v>
      </c>
      <c r="AB21" s="158">
        <v>6.5046976771499398</v>
      </c>
      <c r="AC21" s="158">
        <v>8.4595326115430094</v>
      </c>
    </row>
    <row r="22" spans="1:29">
      <c r="A22" s="155">
        <v>45170</v>
      </c>
      <c r="B22" s="45">
        <f t="shared" si="0"/>
        <v>2023</v>
      </c>
      <c r="C22" s="158">
        <v>13.4973569462445</v>
      </c>
      <c r="D22" s="158">
        <v>12.0268233386841</v>
      </c>
      <c r="E22" s="158">
        <v>15.2104679792819</v>
      </c>
      <c r="F22" s="158">
        <v>14.250689275631499</v>
      </c>
      <c r="G22" s="158">
        <v>12.6235422103298</v>
      </c>
      <c r="H22" s="158">
        <v>16.171664213617799</v>
      </c>
      <c r="I22" s="158">
        <v>11.164489567025299</v>
      </c>
      <c r="J22" s="158">
        <v>9.7863377158633291</v>
      </c>
      <c r="K22" s="158">
        <v>12.979495975092201</v>
      </c>
      <c r="L22" s="158">
        <v>20.7575723541778</v>
      </c>
      <c r="M22" s="158">
        <v>15.840668421559799</v>
      </c>
      <c r="N22" s="158">
        <v>27.491488627576199</v>
      </c>
      <c r="O22" s="453">
        <v>8.3800000000000008</v>
      </c>
      <c r="P22" s="453">
        <v>4.01</v>
      </c>
      <c r="Q22" s="453">
        <v>12.74</v>
      </c>
      <c r="R22" s="158">
        <v>12.5403231965633</v>
      </c>
      <c r="S22" s="158">
        <v>10.323447862558901</v>
      </c>
      <c r="T22" s="158">
        <v>15.8777494942237</v>
      </c>
      <c r="U22" s="158">
        <v>27.1478105352234</v>
      </c>
      <c r="V22" s="158">
        <v>9.7360265813733999</v>
      </c>
      <c r="W22" s="158">
        <v>55.414202823233701</v>
      </c>
      <c r="X22" s="158">
        <v>5.5161845203209801</v>
      </c>
      <c r="Y22" s="158">
        <v>3.7609938276839499</v>
      </c>
      <c r="Z22" s="158">
        <v>9.9431076731490808</v>
      </c>
      <c r="AA22" s="158">
        <v>7.7866146165253198</v>
      </c>
      <c r="AB22" s="158">
        <v>6.83648570326607</v>
      </c>
      <c r="AC22" s="158">
        <v>8.9725304942218003</v>
      </c>
    </row>
    <row r="23" spans="1:29">
      <c r="A23" s="155">
        <v>45200</v>
      </c>
      <c r="B23" s="45">
        <f t="shared" si="0"/>
        <v>2023</v>
      </c>
      <c r="C23" s="158">
        <v>14.6254662115016</v>
      </c>
      <c r="D23" s="158">
        <v>13.003589630299</v>
      </c>
      <c r="E23" s="158">
        <v>16.5204610188479</v>
      </c>
      <c r="F23" s="158">
        <v>15.189780446719899</v>
      </c>
      <c r="G23" s="158">
        <v>13.428500356227</v>
      </c>
      <c r="H23" s="158">
        <v>17.274947888433601</v>
      </c>
      <c r="I23" s="158">
        <v>11.6260732435296</v>
      </c>
      <c r="J23" s="158">
        <v>10.141647143745899</v>
      </c>
      <c r="K23" s="158">
        <v>13.6025578130719</v>
      </c>
      <c r="L23" s="158">
        <v>31.511221393477701</v>
      </c>
      <c r="M23" s="158">
        <v>23.6665788536143</v>
      </c>
      <c r="N23" s="158">
        <v>42.460669191086403</v>
      </c>
      <c r="O23" s="453">
        <v>9.1199999999999992</v>
      </c>
      <c r="P23" s="453">
        <v>4.76</v>
      </c>
      <c r="Q23" s="453">
        <v>13.49</v>
      </c>
      <c r="R23" s="158">
        <v>12.4993657560304</v>
      </c>
      <c r="S23" s="158">
        <v>10.272402055613</v>
      </c>
      <c r="T23" s="158">
        <v>15.865311110522301</v>
      </c>
      <c r="U23" s="158">
        <v>43.576582391491101</v>
      </c>
      <c r="V23" s="158">
        <v>19.450340155496001</v>
      </c>
      <c r="W23" s="158">
        <v>79.465822903784897</v>
      </c>
      <c r="X23" s="158">
        <v>6.04982307935144</v>
      </c>
      <c r="Y23" s="158">
        <v>4.0120482020927</v>
      </c>
      <c r="Z23" s="158">
        <v>11.689434584458001</v>
      </c>
      <c r="AA23" s="158">
        <v>7.7374688466945498</v>
      </c>
      <c r="AB23" s="158">
        <v>6.7967099307569203</v>
      </c>
      <c r="AC23" s="158">
        <v>8.9106500802295194</v>
      </c>
    </row>
    <row r="24" spans="1:29">
      <c r="A24" s="155">
        <v>45231</v>
      </c>
      <c r="B24" s="45">
        <f t="shared" si="0"/>
        <v>2023</v>
      </c>
      <c r="C24" s="158">
        <v>19.834132325324902</v>
      </c>
      <c r="D24" s="158">
        <v>17.441115918095001</v>
      </c>
      <c r="E24" s="158">
        <v>22.672148875665801</v>
      </c>
      <c r="F24" s="158">
        <v>20.441080132837602</v>
      </c>
      <c r="G24" s="158">
        <v>17.840814229597701</v>
      </c>
      <c r="H24" s="158">
        <v>23.5754287141832</v>
      </c>
      <c r="I24" s="158">
        <v>14.768718264821301</v>
      </c>
      <c r="J24" s="158">
        <v>12.474426625302099</v>
      </c>
      <c r="K24" s="158">
        <v>18.0598560729158</v>
      </c>
      <c r="L24" s="158">
        <v>56.266838499733502</v>
      </c>
      <c r="M24" s="158">
        <v>41.2668481536288</v>
      </c>
      <c r="N24" s="158">
        <v>77.806291210524904</v>
      </c>
      <c r="O24" s="453">
        <v>8.92</v>
      </c>
      <c r="P24" s="453">
        <v>4.55</v>
      </c>
      <c r="Q24" s="453">
        <v>13.28</v>
      </c>
      <c r="R24" s="158">
        <v>12.749505329158801</v>
      </c>
      <c r="S24" s="158">
        <v>10.4214218798073</v>
      </c>
      <c r="T24" s="158">
        <v>16.3136307369554</v>
      </c>
      <c r="U24" s="158">
        <v>83.279078606178999</v>
      </c>
      <c r="V24" s="158">
        <v>46.2094172877121</v>
      </c>
      <c r="W24" s="158">
        <v>133.43703322336199</v>
      </c>
      <c r="X24" s="158">
        <v>10.0047201806393</v>
      </c>
      <c r="Y24" s="158">
        <v>5.5362504195765601</v>
      </c>
      <c r="Z24" s="158">
        <v>38.587003420690699</v>
      </c>
      <c r="AA24" s="158">
        <v>8.9945190926446994</v>
      </c>
      <c r="AB24" s="158">
        <v>7.8038089444453496</v>
      </c>
      <c r="AC24" s="158">
        <v>10.512680753575999</v>
      </c>
    </row>
    <row r="25" spans="1:29">
      <c r="A25" s="155">
        <v>45261</v>
      </c>
      <c r="B25" s="45">
        <f t="shared" si="0"/>
        <v>2023</v>
      </c>
      <c r="C25" s="158">
        <v>28.513746441457599</v>
      </c>
      <c r="D25" s="158">
        <v>24.703538196833801</v>
      </c>
      <c r="E25" s="158">
        <v>33.124634966612298</v>
      </c>
      <c r="F25" s="158">
        <v>29.902431607068699</v>
      </c>
      <c r="G25" s="158">
        <v>25.6074813174356</v>
      </c>
      <c r="H25" s="158">
        <v>35.220437733503999</v>
      </c>
      <c r="I25" s="158">
        <v>20.3088414198957</v>
      </c>
      <c r="J25" s="158">
        <v>16.2571474757085</v>
      </c>
      <c r="K25" s="158">
        <v>26.939397274068</v>
      </c>
      <c r="L25" s="158">
        <v>76.866280209782303</v>
      </c>
      <c r="M25" s="158">
        <v>55.621416076443097</v>
      </c>
      <c r="N25" s="158">
        <v>107.86877104583699</v>
      </c>
      <c r="O25" s="453">
        <v>9.52</v>
      </c>
      <c r="P25" s="453">
        <v>5.16</v>
      </c>
      <c r="Q25" s="453">
        <v>13.89</v>
      </c>
      <c r="R25" s="158">
        <v>15.9673188251583</v>
      </c>
      <c r="S25" s="158">
        <v>12.5001999560944</v>
      </c>
      <c r="T25" s="158">
        <v>21.866882746263698</v>
      </c>
      <c r="U25" s="158">
        <v>148.757316255944</v>
      </c>
      <c r="V25" s="158">
        <v>94.931653079708198</v>
      </c>
      <c r="W25" s="158">
        <v>216.97804693509701</v>
      </c>
      <c r="X25" s="158">
        <v>12.4872452334918</v>
      </c>
      <c r="Y25" s="158">
        <v>6.27182249594851</v>
      </c>
      <c r="Z25" s="158">
        <v>109.615516618763</v>
      </c>
      <c r="AA25" s="158">
        <v>11.4562042466259</v>
      </c>
      <c r="AB25" s="158">
        <v>9.7216237782224795</v>
      </c>
      <c r="AC25" s="158">
        <v>13.7587054512811</v>
      </c>
    </row>
    <row r="26" spans="1:29">
      <c r="A26" s="155">
        <v>45292</v>
      </c>
      <c r="B26" s="45">
        <f t="shared" si="0"/>
        <v>2024</v>
      </c>
      <c r="C26" s="158">
        <v>36.245464820011399</v>
      </c>
      <c r="D26" s="158">
        <v>31.0840129897352</v>
      </c>
      <c r="E26" s="158">
        <v>42.578872179720598</v>
      </c>
      <c r="F26" s="158">
        <v>38.199522317166398</v>
      </c>
      <c r="G26" s="158">
        <v>32.2930448046408</v>
      </c>
      <c r="H26" s="158">
        <v>45.648518461393401</v>
      </c>
      <c r="I26" s="158">
        <v>24.3760953524949</v>
      </c>
      <c r="J26" s="158">
        <v>18.784803549120898</v>
      </c>
      <c r="K26" s="158">
        <v>34.489188514612202</v>
      </c>
      <c r="L26" s="158">
        <v>106.996797968698</v>
      </c>
      <c r="M26" s="158">
        <v>76.183080028532402</v>
      </c>
      <c r="N26" s="158">
        <v>152.84432857829799</v>
      </c>
      <c r="O26" s="453">
        <v>14.01</v>
      </c>
      <c r="P26" s="453">
        <v>9.44</v>
      </c>
      <c r="Q26" s="453">
        <v>18.57</v>
      </c>
      <c r="R26" s="158">
        <v>16.214617617774898</v>
      </c>
      <c r="S26" s="158">
        <v>12.494141140613401</v>
      </c>
      <c r="T26" s="158">
        <v>22.807136102054798</v>
      </c>
      <c r="U26" s="158">
        <v>183.67750705355701</v>
      </c>
      <c r="V26" s="158">
        <v>118.67920488615</v>
      </c>
      <c r="W26" s="158">
        <v>265.56795820711397</v>
      </c>
      <c r="X26" s="158">
        <v>14.848748683549699</v>
      </c>
      <c r="Y26" s="158">
        <v>6.7938795485475696</v>
      </c>
      <c r="Z26" s="158" t="s">
        <v>379</v>
      </c>
      <c r="AA26" s="158">
        <v>12.657643028241401</v>
      </c>
      <c r="AB26" s="158">
        <v>10.6277059809119</v>
      </c>
      <c r="AC26" s="158">
        <v>15.4053792289276</v>
      </c>
    </row>
    <row r="27" spans="1:29">
      <c r="A27" s="155">
        <v>45323</v>
      </c>
      <c r="B27" s="45">
        <f t="shared" si="0"/>
        <v>2024</v>
      </c>
      <c r="C27" s="158">
        <v>32.164998468911499</v>
      </c>
      <c r="D27" s="158">
        <v>27.7270175964026</v>
      </c>
      <c r="E27" s="158">
        <v>37.572526205444198</v>
      </c>
      <c r="F27" s="158">
        <v>33.692026794258801</v>
      </c>
      <c r="G27" s="158">
        <v>28.680217634077799</v>
      </c>
      <c r="H27" s="158">
        <v>39.950745628308901</v>
      </c>
      <c r="I27" s="158">
        <v>22.4383699221138</v>
      </c>
      <c r="J27" s="158">
        <v>17.610710777367402</v>
      </c>
      <c r="K27" s="158">
        <v>30.753600590714601</v>
      </c>
      <c r="L27" s="158">
        <v>95.837588817356604</v>
      </c>
      <c r="M27" s="158">
        <v>68.665253208411897</v>
      </c>
      <c r="N27" s="158">
        <v>135.96463195830799</v>
      </c>
      <c r="O27" s="453">
        <v>15.15</v>
      </c>
      <c r="P27" s="453">
        <v>10.55</v>
      </c>
      <c r="Q27" s="453">
        <v>19.75</v>
      </c>
      <c r="R27" s="158">
        <v>14.137441371242099</v>
      </c>
      <c r="S27" s="158">
        <v>11.180129353815</v>
      </c>
      <c r="T27" s="158">
        <v>19.0435968739503</v>
      </c>
      <c r="U27" s="158">
        <v>154.96248617561301</v>
      </c>
      <c r="V27" s="158">
        <v>96.255163597454597</v>
      </c>
      <c r="W27" s="158">
        <v>230.33799898712601</v>
      </c>
      <c r="X27" s="158">
        <v>12.7341554089938</v>
      </c>
      <c r="Y27" s="158">
        <v>6.2778747177410699</v>
      </c>
      <c r="Z27" s="158">
        <v>147.69455370533899</v>
      </c>
      <c r="AA27" s="158">
        <v>11.8020705174869</v>
      </c>
      <c r="AB27" s="158">
        <v>9.9856562594393097</v>
      </c>
      <c r="AC27" s="158">
        <v>14.226268789912201</v>
      </c>
    </row>
    <row r="28" spans="1:29">
      <c r="A28" s="155">
        <v>45352</v>
      </c>
      <c r="B28" s="45">
        <f t="shared" si="0"/>
        <v>2024</v>
      </c>
      <c r="C28" s="158">
        <v>27.8522913625992</v>
      </c>
      <c r="D28" s="158">
        <v>24.163675930624802</v>
      </c>
      <c r="E28" s="158">
        <v>32.307689333697198</v>
      </c>
      <c r="F28" s="158">
        <v>28.5797760966617</v>
      </c>
      <c r="G28" s="158">
        <v>24.548668658176901</v>
      </c>
      <c r="H28" s="158">
        <v>33.549810863693999</v>
      </c>
      <c r="I28" s="158">
        <v>19.702319879086701</v>
      </c>
      <c r="J28" s="158">
        <v>15.8614404341933</v>
      </c>
      <c r="K28" s="158">
        <v>25.897833392935102</v>
      </c>
      <c r="L28" s="158">
        <v>104.724690221055</v>
      </c>
      <c r="M28" s="158">
        <v>74.722496127644504</v>
      </c>
      <c r="N28" s="158">
        <v>149.251864344475</v>
      </c>
      <c r="O28" s="453">
        <v>16.25</v>
      </c>
      <c r="P28" s="453">
        <v>11.66</v>
      </c>
      <c r="Q28" s="453">
        <v>20.85</v>
      </c>
      <c r="R28" s="158">
        <v>14.033172525527901</v>
      </c>
      <c r="S28" s="158">
        <v>11.098224382612999</v>
      </c>
      <c r="T28" s="158">
        <v>18.901623403607001</v>
      </c>
      <c r="U28" s="158">
        <v>157.916470877677</v>
      </c>
      <c r="V28" s="158">
        <v>98.209675537903195</v>
      </c>
      <c r="W28" s="158">
        <v>234.530792767039</v>
      </c>
      <c r="X28" s="158">
        <v>11.7063871029473</v>
      </c>
      <c r="Y28" s="158">
        <v>5.9996976445493404</v>
      </c>
      <c r="Z28" s="158">
        <v>81.157544577307803</v>
      </c>
      <c r="AA28" s="158">
        <v>10.246564911970999</v>
      </c>
      <c r="AB28" s="158">
        <v>8.7877718764469304</v>
      </c>
      <c r="AC28" s="158">
        <v>12.1458960983363</v>
      </c>
    </row>
    <row r="29" spans="1:29">
      <c r="A29" s="155">
        <v>45383</v>
      </c>
      <c r="B29" s="45">
        <f t="shared" si="0"/>
        <v>2024</v>
      </c>
      <c r="C29" s="158">
        <v>24.528487550861701</v>
      </c>
      <c r="D29" s="158">
        <v>21.390652475110102</v>
      </c>
      <c r="E29" s="158">
        <v>28.291995187845298</v>
      </c>
      <c r="F29" s="158">
        <v>25.212564318015801</v>
      </c>
      <c r="G29" s="158">
        <v>21.790197833701399</v>
      </c>
      <c r="H29" s="158">
        <v>29.395446577361898</v>
      </c>
      <c r="I29" s="158">
        <v>17.845451094601401</v>
      </c>
      <c r="J29" s="158">
        <v>14.624166629943799</v>
      </c>
      <c r="K29" s="158">
        <v>22.8160064196408</v>
      </c>
      <c r="L29" s="158">
        <v>85.221335676424701</v>
      </c>
      <c r="M29" s="158">
        <v>61.384284705430503</v>
      </c>
      <c r="N29" s="158">
        <v>120.19905792739</v>
      </c>
      <c r="O29" s="453">
        <v>14.12</v>
      </c>
      <c r="P29" s="453">
        <v>9.52</v>
      </c>
      <c r="Q29" s="453">
        <v>18.72</v>
      </c>
      <c r="R29" s="158">
        <v>13.342120234963</v>
      </c>
      <c r="S29" s="158">
        <v>10.6208199442687</v>
      </c>
      <c r="T29" s="158">
        <v>17.783787813000298</v>
      </c>
      <c r="U29" s="158">
        <v>117.399477450893</v>
      </c>
      <c r="V29" s="158">
        <v>67.801550242495395</v>
      </c>
      <c r="W29" s="158">
        <v>183.28989366856601</v>
      </c>
      <c r="X29" s="158">
        <v>9.8102943862480494</v>
      </c>
      <c r="Y29" s="158">
        <v>5.4271959431634302</v>
      </c>
      <c r="Z29" s="158">
        <v>37.8958798054596</v>
      </c>
      <c r="AA29" s="158">
        <v>9.6666354717205696</v>
      </c>
      <c r="AB29" s="158">
        <v>8.3345717002060393</v>
      </c>
      <c r="AC29" s="158">
        <v>11.3843381310051</v>
      </c>
    </row>
    <row r="30" spans="1:29">
      <c r="A30" s="155">
        <v>45413</v>
      </c>
      <c r="B30" s="45">
        <f t="shared" si="0"/>
        <v>2024</v>
      </c>
      <c r="C30" s="158">
        <v>18.217326744929</v>
      </c>
      <c r="D30" s="158">
        <v>16.070453740763298</v>
      </c>
      <c r="E30" s="158">
        <v>20.752479880156599</v>
      </c>
      <c r="F30" s="158">
        <v>19.430576141962199</v>
      </c>
      <c r="G30" s="158">
        <v>16.997898462921601</v>
      </c>
      <c r="H30" s="158">
        <v>22.353438774380201</v>
      </c>
      <c r="I30" s="158">
        <v>12.912355443988799</v>
      </c>
      <c r="J30" s="158">
        <v>11.1144008085701</v>
      </c>
      <c r="K30" s="158">
        <v>15.380363394663</v>
      </c>
      <c r="L30" s="158">
        <v>38.983388987257896</v>
      </c>
      <c r="M30" s="158">
        <v>29.031360807957999</v>
      </c>
      <c r="N30" s="158">
        <v>53.015468054640102</v>
      </c>
      <c r="O30" s="453">
        <v>14.46</v>
      </c>
      <c r="P30" s="453">
        <v>9.86</v>
      </c>
      <c r="Q30" s="453">
        <v>19.059999999999999</v>
      </c>
      <c r="R30" s="158">
        <v>12.7030923145998</v>
      </c>
      <c r="S30" s="158">
        <v>10.1748894082893</v>
      </c>
      <c r="T30" s="158">
        <v>16.7674258237694</v>
      </c>
      <c r="U30" s="158">
        <v>60.837167607503297</v>
      </c>
      <c r="V30" s="158">
        <v>28.4897876829091</v>
      </c>
      <c r="W30" s="158">
        <v>107.99354907114</v>
      </c>
      <c r="X30" s="158">
        <v>7.3523910706139102</v>
      </c>
      <c r="Y30" s="158">
        <v>4.5413252173499599</v>
      </c>
      <c r="Z30" s="158">
        <v>17.5430759782069</v>
      </c>
      <c r="AA30" s="158">
        <v>8.0107654725429995</v>
      </c>
      <c r="AB30" s="158">
        <v>7.0174597118704902</v>
      </c>
      <c r="AC30" s="158">
        <v>9.2555704438360493</v>
      </c>
    </row>
    <row r="31" spans="1:29">
      <c r="A31" s="155">
        <v>45444</v>
      </c>
      <c r="B31" s="45">
        <f t="shared" si="0"/>
        <v>2024</v>
      </c>
      <c r="C31" s="158">
        <v>15.413184035026299</v>
      </c>
      <c r="D31" s="158">
        <v>13.6789319271707</v>
      </c>
      <c r="E31" s="158">
        <v>17.444482885014899</v>
      </c>
      <c r="F31" s="158">
        <v>16.301405299284799</v>
      </c>
      <c r="G31" s="158">
        <v>14.369119203533399</v>
      </c>
      <c r="H31" s="158">
        <v>18.598430119698801</v>
      </c>
      <c r="I31" s="158">
        <v>12.033182193299201</v>
      </c>
      <c r="J31" s="158">
        <v>10.452278132016</v>
      </c>
      <c r="K31" s="158">
        <v>14.1585253939433</v>
      </c>
      <c r="L31" s="158">
        <v>28.054403743395099</v>
      </c>
      <c r="M31" s="158">
        <v>21.1660269851794</v>
      </c>
      <c r="N31" s="158">
        <v>37.617347759557703</v>
      </c>
      <c r="O31" s="453">
        <v>12.14</v>
      </c>
      <c r="P31" s="453">
        <v>7.54</v>
      </c>
      <c r="Q31" s="453">
        <v>16.739999999999998</v>
      </c>
      <c r="R31" s="158">
        <v>12.310322737902</v>
      </c>
      <c r="S31" s="158">
        <v>9.8895945712532498</v>
      </c>
      <c r="T31" s="158">
        <v>16.173834164801502</v>
      </c>
      <c r="U31" s="158">
        <v>41.879563074869701</v>
      </c>
      <c r="V31" s="158">
        <v>16.687925043548599</v>
      </c>
      <c r="W31" s="158">
        <v>81.127650043977695</v>
      </c>
      <c r="X31" s="158">
        <v>5.3777221083575997</v>
      </c>
      <c r="Y31" s="158">
        <v>3.6720812197870698</v>
      </c>
      <c r="Z31" s="158">
        <v>9.6588616347158105</v>
      </c>
      <c r="AA31" s="158">
        <v>7.8109317236053899</v>
      </c>
      <c r="AB31" s="158">
        <v>6.8561511689721604</v>
      </c>
      <c r="AC31" s="158">
        <v>9.0031760955722699</v>
      </c>
    </row>
    <row r="32" spans="1:29">
      <c r="A32" s="155">
        <v>45474</v>
      </c>
      <c r="B32" s="45">
        <f t="shared" si="0"/>
        <v>2024</v>
      </c>
      <c r="C32" s="158">
        <v>13.7273662181908</v>
      </c>
      <c r="D32" s="158">
        <v>12.2317120276204</v>
      </c>
      <c r="E32" s="158">
        <v>15.469753436954999</v>
      </c>
      <c r="F32" s="158">
        <v>14.3495387006847</v>
      </c>
      <c r="G32" s="158">
        <v>12.715138988362501</v>
      </c>
      <c r="H32" s="158">
        <v>16.278218990060999</v>
      </c>
      <c r="I32" s="158">
        <v>11.446175225203399</v>
      </c>
      <c r="J32" s="158">
        <v>10.0035746887076</v>
      </c>
      <c r="K32" s="158">
        <v>13.358791481413</v>
      </c>
      <c r="L32" s="158">
        <v>24.6850270548791</v>
      </c>
      <c r="M32" s="158">
        <v>18.715553922816099</v>
      </c>
      <c r="N32" s="158">
        <v>32.9240286347016</v>
      </c>
      <c r="O32" s="453">
        <v>9.7799999999999994</v>
      </c>
      <c r="P32" s="453">
        <v>5.18</v>
      </c>
      <c r="Q32" s="453">
        <v>14.38</v>
      </c>
      <c r="R32" s="158">
        <v>12.2485764267389</v>
      </c>
      <c r="S32" s="158">
        <v>9.8232331399671793</v>
      </c>
      <c r="T32" s="158">
        <v>16.135552942855298</v>
      </c>
      <c r="U32" s="158">
        <v>36.482332597257901</v>
      </c>
      <c r="V32" s="158">
        <v>13.5284879586562</v>
      </c>
      <c r="W32" s="158">
        <v>73.269226165835306</v>
      </c>
      <c r="X32" s="158">
        <v>3.9173020380375299</v>
      </c>
      <c r="Y32" s="158">
        <v>2.9067784015844702</v>
      </c>
      <c r="Z32" s="158">
        <v>5.8974222640062397</v>
      </c>
      <c r="AA32" s="158">
        <v>7.7223188978122703</v>
      </c>
      <c r="AB32" s="158">
        <v>6.7844511674363801</v>
      </c>
      <c r="AC32" s="158">
        <v>8.8915721110787906</v>
      </c>
    </row>
    <row r="33" spans="1:29">
      <c r="A33" s="155">
        <v>45505</v>
      </c>
      <c r="B33" s="45">
        <f t="shared" si="0"/>
        <v>2024</v>
      </c>
      <c r="C33" s="158">
        <v>12.666043518213</v>
      </c>
      <c r="D33" s="158">
        <v>11.3166001947054</v>
      </c>
      <c r="E33" s="158">
        <v>14.2323779473665</v>
      </c>
      <c r="F33" s="158">
        <v>13.2112888504978</v>
      </c>
      <c r="G33" s="158">
        <v>11.7450484672916</v>
      </c>
      <c r="H33" s="158">
        <v>14.933599574501701</v>
      </c>
      <c r="I33" s="158">
        <v>10.743075853776199</v>
      </c>
      <c r="J33" s="158">
        <v>9.4589835880920994</v>
      </c>
      <c r="K33" s="158">
        <v>12.4173851312963</v>
      </c>
      <c r="L33" s="158">
        <v>21.8186452736606</v>
      </c>
      <c r="M33" s="158">
        <v>16.6194983592741</v>
      </c>
      <c r="N33" s="158">
        <v>28.954846354730801</v>
      </c>
      <c r="O33" s="453">
        <v>9.06</v>
      </c>
      <c r="P33" s="453">
        <v>4.46</v>
      </c>
      <c r="Q33" s="453">
        <v>13.66</v>
      </c>
      <c r="R33" s="158">
        <v>11.558692523790301</v>
      </c>
      <c r="S33" s="158">
        <v>9.3422155133361908</v>
      </c>
      <c r="T33" s="158">
        <v>15.044671866153999</v>
      </c>
      <c r="U33" s="158">
        <v>31.395706393052102</v>
      </c>
      <c r="V33" s="158">
        <v>10.6902388283996</v>
      </c>
      <c r="W33" s="158">
        <v>65.675722111728604</v>
      </c>
      <c r="X33" s="158">
        <v>3.8086581657067402</v>
      </c>
      <c r="Y33" s="158">
        <v>2.84475908944925</v>
      </c>
      <c r="Z33" s="158">
        <v>5.6638043388066999</v>
      </c>
      <c r="AA33" s="158">
        <v>7.3778183001357203</v>
      </c>
      <c r="AB33" s="158">
        <v>6.5046976771499398</v>
      </c>
      <c r="AC33" s="158">
        <v>8.4595326115430094</v>
      </c>
    </row>
    <row r="34" spans="1:29">
      <c r="A34" s="155">
        <v>45536</v>
      </c>
      <c r="B34" s="45">
        <f t="shared" si="0"/>
        <v>2024</v>
      </c>
      <c r="C34" s="158">
        <v>13.4973569462445</v>
      </c>
      <c r="D34" s="158">
        <v>12.0268233386841</v>
      </c>
      <c r="E34" s="158">
        <v>15.2104679792819</v>
      </c>
      <c r="F34" s="158">
        <v>14.250689275631499</v>
      </c>
      <c r="G34" s="158">
        <v>12.6235422103298</v>
      </c>
      <c r="H34" s="158">
        <v>16.171664213617799</v>
      </c>
      <c r="I34" s="158">
        <v>11.164489567025299</v>
      </c>
      <c r="J34" s="158">
        <v>9.7863377158633291</v>
      </c>
      <c r="K34" s="158">
        <v>12.979495975092201</v>
      </c>
      <c r="L34" s="158">
        <v>20.7575723541778</v>
      </c>
      <c r="M34" s="158">
        <v>15.840668421559799</v>
      </c>
      <c r="N34" s="158">
        <v>27.491488627576199</v>
      </c>
      <c r="O34" s="453">
        <v>8.3800000000000008</v>
      </c>
      <c r="P34" s="453">
        <v>3.78</v>
      </c>
      <c r="Q34" s="453">
        <v>12.98</v>
      </c>
      <c r="R34" s="158">
        <v>12.2636878738536</v>
      </c>
      <c r="S34" s="158">
        <v>9.7832219322433502</v>
      </c>
      <c r="T34" s="158">
        <v>16.2910481618514</v>
      </c>
      <c r="U34" s="158">
        <v>27.029730965443701</v>
      </c>
      <c r="V34" s="158">
        <v>8.3795368666771495</v>
      </c>
      <c r="W34" s="158">
        <v>58.991232316309897</v>
      </c>
      <c r="X34" s="158">
        <v>5.5161845203209801</v>
      </c>
      <c r="Y34" s="158">
        <v>3.7386800806034999</v>
      </c>
      <c r="Z34" s="158">
        <v>10.087371392146601</v>
      </c>
      <c r="AA34" s="158">
        <v>7.7866146165253198</v>
      </c>
      <c r="AB34" s="158">
        <v>6.83648570326607</v>
      </c>
      <c r="AC34" s="158">
        <v>8.9725304942218003</v>
      </c>
    </row>
    <row r="35" spans="1:29">
      <c r="A35" s="155">
        <v>45566</v>
      </c>
      <c r="B35" s="45">
        <f t="shared" si="0"/>
        <v>2024</v>
      </c>
      <c r="C35" s="158">
        <v>14.6254662115016</v>
      </c>
      <c r="D35" s="158">
        <v>13.003589630299</v>
      </c>
      <c r="E35" s="158">
        <v>16.5204610188479</v>
      </c>
      <c r="F35" s="158">
        <v>15.189780446719899</v>
      </c>
      <c r="G35" s="158">
        <v>13.428500356227</v>
      </c>
      <c r="H35" s="158">
        <v>17.274947888433601</v>
      </c>
      <c r="I35" s="158">
        <v>11.6260732435296</v>
      </c>
      <c r="J35" s="158">
        <v>10.141647143745899</v>
      </c>
      <c r="K35" s="158">
        <v>13.6025578130719</v>
      </c>
      <c r="L35" s="158">
        <v>31.511221393477701</v>
      </c>
      <c r="M35" s="158">
        <v>23.6665788536143</v>
      </c>
      <c r="N35" s="158">
        <v>42.460669191086403</v>
      </c>
      <c r="O35" s="453">
        <v>9.1199999999999992</v>
      </c>
      <c r="P35" s="453">
        <v>4.5199999999999996</v>
      </c>
      <c r="Q35" s="453">
        <v>13.72</v>
      </c>
      <c r="R35" s="158">
        <v>12.275751755737099</v>
      </c>
      <c r="S35" s="158">
        <v>9.7666992480960602</v>
      </c>
      <c r="T35" s="158">
        <v>16.3764225827323</v>
      </c>
      <c r="U35" s="158">
        <v>43.432940513317099</v>
      </c>
      <c r="V35" s="158">
        <v>17.423719991825401</v>
      </c>
      <c r="W35" s="158">
        <v>83.846149565340795</v>
      </c>
      <c r="X35" s="158">
        <v>6.04982307935144</v>
      </c>
      <c r="Y35" s="158">
        <v>3.98682823143479</v>
      </c>
      <c r="Z35" s="158">
        <v>11.8860449309449</v>
      </c>
      <c r="AA35" s="158">
        <v>7.7374688466945498</v>
      </c>
      <c r="AB35" s="158">
        <v>6.7967099307569203</v>
      </c>
      <c r="AC35" s="158">
        <v>8.9106500802295194</v>
      </c>
    </row>
    <row r="36" spans="1:29">
      <c r="A36" s="155">
        <v>45597</v>
      </c>
      <c r="B36" s="45">
        <f t="shared" si="0"/>
        <v>2024</v>
      </c>
      <c r="C36" s="158">
        <v>19.834132325324902</v>
      </c>
      <c r="D36" s="158">
        <v>17.441115918095001</v>
      </c>
      <c r="E36" s="158">
        <v>22.672148875665801</v>
      </c>
      <c r="F36" s="158">
        <v>20.441080132837602</v>
      </c>
      <c r="G36" s="158">
        <v>17.840814229597701</v>
      </c>
      <c r="H36" s="158">
        <v>23.5754287141832</v>
      </c>
      <c r="I36" s="158">
        <v>14.768718264821301</v>
      </c>
      <c r="J36" s="158">
        <v>12.474426625302099</v>
      </c>
      <c r="K36" s="158">
        <v>18.0598560729158</v>
      </c>
      <c r="L36" s="158">
        <v>56.266838499733502</v>
      </c>
      <c r="M36" s="158">
        <v>41.2668481536288</v>
      </c>
      <c r="N36" s="158">
        <v>77.806291210524904</v>
      </c>
      <c r="O36" s="453">
        <v>8.92</v>
      </c>
      <c r="P36" s="453">
        <v>4.32</v>
      </c>
      <c r="Q36" s="453">
        <v>13.52</v>
      </c>
      <c r="R36" s="158">
        <v>12.5616221689795</v>
      </c>
      <c r="S36" s="158">
        <v>9.9266509804802698</v>
      </c>
      <c r="T36" s="158">
        <v>16.9410168916888</v>
      </c>
      <c r="U36" s="158">
        <v>83.085796452227797</v>
      </c>
      <c r="V36" s="158">
        <v>42.863179924021701</v>
      </c>
      <c r="W36" s="158">
        <v>139.315284515043</v>
      </c>
      <c r="X36" s="158">
        <v>10.0047201806393</v>
      </c>
      <c r="Y36" s="158">
        <v>5.4898440663439203</v>
      </c>
      <c r="Z36" s="158">
        <v>40.548469406864903</v>
      </c>
      <c r="AA36" s="158">
        <v>8.9945190926446994</v>
      </c>
      <c r="AB36" s="158">
        <v>7.8038089444453496</v>
      </c>
      <c r="AC36" s="158">
        <v>10.512680753575999</v>
      </c>
    </row>
    <row r="37" spans="1:29">
      <c r="A37" s="155">
        <v>45627</v>
      </c>
      <c r="B37" s="45">
        <f t="shared" si="0"/>
        <v>2024</v>
      </c>
      <c r="C37" s="158">
        <v>28.513746441457599</v>
      </c>
      <c r="D37" s="158">
        <v>24.703538196833801</v>
      </c>
      <c r="E37" s="158">
        <v>33.124634966612298</v>
      </c>
      <c r="F37" s="158">
        <v>29.902431607068699</v>
      </c>
      <c r="G37" s="158">
        <v>25.6074813174356</v>
      </c>
      <c r="H37" s="158">
        <v>35.220437733503999</v>
      </c>
      <c r="I37" s="158">
        <v>20.3088414198957</v>
      </c>
      <c r="J37" s="158">
        <v>16.2571474757085</v>
      </c>
      <c r="K37" s="158">
        <v>26.939397274068</v>
      </c>
      <c r="L37" s="158">
        <v>76.866280209782303</v>
      </c>
      <c r="M37" s="158">
        <v>55.621416076443097</v>
      </c>
      <c r="N37" s="158">
        <v>107.86877104583699</v>
      </c>
      <c r="O37" s="453">
        <v>9.52</v>
      </c>
      <c r="P37" s="453">
        <v>4.92</v>
      </c>
      <c r="Q37" s="453">
        <v>14.12</v>
      </c>
      <c r="R37" s="158">
        <v>15.4807651740899</v>
      </c>
      <c r="S37" s="158">
        <v>11.685224674964701</v>
      </c>
      <c r="T37" s="158">
        <v>22.581202049904</v>
      </c>
      <c r="U37" s="158">
        <v>148.507228318226</v>
      </c>
      <c r="V37" s="158">
        <v>89.867502195334197</v>
      </c>
      <c r="W37" s="158">
        <v>224.73188462408001</v>
      </c>
      <c r="X37" s="158">
        <v>12.4872452334918</v>
      </c>
      <c r="Y37" s="158">
        <v>6.21305700572288</v>
      </c>
      <c r="Z37" s="158">
        <v>125.031496732519</v>
      </c>
      <c r="AA37" s="158">
        <v>11.4562042466259</v>
      </c>
      <c r="AB37" s="158">
        <v>9.7216237782224795</v>
      </c>
      <c r="AC37" s="158">
        <v>13.7587054512811</v>
      </c>
    </row>
    <row r="38" spans="1:29">
      <c r="A38" s="155">
        <v>45658</v>
      </c>
      <c r="B38" s="45">
        <f t="shared" si="0"/>
        <v>2025</v>
      </c>
      <c r="C38" s="158">
        <v>36.245464820011399</v>
      </c>
      <c r="D38" s="158">
        <v>31.0840129897352</v>
      </c>
      <c r="E38" s="158">
        <v>42.578872179720598</v>
      </c>
      <c r="F38" s="158">
        <v>38.199522317166398</v>
      </c>
      <c r="G38" s="158">
        <v>32.2930448046408</v>
      </c>
      <c r="H38" s="158">
        <v>45.648518461393401</v>
      </c>
      <c r="I38" s="158">
        <v>24.3760953524949</v>
      </c>
      <c r="J38" s="158">
        <v>18.784803549120898</v>
      </c>
      <c r="K38" s="158">
        <v>34.489188514612202</v>
      </c>
      <c r="L38" s="158">
        <v>106.996797968698</v>
      </c>
      <c r="M38" s="158">
        <v>76.183080028532402</v>
      </c>
      <c r="N38" s="158">
        <v>152.84432857829799</v>
      </c>
      <c r="O38" s="453">
        <v>14.01</v>
      </c>
      <c r="P38" s="453">
        <v>9.2100000000000009</v>
      </c>
      <c r="Q38" s="453">
        <v>18.8</v>
      </c>
      <c r="R38" s="158">
        <v>15.8056103859363</v>
      </c>
      <c r="S38" s="158">
        <v>11.753146768953901</v>
      </c>
      <c r="T38" s="158">
        <v>23.7004160887426</v>
      </c>
      <c r="U38" s="158">
        <v>183.416166136946</v>
      </c>
      <c r="V38" s="158">
        <v>113.32575312006399</v>
      </c>
      <c r="W38" s="158">
        <v>273.63397313463201</v>
      </c>
      <c r="X38" s="158">
        <v>14.848748683549699</v>
      </c>
      <c r="Y38" s="158">
        <v>6.7266844677039197</v>
      </c>
      <c r="Z38" s="158" t="s">
        <v>379</v>
      </c>
      <c r="AA38" s="158">
        <v>12.657643028241401</v>
      </c>
      <c r="AB38" s="158">
        <v>10.6277059809119</v>
      </c>
      <c r="AC38" s="158">
        <v>15.4053792289276</v>
      </c>
    </row>
    <row r="39" spans="1:29">
      <c r="A39" s="155">
        <v>45689</v>
      </c>
      <c r="B39" s="45">
        <f t="shared" si="0"/>
        <v>2025</v>
      </c>
      <c r="C39" s="158">
        <v>32.164998468911499</v>
      </c>
      <c r="D39" s="158">
        <v>27.7270175964026</v>
      </c>
      <c r="E39" s="158">
        <v>37.572526205444198</v>
      </c>
      <c r="F39" s="158">
        <v>33.692026794258801</v>
      </c>
      <c r="G39" s="158">
        <v>28.680217634077799</v>
      </c>
      <c r="H39" s="158">
        <v>39.950745628308901</v>
      </c>
      <c r="I39" s="158">
        <v>22.4383699221138</v>
      </c>
      <c r="J39" s="158">
        <v>17.610710777367402</v>
      </c>
      <c r="K39" s="158">
        <v>30.753600590714601</v>
      </c>
      <c r="L39" s="158">
        <v>95.837588817356604</v>
      </c>
      <c r="M39" s="158">
        <v>68.665253208411897</v>
      </c>
      <c r="N39" s="158">
        <v>135.96463195830799</v>
      </c>
      <c r="O39" s="453">
        <v>15.15</v>
      </c>
      <c r="P39" s="453">
        <v>10.33</v>
      </c>
      <c r="Q39" s="453">
        <v>19.98</v>
      </c>
      <c r="R39" s="158">
        <v>13.853011245593301</v>
      </c>
      <c r="S39" s="158">
        <v>10.5907431779841</v>
      </c>
      <c r="T39" s="158">
        <v>19.753272443599801</v>
      </c>
      <c r="U39" s="158">
        <v>154.74338916702899</v>
      </c>
      <c r="V39" s="158">
        <v>91.583960299383804</v>
      </c>
      <c r="W39" s="158">
        <v>237.702015225194</v>
      </c>
      <c r="X39" s="158">
        <v>12.7341554089938</v>
      </c>
      <c r="Y39" s="158">
        <v>6.2200415018655901</v>
      </c>
      <c r="Z39" s="158">
        <v>175.423212848329</v>
      </c>
      <c r="AA39" s="158">
        <v>11.8020705174869</v>
      </c>
      <c r="AB39" s="158">
        <v>9.9856562594393097</v>
      </c>
      <c r="AC39" s="158">
        <v>14.226268789912201</v>
      </c>
    </row>
    <row r="40" spans="1:29">
      <c r="A40" s="155">
        <v>45717</v>
      </c>
      <c r="B40" s="45">
        <f t="shared" si="0"/>
        <v>2025</v>
      </c>
      <c r="C40" s="158">
        <v>27.8522913625992</v>
      </c>
      <c r="D40" s="158">
        <v>24.163675930624802</v>
      </c>
      <c r="E40" s="158">
        <v>32.307689333697198</v>
      </c>
      <c r="F40" s="158">
        <v>28.5797760966617</v>
      </c>
      <c r="G40" s="158">
        <v>24.548668658176901</v>
      </c>
      <c r="H40" s="158">
        <v>33.549810863693999</v>
      </c>
      <c r="I40" s="158">
        <v>19.702319879086701</v>
      </c>
      <c r="J40" s="158">
        <v>15.8614404341933</v>
      </c>
      <c r="K40" s="158">
        <v>25.897833392935102</v>
      </c>
      <c r="L40" s="158">
        <v>104.724690221055</v>
      </c>
      <c r="M40" s="158">
        <v>74.722496127644504</v>
      </c>
      <c r="N40" s="158">
        <v>149.251864344475</v>
      </c>
      <c r="O40" s="453">
        <v>16.25</v>
      </c>
      <c r="P40" s="453">
        <v>11.43</v>
      </c>
      <c r="Q40" s="453">
        <v>21.08</v>
      </c>
      <c r="R40" s="158">
        <v>13.7341954501992</v>
      </c>
      <c r="S40" s="158">
        <v>10.5006515501893</v>
      </c>
      <c r="T40" s="158">
        <v>19.581419364088202</v>
      </c>
      <c r="U40" s="158">
        <v>157.71158275469799</v>
      </c>
      <c r="V40" s="158">
        <v>93.540566056154006</v>
      </c>
      <c r="W40" s="158">
        <v>241.914815412792</v>
      </c>
      <c r="X40" s="158">
        <v>11.7063871029473</v>
      </c>
      <c r="Y40" s="158">
        <v>5.9466174481246403</v>
      </c>
      <c r="Z40" s="158">
        <v>89.434969058049404</v>
      </c>
      <c r="AA40" s="158">
        <v>10.246564911970999</v>
      </c>
      <c r="AB40" s="158">
        <v>8.7877718764469304</v>
      </c>
      <c r="AC40" s="158">
        <v>12.1458960983363</v>
      </c>
    </row>
    <row r="41" spans="1:29">
      <c r="A41" s="155">
        <v>45748</v>
      </c>
      <c r="B41" s="45">
        <f t="shared" si="0"/>
        <v>2025</v>
      </c>
      <c r="C41" s="158">
        <v>24.528487550861701</v>
      </c>
      <c r="D41" s="158">
        <v>21.390652475110102</v>
      </c>
      <c r="E41" s="158">
        <v>28.291995187845298</v>
      </c>
      <c r="F41" s="158">
        <v>25.212564318015801</v>
      </c>
      <c r="G41" s="158">
        <v>21.790197833701399</v>
      </c>
      <c r="H41" s="158">
        <v>29.395446577361898</v>
      </c>
      <c r="I41" s="158">
        <v>17.845451094601401</v>
      </c>
      <c r="J41" s="158">
        <v>14.624166629943799</v>
      </c>
      <c r="K41" s="158">
        <v>22.8160064196408</v>
      </c>
      <c r="L41" s="158">
        <v>85.221335676424701</v>
      </c>
      <c r="M41" s="158">
        <v>61.384284705430503</v>
      </c>
      <c r="N41" s="158">
        <v>120.19905792739</v>
      </c>
      <c r="O41" s="453">
        <v>14.12</v>
      </c>
      <c r="P41" s="453">
        <v>9.3000000000000007</v>
      </c>
      <c r="Q41" s="453">
        <v>18.940000000000001</v>
      </c>
      <c r="R41" s="158">
        <v>13.0715099355272</v>
      </c>
      <c r="S41" s="158">
        <v>10.0682999057298</v>
      </c>
      <c r="T41" s="158">
        <v>18.3984373527814</v>
      </c>
      <c r="U41" s="158">
        <v>117.23982707113601</v>
      </c>
      <c r="V41" s="158">
        <v>64.081644682866497</v>
      </c>
      <c r="W41" s="158">
        <v>189.65893554459899</v>
      </c>
      <c r="X41" s="158">
        <v>9.8102943862480494</v>
      </c>
      <c r="Y41" s="158">
        <v>5.3832925019534201</v>
      </c>
      <c r="Z41" s="158">
        <v>39.754454970351198</v>
      </c>
      <c r="AA41" s="158">
        <v>9.6666354717205696</v>
      </c>
      <c r="AB41" s="158">
        <v>8.3345717002060393</v>
      </c>
      <c r="AC41" s="158">
        <v>11.3843381310051</v>
      </c>
    </row>
    <row r="42" spans="1:29">
      <c r="A42" s="155">
        <v>45778</v>
      </c>
      <c r="B42" s="45">
        <f t="shared" si="0"/>
        <v>2025</v>
      </c>
      <c r="C42" s="158">
        <v>18.217326744929</v>
      </c>
      <c r="D42" s="158">
        <v>16.070453740763298</v>
      </c>
      <c r="E42" s="158">
        <v>20.752479880156599</v>
      </c>
      <c r="F42" s="158">
        <v>19.430576141962199</v>
      </c>
      <c r="G42" s="158">
        <v>16.997898462921601</v>
      </c>
      <c r="H42" s="158">
        <v>22.353438774380201</v>
      </c>
      <c r="I42" s="158">
        <v>12.912355443988799</v>
      </c>
      <c r="J42" s="158">
        <v>11.1144008085701</v>
      </c>
      <c r="K42" s="158">
        <v>15.380363394663</v>
      </c>
      <c r="L42" s="158">
        <v>38.983388987257896</v>
      </c>
      <c r="M42" s="158">
        <v>29.031360807957999</v>
      </c>
      <c r="N42" s="158">
        <v>53.015468054640102</v>
      </c>
      <c r="O42" s="453">
        <v>14.46</v>
      </c>
      <c r="P42" s="453">
        <v>9.64</v>
      </c>
      <c r="Q42" s="453">
        <v>19.28</v>
      </c>
      <c r="R42" s="158">
        <v>12.4620848878216</v>
      </c>
      <c r="S42" s="158">
        <v>9.6658603372895406</v>
      </c>
      <c r="T42" s="158">
        <v>17.333854456177701</v>
      </c>
      <c r="U42" s="158">
        <v>60.736206636508101</v>
      </c>
      <c r="V42" s="158">
        <v>26.2734158380187</v>
      </c>
      <c r="W42" s="158">
        <v>112.671389093013</v>
      </c>
      <c r="X42" s="158">
        <v>7.3523910706139102</v>
      </c>
      <c r="Y42" s="158">
        <v>4.50999577642426</v>
      </c>
      <c r="Z42" s="158">
        <v>17.9635044429285</v>
      </c>
      <c r="AA42" s="158">
        <v>8.0107654725429995</v>
      </c>
      <c r="AB42" s="158">
        <v>7.0174597118704902</v>
      </c>
      <c r="AC42" s="158">
        <v>9.2555704438360493</v>
      </c>
    </row>
    <row r="43" spans="1:29">
      <c r="A43" s="155">
        <v>45809</v>
      </c>
      <c r="B43" s="45">
        <f t="shared" si="0"/>
        <v>2025</v>
      </c>
      <c r="C43" s="158">
        <v>15.413184035026299</v>
      </c>
      <c r="D43" s="158">
        <v>13.6789319271707</v>
      </c>
      <c r="E43" s="158">
        <v>17.444482885014899</v>
      </c>
      <c r="F43" s="158">
        <v>16.301405299284799</v>
      </c>
      <c r="G43" s="158">
        <v>14.369119203533399</v>
      </c>
      <c r="H43" s="158">
        <v>18.598430119698801</v>
      </c>
      <c r="I43" s="158">
        <v>12.033182193299201</v>
      </c>
      <c r="J43" s="158">
        <v>10.452278132016</v>
      </c>
      <c r="K43" s="158">
        <v>14.1585253939433</v>
      </c>
      <c r="L43" s="158">
        <v>28.054403743395099</v>
      </c>
      <c r="M43" s="158">
        <v>21.1660269851794</v>
      </c>
      <c r="N43" s="158">
        <v>37.617347759557703</v>
      </c>
      <c r="O43" s="453">
        <v>12.14</v>
      </c>
      <c r="P43" s="453">
        <v>7.32</v>
      </c>
      <c r="Q43" s="453">
        <v>16.96</v>
      </c>
      <c r="R43" s="158">
        <v>12.0734858937622</v>
      </c>
      <c r="S43" s="158">
        <v>9.3985462203365397</v>
      </c>
      <c r="T43" s="158">
        <v>16.690882848232398</v>
      </c>
      <c r="U43" s="158">
        <v>41.804317845387303</v>
      </c>
      <c r="V43" s="158">
        <v>15.083722106698</v>
      </c>
      <c r="W43" s="158">
        <v>85.081826965830601</v>
      </c>
      <c r="X43" s="158">
        <v>5.3777221083575997</v>
      </c>
      <c r="Y43" s="158">
        <v>3.6511332714678799</v>
      </c>
      <c r="Z43" s="158">
        <v>9.7928857044137505</v>
      </c>
      <c r="AA43" s="158">
        <v>7.8109317236053899</v>
      </c>
      <c r="AB43" s="158">
        <v>6.8561511689721604</v>
      </c>
      <c r="AC43" s="158">
        <v>9.0031760955722699</v>
      </c>
    </row>
    <row r="44" spans="1:29">
      <c r="A44" s="155">
        <v>45839</v>
      </c>
      <c r="B44" s="45">
        <f t="shared" si="0"/>
        <v>2025</v>
      </c>
      <c r="C44" s="158">
        <v>13.7273662181908</v>
      </c>
      <c r="D44" s="158">
        <v>12.2317120276204</v>
      </c>
      <c r="E44" s="158">
        <v>15.469753436954999</v>
      </c>
      <c r="F44" s="158">
        <v>14.3495387006847</v>
      </c>
      <c r="G44" s="158">
        <v>12.715138988362501</v>
      </c>
      <c r="H44" s="158">
        <v>16.278218990060999</v>
      </c>
      <c r="I44" s="158">
        <v>11.446175225203399</v>
      </c>
      <c r="J44" s="158">
        <v>10.0035746887076</v>
      </c>
      <c r="K44" s="158">
        <v>13.358791481413</v>
      </c>
      <c r="L44" s="158">
        <v>24.6850270548791</v>
      </c>
      <c r="M44" s="158">
        <v>18.715553922816099</v>
      </c>
      <c r="N44" s="158">
        <v>32.9240286347016</v>
      </c>
      <c r="O44" s="453">
        <v>9.7799999999999994</v>
      </c>
      <c r="P44" s="453">
        <v>4.96</v>
      </c>
      <c r="Q44" s="453">
        <v>14.6</v>
      </c>
      <c r="R44" s="158">
        <v>12.0176796226525</v>
      </c>
      <c r="S44" s="158">
        <v>9.3384157800936602</v>
      </c>
      <c r="T44" s="158">
        <v>16.6636527695367</v>
      </c>
      <c r="U44" s="158">
        <v>36.4180704351215</v>
      </c>
      <c r="V44" s="158">
        <v>12.1213641501848</v>
      </c>
      <c r="W44" s="158">
        <v>76.986671575750904</v>
      </c>
      <c r="X44" s="158">
        <v>3.9173020380375299</v>
      </c>
      <c r="Y44" s="158">
        <v>2.8933276987957002</v>
      </c>
      <c r="Z44" s="158">
        <v>5.9496679688391803</v>
      </c>
      <c r="AA44" s="158">
        <v>7.7223188978122703</v>
      </c>
      <c r="AB44" s="158">
        <v>6.7844511674363801</v>
      </c>
      <c r="AC44" s="158">
        <v>8.8915721110787906</v>
      </c>
    </row>
    <row r="45" spans="1:29">
      <c r="A45" s="155">
        <v>45870</v>
      </c>
      <c r="B45" s="45">
        <f t="shared" si="0"/>
        <v>2025</v>
      </c>
      <c r="C45" s="158">
        <v>12.666043518213</v>
      </c>
      <c r="D45" s="158">
        <v>11.3166001947054</v>
      </c>
      <c r="E45" s="158">
        <v>14.2323779473665</v>
      </c>
      <c r="F45" s="158">
        <v>13.2112888504978</v>
      </c>
      <c r="G45" s="158">
        <v>11.7450484672916</v>
      </c>
      <c r="H45" s="158">
        <v>14.933599574501701</v>
      </c>
      <c r="I45" s="158">
        <v>10.743075853776199</v>
      </c>
      <c r="J45" s="158">
        <v>9.4589835880920994</v>
      </c>
      <c r="K45" s="158">
        <v>12.4173851312963</v>
      </c>
      <c r="L45" s="158">
        <v>21.8186452736606</v>
      </c>
      <c r="M45" s="158">
        <v>16.6194983592741</v>
      </c>
      <c r="N45" s="158">
        <v>28.954846354730801</v>
      </c>
      <c r="O45" s="453">
        <v>9.06</v>
      </c>
      <c r="P45" s="453">
        <v>4.24</v>
      </c>
      <c r="Q45" s="453">
        <v>13.89</v>
      </c>
      <c r="R45" s="158">
        <v>11.3581309686585</v>
      </c>
      <c r="S45" s="158">
        <v>8.9026722455966194</v>
      </c>
      <c r="T45" s="158">
        <v>15.523467578668001</v>
      </c>
      <c r="U45" s="158">
        <v>31.341209758028501</v>
      </c>
      <c r="V45" s="158">
        <v>9.4737760431990008</v>
      </c>
      <c r="W45" s="158">
        <v>69.157982165413699</v>
      </c>
      <c r="X45" s="158">
        <v>3.8086581657067402</v>
      </c>
      <c r="Y45" s="158">
        <v>2.83184730859089</v>
      </c>
      <c r="Z45" s="158">
        <v>5.7121735282161303</v>
      </c>
      <c r="AA45" s="158">
        <v>7.3778183001357203</v>
      </c>
      <c r="AB45" s="158">
        <v>6.5046976771499398</v>
      </c>
      <c r="AC45" s="158">
        <v>8.4595326115430094</v>
      </c>
    </row>
    <row r="46" spans="1:29">
      <c r="A46" s="155">
        <v>45901</v>
      </c>
      <c r="B46" s="45">
        <f t="shared" si="0"/>
        <v>2025</v>
      </c>
      <c r="C46" s="158">
        <v>13.4973569462445</v>
      </c>
      <c r="D46" s="158">
        <v>12.0268233386841</v>
      </c>
      <c r="E46" s="158">
        <v>15.2104679792819</v>
      </c>
      <c r="F46" s="158">
        <v>14.250689275631499</v>
      </c>
      <c r="G46" s="158">
        <v>12.6235422103298</v>
      </c>
      <c r="H46" s="158">
        <v>16.171664213617799</v>
      </c>
      <c r="I46" s="158">
        <v>11.164489567025299</v>
      </c>
      <c r="J46" s="158">
        <v>9.7863377158633291</v>
      </c>
      <c r="K46" s="158">
        <v>12.979495975092201</v>
      </c>
      <c r="L46" s="158">
        <v>20.7575723541778</v>
      </c>
      <c r="M46" s="158">
        <v>15.840668421559799</v>
      </c>
      <c r="N46" s="158">
        <v>27.491488627576199</v>
      </c>
      <c r="O46" s="453">
        <v>8.3800000000000008</v>
      </c>
      <c r="P46" s="453">
        <v>3.55</v>
      </c>
      <c r="Q46" s="453">
        <v>13.2</v>
      </c>
      <c r="R46" s="158">
        <v>12.028828159081399</v>
      </c>
      <c r="S46" s="158">
        <v>9.2956772536455592</v>
      </c>
      <c r="T46" s="158">
        <v>16.835762657933198</v>
      </c>
      <c r="U46" s="158">
        <v>26.983504538669699</v>
      </c>
      <c r="V46" s="158">
        <v>7.3324798523044601</v>
      </c>
      <c r="W46" s="158">
        <v>62.258948895155903</v>
      </c>
      <c r="X46" s="158">
        <v>5.5161845203209801</v>
      </c>
      <c r="Y46" s="158">
        <v>3.7170063342503301</v>
      </c>
      <c r="Z46" s="158">
        <v>10.232993849089301</v>
      </c>
      <c r="AA46" s="158">
        <v>7.7866146165253198</v>
      </c>
      <c r="AB46" s="158">
        <v>6.83648570326607</v>
      </c>
      <c r="AC46" s="158">
        <v>8.9725304942218003</v>
      </c>
    </row>
    <row r="47" spans="1:29">
      <c r="A47" s="155">
        <v>45931</v>
      </c>
      <c r="B47" s="45">
        <f t="shared" si="0"/>
        <v>2025</v>
      </c>
      <c r="C47" s="158">
        <v>14.6254662115016</v>
      </c>
      <c r="D47" s="158">
        <v>13.003589630299</v>
      </c>
      <c r="E47" s="158">
        <v>16.5204610188479</v>
      </c>
      <c r="F47" s="158">
        <v>15.189780446719899</v>
      </c>
      <c r="G47" s="158">
        <v>13.428500356227</v>
      </c>
      <c r="H47" s="158">
        <v>17.274947888433601</v>
      </c>
      <c r="I47" s="158">
        <v>11.6260732435296</v>
      </c>
      <c r="J47" s="158">
        <v>10.141647143745899</v>
      </c>
      <c r="K47" s="158">
        <v>13.6025578130719</v>
      </c>
      <c r="L47" s="158">
        <v>31.511221393477701</v>
      </c>
      <c r="M47" s="158">
        <v>23.6665788536143</v>
      </c>
      <c r="N47" s="158">
        <v>42.460669191086403</v>
      </c>
      <c r="O47" s="453">
        <v>9.1199999999999992</v>
      </c>
      <c r="P47" s="453">
        <v>4.3</v>
      </c>
      <c r="Q47" s="453">
        <v>13.94</v>
      </c>
      <c r="R47" s="158">
        <v>12.053515665579599</v>
      </c>
      <c r="S47" s="158">
        <v>9.2865125659777998</v>
      </c>
      <c r="T47" s="158">
        <v>16.958298129239399</v>
      </c>
      <c r="U47" s="158">
        <v>43.376682850463801</v>
      </c>
      <c r="V47" s="158">
        <v>15.8161313976077</v>
      </c>
      <c r="W47" s="158">
        <v>87.835068106482595</v>
      </c>
      <c r="X47" s="158">
        <v>6.04982307935144</v>
      </c>
      <c r="Y47" s="158">
        <v>3.9623479130469899</v>
      </c>
      <c r="Z47" s="158">
        <v>12.085371019383899</v>
      </c>
      <c r="AA47" s="158">
        <v>7.7374688466945498</v>
      </c>
      <c r="AB47" s="158">
        <v>6.7967099307569203</v>
      </c>
      <c r="AC47" s="158">
        <v>8.9106500802295194</v>
      </c>
    </row>
    <row r="48" spans="1:29">
      <c r="A48" s="155">
        <v>45962</v>
      </c>
      <c r="B48" s="45">
        <f t="shared" si="0"/>
        <v>2025</v>
      </c>
      <c r="C48" s="158">
        <v>19.834132325324902</v>
      </c>
      <c r="D48" s="158">
        <v>17.441115918095001</v>
      </c>
      <c r="E48" s="158">
        <v>22.672148875665801</v>
      </c>
      <c r="F48" s="158">
        <v>20.441080132837602</v>
      </c>
      <c r="G48" s="158">
        <v>17.840814229597701</v>
      </c>
      <c r="H48" s="158">
        <v>23.5754287141832</v>
      </c>
      <c r="I48" s="158">
        <v>14.768718264821301</v>
      </c>
      <c r="J48" s="158">
        <v>12.474426625302099</v>
      </c>
      <c r="K48" s="158">
        <v>18.0598560729158</v>
      </c>
      <c r="L48" s="158">
        <v>56.266838499733502</v>
      </c>
      <c r="M48" s="158">
        <v>41.2668481536288</v>
      </c>
      <c r="N48" s="158">
        <v>77.806291210524904</v>
      </c>
      <c r="O48" s="453">
        <v>8.92</v>
      </c>
      <c r="P48" s="453">
        <v>4.0999999999999996</v>
      </c>
      <c r="Q48" s="453">
        <v>13.74</v>
      </c>
      <c r="R48" s="158">
        <v>12.340796289012101</v>
      </c>
      <c r="S48" s="158">
        <v>9.4363931166958999</v>
      </c>
      <c r="T48" s="158">
        <v>17.591256352464601</v>
      </c>
      <c r="U48" s="158">
        <v>83.010067225689895</v>
      </c>
      <c r="V48" s="158">
        <v>40.145260773296002</v>
      </c>
      <c r="W48" s="158">
        <v>144.64446262109399</v>
      </c>
      <c r="X48" s="158">
        <v>10.0047201806393</v>
      </c>
      <c r="Y48" s="158">
        <v>5.4449763358091303</v>
      </c>
      <c r="Z48" s="158">
        <v>42.668170530641902</v>
      </c>
      <c r="AA48" s="158">
        <v>8.9945190926446994</v>
      </c>
      <c r="AB48" s="158">
        <v>7.8038089444453496</v>
      </c>
      <c r="AC48" s="158">
        <v>10.512680753575999</v>
      </c>
    </row>
    <row r="49" spans="1:29">
      <c r="A49" s="155">
        <v>45992</v>
      </c>
      <c r="B49" s="45">
        <f t="shared" si="0"/>
        <v>2025</v>
      </c>
      <c r="C49" s="158">
        <v>28.513746441457599</v>
      </c>
      <c r="D49" s="158">
        <v>24.703538196833801</v>
      </c>
      <c r="E49" s="158">
        <v>33.124634966612298</v>
      </c>
      <c r="F49" s="158">
        <v>29.902431607068699</v>
      </c>
      <c r="G49" s="158">
        <v>25.6074813174356</v>
      </c>
      <c r="H49" s="158">
        <v>35.220437733503999</v>
      </c>
      <c r="I49" s="158">
        <v>20.3088414198957</v>
      </c>
      <c r="J49" s="158">
        <v>16.2571474757085</v>
      </c>
      <c r="K49" s="158">
        <v>26.939397274068</v>
      </c>
      <c r="L49" s="158">
        <v>76.866280209782303</v>
      </c>
      <c r="M49" s="158">
        <v>55.621416076443097</v>
      </c>
      <c r="N49" s="158">
        <v>107.86877104583699</v>
      </c>
      <c r="O49" s="453">
        <v>9.52</v>
      </c>
      <c r="P49" s="453">
        <v>4.7</v>
      </c>
      <c r="Q49" s="453">
        <v>14.34</v>
      </c>
      <c r="R49" s="158">
        <v>15.1039424830581</v>
      </c>
      <c r="S49" s="158">
        <v>10.991904564407999</v>
      </c>
      <c r="T49" s="158">
        <v>23.6122750110274</v>
      </c>
      <c r="U49" s="158">
        <v>148.409216907483</v>
      </c>
      <c r="V49" s="158">
        <v>85.691712253671199</v>
      </c>
      <c r="W49" s="158">
        <v>231.73734100662699</v>
      </c>
      <c r="X49" s="158">
        <v>12.4872452334918</v>
      </c>
      <c r="Y49" s="158">
        <v>6.1563456785130004</v>
      </c>
      <c r="Z49" s="158">
        <v>144.75159533760399</v>
      </c>
      <c r="AA49" s="158">
        <v>11.4562042466259</v>
      </c>
      <c r="AB49" s="158">
        <v>9.7216237782224795</v>
      </c>
      <c r="AC49" s="158">
        <v>13.7587054512811</v>
      </c>
    </row>
    <row r="50" spans="1:29">
      <c r="A50" s="155">
        <v>46023</v>
      </c>
      <c r="B50" s="45">
        <f t="shared" si="0"/>
        <v>2026</v>
      </c>
      <c r="C50" s="158">
        <v>36.245464820011399</v>
      </c>
      <c r="D50" s="158">
        <v>31.0840129897352</v>
      </c>
      <c r="E50" s="158">
        <v>42.578872179720598</v>
      </c>
      <c r="F50" s="158">
        <v>38.199522317166398</v>
      </c>
      <c r="G50" s="158">
        <v>32.2930448046408</v>
      </c>
      <c r="H50" s="158">
        <v>45.648518461393401</v>
      </c>
      <c r="I50" s="158">
        <v>24.3760953524949</v>
      </c>
      <c r="J50" s="158">
        <v>18.784803549120898</v>
      </c>
      <c r="K50" s="158">
        <v>34.489188514612202</v>
      </c>
      <c r="L50" s="158">
        <v>106.996797968698</v>
      </c>
      <c r="M50" s="158">
        <v>76.183080028532402</v>
      </c>
      <c r="N50" s="158">
        <v>152.84432857829799</v>
      </c>
      <c r="O50" s="453">
        <v>14.01</v>
      </c>
      <c r="P50" s="453">
        <v>9</v>
      </c>
      <c r="Q50" s="453">
        <v>19.010000000000002</v>
      </c>
      <c r="R50" s="158">
        <v>15.436933139071799</v>
      </c>
      <c r="S50" s="158">
        <v>11.070246344858001</v>
      </c>
      <c r="T50" s="158">
        <v>24.864167211013601</v>
      </c>
      <c r="U50" s="158">
        <v>183.313733922072</v>
      </c>
      <c r="V50" s="158">
        <v>108.797842450225</v>
      </c>
      <c r="W50" s="158">
        <v>281.06083387220599</v>
      </c>
      <c r="X50" s="158">
        <v>14.848748683549699</v>
      </c>
      <c r="Y50" s="158">
        <v>6.6618632221454801</v>
      </c>
      <c r="Z50" s="158" t="s">
        <v>379</v>
      </c>
      <c r="AA50" s="158">
        <v>12.657643028241401</v>
      </c>
      <c r="AB50" s="158">
        <v>10.6277059809119</v>
      </c>
      <c r="AC50" s="158">
        <v>15.4053792289276</v>
      </c>
    </row>
    <row r="51" spans="1:29">
      <c r="A51" s="155">
        <v>46054</v>
      </c>
      <c r="B51" s="45">
        <f t="shared" si="0"/>
        <v>2026</v>
      </c>
      <c r="C51" s="158">
        <v>32.164998468911499</v>
      </c>
      <c r="D51" s="158">
        <v>27.7270175964026</v>
      </c>
      <c r="E51" s="158">
        <v>37.572526205444198</v>
      </c>
      <c r="F51" s="158">
        <v>33.692026794258801</v>
      </c>
      <c r="G51" s="158">
        <v>28.680217634077799</v>
      </c>
      <c r="H51" s="158">
        <v>39.950745628308901</v>
      </c>
      <c r="I51" s="158">
        <v>22.4383699221138</v>
      </c>
      <c r="J51" s="158">
        <v>17.610710777367402</v>
      </c>
      <c r="K51" s="158">
        <v>30.753600590714601</v>
      </c>
      <c r="L51" s="158">
        <v>95.837588817356604</v>
      </c>
      <c r="M51" s="158">
        <v>68.665253208411897</v>
      </c>
      <c r="N51" s="158">
        <v>135.96463195830799</v>
      </c>
      <c r="O51" s="453">
        <v>15.15</v>
      </c>
      <c r="P51" s="453">
        <v>10.119999999999999</v>
      </c>
      <c r="Q51" s="453">
        <v>20.190000000000001</v>
      </c>
      <c r="R51" s="158">
        <v>13.573338552639701</v>
      </c>
      <c r="S51" s="158">
        <v>10.0292903370506</v>
      </c>
      <c r="T51" s="158">
        <v>20.5997345657333</v>
      </c>
      <c r="U51" s="158">
        <v>154.65751408405001</v>
      </c>
      <c r="V51" s="158">
        <v>87.617525207534896</v>
      </c>
      <c r="W51" s="158">
        <v>244.511196991666</v>
      </c>
      <c r="X51" s="158">
        <v>12.7341554089938</v>
      </c>
      <c r="Y51" s="158">
        <v>6.1641788272381897</v>
      </c>
      <c r="Z51" s="158">
        <v>214.22734983956599</v>
      </c>
      <c r="AA51" s="158">
        <v>11.8020705174869</v>
      </c>
      <c r="AB51" s="158">
        <v>9.9856562594393097</v>
      </c>
      <c r="AC51" s="158">
        <v>14.226268789912201</v>
      </c>
    </row>
    <row r="52" spans="1:29">
      <c r="A52" s="155">
        <v>46082</v>
      </c>
      <c r="B52" s="45">
        <f t="shared" si="0"/>
        <v>2026</v>
      </c>
      <c r="C52" s="158">
        <v>27.8522913625992</v>
      </c>
      <c r="D52" s="158">
        <v>24.163675930624802</v>
      </c>
      <c r="E52" s="158">
        <v>32.307689333697198</v>
      </c>
      <c r="F52" s="158">
        <v>28.5797760966617</v>
      </c>
      <c r="G52" s="158">
        <v>24.548668658176901</v>
      </c>
      <c r="H52" s="158">
        <v>33.549810863693999</v>
      </c>
      <c r="I52" s="158">
        <v>19.702319879086701</v>
      </c>
      <c r="J52" s="158">
        <v>15.8614404341933</v>
      </c>
      <c r="K52" s="158">
        <v>25.897833392935102</v>
      </c>
      <c r="L52" s="158">
        <v>104.724690221055</v>
      </c>
      <c r="M52" s="158">
        <v>74.722496127644504</v>
      </c>
      <c r="N52" s="158">
        <v>149.251864344475</v>
      </c>
      <c r="O52" s="453">
        <v>16.25</v>
      </c>
      <c r="P52" s="453">
        <v>11.22</v>
      </c>
      <c r="Q52" s="453">
        <v>21.29</v>
      </c>
      <c r="R52" s="158">
        <v>13.4543576368938</v>
      </c>
      <c r="S52" s="158">
        <v>9.9426036047835797</v>
      </c>
      <c r="T52" s="158">
        <v>20.414343525384901</v>
      </c>
      <c r="U52" s="158">
        <v>157.63127307469401</v>
      </c>
      <c r="V52" s="158">
        <v>89.5529280805913</v>
      </c>
      <c r="W52" s="158">
        <v>248.75944558417601</v>
      </c>
      <c r="X52" s="158">
        <v>11.7063871029473</v>
      </c>
      <c r="Y52" s="158">
        <v>5.8953105340588303</v>
      </c>
      <c r="Z52" s="158">
        <v>99.288035667720493</v>
      </c>
      <c r="AA52" s="158">
        <v>10.246564911970999</v>
      </c>
      <c r="AB52" s="158">
        <v>8.7877718764469304</v>
      </c>
      <c r="AC52" s="158">
        <v>12.1458960983363</v>
      </c>
    </row>
    <row r="53" spans="1:29">
      <c r="A53" s="155">
        <v>46113</v>
      </c>
      <c r="B53" s="45">
        <f t="shared" si="0"/>
        <v>2026</v>
      </c>
      <c r="C53" s="158">
        <v>24.528487550861701</v>
      </c>
      <c r="D53" s="158">
        <v>21.390652475110102</v>
      </c>
      <c r="E53" s="158">
        <v>28.291995187845298</v>
      </c>
      <c r="F53" s="158">
        <v>25.212564318015801</v>
      </c>
      <c r="G53" s="158">
        <v>21.790197833701399</v>
      </c>
      <c r="H53" s="158">
        <v>29.395446577361898</v>
      </c>
      <c r="I53" s="158">
        <v>17.845451094601401</v>
      </c>
      <c r="J53" s="158">
        <v>14.624166629943799</v>
      </c>
      <c r="K53" s="158">
        <v>22.8160064196408</v>
      </c>
      <c r="L53" s="158">
        <v>85.221335676424701</v>
      </c>
      <c r="M53" s="158">
        <v>61.384284705430503</v>
      </c>
      <c r="N53" s="158">
        <v>120.19905792739</v>
      </c>
      <c r="O53" s="453">
        <v>14.12</v>
      </c>
      <c r="P53" s="453">
        <v>9.09</v>
      </c>
      <c r="Q53" s="453">
        <v>19.16</v>
      </c>
      <c r="R53" s="158">
        <v>12.8168716287447</v>
      </c>
      <c r="S53" s="158">
        <v>9.5505343916081404</v>
      </c>
      <c r="T53" s="158">
        <v>19.144069801517301</v>
      </c>
      <c r="U53" s="158">
        <v>117.177250734933</v>
      </c>
      <c r="V53" s="158">
        <v>60.903701021839503</v>
      </c>
      <c r="W53" s="158">
        <v>195.58595546397601</v>
      </c>
      <c r="X53" s="158">
        <v>9.8102943862480494</v>
      </c>
      <c r="Y53" s="158">
        <v>5.3407951027722502</v>
      </c>
      <c r="Z53" s="158">
        <v>41.757540220430499</v>
      </c>
      <c r="AA53" s="158">
        <v>9.6666354717205696</v>
      </c>
      <c r="AB53" s="158">
        <v>8.3345717002060393</v>
      </c>
      <c r="AC53" s="158">
        <v>11.3843381310051</v>
      </c>
    </row>
    <row r="54" spans="1:29">
      <c r="A54" s="155">
        <v>46143</v>
      </c>
      <c r="B54" s="45">
        <f t="shared" si="0"/>
        <v>2026</v>
      </c>
      <c r="C54" s="158">
        <v>18.217326744929</v>
      </c>
      <c r="D54" s="158">
        <v>16.070453740763298</v>
      </c>
      <c r="E54" s="158">
        <v>20.752479880156599</v>
      </c>
      <c r="F54" s="158">
        <v>19.430576141962199</v>
      </c>
      <c r="G54" s="158">
        <v>16.997898462921601</v>
      </c>
      <c r="H54" s="158">
        <v>22.353438774380201</v>
      </c>
      <c r="I54" s="158">
        <v>12.912355443988799</v>
      </c>
      <c r="J54" s="158">
        <v>11.1144008085701</v>
      </c>
      <c r="K54" s="158">
        <v>15.380363394663</v>
      </c>
      <c r="L54" s="158">
        <v>38.983388987257896</v>
      </c>
      <c r="M54" s="158">
        <v>29.031360807957999</v>
      </c>
      <c r="N54" s="158">
        <v>53.015468054640102</v>
      </c>
      <c r="O54" s="453">
        <v>14.46</v>
      </c>
      <c r="P54" s="453">
        <v>9.43</v>
      </c>
      <c r="Q54" s="453">
        <v>19.5</v>
      </c>
      <c r="R54" s="158">
        <v>12.230796071352</v>
      </c>
      <c r="S54" s="158">
        <v>9.1850444892639604</v>
      </c>
      <c r="T54" s="158">
        <v>18.007290343526801</v>
      </c>
      <c r="U54" s="158">
        <v>60.696638899946002</v>
      </c>
      <c r="V54" s="158">
        <v>24.3982579341688</v>
      </c>
      <c r="W54" s="158">
        <v>117.051890116317</v>
      </c>
      <c r="X54" s="158">
        <v>7.3523910706139102</v>
      </c>
      <c r="Y54" s="158">
        <v>4.4796015253157497</v>
      </c>
      <c r="Z54" s="158">
        <v>18.395777133890601</v>
      </c>
      <c r="AA54" s="158">
        <v>8.0107654725429995</v>
      </c>
      <c r="AB54" s="158">
        <v>7.0174597118704902</v>
      </c>
      <c r="AC54" s="158">
        <v>9.2555704438360493</v>
      </c>
    </row>
    <row r="55" spans="1:29">
      <c r="A55" s="155">
        <v>46174</v>
      </c>
      <c r="B55" s="45">
        <f t="shared" si="0"/>
        <v>2026</v>
      </c>
      <c r="C55" s="158">
        <v>15.413184035026299</v>
      </c>
      <c r="D55" s="158">
        <v>13.6789319271707</v>
      </c>
      <c r="E55" s="158">
        <v>17.444482885014899</v>
      </c>
      <c r="F55" s="158">
        <v>16.301405299284799</v>
      </c>
      <c r="G55" s="158">
        <v>14.369119203533399</v>
      </c>
      <c r="H55" s="158">
        <v>18.598430119698801</v>
      </c>
      <c r="I55" s="158">
        <v>12.033182193299201</v>
      </c>
      <c r="J55" s="158">
        <v>10.452278132016</v>
      </c>
      <c r="K55" s="158">
        <v>14.1585253939433</v>
      </c>
      <c r="L55" s="158">
        <v>28.054403743395099</v>
      </c>
      <c r="M55" s="158">
        <v>21.1660269851794</v>
      </c>
      <c r="N55" s="158">
        <v>37.617347759557703</v>
      </c>
      <c r="O55" s="453">
        <v>12.14</v>
      </c>
      <c r="P55" s="453">
        <v>7.11</v>
      </c>
      <c r="Q55" s="453">
        <v>17.18</v>
      </c>
      <c r="R55" s="158">
        <v>11.8531465567455</v>
      </c>
      <c r="S55" s="158">
        <v>8.9391252185510606</v>
      </c>
      <c r="T55" s="158">
        <v>17.317391468317702</v>
      </c>
      <c r="U55" s="158">
        <v>41.774830028316799</v>
      </c>
      <c r="V55" s="158">
        <v>13.737063551682301</v>
      </c>
      <c r="W55" s="158">
        <v>88.800301600393098</v>
      </c>
      <c r="X55" s="158">
        <v>5.3777221083575997</v>
      </c>
      <c r="Y55" s="158">
        <v>3.6307648267245698</v>
      </c>
      <c r="Z55" s="158">
        <v>9.9280960848322604</v>
      </c>
      <c r="AA55" s="158">
        <v>7.8109317236053899</v>
      </c>
      <c r="AB55" s="158">
        <v>6.8561511689721604</v>
      </c>
      <c r="AC55" s="158">
        <v>9.0031760955722699</v>
      </c>
    </row>
    <row r="56" spans="1:29">
      <c r="A56" s="155">
        <v>46204</v>
      </c>
      <c r="B56" s="45">
        <f t="shared" si="0"/>
        <v>2026</v>
      </c>
      <c r="C56" s="158">
        <v>13.7273662181908</v>
      </c>
      <c r="D56" s="158">
        <v>12.2317120276204</v>
      </c>
      <c r="E56" s="158">
        <v>15.469753436954999</v>
      </c>
      <c r="F56" s="158">
        <v>14.3495387006847</v>
      </c>
      <c r="G56" s="158">
        <v>12.715138988362501</v>
      </c>
      <c r="H56" s="158">
        <v>16.278218990060999</v>
      </c>
      <c r="I56" s="158">
        <v>11.446175225203399</v>
      </c>
      <c r="J56" s="158">
        <v>10.0035746887076</v>
      </c>
      <c r="K56" s="158">
        <v>13.358791481413</v>
      </c>
      <c r="L56" s="158">
        <v>24.6850270548791</v>
      </c>
      <c r="M56" s="158">
        <v>18.715553922816099</v>
      </c>
      <c r="N56" s="158">
        <v>32.9240286347016</v>
      </c>
      <c r="O56" s="453">
        <v>9.7799999999999994</v>
      </c>
      <c r="P56" s="453">
        <v>4.75</v>
      </c>
      <c r="Q56" s="453">
        <v>14.82</v>
      </c>
      <c r="R56" s="158">
        <v>11.8001962718862</v>
      </c>
      <c r="S56" s="158">
        <v>8.8834227990922496</v>
      </c>
      <c r="T56" s="158">
        <v>17.2956881323564</v>
      </c>
      <c r="U56" s="158">
        <v>36.392886408932902</v>
      </c>
      <c r="V56" s="158">
        <v>10.942357770926099</v>
      </c>
      <c r="W56" s="158">
        <v>80.489955167243394</v>
      </c>
      <c r="X56" s="158">
        <v>3.9173020380375299</v>
      </c>
      <c r="Y56" s="158">
        <v>2.8802225130427601</v>
      </c>
      <c r="Z56" s="158">
        <v>6.0018809940548801</v>
      </c>
      <c r="AA56" s="158">
        <v>7.7223188978122703</v>
      </c>
      <c r="AB56" s="158">
        <v>6.7844511674363801</v>
      </c>
      <c r="AC56" s="158">
        <v>8.8915721110787906</v>
      </c>
    </row>
    <row r="57" spans="1:29">
      <c r="A57" s="155">
        <v>46235</v>
      </c>
      <c r="B57" s="45">
        <f t="shared" si="0"/>
        <v>2026</v>
      </c>
      <c r="C57" s="158">
        <v>12.666043518213</v>
      </c>
      <c r="D57" s="158">
        <v>11.3166001947054</v>
      </c>
      <c r="E57" s="158">
        <v>14.2323779473665</v>
      </c>
      <c r="F57" s="158">
        <v>13.2112888504978</v>
      </c>
      <c r="G57" s="158">
        <v>11.7450484672916</v>
      </c>
      <c r="H57" s="158">
        <v>14.933599574501701</v>
      </c>
      <c r="I57" s="158">
        <v>10.743075853776199</v>
      </c>
      <c r="J57" s="158">
        <v>9.4589835880920994</v>
      </c>
      <c r="K57" s="158">
        <v>12.4173851312963</v>
      </c>
      <c r="L57" s="158">
        <v>21.8186452736606</v>
      </c>
      <c r="M57" s="158">
        <v>16.6194983592741</v>
      </c>
      <c r="N57" s="158">
        <v>28.954846354730801</v>
      </c>
      <c r="O57" s="453">
        <v>9.06</v>
      </c>
      <c r="P57" s="453">
        <v>4.03</v>
      </c>
      <c r="Q57" s="453">
        <v>14.1</v>
      </c>
      <c r="R57" s="158">
        <v>11.1642355622485</v>
      </c>
      <c r="S57" s="158">
        <v>8.4858873396827104</v>
      </c>
      <c r="T57" s="158">
        <v>16.082778059540601</v>
      </c>
      <c r="U57" s="158">
        <v>31.319852572907099</v>
      </c>
      <c r="V57" s="158">
        <v>8.4581223807303001</v>
      </c>
      <c r="W57" s="158">
        <v>72.446256227449098</v>
      </c>
      <c r="X57" s="158">
        <v>3.8086581657067402</v>
      </c>
      <c r="Y57" s="158">
        <v>2.81926510122064</v>
      </c>
      <c r="Z57" s="158">
        <v>5.7604834510436396</v>
      </c>
      <c r="AA57" s="158">
        <v>7.3778183001357203</v>
      </c>
      <c r="AB57" s="158">
        <v>6.5046976771499398</v>
      </c>
      <c r="AC57" s="158">
        <v>8.4595326115430094</v>
      </c>
    </row>
    <row r="58" spans="1:29">
      <c r="A58" s="155">
        <v>46266</v>
      </c>
      <c r="B58" s="45">
        <f t="shared" si="0"/>
        <v>2026</v>
      </c>
      <c r="C58" s="158">
        <v>13.4973569462445</v>
      </c>
      <c r="D58" s="158">
        <v>12.0268233386841</v>
      </c>
      <c r="E58" s="158">
        <v>15.2104679792819</v>
      </c>
      <c r="F58" s="158">
        <v>14.250689275631499</v>
      </c>
      <c r="G58" s="158">
        <v>12.6235422103298</v>
      </c>
      <c r="H58" s="158">
        <v>16.171664213617799</v>
      </c>
      <c r="I58" s="158">
        <v>11.164489567025299</v>
      </c>
      <c r="J58" s="158">
        <v>9.7863377158633291</v>
      </c>
      <c r="K58" s="158">
        <v>12.979495975092201</v>
      </c>
      <c r="L58" s="158">
        <v>20.7575723541778</v>
      </c>
      <c r="M58" s="158">
        <v>15.840668421559799</v>
      </c>
      <c r="N58" s="158">
        <v>27.491488627576199</v>
      </c>
      <c r="O58" s="453">
        <v>8.3800000000000008</v>
      </c>
      <c r="P58" s="453">
        <v>3.34</v>
      </c>
      <c r="Q58" s="453">
        <v>13.41</v>
      </c>
      <c r="R58" s="158">
        <v>11.810095622949399</v>
      </c>
      <c r="S58" s="158">
        <v>8.84092467271328</v>
      </c>
      <c r="T58" s="158">
        <v>17.490038097453901</v>
      </c>
      <c r="U58" s="158">
        <v>26.9653882541032</v>
      </c>
      <c r="V58" s="158">
        <v>6.4625233078515896</v>
      </c>
      <c r="W58" s="158">
        <v>65.350347222840398</v>
      </c>
      <c r="X58" s="158">
        <v>5.5161845203209801</v>
      </c>
      <c r="Y58" s="158">
        <v>3.6959358445338499</v>
      </c>
      <c r="Z58" s="158">
        <v>10.3800601987388</v>
      </c>
      <c r="AA58" s="158">
        <v>7.7866146165253198</v>
      </c>
      <c r="AB58" s="158">
        <v>6.83648570326607</v>
      </c>
      <c r="AC58" s="158">
        <v>8.9725304942218003</v>
      </c>
    </row>
    <row r="59" spans="1:29">
      <c r="A59" s="155">
        <v>46296</v>
      </c>
      <c r="B59" s="45">
        <f t="shared" si="0"/>
        <v>2026</v>
      </c>
      <c r="C59" s="158">
        <v>14.6254662115016</v>
      </c>
      <c r="D59" s="158">
        <v>13.003589630299</v>
      </c>
      <c r="E59" s="158">
        <v>16.5204610188479</v>
      </c>
      <c r="F59" s="158">
        <v>15.189780446719899</v>
      </c>
      <c r="G59" s="158">
        <v>13.428500356227</v>
      </c>
      <c r="H59" s="158">
        <v>17.274947888433601</v>
      </c>
      <c r="I59" s="158">
        <v>11.6260732435296</v>
      </c>
      <c r="J59" s="158">
        <v>10.141647143745899</v>
      </c>
      <c r="K59" s="158">
        <v>13.6025578130719</v>
      </c>
      <c r="L59" s="158">
        <v>31.511221393477701</v>
      </c>
      <c r="M59" s="158">
        <v>23.6665788536143</v>
      </c>
      <c r="N59" s="158">
        <v>42.460669191086403</v>
      </c>
      <c r="O59" s="453">
        <v>9.1199999999999992</v>
      </c>
      <c r="P59" s="453">
        <v>4.09</v>
      </c>
      <c r="Q59" s="453">
        <v>14.16</v>
      </c>
      <c r="R59" s="158">
        <v>11.837252956158</v>
      </c>
      <c r="S59" s="158">
        <v>8.8329331259764299</v>
      </c>
      <c r="T59" s="158">
        <v>17.634684946806001</v>
      </c>
      <c r="U59" s="158">
        <v>43.354631602256802</v>
      </c>
      <c r="V59" s="158">
        <v>14.4490489946072</v>
      </c>
      <c r="W59" s="158">
        <v>91.595255134854398</v>
      </c>
      <c r="X59" s="158">
        <v>6.04982307935144</v>
      </c>
      <c r="Y59" s="158">
        <v>3.9385643563516401</v>
      </c>
      <c r="Z59" s="158">
        <v>12.2875588885412</v>
      </c>
      <c r="AA59" s="158">
        <v>7.7374688466945498</v>
      </c>
      <c r="AB59" s="158">
        <v>6.7967099307569203</v>
      </c>
      <c r="AC59" s="158">
        <v>8.9106500802295194</v>
      </c>
    </row>
    <row r="60" spans="1:29">
      <c r="A60" s="155">
        <v>46327</v>
      </c>
      <c r="B60" s="45">
        <f t="shared" si="0"/>
        <v>2026</v>
      </c>
      <c r="C60" s="158">
        <v>19.834132325324902</v>
      </c>
      <c r="D60" s="158">
        <v>17.441115918095001</v>
      </c>
      <c r="E60" s="158">
        <v>22.672148875665801</v>
      </c>
      <c r="F60" s="158">
        <v>20.441080132837602</v>
      </c>
      <c r="G60" s="158">
        <v>17.840814229597701</v>
      </c>
      <c r="H60" s="158">
        <v>23.5754287141832</v>
      </c>
      <c r="I60" s="158">
        <v>14.768718264821301</v>
      </c>
      <c r="J60" s="158">
        <v>12.474426625302099</v>
      </c>
      <c r="K60" s="158">
        <v>18.0598560729158</v>
      </c>
      <c r="L60" s="158">
        <v>56.266838499733502</v>
      </c>
      <c r="M60" s="158">
        <v>41.2668481536288</v>
      </c>
      <c r="N60" s="158">
        <v>77.806291210524904</v>
      </c>
      <c r="O60" s="453">
        <v>8.92</v>
      </c>
      <c r="P60" s="453">
        <v>3.88</v>
      </c>
      <c r="Q60" s="453">
        <v>13.95</v>
      </c>
      <c r="R60" s="158">
        <v>12.1175774078262</v>
      </c>
      <c r="S60" s="158">
        <v>8.9691614620792297</v>
      </c>
      <c r="T60" s="158">
        <v>18.329717853246201</v>
      </c>
      <c r="U60" s="158">
        <v>82.980379138963201</v>
      </c>
      <c r="V60" s="158">
        <v>37.787993171982201</v>
      </c>
      <c r="W60" s="158">
        <v>149.64521716549501</v>
      </c>
      <c r="X60" s="158">
        <v>10.0047201806393</v>
      </c>
      <c r="Y60" s="158">
        <v>5.4015523531262701</v>
      </c>
      <c r="Z60" s="158">
        <v>44.966582198291498</v>
      </c>
      <c r="AA60" s="158">
        <v>8.9945190926446994</v>
      </c>
      <c r="AB60" s="158">
        <v>7.8038089444453496</v>
      </c>
      <c r="AC60" s="158">
        <v>10.512680753575999</v>
      </c>
    </row>
    <row r="61" spans="1:29">
      <c r="A61" s="155">
        <v>46357</v>
      </c>
      <c r="B61" s="45">
        <f t="shared" si="0"/>
        <v>2026</v>
      </c>
      <c r="C61" s="158">
        <v>28.513746441457599</v>
      </c>
      <c r="D61" s="158">
        <v>24.703538196833801</v>
      </c>
      <c r="E61" s="158">
        <v>33.124634966612298</v>
      </c>
      <c r="F61" s="158">
        <v>29.902431607068699</v>
      </c>
      <c r="G61" s="158">
        <v>25.6074813174356</v>
      </c>
      <c r="H61" s="158">
        <v>35.220437733503999</v>
      </c>
      <c r="I61" s="158">
        <v>20.3088414198957</v>
      </c>
      <c r="J61" s="158">
        <v>16.2571474757085</v>
      </c>
      <c r="K61" s="158">
        <v>26.939397274068</v>
      </c>
      <c r="L61" s="158">
        <v>76.866280209782303</v>
      </c>
      <c r="M61" s="158">
        <v>55.621416076443097</v>
      </c>
      <c r="N61" s="158">
        <v>107.86877104583699</v>
      </c>
      <c r="O61" s="453">
        <v>9.52</v>
      </c>
      <c r="P61" s="453">
        <v>4.49</v>
      </c>
      <c r="Q61" s="453">
        <v>14.56</v>
      </c>
      <c r="R61" s="158">
        <v>14.7649603551263</v>
      </c>
      <c r="S61" s="158">
        <v>10.3634282996473</v>
      </c>
      <c r="T61" s="158">
        <v>24.8973663239777</v>
      </c>
      <c r="U61" s="158">
        <v>148.37078965454401</v>
      </c>
      <c r="V61" s="158">
        <v>82.026978965907404</v>
      </c>
      <c r="W61" s="158">
        <v>238.287844307591</v>
      </c>
      <c r="X61" s="158">
        <v>12.4872452334918</v>
      </c>
      <c r="Y61" s="158">
        <v>6.1015580296352798</v>
      </c>
      <c r="Z61" s="158">
        <v>170.822631325603</v>
      </c>
      <c r="AA61" s="158">
        <v>11.4562042466259</v>
      </c>
      <c r="AB61" s="158">
        <v>9.7216237782224795</v>
      </c>
      <c r="AC61" s="158">
        <v>13.7587054512811</v>
      </c>
    </row>
    <row r="62" spans="1:29">
      <c r="C62" s="45" t="str">
        <f>CONCATENATE(C1,"_",$A$63)</f>
        <v>Overall_Forecast_Average_Max</v>
      </c>
      <c r="D62" s="45" t="str">
        <f t="shared" ref="D62:AC62" si="1">CONCATENATE(D1,"_",$A$63)</f>
        <v>Overall_Forecast_Low95_Max</v>
      </c>
      <c r="E62" s="45" t="str">
        <f t="shared" si="1"/>
        <v>Overall_Forecast_High95_Max</v>
      </c>
      <c r="F62" s="45" t="str">
        <f t="shared" si="1"/>
        <v>FPU_RS_Forecast_Average_Max</v>
      </c>
      <c r="G62" s="45" t="str">
        <f t="shared" si="1"/>
        <v>FPU_RS_Forecast_Low95_Max</v>
      </c>
      <c r="H62" s="45" t="str">
        <f t="shared" si="1"/>
        <v>FPU_RS_Forecast_High95_Max</v>
      </c>
      <c r="I62" s="45" t="str">
        <f t="shared" si="1"/>
        <v>FTS_1_Forecast_Average_Max</v>
      </c>
      <c r="J62" s="45" t="str">
        <f t="shared" si="1"/>
        <v>FTS_1_Forecast_Low95_Max</v>
      </c>
      <c r="K62" s="45" t="str">
        <f t="shared" si="1"/>
        <v>FTS_1_Forecast_High95_Max</v>
      </c>
      <c r="L62" s="45" t="str">
        <f t="shared" si="1"/>
        <v>FTS_2_Forecast_Average_Max</v>
      </c>
      <c r="M62" s="45" t="str">
        <f t="shared" si="1"/>
        <v>FTS_2_Forecast_Low95_Max</v>
      </c>
      <c r="N62" s="45" t="str">
        <f t="shared" si="1"/>
        <v>FTS_2_Forecast_High95_Max</v>
      </c>
      <c r="O62" s="454" t="str">
        <f t="shared" si="1"/>
        <v>FortMeade_RS_Forecast_Average_Max</v>
      </c>
      <c r="P62" s="454" t="str">
        <f t="shared" si="1"/>
        <v>FortMeade_RS_Forecast_Low95_Max</v>
      </c>
      <c r="Q62" s="454" t="str">
        <f t="shared" si="1"/>
        <v>FortMeade_RS_Forecast_High95_Max</v>
      </c>
      <c r="R62" s="45" t="str">
        <f t="shared" si="1"/>
        <v>TS_1_Forecast_Average_Max</v>
      </c>
      <c r="S62" s="45" t="str">
        <f t="shared" si="1"/>
        <v>TS_1_Forecast_Low95_Max</v>
      </c>
      <c r="T62" s="45" t="str">
        <f t="shared" si="1"/>
        <v>TS_1_Forecast_High95_Max</v>
      </c>
      <c r="U62" s="45" t="str">
        <f t="shared" si="1"/>
        <v>FTS_2.1_Forecast_Average_Max</v>
      </c>
      <c r="V62" s="45" t="str">
        <f t="shared" si="1"/>
        <v>FTS_2.1_Forecast_Low95_Max</v>
      </c>
      <c r="W62" s="45" t="str">
        <f t="shared" si="1"/>
        <v>FTS_2.1_Forecast_High95_Max</v>
      </c>
      <c r="X62" s="45" t="str">
        <f t="shared" si="1"/>
        <v>RS_GS_Forecast_Average_Max</v>
      </c>
      <c r="Y62" s="45" t="str">
        <f t="shared" si="1"/>
        <v>RS_GS_Forecast_Low95_Max</v>
      </c>
      <c r="Z62" s="45" t="str">
        <f t="shared" si="1"/>
        <v>RS_GS_Forecast_High95_Max</v>
      </c>
      <c r="AA62" s="45" t="str">
        <f t="shared" si="1"/>
        <v>FTS_AB_Forecast_Average_Max</v>
      </c>
      <c r="AB62" s="45" t="str">
        <f t="shared" si="1"/>
        <v>FTS_AB_Forecast_Low95_Max</v>
      </c>
      <c r="AC62" s="45" t="str">
        <f t="shared" si="1"/>
        <v>FTS_AB_Forecast_High95_Max</v>
      </c>
    </row>
    <row r="63" spans="1:29">
      <c r="A63" s="45" t="s">
        <v>717</v>
      </c>
      <c r="B63" s="45">
        <v>2022</v>
      </c>
      <c r="C63" s="158">
        <f t="shared" ref="C63:N63" si="2">MAX(C2:C13)</f>
        <v>36.245464820011399</v>
      </c>
      <c r="D63" s="158">
        <f t="shared" si="2"/>
        <v>31.0840129897352</v>
      </c>
      <c r="E63" s="158">
        <f t="shared" si="2"/>
        <v>42.578872179720598</v>
      </c>
      <c r="F63" s="158">
        <f t="shared" si="2"/>
        <v>38.199522317166398</v>
      </c>
      <c r="G63" s="158">
        <f t="shared" si="2"/>
        <v>32.2930448046408</v>
      </c>
      <c r="H63" s="158">
        <f t="shared" si="2"/>
        <v>45.648518461393401</v>
      </c>
      <c r="I63" s="158">
        <f t="shared" si="2"/>
        <v>24.3760953524949</v>
      </c>
      <c r="J63" s="158">
        <f t="shared" si="2"/>
        <v>18.784803549120898</v>
      </c>
      <c r="K63" s="158">
        <f t="shared" si="2"/>
        <v>34.489188514612202</v>
      </c>
      <c r="L63" s="158">
        <f t="shared" si="2"/>
        <v>106.996797968698</v>
      </c>
      <c r="M63" s="158">
        <f t="shared" si="2"/>
        <v>76.183080028532402</v>
      </c>
      <c r="N63" s="158">
        <f t="shared" si="2"/>
        <v>152.84432857829799</v>
      </c>
      <c r="O63" s="453">
        <f t="shared" ref="O63:AC63" si="3">MAX(O2:O13)</f>
        <v>16.25</v>
      </c>
      <c r="P63" s="453">
        <f t="shared" si="3"/>
        <v>12.14</v>
      </c>
      <c r="Q63" s="453">
        <f t="shared" si="3"/>
        <v>20.37</v>
      </c>
      <c r="R63" s="158">
        <f t="shared" si="3"/>
        <v>17.683340884379099</v>
      </c>
      <c r="S63" s="158">
        <f t="shared" si="3"/>
        <v>14.5850242029399</v>
      </c>
      <c r="T63" s="158">
        <f t="shared" si="3"/>
        <v>22.326934355111899</v>
      </c>
      <c r="U63" s="158">
        <f t="shared" si="3"/>
        <v>186.05292102106901</v>
      </c>
      <c r="V63" s="158">
        <f t="shared" si="3"/>
        <v>137.568871536627</v>
      </c>
      <c r="W63" s="158">
        <f t="shared" si="3"/>
        <v>243.18077689739101</v>
      </c>
      <c r="X63" s="158">
        <f t="shared" si="3"/>
        <v>14.123130600517401</v>
      </c>
      <c r="Y63" s="158">
        <f t="shared" si="3"/>
        <v>7.1526128929810602</v>
      </c>
      <c r="Z63" s="158">
        <f t="shared" si="3"/>
        <v>111.772840736955</v>
      </c>
      <c r="AA63" s="158">
        <f t="shared" si="3"/>
        <v>12.657643028241401</v>
      </c>
      <c r="AB63" s="158">
        <f t="shared" si="3"/>
        <v>10.6277059809119</v>
      </c>
      <c r="AC63" s="158">
        <f t="shared" si="3"/>
        <v>15.4053792289276</v>
      </c>
    </row>
    <row r="64" spans="1:29">
      <c r="A64" s="45" t="s">
        <v>717</v>
      </c>
      <c r="B64" s="45">
        <v>2023</v>
      </c>
      <c r="C64" s="158">
        <f t="shared" ref="C64:N64" si="4">MAX(C14:C25)</f>
        <v>36.245464820011399</v>
      </c>
      <c r="D64" s="158">
        <f t="shared" si="4"/>
        <v>31.0840129897352</v>
      </c>
      <c r="E64" s="158">
        <f t="shared" si="4"/>
        <v>42.578872179720598</v>
      </c>
      <c r="F64" s="158">
        <f t="shared" si="4"/>
        <v>38.199522317166398</v>
      </c>
      <c r="G64" s="158">
        <f t="shared" si="4"/>
        <v>32.2930448046408</v>
      </c>
      <c r="H64" s="158">
        <f t="shared" si="4"/>
        <v>45.648518461393401</v>
      </c>
      <c r="I64" s="158">
        <f t="shared" si="4"/>
        <v>24.3760953524949</v>
      </c>
      <c r="J64" s="158">
        <f t="shared" si="4"/>
        <v>18.784803549120898</v>
      </c>
      <c r="K64" s="158">
        <f t="shared" si="4"/>
        <v>34.489188514612202</v>
      </c>
      <c r="L64" s="158">
        <f t="shared" si="4"/>
        <v>106.996797968698</v>
      </c>
      <c r="M64" s="158">
        <f t="shared" si="4"/>
        <v>76.183080028532402</v>
      </c>
      <c r="N64" s="158">
        <f t="shared" si="4"/>
        <v>152.84432857829799</v>
      </c>
      <c r="O64" s="453">
        <f t="shared" ref="O64:AC64" si="5">MAX(O14:O25)</f>
        <v>16.25</v>
      </c>
      <c r="P64" s="453">
        <f t="shared" si="5"/>
        <v>11.89</v>
      </c>
      <c r="Q64" s="453">
        <f t="shared" si="5"/>
        <v>20.62</v>
      </c>
      <c r="R64" s="158">
        <f t="shared" si="5"/>
        <v>16.737800821783299</v>
      </c>
      <c r="S64" s="158">
        <f t="shared" si="5"/>
        <v>13.325217575345899</v>
      </c>
      <c r="T64" s="158">
        <f t="shared" si="5"/>
        <v>22.3064207840814</v>
      </c>
      <c r="U64" s="158">
        <f t="shared" si="5"/>
        <v>184.34487244345999</v>
      </c>
      <c r="V64" s="158">
        <f t="shared" si="5"/>
        <v>125.747170528753</v>
      </c>
      <c r="W64" s="158">
        <f t="shared" si="5"/>
        <v>256.24155625106602</v>
      </c>
      <c r="X64" s="158">
        <f t="shared" si="5"/>
        <v>14.7947734745481</v>
      </c>
      <c r="Y64" s="158">
        <f t="shared" si="5"/>
        <v>6.86091381842642</v>
      </c>
      <c r="Z64" s="158">
        <f t="shared" si="5"/>
        <v>8684.3734228540907</v>
      </c>
      <c r="AA64" s="158">
        <f t="shared" si="5"/>
        <v>12.657643028241401</v>
      </c>
      <c r="AB64" s="158">
        <f t="shared" si="5"/>
        <v>10.6277059809119</v>
      </c>
      <c r="AC64" s="158">
        <f t="shared" si="5"/>
        <v>15.4053792289276</v>
      </c>
    </row>
    <row r="65" spans="1:29">
      <c r="A65" s="45" t="s">
        <v>718</v>
      </c>
      <c r="B65" s="45">
        <v>2022</v>
      </c>
      <c r="C65" s="256">
        <f t="shared" ref="C65:N65" si="6">INDEX($A$2:$A$13,MATCH(C63,C2:C13,0))</f>
        <v>44562</v>
      </c>
      <c r="D65" s="256">
        <f t="shared" si="6"/>
        <v>44562</v>
      </c>
      <c r="E65" s="256">
        <f t="shared" si="6"/>
        <v>44562</v>
      </c>
      <c r="F65" s="256">
        <f t="shared" si="6"/>
        <v>44562</v>
      </c>
      <c r="G65" s="256">
        <f t="shared" si="6"/>
        <v>44562</v>
      </c>
      <c r="H65" s="256">
        <f t="shared" si="6"/>
        <v>44562</v>
      </c>
      <c r="I65" s="256">
        <f t="shared" si="6"/>
        <v>44562</v>
      </c>
      <c r="J65" s="256">
        <f t="shared" si="6"/>
        <v>44562</v>
      </c>
      <c r="K65" s="256">
        <f t="shared" si="6"/>
        <v>44562</v>
      </c>
      <c r="L65" s="256">
        <f t="shared" si="6"/>
        <v>44562</v>
      </c>
      <c r="M65" s="256">
        <f t="shared" si="6"/>
        <v>44562</v>
      </c>
      <c r="N65" s="256">
        <f t="shared" si="6"/>
        <v>44562</v>
      </c>
      <c r="O65" s="455">
        <f t="shared" ref="O65:AC65" si="7">INDEX($A$2:$A$13,MATCH(O63,O2:O13,0))</f>
        <v>44621</v>
      </c>
      <c r="P65" s="455">
        <f t="shared" si="7"/>
        <v>44621</v>
      </c>
      <c r="Q65" s="455">
        <f t="shared" si="7"/>
        <v>44621</v>
      </c>
      <c r="R65" s="256">
        <f t="shared" si="7"/>
        <v>44562</v>
      </c>
      <c r="S65" s="256">
        <f t="shared" si="7"/>
        <v>44562</v>
      </c>
      <c r="T65" s="256">
        <f t="shared" si="7"/>
        <v>44562</v>
      </c>
      <c r="U65" s="256">
        <f t="shared" si="7"/>
        <v>44562</v>
      </c>
      <c r="V65" s="256">
        <f t="shared" si="7"/>
        <v>44562</v>
      </c>
      <c r="W65" s="256">
        <f t="shared" si="7"/>
        <v>44562</v>
      </c>
      <c r="X65" s="256">
        <f t="shared" si="7"/>
        <v>44562</v>
      </c>
      <c r="Y65" s="256">
        <f t="shared" si="7"/>
        <v>44562</v>
      </c>
      <c r="Z65" s="256">
        <f t="shared" si="7"/>
        <v>44562</v>
      </c>
      <c r="AA65" s="256">
        <f t="shared" si="7"/>
        <v>44562</v>
      </c>
      <c r="AB65" s="256">
        <f t="shared" si="7"/>
        <v>44562</v>
      </c>
      <c r="AC65" s="256">
        <f t="shared" si="7"/>
        <v>44562</v>
      </c>
    </row>
    <row r="66" spans="1:29">
      <c r="A66" s="45" t="s">
        <v>718</v>
      </c>
      <c r="B66" s="45">
        <v>2023</v>
      </c>
      <c r="C66" s="256">
        <f t="shared" ref="C66:N66" si="8">INDEX($A$14:$A$25,MATCH(C64,C14:C25,0))</f>
        <v>44927</v>
      </c>
      <c r="D66" s="256">
        <f t="shared" si="8"/>
        <v>44927</v>
      </c>
      <c r="E66" s="256">
        <f t="shared" si="8"/>
        <v>44927</v>
      </c>
      <c r="F66" s="256">
        <f t="shared" si="8"/>
        <v>44927</v>
      </c>
      <c r="G66" s="256">
        <f t="shared" si="8"/>
        <v>44927</v>
      </c>
      <c r="H66" s="256">
        <f t="shared" si="8"/>
        <v>44927</v>
      </c>
      <c r="I66" s="256">
        <f t="shared" si="8"/>
        <v>44927</v>
      </c>
      <c r="J66" s="256">
        <f t="shared" si="8"/>
        <v>44927</v>
      </c>
      <c r="K66" s="256">
        <f t="shared" si="8"/>
        <v>44927</v>
      </c>
      <c r="L66" s="256">
        <f t="shared" si="8"/>
        <v>44927</v>
      </c>
      <c r="M66" s="256">
        <f t="shared" si="8"/>
        <v>44927</v>
      </c>
      <c r="N66" s="256">
        <f t="shared" si="8"/>
        <v>44927</v>
      </c>
      <c r="O66" s="455">
        <f t="shared" ref="O66:AC66" si="9">INDEX($A$14:$A$25,MATCH(O64,O14:O25,0))</f>
        <v>44986</v>
      </c>
      <c r="P66" s="455">
        <f t="shared" si="9"/>
        <v>44986</v>
      </c>
      <c r="Q66" s="455">
        <f t="shared" si="9"/>
        <v>44986</v>
      </c>
      <c r="R66" s="256">
        <f t="shared" si="9"/>
        <v>44927</v>
      </c>
      <c r="S66" s="256">
        <f t="shared" si="9"/>
        <v>44927</v>
      </c>
      <c r="T66" s="256">
        <f t="shared" si="9"/>
        <v>44927</v>
      </c>
      <c r="U66" s="256">
        <f t="shared" si="9"/>
        <v>44927</v>
      </c>
      <c r="V66" s="256">
        <f t="shared" si="9"/>
        <v>44927</v>
      </c>
      <c r="W66" s="256">
        <f t="shared" si="9"/>
        <v>44927</v>
      </c>
      <c r="X66" s="256">
        <f t="shared" si="9"/>
        <v>44927</v>
      </c>
      <c r="Y66" s="256">
        <f t="shared" si="9"/>
        <v>44927</v>
      </c>
      <c r="Z66" s="256">
        <f t="shared" si="9"/>
        <v>44927</v>
      </c>
      <c r="AA66" s="256">
        <f t="shared" si="9"/>
        <v>44927</v>
      </c>
      <c r="AB66" s="256">
        <f t="shared" si="9"/>
        <v>44927</v>
      </c>
      <c r="AC66" s="256">
        <f t="shared" si="9"/>
        <v>44927</v>
      </c>
    </row>
  </sheetData>
  <autoFilter ref="A1:AC66" xr:uid="{26CA333F-4527-4763-809B-207BAA24FE36}"/>
  <conditionalFormatting sqref="C2:AC61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0D9A-A12C-4F8A-88BE-DE87D157EDF7}">
  <sheetPr codeName="Sheet38">
    <tabColor theme="4" tint="0.39997558519241921"/>
  </sheetPr>
  <dimension ref="A1:AO61"/>
  <sheetViews>
    <sheetView topLeftCell="A31" workbookViewId="0"/>
  </sheetViews>
  <sheetFormatPr defaultColWidth="9.140625" defaultRowHeight="12.75"/>
  <cols>
    <col min="1" max="1" width="10.42578125" style="45" bestFit="1" customWidth="1"/>
    <col min="2" max="2" width="10.42578125" style="45" customWidth="1"/>
    <col min="3" max="3" width="22.85546875" style="45" bestFit="1" customWidth="1"/>
    <col min="4" max="4" width="21.42578125" style="45" bestFit="1" customWidth="1"/>
    <col min="5" max="5" width="21.85546875" style="45" bestFit="1" customWidth="1"/>
    <col min="6" max="6" width="20" style="45" bestFit="1" customWidth="1"/>
    <col min="7" max="7" width="18.5703125" style="45" bestFit="1" customWidth="1"/>
    <col min="8" max="8" width="19" style="45" bestFit="1" customWidth="1"/>
    <col min="9" max="9" width="19.7109375" style="45" bestFit="1" customWidth="1"/>
    <col min="10" max="10" width="18.42578125" style="45" bestFit="1" customWidth="1"/>
    <col min="11" max="11" width="18.7109375" style="45" bestFit="1" customWidth="1"/>
    <col min="12" max="12" width="20" style="45" bestFit="1" customWidth="1"/>
    <col min="13" max="13" width="18.5703125" style="45" bestFit="1" customWidth="1"/>
    <col min="14" max="14" width="19" style="45" bestFit="1" customWidth="1"/>
    <col min="15" max="15" width="30.5703125" style="45" bestFit="1" customWidth="1"/>
    <col min="16" max="16" width="29.140625" style="45" bestFit="1" customWidth="1"/>
    <col min="17" max="17" width="29.5703125" style="45" bestFit="1" customWidth="1"/>
    <col min="18" max="18" width="20.5703125" style="45" bestFit="1" customWidth="1"/>
    <col min="19" max="19" width="11" style="45" bestFit="1" customWidth="1"/>
    <col min="20" max="20" width="19.5703125" style="45" bestFit="1" customWidth="1"/>
    <col min="21" max="21" width="20.5703125" style="45" bestFit="1" customWidth="1"/>
    <col min="22" max="22" width="19.28515625" style="45" bestFit="1" customWidth="1"/>
    <col min="23" max="23" width="19.5703125" style="45" bestFit="1" customWidth="1"/>
    <col min="24" max="24" width="22.28515625" style="45" bestFit="1" customWidth="1"/>
    <col min="25" max="25" width="20.85546875" style="45" bestFit="1" customWidth="1"/>
    <col min="26" max="26" width="21.28515625" style="45" bestFit="1" customWidth="1"/>
    <col min="27" max="27" width="20.5703125" style="45" bestFit="1" customWidth="1"/>
    <col min="28" max="28" width="19.28515625" style="45" bestFit="1" customWidth="1"/>
    <col min="29" max="29" width="19.5703125" style="45" bestFit="1" customWidth="1"/>
    <col min="30" max="30" width="22.28515625" style="45" bestFit="1" customWidth="1"/>
    <col min="31" max="31" width="20.85546875" style="45" bestFit="1" customWidth="1"/>
    <col min="32" max="32" width="21.28515625" style="45" bestFit="1" customWidth="1"/>
    <col min="33" max="33" width="20.5703125" style="45" bestFit="1" customWidth="1"/>
    <col min="34" max="34" width="19.28515625" style="45" bestFit="1" customWidth="1"/>
    <col min="35" max="35" width="19.5703125" style="45" bestFit="1" customWidth="1"/>
    <col min="36" max="36" width="21.140625" style="45" bestFit="1" customWidth="1"/>
    <col min="37" max="37" width="19.5703125" style="45" bestFit="1" customWidth="1"/>
    <col min="38" max="38" width="20" style="45" bestFit="1" customWidth="1"/>
    <col min="39" max="39" width="23" style="45" bestFit="1" customWidth="1"/>
    <col min="40" max="40" width="21.5703125" style="45" bestFit="1" customWidth="1"/>
    <col min="41" max="41" width="22" style="45" bestFit="1" customWidth="1"/>
    <col min="42" max="16384" width="9.140625" style="45"/>
  </cols>
  <sheetData>
    <row r="1" spans="1:41">
      <c r="A1" s="154" t="s">
        <v>109</v>
      </c>
      <c r="B1" s="154" t="s">
        <v>110</v>
      </c>
      <c r="C1" s="47" t="s">
        <v>376</v>
      </c>
      <c r="D1" s="48" t="s">
        <v>377</v>
      </c>
      <c r="E1" s="49" t="s">
        <v>378</v>
      </c>
      <c r="F1" s="47" t="s">
        <v>380</v>
      </c>
      <c r="G1" s="48" t="s">
        <v>382</v>
      </c>
      <c r="H1" s="49" t="s">
        <v>383</v>
      </c>
      <c r="I1" s="47" t="s">
        <v>385</v>
      </c>
      <c r="J1" s="48" t="s">
        <v>387</v>
      </c>
      <c r="K1" s="49" t="s">
        <v>389</v>
      </c>
      <c r="L1" s="47" t="s">
        <v>391</v>
      </c>
      <c r="M1" s="48" t="s">
        <v>393</v>
      </c>
      <c r="N1" s="49" t="s">
        <v>395</v>
      </c>
      <c r="O1" s="47" t="s">
        <v>397</v>
      </c>
      <c r="P1" s="48" t="s">
        <v>399</v>
      </c>
      <c r="Q1" s="49" t="s">
        <v>401</v>
      </c>
      <c r="R1" s="47" t="s">
        <v>402</v>
      </c>
      <c r="S1" s="48" t="s">
        <v>403</v>
      </c>
      <c r="T1" s="49" t="s">
        <v>404</v>
      </c>
      <c r="U1" s="47" t="s">
        <v>405</v>
      </c>
      <c r="V1" s="48" t="s">
        <v>406</v>
      </c>
      <c r="W1" s="49" t="s">
        <v>407</v>
      </c>
      <c r="X1" s="47" t="s">
        <v>408</v>
      </c>
      <c r="Y1" s="48" t="s">
        <v>409</v>
      </c>
      <c r="Z1" s="49" t="s">
        <v>410</v>
      </c>
      <c r="AA1" s="47" t="s">
        <v>411</v>
      </c>
      <c r="AB1" s="48" t="s">
        <v>412</v>
      </c>
      <c r="AC1" s="49" t="s">
        <v>413</v>
      </c>
      <c r="AD1" s="47" t="s">
        <v>414</v>
      </c>
      <c r="AE1" s="48" t="s">
        <v>415</v>
      </c>
      <c r="AF1" s="49" t="s">
        <v>416</v>
      </c>
      <c r="AG1" s="47" t="s">
        <v>417</v>
      </c>
      <c r="AH1" s="48" t="s">
        <v>418</v>
      </c>
      <c r="AI1" s="49" t="s">
        <v>419</v>
      </c>
      <c r="AJ1" s="47" t="s">
        <v>420</v>
      </c>
      <c r="AK1" s="48" t="s">
        <v>421</v>
      </c>
      <c r="AL1" s="49" t="s">
        <v>422</v>
      </c>
      <c r="AM1" s="169" t="s">
        <v>665</v>
      </c>
      <c r="AN1" s="169" t="s">
        <v>666</v>
      </c>
      <c r="AO1" s="169" t="s">
        <v>667</v>
      </c>
    </row>
    <row r="2" spans="1:41">
      <c r="A2" s="155">
        <v>44562</v>
      </c>
      <c r="B2" s="45">
        <f>YEAR(A2)</f>
        <v>2022</v>
      </c>
      <c r="C2" s="157">
        <v>7589.7249811247102</v>
      </c>
      <c r="D2" s="157">
        <v>7327.6520705547</v>
      </c>
      <c r="E2" s="157">
        <v>7864.2007851497401</v>
      </c>
      <c r="F2" s="157">
        <v>3077.6458868078398</v>
      </c>
      <c r="G2" s="157">
        <v>3035.96759400774</v>
      </c>
      <c r="H2" s="157">
        <v>3119.7202014831801</v>
      </c>
      <c r="I2" s="157">
        <v>1868.07814050199</v>
      </c>
      <c r="J2" s="157">
        <v>1851.14833402971</v>
      </c>
      <c r="K2" s="157">
        <v>1885.00794697427</v>
      </c>
      <c r="L2" s="157">
        <v>877.40963300714805</v>
      </c>
      <c r="M2" s="157">
        <v>855.52529727749095</v>
      </c>
      <c r="N2" s="157">
        <v>898.761293300489</v>
      </c>
      <c r="O2" s="157">
        <v>22.789027263344199</v>
      </c>
      <c r="P2" s="157">
        <v>19.987291539518601</v>
      </c>
      <c r="Q2" s="157">
        <v>25.5907629871698</v>
      </c>
      <c r="R2" s="157">
        <v>196.62790054795801</v>
      </c>
      <c r="S2" s="157">
        <v>184.92549583853099</v>
      </c>
      <c r="T2" s="157">
        <v>207.671958769866</v>
      </c>
      <c r="U2" s="157">
        <v>96.575738652790307</v>
      </c>
      <c r="V2" s="157">
        <v>91.481993624839703</v>
      </c>
      <c r="W2" s="157">
        <v>102.103924585915</v>
      </c>
      <c r="X2" s="157">
        <v>225.82679129838101</v>
      </c>
      <c r="Y2" s="157">
        <v>219.10208934472101</v>
      </c>
      <c r="Z2" s="157">
        <v>232.66213454966001</v>
      </c>
      <c r="AA2" s="157">
        <v>300.362430711684</v>
      </c>
      <c r="AB2" s="157">
        <v>294.32735461455701</v>
      </c>
      <c r="AC2" s="157">
        <v>306.39538515001999</v>
      </c>
      <c r="AD2" s="157">
        <v>332.921931002485</v>
      </c>
      <c r="AE2" s="157">
        <v>326.90968505818199</v>
      </c>
      <c r="AF2" s="157">
        <v>338.934176946788</v>
      </c>
      <c r="AG2" s="157">
        <v>204.33992718228399</v>
      </c>
      <c r="AH2" s="157">
        <v>199.692197614093</v>
      </c>
      <c r="AI2" s="157">
        <v>208.98765675047599</v>
      </c>
      <c r="AJ2" s="157">
        <v>301.65146699417301</v>
      </c>
      <c r="AK2" s="157">
        <v>298.91597286788198</v>
      </c>
      <c r="AL2" s="157">
        <v>304.38696112046398</v>
      </c>
      <c r="AM2" s="157">
        <v>12.3436057032915</v>
      </c>
      <c r="AN2" s="157">
        <v>9.7003924510478399</v>
      </c>
      <c r="AO2" s="157">
        <v>15.090751283486499</v>
      </c>
    </row>
    <row r="3" spans="1:41">
      <c r="A3" s="155">
        <v>44593</v>
      </c>
      <c r="B3" s="45">
        <f t="shared" ref="B3:B61" si="0">YEAR(A3)</f>
        <v>2022</v>
      </c>
      <c r="C3" s="157">
        <v>7616.1753413439001</v>
      </c>
      <c r="D3" s="157">
        <v>7231.7295195213201</v>
      </c>
      <c r="E3" s="157">
        <v>8027.8120752740697</v>
      </c>
      <c r="F3" s="157">
        <v>3087.8851049274299</v>
      </c>
      <c r="G3" s="157">
        <v>3026.8288648728198</v>
      </c>
      <c r="H3" s="157">
        <v>3149.7921358001799</v>
      </c>
      <c r="I3" s="157">
        <v>1875.1470178658899</v>
      </c>
      <c r="J3" s="157">
        <v>1853.7796992639501</v>
      </c>
      <c r="K3" s="157">
        <v>1896.5143364678299</v>
      </c>
      <c r="L3" s="157">
        <v>875.478157758159</v>
      </c>
      <c r="M3" s="157">
        <v>848.87551419357999</v>
      </c>
      <c r="N3" s="157">
        <v>901.29599544540702</v>
      </c>
      <c r="O3" s="157">
        <v>23.0318931603829</v>
      </c>
      <c r="P3" s="157">
        <v>19.6649244293625</v>
      </c>
      <c r="Q3" s="157">
        <v>26.398861891403399</v>
      </c>
      <c r="R3" s="157">
        <v>199.17834445294099</v>
      </c>
      <c r="S3" s="157">
        <v>186.375413123622</v>
      </c>
      <c r="T3" s="157">
        <v>211.20666118089599</v>
      </c>
      <c r="U3" s="157">
        <v>100.290297232692</v>
      </c>
      <c r="V3" s="157">
        <v>93.736176387899107</v>
      </c>
      <c r="W3" s="157">
        <v>107.55142391686</v>
      </c>
      <c r="X3" s="157">
        <v>226.09179004131801</v>
      </c>
      <c r="Y3" s="157">
        <v>217.92173107987699</v>
      </c>
      <c r="Z3" s="157">
        <v>234.42554991497499</v>
      </c>
      <c r="AA3" s="157">
        <v>303.74264046818797</v>
      </c>
      <c r="AB3" s="157">
        <v>296.888140247546</v>
      </c>
      <c r="AC3" s="157">
        <v>310.59443429800803</v>
      </c>
      <c r="AD3" s="157">
        <v>332.35333807546402</v>
      </c>
      <c r="AE3" s="157">
        <v>324.99662550582599</v>
      </c>
      <c r="AF3" s="157">
        <v>339.71005064510098</v>
      </c>
      <c r="AG3" s="157">
        <v>205.33441807363701</v>
      </c>
      <c r="AH3" s="157">
        <v>199.90165387356899</v>
      </c>
      <c r="AI3" s="157">
        <v>210.767182273705</v>
      </c>
      <c r="AJ3" s="157">
        <v>303.19561832040699</v>
      </c>
      <c r="AK3" s="157">
        <v>300.01054540003798</v>
      </c>
      <c r="AL3" s="157">
        <v>306.380691240776</v>
      </c>
      <c r="AM3" s="157">
        <v>12.655023483830499</v>
      </c>
      <c r="AN3" s="157">
        <v>9.9753510146532705</v>
      </c>
      <c r="AO3" s="157">
        <v>15.4388259767601</v>
      </c>
    </row>
    <row r="4" spans="1:41">
      <c r="A4" s="155">
        <v>44621</v>
      </c>
      <c r="B4" s="45">
        <f t="shared" si="0"/>
        <v>2022</v>
      </c>
      <c r="C4" s="157">
        <v>7639.7998641303002</v>
      </c>
      <c r="D4" s="157">
        <v>7207.8195449431596</v>
      </c>
      <c r="E4" s="157">
        <v>8106.2975218912297</v>
      </c>
      <c r="F4" s="157">
        <v>3098.6448626821998</v>
      </c>
      <c r="G4" s="157">
        <v>3030.3889081904199</v>
      </c>
      <c r="H4" s="157">
        <v>3167.9620854371501</v>
      </c>
      <c r="I4" s="157">
        <v>1878.5104755345401</v>
      </c>
      <c r="J4" s="157">
        <v>1854.9027059739999</v>
      </c>
      <c r="K4" s="157">
        <v>1902.1182450950701</v>
      </c>
      <c r="L4" s="157">
        <v>873.29353982916098</v>
      </c>
      <c r="M4" s="157">
        <v>844.382464474725</v>
      </c>
      <c r="N4" s="157">
        <v>901.27775162852299</v>
      </c>
      <c r="O4" s="157">
        <v>23.0709377716862</v>
      </c>
      <c r="P4" s="157">
        <v>19.4404073325063</v>
      </c>
      <c r="Q4" s="157">
        <v>26.7014682108661</v>
      </c>
      <c r="R4" s="157">
        <v>194.05350566861901</v>
      </c>
      <c r="S4" s="157">
        <v>180.33656215211599</v>
      </c>
      <c r="T4" s="157">
        <v>206.86294061145699</v>
      </c>
      <c r="U4" s="157">
        <v>102.177441962228</v>
      </c>
      <c r="V4" s="157">
        <v>94.914090930559993</v>
      </c>
      <c r="W4" s="157">
        <v>110.301178325846</v>
      </c>
      <c r="X4" s="157">
        <v>226.25769372375899</v>
      </c>
      <c r="Y4" s="157">
        <v>217.47884792257099</v>
      </c>
      <c r="Z4" s="157">
        <v>235.225688541328</v>
      </c>
      <c r="AA4" s="157">
        <v>303.089895364173</v>
      </c>
      <c r="AB4" s="157">
        <v>295.61703305125599</v>
      </c>
      <c r="AC4" s="157">
        <v>310.559534095689</v>
      </c>
      <c r="AD4" s="157">
        <v>333.86469545146298</v>
      </c>
      <c r="AE4" s="157">
        <v>325.57618755497498</v>
      </c>
      <c r="AF4" s="157">
        <v>342.15320334795098</v>
      </c>
      <c r="AG4" s="157">
        <v>205.761282265321</v>
      </c>
      <c r="AH4" s="157">
        <v>199.71638365751201</v>
      </c>
      <c r="AI4" s="157">
        <v>211.80618087312999</v>
      </c>
      <c r="AJ4" s="157">
        <v>302.61179679576298</v>
      </c>
      <c r="AK4" s="157">
        <v>299.033186604479</v>
      </c>
      <c r="AL4" s="157">
        <v>306.19040698704703</v>
      </c>
      <c r="AM4" s="157">
        <v>10.5365755563828</v>
      </c>
      <c r="AN4" s="157">
        <v>7.8476924762135196</v>
      </c>
      <c r="AO4" s="157">
        <v>13.3527691819202</v>
      </c>
    </row>
    <row r="5" spans="1:41">
      <c r="A5" s="155">
        <v>44652</v>
      </c>
      <c r="B5" s="45">
        <f t="shared" si="0"/>
        <v>2022</v>
      </c>
      <c r="C5" s="157">
        <v>7611.2785111422399</v>
      </c>
      <c r="D5" s="157">
        <v>7156.1981877040198</v>
      </c>
      <c r="E5" s="157">
        <v>8104.98695473099</v>
      </c>
      <c r="F5" s="157">
        <v>3093.0822584462999</v>
      </c>
      <c r="G5" s="157">
        <v>3018.54555810798</v>
      </c>
      <c r="H5" s="157">
        <v>3168.88865920233</v>
      </c>
      <c r="I5" s="157">
        <v>1869.2574895574901</v>
      </c>
      <c r="J5" s="157">
        <v>1844.4165388004801</v>
      </c>
      <c r="K5" s="157">
        <v>1894.0984403145001</v>
      </c>
      <c r="L5" s="157">
        <v>855.75844960260304</v>
      </c>
      <c r="M5" s="157">
        <v>824.102129099423</v>
      </c>
      <c r="N5" s="157">
        <v>886.28486981144397</v>
      </c>
      <c r="O5" s="157">
        <v>23.263436047161399</v>
      </c>
      <c r="P5" s="157">
        <v>19.475525088200499</v>
      </c>
      <c r="Q5" s="157">
        <v>27.051347006122398</v>
      </c>
      <c r="R5" s="157">
        <v>183.641702398305</v>
      </c>
      <c r="S5" s="157">
        <v>168.51403750750001</v>
      </c>
      <c r="T5" s="157">
        <v>197.614776328517</v>
      </c>
      <c r="U5" s="157">
        <v>100.988946136851</v>
      </c>
      <c r="V5" s="157">
        <v>93.600078180877503</v>
      </c>
      <c r="W5" s="157">
        <v>109.281796209418</v>
      </c>
      <c r="X5" s="157">
        <v>221.94497513912199</v>
      </c>
      <c r="Y5" s="157">
        <v>212.98569053395801</v>
      </c>
      <c r="Z5" s="157">
        <v>231.10526858577799</v>
      </c>
      <c r="AA5" s="157">
        <v>304.154736356873</v>
      </c>
      <c r="AB5" s="157">
        <v>296.20172400058402</v>
      </c>
      <c r="AC5" s="157">
        <v>312.10411040769998</v>
      </c>
      <c r="AD5" s="157">
        <v>329.15767842147</v>
      </c>
      <c r="AE5" s="157">
        <v>320.07350039448602</v>
      </c>
      <c r="AF5" s="157">
        <v>338.24185644845397</v>
      </c>
      <c r="AG5" s="157">
        <v>204.731120075517</v>
      </c>
      <c r="AH5" s="157">
        <v>198.19061266906601</v>
      </c>
      <c r="AI5" s="157">
        <v>211.27162748196801</v>
      </c>
      <c r="AJ5" s="157">
        <v>303.89642472039901</v>
      </c>
      <c r="AK5" s="157">
        <v>299.96345989799698</v>
      </c>
      <c r="AL5" s="157">
        <v>307.82938954280201</v>
      </c>
      <c r="AM5" s="157">
        <v>11.164118046120301</v>
      </c>
      <c r="AN5" s="157">
        <v>8.3623204019016093</v>
      </c>
      <c r="AO5" s="157">
        <v>14.0962303515005</v>
      </c>
    </row>
    <row r="6" spans="1:41">
      <c r="A6" s="155">
        <v>44682</v>
      </c>
      <c r="B6" s="45">
        <f t="shared" si="0"/>
        <v>2022</v>
      </c>
      <c r="C6" s="157">
        <v>7529.3226234186895</v>
      </c>
      <c r="D6" s="157">
        <v>7057.1996506614496</v>
      </c>
      <c r="E6" s="157">
        <v>8043.6479411536202</v>
      </c>
      <c r="F6" s="157">
        <v>3058.8825409085598</v>
      </c>
      <c r="G6" s="157">
        <v>2979.1153034913</v>
      </c>
      <c r="H6" s="157">
        <v>3140.1222545656901</v>
      </c>
      <c r="I6" s="157">
        <v>1851.7012660484299</v>
      </c>
      <c r="J6" s="157">
        <v>1826.1572271551499</v>
      </c>
      <c r="K6" s="157">
        <v>1877.2453049417099</v>
      </c>
      <c r="L6" s="157">
        <v>823.30122619757003</v>
      </c>
      <c r="M6" s="157">
        <v>788.25580589076606</v>
      </c>
      <c r="N6" s="157">
        <v>856.91468367231005</v>
      </c>
      <c r="O6" s="157">
        <v>23.4462521229473</v>
      </c>
      <c r="P6" s="157">
        <v>19.546018220893199</v>
      </c>
      <c r="Q6" s="157">
        <v>27.346486025001401</v>
      </c>
      <c r="R6" s="157">
        <v>181.12878471910099</v>
      </c>
      <c r="S6" s="157">
        <v>165.21256379345601</v>
      </c>
      <c r="T6" s="157">
        <v>195.755245513478</v>
      </c>
      <c r="U6" s="157">
        <v>101.009331463303</v>
      </c>
      <c r="V6" s="157">
        <v>93.494817273544697</v>
      </c>
      <c r="W6" s="157">
        <v>109.46056508868899</v>
      </c>
      <c r="X6" s="157">
        <v>220.516202564678</v>
      </c>
      <c r="Y6" s="157">
        <v>211.46134561100899</v>
      </c>
      <c r="Z6" s="157">
        <v>229.77779056976499</v>
      </c>
      <c r="AA6" s="157">
        <v>304.36730520496201</v>
      </c>
      <c r="AB6" s="157">
        <v>296.03329609439902</v>
      </c>
      <c r="AC6" s="157">
        <v>312.697321898491</v>
      </c>
      <c r="AD6" s="157">
        <v>327.50504529650999</v>
      </c>
      <c r="AE6" s="157">
        <v>317.69848632117697</v>
      </c>
      <c r="AF6" s="157">
        <v>337.31160427184301</v>
      </c>
      <c r="AG6" s="157">
        <v>203.17929484138301</v>
      </c>
      <c r="AH6" s="157">
        <v>196.22837150188701</v>
      </c>
      <c r="AI6" s="157">
        <v>210.13021818088001</v>
      </c>
      <c r="AJ6" s="157">
        <v>303.19557414214</v>
      </c>
      <c r="AK6" s="157">
        <v>298.93764346077</v>
      </c>
      <c r="AL6" s="157">
        <v>307.45350482351</v>
      </c>
      <c r="AM6" s="157">
        <v>10.2576388580071</v>
      </c>
      <c r="AN6" s="157">
        <v>7.4213654283207404</v>
      </c>
      <c r="AO6" s="157">
        <v>13.2402353411258</v>
      </c>
    </row>
    <row r="7" spans="1:41">
      <c r="A7" s="155">
        <v>44713</v>
      </c>
      <c r="B7" s="45">
        <f t="shared" si="0"/>
        <v>2022</v>
      </c>
      <c r="C7" s="157">
        <v>7466.6825985269697</v>
      </c>
      <c r="D7" s="157">
        <v>6977.7357398497898</v>
      </c>
      <c r="E7" s="157">
        <v>8001.4540373939199</v>
      </c>
      <c r="F7" s="157">
        <v>3022.0824898303499</v>
      </c>
      <c r="G7" s="157">
        <v>2937.6304648620699</v>
      </c>
      <c r="H7" s="157">
        <v>3108.2073452083901</v>
      </c>
      <c r="I7" s="157">
        <v>1852.0499264319401</v>
      </c>
      <c r="J7" s="157">
        <v>1826.0980008931799</v>
      </c>
      <c r="K7" s="157">
        <v>1878.00185197069</v>
      </c>
      <c r="L7" s="157">
        <v>817.873843632226</v>
      </c>
      <c r="M7" s="157">
        <v>780.59127053790405</v>
      </c>
      <c r="N7" s="157">
        <v>853.52956082917603</v>
      </c>
      <c r="O7" s="157">
        <v>23.4525714997215</v>
      </c>
      <c r="P7" s="157">
        <v>19.461457850517899</v>
      </c>
      <c r="Q7" s="157">
        <v>27.443685148925201</v>
      </c>
      <c r="R7" s="157">
        <v>177.09315431446899</v>
      </c>
      <c r="S7" s="157">
        <v>160.21989059894699</v>
      </c>
      <c r="T7" s="157">
        <v>192.49310453980999</v>
      </c>
      <c r="U7" s="157">
        <v>101.618160668748</v>
      </c>
      <c r="V7" s="157">
        <v>93.974626958726304</v>
      </c>
      <c r="W7" s="157">
        <v>110.226377644664</v>
      </c>
      <c r="X7" s="157">
        <v>221.43267583341799</v>
      </c>
      <c r="Y7" s="157">
        <v>212.29668039492699</v>
      </c>
      <c r="Z7" s="157">
        <v>230.77827592948501</v>
      </c>
      <c r="AA7" s="157">
        <v>302.32081532877402</v>
      </c>
      <c r="AB7" s="157">
        <v>293.67962339059397</v>
      </c>
      <c r="AC7" s="157">
        <v>310.95768609972498</v>
      </c>
      <c r="AD7" s="157">
        <v>327.21149990248603</v>
      </c>
      <c r="AE7" s="157">
        <v>316.73423506920898</v>
      </c>
      <c r="AF7" s="157">
        <v>337.68876473576302</v>
      </c>
      <c r="AG7" s="157">
        <v>200.725267371342</v>
      </c>
      <c r="AH7" s="157">
        <v>193.429357771957</v>
      </c>
      <c r="AI7" s="157">
        <v>208.021176970727</v>
      </c>
      <c r="AJ7" s="157">
        <v>303.19533573880801</v>
      </c>
      <c r="AK7" s="157">
        <v>298.63554023018702</v>
      </c>
      <c r="AL7" s="157">
        <v>307.75513124742901</v>
      </c>
      <c r="AM7" s="157">
        <v>10.860680761010499</v>
      </c>
      <c r="AN7" s="157">
        <v>7.9128511135411896</v>
      </c>
      <c r="AO7" s="157">
        <v>13.9575911861525</v>
      </c>
    </row>
    <row r="8" spans="1:41">
      <c r="A8" s="155">
        <v>44743</v>
      </c>
      <c r="B8" s="45">
        <f t="shared" si="0"/>
        <v>2022</v>
      </c>
      <c r="C8" s="157">
        <v>7377.0544575548302</v>
      </c>
      <c r="D8" s="157">
        <v>6875.1719271807897</v>
      </c>
      <c r="E8" s="157">
        <v>7927.9834924534698</v>
      </c>
      <c r="F8" s="157">
        <v>2983.0302611346001</v>
      </c>
      <c r="G8" s="157">
        <v>2894.3604043455098</v>
      </c>
      <c r="H8" s="157">
        <v>3073.5707235507002</v>
      </c>
      <c r="I8" s="157">
        <v>1848.7704197821599</v>
      </c>
      <c r="J8" s="157">
        <v>1822.5796466240799</v>
      </c>
      <c r="K8" s="157">
        <v>1874.9611929402399</v>
      </c>
      <c r="L8" s="157">
        <v>804.56164118209199</v>
      </c>
      <c r="M8" s="157">
        <v>764.69767491712696</v>
      </c>
      <c r="N8" s="157">
        <v>842.54172394736497</v>
      </c>
      <c r="O8" s="157">
        <v>23.113574939334999</v>
      </c>
      <c r="P8" s="157">
        <v>19.0426913897799</v>
      </c>
      <c r="Q8" s="157">
        <v>27.184458488890201</v>
      </c>
      <c r="R8" s="157">
        <v>180.11954129920099</v>
      </c>
      <c r="S8" s="157">
        <v>163.02699575217801</v>
      </c>
      <c r="T8" s="157">
        <v>195.725154258213</v>
      </c>
      <c r="U8" s="157">
        <v>96.442628345630794</v>
      </c>
      <c r="V8" s="157">
        <v>89.3322528626381</v>
      </c>
      <c r="W8" s="157">
        <v>104.430410165246</v>
      </c>
      <c r="X8" s="157">
        <v>213.83579279024099</v>
      </c>
      <c r="Y8" s="157">
        <v>204.844857977815</v>
      </c>
      <c r="Z8" s="157">
        <v>223.03703379349901</v>
      </c>
      <c r="AA8" s="157">
        <v>295.84786697273199</v>
      </c>
      <c r="AB8" s="157">
        <v>286.95501574661</v>
      </c>
      <c r="AC8" s="157">
        <v>304.73604159436002</v>
      </c>
      <c r="AD8" s="157">
        <v>326.888227906297</v>
      </c>
      <c r="AE8" s="157">
        <v>315.78113011606899</v>
      </c>
      <c r="AF8" s="157">
        <v>337.99532569652501</v>
      </c>
      <c r="AG8" s="157">
        <v>199.883168459431</v>
      </c>
      <c r="AH8" s="157">
        <v>192.29419366040901</v>
      </c>
      <c r="AI8" s="157">
        <v>207.472143258454</v>
      </c>
      <c r="AJ8" s="157">
        <v>304.12924817784398</v>
      </c>
      <c r="AK8" s="157">
        <v>299.28636716820398</v>
      </c>
      <c r="AL8" s="157">
        <v>308.97212918748397</v>
      </c>
      <c r="AM8" s="157">
        <v>10.5542175045489</v>
      </c>
      <c r="AN8" s="157">
        <v>7.5467496503211597</v>
      </c>
      <c r="AO8" s="157">
        <v>13.721947664159799</v>
      </c>
    </row>
    <row r="9" spans="1:41">
      <c r="A9" s="155">
        <v>44774</v>
      </c>
      <c r="B9" s="45">
        <f t="shared" si="0"/>
        <v>2022</v>
      </c>
      <c r="C9" s="157">
        <v>7371.9814754908002</v>
      </c>
      <c r="D9" s="157">
        <v>6850.9558111139604</v>
      </c>
      <c r="E9" s="157">
        <v>7946.1040911866503</v>
      </c>
      <c r="F9" s="157">
        <v>2965.63515948964</v>
      </c>
      <c r="G9" s="157">
        <v>2872.6381246675901</v>
      </c>
      <c r="H9" s="157">
        <v>3060.7043083338099</v>
      </c>
      <c r="I9" s="157">
        <v>1845.7993818406301</v>
      </c>
      <c r="J9" s="157">
        <v>1819.46801243604</v>
      </c>
      <c r="K9" s="157">
        <v>1872.1307512452199</v>
      </c>
      <c r="L9" s="157">
        <v>807.67378786243103</v>
      </c>
      <c r="M9" s="157">
        <v>766.12792464651397</v>
      </c>
      <c r="N9" s="157">
        <v>847.18483144631602</v>
      </c>
      <c r="O9" s="157">
        <v>22.944231522773599</v>
      </c>
      <c r="P9" s="157">
        <v>18.799772992632199</v>
      </c>
      <c r="Q9" s="157">
        <v>27.088690052914998</v>
      </c>
      <c r="R9" s="157">
        <v>177.040718428497</v>
      </c>
      <c r="S9" s="157">
        <v>159.089613227352</v>
      </c>
      <c r="T9" s="157">
        <v>193.332278016608</v>
      </c>
      <c r="U9" s="157">
        <v>101.231897864106</v>
      </c>
      <c r="V9" s="157">
        <v>93.583288894526007</v>
      </c>
      <c r="W9" s="157">
        <v>109.850704820722</v>
      </c>
      <c r="X9" s="157">
        <v>223.99504679832401</v>
      </c>
      <c r="Y9" s="157">
        <v>214.75824627426101</v>
      </c>
      <c r="Z9" s="157">
        <v>233.44364942089399</v>
      </c>
      <c r="AA9" s="157">
        <v>300.59137708294298</v>
      </c>
      <c r="AB9" s="157">
        <v>291.49839744084801</v>
      </c>
      <c r="AC9" s="157">
        <v>309.67954442880603</v>
      </c>
      <c r="AD9" s="157">
        <v>325.68174441288602</v>
      </c>
      <c r="AE9" s="157">
        <v>313.978761779438</v>
      </c>
      <c r="AF9" s="157">
        <v>337.38472704633398</v>
      </c>
      <c r="AG9" s="157">
        <v>199.55324928230101</v>
      </c>
      <c r="AH9" s="157">
        <v>191.71337235039101</v>
      </c>
      <c r="AI9" s="157">
        <v>207.393126214212</v>
      </c>
      <c r="AJ9" s="157">
        <v>303.89340768056599</v>
      </c>
      <c r="AK9" s="157">
        <v>298.78309870100099</v>
      </c>
      <c r="AL9" s="157">
        <v>309.003716660132</v>
      </c>
      <c r="AM9" s="157">
        <v>10.8606828500162</v>
      </c>
      <c r="AN9" s="157">
        <v>7.7610855520792503</v>
      </c>
      <c r="AO9" s="157">
        <v>14.1257279759255</v>
      </c>
    </row>
    <row r="10" spans="1:41">
      <c r="A10" s="155">
        <v>44805</v>
      </c>
      <c r="B10" s="45">
        <f t="shared" si="0"/>
        <v>2022</v>
      </c>
      <c r="C10" s="157">
        <v>7417.59563723054</v>
      </c>
      <c r="D10" s="157">
        <v>6873.4670937827796</v>
      </c>
      <c r="E10" s="157">
        <v>8019.5009316223204</v>
      </c>
      <c r="F10" s="157">
        <v>2984.7366746647499</v>
      </c>
      <c r="G10" s="157">
        <v>2886.8455529559301</v>
      </c>
      <c r="H10" s="157">
        <v>3084.91139332394</v>
      </c>
      <c r="I10" s="157">
        <v>1846.2226838225599</v>
      </c>
      <c r="J10" s="157">
        <v>1819.8083044134601</v>
      </c>
      <c r="K10" s="157">
        <v>1872.63706323167</v>
      </c>
      <c r="L10" s="157">
        <v>813.66858483131898</v>
      </c>
      <c r="M10" s="157">
        <v>770.68858383127099</v>
      </c>
      <c r="N10" s="157">
        <v>854.48961112984796</v>
      </c>
      <c r="O10" s="157">
        <v>23.458914943267501</v>
      </c>
      <c r="P10" s="157">
        <v>19.244604135775202</v>
      </c>
      <c r="Q10" s="157">
        <v>27.673225750759698</v>
      </c>
      <c r="R10" s="157">
        <v>177.72300566650301</v>
      </c>
      <c r="S10" s="157">
        <v>159.334462988025</v>
      </c>
      <c r="T10" s="157">
        <v>194.37980144918799</v>
      </c>
      <c r="U10" s="157">
        <v>100.461171800667</v>
      </c>
      <c r="V10" s="157">
        <v>92.889732574336605</v>
      </c>
      <c r="W10" s="157">
        <v>108.990321859072</v>
      </c>
      <c r="X10" s="157">
        <v>223.72090690158601</v>
      </c>
      <c r="Y10" s="157">
        <v>214.48366925504001</v>
      </c>
      <c r="Z10" s="157">
        <v>233.170232496869</v>
      </c>
      <c r="AA10" s="157">
        <v>303.22993291267301</v>
      </c>
      <c r="AB10" s="157">
        <v>293.97214581016402</v>
      </c>
      <c r="AC10" s="157">
        <v>312.48277511103299</v>
      </c>
      <c r="AD10" s="157">
        <v>324.46502322636599</v>
      </c>
      <c r="AE10" s="157">
        <v>312.19508337538599</v>
      </c>
      <c r="AF10" s="157">
        <v>336.73496307734598</v>
      </c>
      <c r="AG10" s="157">
        <v>204.161027085239</v>
      </c>
      <c r="AH10" s="157">
        <v>196.10507485798701</v>
      </c>
      <c r="AI10" s="157">
        <v>212.21697931249099</v>
      </c>
      <c r="AJ10" s="157">
        <v>301.68639395442699</v>
      </c>
      <c r="AK10" s="157">
        <v>296.32197233977797</v>
      </c>
      <c r="AL10" s="157">
        <v>307.05081556907697</v>
      </c>
      <c r="AM10" s="157">
        <v>11.155466642045401</v>
      </c>
      <c r="AN10" s="157">
        <v>7.9658376897680903</v>
      </c>
      <c r="AO10" s="157">
        <v>14.515689212390299</v>
      </c>
    </row>
    <row r="11" spans="1:41">
      <c r="A11" s="155">
        <v>44835</v>
      </c>
      <c r="B11" s="45">
        <f t="shared" si="0"/>
        <v>2022</v>
      </c>
      <c r="C11" s="157">
        <v>7491.2697150017502</v>
      </c>
      <c r="D11" s="157">
        <v>6921.7131219457096</v>
      </c>
      <c r="E11" s="157">
        <v>8123.74955820794</v>
      </c>
      <c r="F11" s="157">
        <v>3024.33961508312</v>
      </c>
      <c r="G11" s="157">
        <v>2921.2295750582298</v>
      </c>
      <c r="H11" s="157">
        <v>3129.9523742759502</v>
      </c>
      <c r="I11" s="157">
        <v>1865.7732209778901</v>
      </c>
      <c r="J11" s="157">
        <v>1839.3097456026101</v>
      </c>
      <c r="K11" s="157">
        <v>1892.2366963531599</v>
      </c>
      <c r="L11" s="157">
        <v>812.27910333013494</v>
      </c>
      <c r="M11" s="157">
        <v>767.52514210482695</v>
      </c>
      <c r="N11" s="157">
        <v>854.69299609867801</v>
      </c>
      <c r="O11" s="157">
        <v>23.288252122891901</v>
      </c>
      <c r="P11" s="157">
        <v>19.006519125905399</v>
      </c>
      <c r="Q11" s="157">
        <v>27.5699851198783</v>
      </c>
      <c r="R11" s="157">
        <v>180.95463499805399</v>
      </c>
      <c r="S11" s="157">
        <v>162.439913195169</v>
      </c>
      <c r="T11" s="157">
        <v>197.74347003791999</v>
      </c>
      <c r="U11" s="157">
        <v>102.08402010919301</v>
      </c>
      <c r="V11" s="157">
        <v>94.329449326097901</v>
      </c>
      <c r="W11" s="157">
        <v>110.828207374995</v>
      </c>
      <c r="X11" s="157">
        <v>225.28325169350799</v>
      </c>
      <c r="Y11" s="157">
        <v>216.00748788289101</v>
      </c>
      <c r="Z11" s="157">
        <v>234.77137940430501</v>
      </c>
      <c r="AA11" s="157">
        <v>307.44800153734701</v>
      </c>
      <c r="AB11" s="157">
        <v>298.05562088029302</v>
      </c>
      <c r="AC11" s="157">
        <v>316.83536229276098</v>
      </c>
      <c r="AD11" s="157">
        <v>326.47853124226299</v>
      </c>
      <c r="AE11" s="157">
        <v>313.66670390514099</v>
      </c>
      <c r="AF11" s="157">
        <v>339.29035857938499</v>
      </c>
      <c r="AG11" s="157">
        <v>208.16791495230501</v>
      </c>
      <c r="AH11" s="157">
        <v>199.92503096585199</v>
      </c>
      <c r="AI11" s="157">
        <v>216.41079893875801</v>
      </c>
      <c r="AJ11" s="157">
        <v>303.10839619011898</v>
      </c>
      <c r="AK11" s="157">
        <v>297.50136661530701</v>
      </c>
      <c r="AL11" s="157">
        <v>308.71542576493101</v>
      </c>
      <c r="AM11" s="157">
        <v>10.22101298532</v>
      </c>
      <c r="AN11" s="157">
        <v>7.0171697369826598</v>
      </c>
      <c r="AO11" s="157">
        <v>13.614153595208499</v>
      </c>
    </row>
    <row r="12" spans="1:41">
      <c r="A12" s="155">
        <v>44866</v>
      </c>
      <c r="B12" s="45">
        <f t="shared" si="0"/>
        <v>2022</v>
      </c>
      <c r="C12" s="157">
        <v>7632.2953196271701</v>
      </c>
      <c r="D12" s="157">
        <v>7030.5861533521002</v>
      </c>
      <c r="E12" s="157">
        <v>8303.2165978204393</v>
      </c>
      <c r="F12" s="157">
        <v>3107.2728618513902</v>
      </c>
      <c r="G12" s="157">
        <v>2997.98208024617</v>
      </c>
      <c r="H12" s="157">
        <v>3219.30246275336</v>
      </c>
      <c r="I12" s="157">
        <v>1880.4453736466901</v>
      </c>
      <c r="J12" s="157">
        <v>1853.9528308802201</v>
      </c>
      <c r="K12" s="157">
        <v>1906.9379164131699</v>
      </c>
      <c r="L12" s="157">
        <v>829.00384412893504</v>
      </c>
      <c r="M12" s="157">
        <v>783.60109901736905</v>
      </c>
      <c r="N12" s="157">
        <v>872.04607155604299</v>
      </c>
      <c r="O12" s="157">
        <v>22.774895253807198</v>
      </c>
      <c r="P12" s="157">
        <v>18.4274732578893</v>
      </c>
      <c r="Q12" s="157">
        <v>27.1223172497251</v>
      </c>
      <c r="R12" s="157">
        <v>182.25156196091999</v>
      </c>
      <c r="S12" s="157">
        <v>163.40699293367501</v>
      </c>
      <c r="T12" s="157">
        <v>199.32251606192801</v>
      </c>
      <c r="U12" s="157">
        <v>105.08506558104</v>
      </c>
      <c r="V12" s="157">
        <v>96.993983611462795</v>
      </c>
      <c r="W12" s="157">
        <v>114.224563724585</v>
      </c>
      <c r="X12" s="157">
        <v>229.891023057241</v>
      </c>
      <c r="Y12" s="157">
        <v>220.51011513470101</v>
      </c>
      <c r="Z12" s="157">
        <v>239.484739184864</v>
      </c>
      <c r="AA12" s="157">
        <v>309.42330644531802</v>
      </c>
      <c r="AB12" s="157">
        <v>299.91893644147399</v>
      </c>
      <c r="AC12" s="157">
        <v>318.922568945938</v>
      </c>
      <c r="AD12" s="157">
        <v>328.73586175300301</v>
      </c>
      <c r="AE12" s="157">
        <v>315.404154562918</v>
      </c>
      <c r="AF12" s="157">
        <v>342.06756894308802</v>
      </c>
      <c r="AG12" s="157">
        <v>209.11491969622901</v>
      </c>
      <c r="AH12" s="157">
        <v>200.709742019316</v>
      </c>
      <c r="AI12" s="157">
        <v>217.520097373141</v>
      </c>
      <c r="AJ12" s="157">
        <v>303.32461951575999</v>
      </c>
      <c r="AK12" s="157">
        <v>297.48505257583099</v>
      </c>
      <c r="AL12" s="157">
        <v>309.16418645568803</v>
      </c>
      <c r="AM12" s="157">
        <v>10.860682921245701</v>
      </c>
      <c r="AN12" s="157">
        <v>7.5477025933936597</v>
      </c>
      <c r="AO12" s="157">
        <v>14.3637033520926</v>
      </c>
    </row>
    <row r="13" spans="1:41">
      <c r="A13" s="155">
        <v>44896</v>
      </c>
      <c r="B13" s="45">
        <f t="shared" si="0"/>
        <v>2022</v>
      </c>
      <c r="C13" s="157">
        <v>7721.2212954234201</v>
      </c>
      <c r="D13" s="157">
        <v>7092.47001383525</v>
      </c>
      <c r="E13" s="157">
        <v>8424.9582962388304</v>
      </c>
      <c r="F13" s="157">
        <v>3149.1022761423301</v>
      </c>
      <c r="G13" s="157">
        <v>3034.6875140249899</v>
      </c>
      <c r="H13" s="157">
        <v>3266.4812785180202</v>
      </c>
      <c r="I13" s="157">
        <v>1889.0602986679701</v>
      </c>
      <c r="J13" s="157">
        <v>1862.5505360914101</v>
      </c>
      <c r="K13" s="157">
        <v>1915.57006124452</v>
      </c>
      <c r="L13" s="157">
        <v>850.79409266304901</v>
      </c>
      <c r="M13" s="157">
        <v>805.11032105774996</v>
      </c>
      <c r="N13" s="157">
        <v>894.14698855119798</v>
      </c>
      <c r="O13" s="157">
        <v>23.117501211769799</v>
      </c>
      <c r="P13" s="157">
        <v>18.705736015209901</v>
      </c>
      <c r="Q13" s="157">
        <v>27.529266408329701</v>
      </c>
      <c r="R13" s="157">
        <v>196.42422163570899</v>
      </c>
      <c r="S13" s="157">
        <v>178.65152122503599</v>
      </c>
      <c r="T13" s="157">
        <v>212.717244331774</v>
      </c>
      <c r="U13" s="157">
        <v>106.12613315006899</v>
      </c>
      <c r="V13" s="157">
        <v>97.918915060730498</v>
      </c>
      <c r="W13" s="157">
        <v>115.40210665485201</v>
      </c>
      <c r="X13" s="157">
        <v>233.14342824188299</v>
      </c>
      <c r="Y13" s="157">
        <v>223.68925819352901</v>
      </c>
      <c r="Z13" s="157">
        <v>242.81069766824899</v>
      </c>
      <c r="AA13" s="157">
        <v>310.63815730206801</v>
      </c>
      <c r="AB13" s="157">
        <v>301.04082577479602</v>
      </c>
      <c r="AC13" s="157">
        <v>320.230301298955</v>
      </c>
      <c r="AD13" s="157">
        <v>331.64025521830399</v>
      </c>
      <c r="AE13" s="157">
        <v>317.80818962174601</v>
      </c>
      <c r="AF13" s="157">
        <v>345.47232081486197</v>
      </c>
      <c r="AG13" s="157">
        <v>209.459312743494</v>
      </c>
      <c r="AH13" s="157">
        <v>200.91284257437201</v>
      </c>
      <c r="AI13" s="157">
        <v>218.00578291261601</v>
      </c>
      <c r="AJ13" s="157">
        <v>302.37080705308102</v>
      </c>
      <c r="AK13" s="157">
        <v>296.30761454096302</v>
      </c>
      <c r="AL13" s="157">
        <v>308.43399956519897</v>
      </c>
      <c r="AM13" s="157">
        <v>12.02334608512</v>
      </c>
      <c r="AN13" s="157">
        <v>8.5722734996674692</v>
      </c>
      <c r="AO13" s="157">
        <v>15.659764967342999</v>
      </c>
    </row>
    <row r="14" spans="1:41">
      <c r="A14" s="155">
        <v>44927</v>
      </c>
      <c r="B14" s="45">
        <f t="shared" si="0"/>
        <v>2023</v>
      </c>
      <c r="C14" s="157">
        <v>7763.8505277513696</v>
      </c>
      <c r="D14" s="157">
        <v>7103.2604448141301</v>
      </c>
      <c r="E14" s="157">
        <v>8507.2000781199604</v>
      </c>
      <c r="F14" s="157">
        <v>3173.9878009307599</v>
      </c>
      <c r="G14" s="157">
        <v>3052.50437129688</v>
      </c>
      <c r="H14" s="157">
        <v>3298.7914668806002</v>
      </c>
      <c r="I14" s="157">
        <v>1895.0959884043</v>
      </c>
      <c r="J14" s="157">
        <v>1867.87672784814</v>
      </c>
      <c r="K14" s="157">
        <v>1922.3152489604699</v>
      </c>
      <c r="L14" s="157">
        <v>856.49090843834995</v>
      </c>
      <c r="M14" s="157">
        <v>809.34944777982901</v>
      </c>
      <c r="N14" s="157">
        <v>901.16986869534696</v>
      </c>
      <c r="O14" s="157">
        <v>23.0814686291254</v>
      </c>
      <c r="P14" s="157">
        <v>18.5016468420027</v>
      </c>
      <c r="Q14" s="157">
        <v>27.6612904162481</v>
      </c>
      <c r="R14" s="157">
        <v>193.56186011825699</v>
      </c>
      <c r="S14" s="157">
        <v>174.11678836303801</v>
      </c>
      <c r="T14" s="157">
        <v>211.224481666824</v>
      </c>
      <c r="U14" s="157">
        <v>107.458918825041</v>
      </c>
      <c r="V14" s="157">
        <v>99.034086768911095</v>
      </c>
      <c r="W14" s="157">
        <v>116.99796056588799</v>
      </c>
      <c r="X14" s="157">
        <v>232.13405912816799</v>
      </c>
      <c r="Y14" s="157">
        <v>222.394735654497</v>
      </c>
      <c r="Z14" s="157">
        <v>242.10069307547801</v>
      </c>
      <c r="AA14" s="157">
        <v>310.72327872173099</v>
      </c>
      <c r="AB14" s="157">
        <v>300.43800091947799</v>
      </c>
      <c r="AC14" s="157">
        <v>321.002600362782</v>
      </c>
      <c r="AD14" s="157">
        <v>334.05737291160699</v>
      </c>
      <c r="AE14" s="157">
        <v>319.48863963919098</v>
      </c>
      <c r="AF14" s="157">
        <v>348.62610618402402</v>
      </c>
      <c r="AG14" s="157">
        <v>209.79144692342601</v>
      </c>
      <c r="AH14" s="157">
        <v>200.880926287721</v>
      </c>
      <c r="AI14" s="157">
        <v>218.70196755913199</v>
      </c>
      <c r="AJ14" s="157">
        <v>322.39174216325</v>
      </c>
      <c r="AK14" s="157">
        <v>315.30000565110601</v>
      </c>
      <c r="AL14" s="157">
        <v>329.48347867539502</v>
      </c>
      <c r="AM14" s="157">
        <v>11.552876144071901</v>
      </c>
      <c r="AN14" s="157">
        <v>7.8272987385289499</v>
      </c>
      <c r="AO14" s="157">
        <v>15.5054997616249</v>
      </c>
    </row>
    <row r="15" spans="1:41">
      <c r="A15" s="155">
        <v>44958</v>
      </c>
      <c r="B15" s="45">
        <f t="shared" si="0"/>
        <v>2023</v>
      </c>
      <c r="C15" s="157">
        <v>7777.6899510386202</v>
      </c>
      <c r="D15" s="157">
        <v>7089.0233421586099</v>
      </c>
      <c r="E15" s="157">
        <v>8556.5986469958898</v>
      </c>
      <c r="F15" s="157">
        <v>3175.0592624400701</v>
      </c>
      <c r="G15" s="157">
        <v>3047.2989793598399</v>
      </c>
      <c r="H15" s="157">
        <v>3306.4956846176301</v>
      </c>
      <c r="I15" s="157">
        <v>1899.5501784155699</v>
      </c>
      <c r="J15" s="157">
        <v>1871.9188388779901</v>
      </c>
      <c r="K15" s="157">
        <v>1927.18151795315</v>
      </c>
      <c r="L15" s="157">
        <v>857.20061992196997</v>
      </c>
      <c r="M15" s="157">
        <v>808.48862712746802</v>
      </c>
      <c r="N15" s="157">
        <v>903.28969556393497</v>
      </c>
      <c r="O15" s="157">
        <v>23.123101342364802</v>
      </c>
      <c r="P15" s="157">
        <v>18.420258166267899</v>
      </c>
      <c r="Q15" s="157">
        <v>27.8259445184618</v>
      </c>
      <c r="R15" s="157">
        <v>194.15215734472301</v>
      </c>
      <c r="S15" s="157">
        <v>174.01107314015599</v>
      </c>
      <c r="T15" s="157">
        <v>212.391903295698</v>
      </c>
      <c r="U15" s="157">
        <v>109.60393335484601</v>
      </c>
      <c r="V15" s="157">
        <v>100.895239501467</v>
      </c>
      <c r="W15" s="157">
        <v>119.481961618748</v>
      </c>
      <c r="X15" s="157">
        <v>232.52852104881299</v>
      </c>
      <c r="Y15" s="157">
        <v>222.635938637121</v>
      </c>
      <c r="Z15" s="157">
        <v>242.65530361938099</v>
      </c>
      <c r="AA15" s="157">
        <v>313.942740758713</v>
      </c>
      <c r="AB15" s="157">
        <v>303.37083373941903</v>
      </c>
      <c r="AC15" s="157">
        <v>324.508419573114</v>
      </c>
      <c r="AD15" s="157">
        <v>333.30592755504</v>
      </c>
      <c r="AE15" s="157">
        <v>318.11243013635499</v>
      </c>
      <c r="AF15" s="157">
        <v>348.49942497372501</v>
      </c>
      <c r="AG15" s="157">
        <v>210.71345513293701</v>
      </c>
      <c r="AH15" s="157">
        <v>201.57717088525601</v>
      </c>
      <c r="AI15" s="157">
        <v>219.84973938061901</v>
      </c>
      <c r="AJ15" s="157">
        <v>323.93589348948399</v>
      </c>
      <c r="AK15" s="157">
        <v>316.29205673117701</v>
      </c>
      <c r="AL15" s="157">
        <v>331.57973024779102</v>
      </c>
      <c r="AM15" s="157">
        <v>12.511528586526</v>
      </c>
      <c r="AN15" s="157">
        <v>8.6414840373614403</v>
      </c>
      <c r="AO15" s="157">
        <v>16.606949610722801</v>
      </c>
    </row>
    <row r="16" spans="1:41">
      <c r="A16" s="155">
        <v>44986</v>
      </c>
      <c r="B16" s="45">
        <f t="shared" si="0"/>
        <v>2023</v>
      </c>
      <c r="C16" s="157">
        <v>7796.0752180699601</v>
      </c>
      <c r="D16" s="157">
        <v>7082.9980109210201</v>
      </c>
      <c r="E16" s="157">
        <v>8606.0952282946491</v>
      </c>
      <c r="F16" s="157">
        <v>3186.02913407182</v>
      </c>
      <c r="G16" s="157">
        <v>3052.8332206627902</v>
      </c>
      <c r="H16" s="157">
        <v>3323.2113767497699</v>
      </c>
      <c r="I16" s="157">
        <v>1903.94720498993</v>
      </c>
      <c r="J16" s="157">
        <v>1876.0744093169401</v>
      </c>
      <c r="K16" s="157">
        <v>1931.8200006629199</v>
      </c>
      <c r="L16" s="157">
        <v>853.12969776529303</v>
      </c>
      <c r="M16" s="157">
        <v>802.65317656664195</v>
      </c>
      <c r="N16" s="157">
        <v>900.78232261648805</v>
      </c>
      <c r="O16" s="157">
        <v>23.129813361417401</v>
      </c>
      <c r="P16" s="157">
        <v>18.325725200283099</v>
      </c>
      <c r="Q16" s="157">
        <v>27.933901522551601</v>
      </c>
      <c r="R16" s="157">
        <v>188.14260367703099</v>
      </c>
      <c r="S16" s="157">
        <v>166.64369037263901</v>
      </c>
      <c r="T16" s="157">
        <v>207.42521483175599</v>
      </c>
      <c r="U16" s="157">
        <v>110.169266033249</v>
      </c>
      <c r="V16" s="157">
        <v>101.375887669096</v>
      </c>
      <c r="W16" s="157">
        <v>120.149435171429</v>
      </c>
      <c r="X16" s="157">
        <v>232.78391040016299</v>
      </c>
      <c r="Y16" s="157">
        <v>222.81695808590899</v>
      </c>
      <c r="Z16" s="157">
        <v>242.988372983434</v>
      </c>
      <c r="AA16" s="157">
        <v>313.344284904429</v>
      </c>
      <c r="AB16" s="157">
        <v>302.53637888826597</v>
      </c>
      <c r="AC16" s="157">
        <v>324.145669143757</v>
      </c>
      <c r="AD16" s="157">
        <v>334.233516003798</v>
      </c>
      <c r="AE16" s="157">
        <v>318.45681428874701</v>
      </c>
      <c r="AF16" s="157">
        <v>350.01021771884899</v>
      </c>
      <c r="AG16" s="157">
        <v>211.07201579932399</v>
      </c>
      <c r="AH16" s="157">
        <v>201.73990493848399</v>
      </c>
      <c r="AI16" s="157">
        <v>220.404126660164</v>
      </c>
      <c r="AJ16" s="157">
        <v>323.35207196483998</v>
      </c>
      <c r="AK16" s="157">
        <v>315.19341067651499</v>
      </c>
      <c r="AL16" s="157">
        <v>331.51073325316401</v>
      </c>
      <c r="AM16" s="157">
        <v>10.115213490263899</v>
      </c>
      <c r="AN16" s="157">
        <v>6.3084679723766897</v>
      </c>
      <c r="AO16" s="157">
        <v>14.197116067207499</v>
      </c>
    </row>
    <row r="17" spans="1:41">
      <c r="A17" s="155">
        <v>45017</v>
      </c>
      <c r="B17" s="45">
        <f t="shared" si="0"/>
        <v>2023</v>
      </c>
      <c r="C17" s="157">
        <v>7766.7884112076199</v>
      </c>
      <c r="D17" s="157">
        <v>7037.2429864396599</v>
      </c>
      <c r="E17" s="157">
        <v>8598.5621206021806</v>
      </c>
      <c r="F17" s="157">
        <v>3180.35793266269</v>
      </c>
      <c r="G17" s="157">
        <v>3042.4054862315202</v>
      </c>
      <c r="H17" s="157">
        <v>3322.5989682135801</v>
      </c>
      <c r="I17" s="157">
        <v>1892.0550364368501</v>
      </c>
      <c r="J17" s="157">
        <v>1864.04005749064</v>
      </c>
      <c r="K17" s="157">
        <v>1920.0700153830501</v>
      </c>
      <c r="L17" s="157">
        <v>840.70343407495398</v>
      </c>
      <c r="M17" s="157">
        <v>787.93035873833196</v>
      </c>
      <c r="N17" s="157">
        <v>890.35423373571496</v>
      </c>
      <c r="O17" s="157">
        <v>23.162787557533001</v>
      </c>
      <c r="P17" s="157">
        <v>18.268867130557499</v>
      </c>
      <c r="Q17" s="157">
        <v>28.0567079845084</v>
      </c>
      <c r="R17" s="157">
        <v>181.04295677171999</v>
      </c>
      <c r="S17" s="157">
        <v>157.931878346362</v>
      </c>
      <c r="T17" s="157">
        <v>201.52095529010501</v>
      </c>
      <c r="U17" s="157">
        <v>107.743890789291</v>
      </c>
      <c r="V17" s="157">
        <v>99.222461962138595</v>
      </c>
      <c r="W17" s="157">
        <v>117.40353101993099</v>
      </c>
      <c r="X17" s="157">
        <v>228.463310209139</v>
      </c>
      <c r="Y17" s="157">
        <v>218.566055795208</v>
      </c>
      <c r="Z17" s="157">
        <v>238.59926147984999</v>
      </c>
      <c r="AA17" s="157">
        <v>313.82801521989899</v>
      </c>
      <c r="AB17" s="157">
        <v>302.827009555465</v>
      </c>
      <c r="AC17" s="157">
        <v>324.82227441903802</v>
      </c>
      <c r="AD17" s="157">
        <v>330.20998929860502</v>
      </c>
      <c r="AE17" s="157">
        <v>313.87472653426403</v>
      </c>
      <c r="AF17" s="157">
        <v>346.54525206294699</v>
      </c>
      <c r="AG17" s="157">
        <v>209.977488281837</v>
      </c>
      <c r="AH17" s="157">
        <v>200.47494825564601</v>
      </c>
      <c r="AI17" s="157">
        <v>219.48002830802699</v>
      </c>
      <c r="AJ17" s="157">
        <v>324.63669988947601</v>
      </c>
      <c r="AK17" s="157">
        <v>315.99382608225397</v>
      </c>
      <c r="AL17" s="157">
        <v>333.279573696699</v>
      </c>
      <c r="AM17" s="157">
        <v>11.1889578456436</v>
      </c>
      <c r="AN17" s="157">
        <v>7.2032090162226803</v>
      </c>
      <c r="AO17" s="157">
        <v>15.4457147020343</v>
      </c>
    </row>
    <row r="18" spans="1:41">
      <c r="A18" s="155">
        <v>45047</v>
      </c>
      <c r="B18" s="45">
        <f t="shared" si="0"/>
        <v>2023</v>
      </c>
      <c r="C18" s="157">
        <v>7682.6380112921497</v>
      </c>
      <c r="D18" s="157">
        <v>6944.2448099499697</v>
      </c>
      <c r="E18" s="157">
        <v>8527.2456216527607</v>
      </c>
      <c r="F18" s="157">
        <v>3145.4892219879798</v>
      </c>
      <c r="G18" s="157">
        <v>3003.8885393546102</v>
      </c>
      <c r="H18" s="157">
        <v>3291.6638117934199</v>
      </c>
      <c r="I18" s="157">
        <v>1872.3122806914701</v>
      </c>
      <c r="J18" s="157">
        <v>1844.21333710423</v>
      </c>
      <c r="K18" s="157">
        <v>1900.4112242787101</v>
      </c>
      <c r="L18" s="157">
        <v>810.25220230847401</v>
      </c>
      <c r="M18" s="157">
        <v>753.82659955772897</v>
      </c>
      <c r="N18" s="157">
        <v>862.99661424014698</v>
      </c>
      <c r="O18" s="157">
        <v>23.194097321435901</v>
      </c>
      <c r="P18" s="157">
        <v>18.216769435092001</v>
      </c>
      <c r="Q18" s="157">
        <v>28.171425207779698</v>
      </c>
      <c r="R18" s="157">
        <v>176.295503172797</v>
      </c>
      <c r="S18" s="157">
        <v>151.805069461443</v>
      </c>
      <c r="T18" s="157">
        <v>197.77640581386001</v>
      </c>
      <c r="U18" s="157">
        <v>106.99255212288401</v>
      </c>
      <c r="V18" s="157">
        <v>98.553068583452202</v>
      </c>
      <c r="W18" s="157">
        <v>116.555902823967</v>
      </c>
      <c r="X18" s="157">
        <v>227.05297232678501</v>
      </c>
      <c r="Y18" s="157">
        <v>217.173918682585</v>
      </c>
      <c r="Z18" s="157">
        <v>237.17134833973401</v>
      </c>
      <c r="AA18" s="157">
        <v>314.49852217229102</v>
      </c>
      <c r="AB18" s="157">
        <v>303.33860255464498</v>
      </c>
      <c r="AC18" s="157">
        <v>325.65151382419202</v>
      </c>
      <c r="AD18" s="157">
        <v>328.97097320139898</v>
      </c>
      <c r="AE18" s="157">
        <v>312.096509220972</v>
      </c>
      <c r="AF18" s="157">
        <v>345.84543718182499</v>
      </c>
      <c r="AG18" s="157">
        <v>208.365008851748</v>
      </c>
      <c r="AH18" s="157">
        <v>198.71374222695599</v>
      </c>
      <c r="AI18" s="157">
        <v>218.01627547654101</v>
      </c>
      <c r="AJ18" s="157">
        <v>323.935849311217</v>
      </c>
      <c r="AK18" s="157">
        <v>314.83448780441302</v>
      </c>
      <c r="AL18" s="157">
        <v>333.03721081802098</v>
      </c>
      <c r="AM18" s="157">
        <v>10.3245689245399</v>
      </c>
      <c r="AN18" s="157">
        <v>6.3117837509573098</v>
      </c>
      <c r="AO18" s="157">
        <v>14.638074493368</v>
      </c>
    </row>
    <row r="19" spans="1:41">
      <c r="A19" s="155">
        <v>45078</v>
      </c>
      <c r="B19" s="45">
        <f t="shared" si="0"/>
        <v>2023</v>
      </c>
      <c r="C19" s="157">
        <v>7618.3257317552798</v>
      </c>
      <c r="D19" s="157">
        <v>6869.63640667868</v>
      </c>
      <c r="E19" s="157">
        <v>8477.49049162132</v>
      </c>
      <c r="F19" s="157">
        <v>3107.9667446476201</v>
      </c>
      <c r="G19" s="157">
        <v>2963.0392350376401</v>
      </c>
      <c r="H19" s="157">
        <v>3257.7491027768101</v>
      </c>
      <c r="I19" s="157">
        <v>1873.1884151120901</v>
      </c>
      <c r="J19" s="157">
        <v>1845.03980484114</v>
      </c>
      <c r="K19" s="157">
        <v>1901.3370253830401</v>
      </c>
      <c r="L19" s="157">
        <v>806.17694399724098</v>
      </c>
      <c r="M19" s="157">
        <v>747.94360989140102</v>
      </c>
      <c r="N19" s="157">
        <v>860.47855836647102</v>
      </c>
      <c r="O19" s="157">
        <v>23.195183662825698</v>
      </c>
      <c r="P19" s="157">
        <v>18.138345075836899</v>
      </c>
      <c r="Q19" s="157">
        <v>28.252022249814502</v>
      </c>
      <c r="R19" s="157">
        <v>172.87006303293199</v>
      </c>
      <c r="S19" s="157">
        <v>147.147538497959</v>
      </c>
      <c r="T19" s="157">
        <v>195.232690404154</v>
      </c>
      <c r="U19" s="157">
        <v>107.10283247526201</v>
      </c>
      <c r="V19" s="157">
        <v>98.648254556318193</v>
      </c>
      <c r="W19" s="157">
        <v>116.684253265864</v>
      </c>
      <c r="X19" s="157">
        <v>228.01264309291901</v>
      </c>
      <c r="Y19" s="157">
        <v>218.10329757999699</v>
      </c>
      <c r="Z19" s="157">
        <v>238.16176064817401</v>
      </c>
      <c r="AA19" s="157">
        <v>311.82656383171002</v>
      </c>
      <c r="AB19" s="157">
        <v>300.53325921006802</v>
      </c>
      <c r="AC19" s="157">
        <v>323.11271312579697</v>
      </c>
      <c r="AD19" s="157">
        <v>326.76009821211397</v>
      </c>
      <c r="AE19" s="157">
        <v>309.36334031721202</v>
      </c>
      <c r="AF19" s="157">
        <v>344.15685610701502</v>
      </c>
      <c r="AG19" s="157">
        <v>205.853824343604</v>
      </c>
      <c r="AH19" s="157">
        <v>196.07248660057601</v>
      </c>
      <c r="AI19" s="157">
        <v>215.63516208663299</v>
      </c>
      <c r="AJ19" s="157">
        <v>323.93561090788501</v>
      </c>
      <c r="AK19" s="157">
        <v>314.39777599069902</v>
      </c>
      <c r="AL19" s="157">
        <v>333.473445825071</v>
      </c>
      <c r="AM19" s="157">
        <v>10.8043790565671</v>
      </c>
      <c r="AN19" s="157">
        <v>6.6603905183424601</v>
      </c>
      <c r="AO19" s="157">
        <v>15.254333171477199</v>
      </c>
    </row>
    <row r="20" spans="1:41">
      <c r="A20" s="155">
        <v>45108</v>
      </c>
      <c r="B20" s="45">
        <f t="shared" si="0"/>
        <v>2023</v>
      </c>
      <c r="C20" s="157">
        <v>7526.3125047871799</v>
      </c>
      <c r="D20" s="157">
        <v>6771.7955753449396</v>
      </c>
      <c r="E20" s="157">
        <v>8394.7399217215407</v>
      </c>
      <c r="F20" s="157">
        <v>3068.14492024325</v>
      </c>
      <c r="G20" s="157">
        <v>2920.1912377364301</v>
      </c>
      <c r="H20" s="157">
        <v>3221.2298774801998</v>
      </c>
      <c r="I20" s="157">
        <v>1874.16081794819</v>
      </c>
      <c r="J20" s="157">
        <v>1845.9828002663601</v>
      </c>
      <c r="K20" s="157">
        <v>1902.33883563001</v>
      </c>
      <c r="L20" s="157">
        <v>792.29733869655001</v>
      </c>
      <c r="M20" s="157">
        <v>731.46462162219302</v>
      </c>
      <c r="N20" s="157">
        <v>848.78157150207096</v>
      </c>
      <c r="O20" s="157">
        <v>23.137142963942601</v>
      </c>
      <c r="P20" s="157">
        <v>18.0033621126524</v>
      </c>
      <c r="Q20" s="157">
        <v>28.270923815232798</v>
      </c>
      <c r="R20" s="157">
        <v>176.262869367739</v>
      </c>
      <c r="S20" s="157">
        <v>150.48306048298701</v>
      </c>
      <c r="T20" s="157">
        <v>198.726272589784</v>
      </c>
      <c r="U20" s="157">
        <v>101.148511318364</v>
      </c>
      <c r="V20" s="157">
        <v>93.370794205323804</v>
      </c>
      <c r="W20" s="157">
        <v>109.93253963002201</v>
      </c>
      <c r="X20" s="157">
        <v>220.31230498699301</v>
      </c>
      <c r="Y20" s="157">
        <v>210.584668158515</v>
      </c>
      <c r="Z20" s="157">
        <v>230.27917031659101</v>
      </c>
      <c r="AA20" s="157">
        <v>304.63389920817502</v>
      </c>
      <c r="AB20" s="157">
        <v>293.22676534334198</v>
      </c>
      <c r="AC20" s="157">
        <v>316.03356045514499</v>
      </c>
      <c r="AD20" s="157">
        <v>325.77080818135801</v>
      </c>
      <c r="AE20" s="157">
        <v>307.86703332614599</v>
      </c>
      <c r="AF20" s="157">
        <v>343.67458303657003</v>
      </c>
      <c r="AG20" s="157">
        <v>204.95786391472501</v>
      </c>
      <c r="AH20" s="157">
        <v>195.06257071152399</v>
      </c>
      <c r="AI20" s="157">
        <v>214.85315711792501</v>
      </c>
      <c r="AJ20" s="157">
        <v>324.86952334692103</v>
      </c>
      <c r="AK20" s="157">
        <v>314.914333316718</v>
      </c>
      <c r="AL20" s="157">
        <v>334.824713377124</v>
      </c>
      <c r="AM20" s="157">
        <v>10.4165473158497</v>
      </c>
      <c r="AN20" s="157">
        <v>6.2155245252143203</v>
      </c>
      <c r="AO20" s="157">
        <v>14.9458063793817</v>
      </c>
    </row>
    <row r="21" spans="1:41">
      <c r="A21" s="155">
        <v>45139</v>
      </c>
      <c r="B21" s="45">
        <f t="shared" si="0"/>
        <v>2023</v>
      </c>
      <c r="C21" s="157">
        <v>7521.1047966852802</v>
      </c>
      <c r="D21" s="157">
        <v>6750.2959675780503</v>
      </c>
      <c r="E21" s="157">
        <v>8411.2792565024902</v>
      </c>
      <c r="F21" s="157">
        <v>3050.4060228444901</v>
      </c>
      <c r="G21" s="157">
        <v>2898.86969867278</v>
      </c>
      <c r="H21" s="157">
        <v>3207.3621354531301</v>
      </c>
      <c r="I21" s="157">
        <v>1867.1443950415401</v>
      </c>
      <c r="J21" s="157">
        <v>1838.9489553757201</v>
      </c>
      <c r="K21" s="157">
        <v>1895.3398347073601</v>
      </c>
      <c r="L21" s="157">
        <v>792.42737938329799</v>
      </c>
      <c r="M21" s="157">
        <v>730.13984189085295</v>
      </c>
      <c r="N21" s="157">
        <v>850.16389061603695</v>
      </c>
      <c r="O21" s="157">
        <v>23.1081492365524</v>
      </c>
      <c r="P21" s="157">
        <v>17.8992759780865</v>
      </c>
      <c r="Q21" s="157">
        <v>28.3170224950183</v>
      </c>
      <c r="R21" s="157">
        <v>174.190833792023</v>
      </c>
      <c r="S21" s="157">
        <v>147.41609248706399</v>
      </c>
      <c r="T21" s="157">
        <v>197.36635869679</v>
      </c>
      <c r="U21" s="157">
        <v>106.016710128852</v>
      </c>
      <c r="V21" s="157">
        <v>97.685495339156205</v>
      </c>
      <c r="W21" s="157">
        <v>115.452673163448</v>
      </c>
      <c r="X21" s="157">
        <v>230.64967661480799</v>
      </c>
      <c r="Y21" s="157">
        <v>220.672305866946</v>
      </c>
      <c r="Z21" s="157">
        <v>240.86731629816799</v>
      </c>
      <c r="AA21" s="157">
        <v>309.54143019718202</v>
      </c>
      <c r="AB21" s="157">
        <v>298.04700780568197</v>
      </c>
      <c r="AC21" s="157">
        <v>321.02838545220601</v>
      </c>
      <c r="AD21" s="157">
        <v>325.36234460853598</v>
      </c>
      <c r="AE21" s="157">
        <v>306.965531745205</v>
      </c>
      <c r="AF21" s="157">
        <v>343.75915747186599</v>
      </c>
      <c r="AG21" s="157">
        <v>204.577188730871</v>
      </c>
      <c r="AH21" s="157">
        <v>194.581920117728</v>
      </c>
      <c r="AI21" s="157">
        <v>214.57245734401499</v>
      </c>
      <c r="AJ21" s="157">
        <v>324.63368284964298</v>
      </c>
      <c r="AK21" s="157">
        <v>314.27794423922001</v>
      </c>
      <c r="AL21" s="157">
        <v>334.98942146006698</v>
      </c>
      <c r="AM21" s="157">
        <v>10.804379704225701</v>
      </c>
      <c r="AN21" s="157">
        <v>6.4824553634963902</v>
      </c>
      <c r="AO21" s="157">
        <v>15.460875289596901</v>
      </c>
    </row>
    <row r="22" spans="1:41">
      <c r="A22" s="155">
        <v>45170</v>
      </c>
      <c r="B22" s="45">
        <f t="shared" si="0"/>
        <v>2023</v>
      </c>
      <c r="C22" s="157">
        <v>7567.9314025845097</v>
      </c>
      <c r="D22" s="157">
        <v>6774.2888579968103</v>
      </c>
      <c r="E22" s="157">
        <v>8487.7861699638797</v>
      </c>
      <c r="F22" s="157">
        <v>3069.8850260721701</v>
      </c>
      <c r="G22" s="157">
        <v>2913.58938917047</v>
      </c>
      <c r="H22" s="157">
        <v>3231.9147780006501</v>
      </c>
      <c r="I22" s="157">
        <v>1866.4471581667001</v>
      </c>
      <c r="J22" s="157">
        <v>1838.2413936058899</v>
      </c>
      <c r="K22" s="157">
        <v>1894.65292272751</v>
      </c>
      <c r="L22" s="157">
        <v>796.13041567976495</v>
      </c>
      <c r="M22" s="157">
        <v>732.72887079390705</v>
      </c>
      <c r="N22" s="157">
        <v>854.84280680286702</v>
      </c>
      <c r="O22" s="157">
        <v>23.196274141447901</v>
      </c>
      <c r="P22" s="157">
        <v>17.9137578151106</v>
      </c>
      <c r="Q22" s="157">
        <v>28.478790467785199</v>
      </c>
      <c r="R22" s="157">
        <v>170.64967762199299</v>
      </c>
      <c r="S22" s="157">
        <v>142.57236620919301</v>
      </c>
      <c r="T22" s="157">
        <v>194.719911961311</v>
      </c>
      <c r="U22" s="157">
        <v>104.995501975927</v>
      </c>
      <c r="V22" s="157">
        <v>96.781277876321695</v>
      </c>
      <c r="W22" s="157">
        <v>114.293472550003</v>
      </c>
      <c r="X22" s="157">
        <v>230.38066883031999</v>
      </c>
      <c r="Y22" s="157">
        <v>220.40887827123899</v>
      </c>
      <c r="Z22" s="157">
        <v>240.59274343162301</v>
      </c>
      <c r="AA22" s="157">
        <v>311.91728388180002</v>
      </c>
      <c r="AB22" s="157">
        <v>300.34918287693102</v>
      </c>
      <c r="AC22" s="157">
        <v>323.47787932202101</v>
      </c>
      <c r="AD22" s="157">
        <v>324.44843287401301</v>
      </c>
      <c r="AE22" s="157">
        <v>305.57145747261097</v>
      </c>
      <c r="AF22" s="157">
        <v>343.32540827541601</v>
      </c>
      <c r="AG22" s="157">
        <v>209.13713698196</v>
      </c>
      <c r="AH22" s="157">
        <v>199.05406429501801</v>
      </c>
      <c r="AI22" s="157">
        <v>219.22020966890301</v>
      </c>
      <c r="AJ22" s="157">
        <v>322.42666912350398</v>
      </c>
      <c r="AK22" s="157">
        <v>311.68530813909598</v>
      </c>
      <c r="AL22" s="157">
        <v>333.16803010791301</v>
      </c>
      <c r="AM22" s="157">
        <v>10.8956240085889</v>
      </c>
      <c r="AN22" s="157">
        <v>6.4798644144048199</v>
      </c>
      <c r="AO22" s="157">
        <v>15.658312430980899</v>
      </c>
    </row>
    <row r="23" spans="1:41">
      <c r="A23" s="155">
        <v>45200</v>
      </c>
      <c r="B23" s="45">
        <f t="shared" si="0"/>
        <v>2023</v>
      </c>
      <c r="C23" s="157">
        <v>7643.5687097194595</v>
      </c>
      <c r="D23" s="157">
        <v>6823.2672178944304</v>
      </c>
      <c r="E23" s="157">
        <v>8597.8657248349791</v>
      </c>
      <c r="F23" s="157">
        <v>3110.26825715825</v>
      </c>
      <c r="G23" s="157">
        <v>2948.5256545767902</v>
      </c>
      <c r="H23" s="157">
        <v>3278.0766712177601</v>
      </c>
      <c r="I23" s="157">
        <v>1885.37557105679</v>
      </c>
      <c r="J23" s="157">
        <v>1857.16368636421</v>
      </c>
      <c r="K23" s="157">
        <v>1913.5874557493601</v>
      </c>
      <c r="L23" s="157">
        <v>793.44541436654299</v>
      </c>
      <c r="M23" s="157">
        <v>728.40435366770998</v>
      </c>
      <c r="N23" s="157">
        <v>853.54491439739797</v>
      </c>
      <c r="O23" s="157">
        <v>23.167053600081498</v>
      </c>
      <c r="P23" s="157">
        <v>17.8121118244683</v>
      </c>
      <c r="Q23" s="157">
        <v>28.521995375694701</v>
      </c>
      <c r="R23" s="157">
        <v>175.63417935103899</v>
      </c>
      <c r="S23" s="157">
        <v>147.89575843555701</v>
      </c>
      <c r="T23" s="157">
        <v>199.55368084055601</v>
      </c>
      <c r="U23" s="157">
        <v>106.586148868382</v>
      </c>
      <c r="V23" s="157">
        <v>98.189947601222002</v>
      </c>
      <c r="W23" s="157">
        <v>116.09876263493101</v>
      </c>
      <c r="X23" s="157">
        <v>231.97470805959401</v>
      </c>
      <c r="Y23" s="157">
        <v>221.96471861233499</v>
      </c>
      <c r="Z23" s="157">
        <v>242.225144239331</v>
      </c>
      <c r="AA23" s="157">
        <v>316.598043638901</v>
      </c>
      <c r="AB23" s="157">
        <v>304.970409882571</v>
      </c>
      <c r="AC23" s="157">
        <v>328.21820647858902</v>
      </c>
      <c r="AD23" s="157">
        <v>325.214244933511</v>
      </c>
      <c r="AE23" s="157">
        <v>305.86902163184101</v>
      </c>
      <c r="AF23" s="157">
        <v>344.55946823518099</v>
      </c>
      <c r="AG23" s="157">
        <v>213.098953020534</v>
      </c>
      <c r="AH23" s="157">
        <v>202.93870660381799</v>
      </c>
      <c r="AI23" s="157">
        <v>223.25919943724901</v>
      </c>
      <c r="AJ23" s="157">
        <v>323.84867135919598</v>
      </c>
      <c r="AK23" s="157">
        <v>312.73506036063498</v>
      </c>
      <c r="AL23" s="157">
        <v>334.96228235775698</v>
      </c>
      <c r="AM23" s="157">
        <v>9.7187580249225203</v>
      </c>
      <c r="AN23" s="157">
        <v>5.3300757627623101</v>
      </c>
      <c r="AO23" s="157">
        <v>14.4977418260994</v>
      </c>
    </row>
    <row r="24" spans="1:41">
      <c r="A24" s="155">
        <v>45231</v>
      </c>
      <c r="B24" s="45">
        <f t="shared" si="0"/>
        <v>2023</v>
      </c>
      <c r="C24" s="157">
        <v>7788.3691801126597</v>
      </c>
      <c r="D24" s="157">
        <v>6931.5212777066699</v>
      </c>
      <c r="E24" s="157">
        <v>8789.2893432108704</v>
      </c>
      <c r="F24" s="157">
        <v>3194.8254570868598</v>
      </c>
      <c r="G24" s="157">
        <v>3026.0325141877902</v>
      </c>
      <c r="H24" s="157">
        <v>3370.05358276997</v>
      </c>
      <c r="I24" s="157">
        <v>1900.78627369984</v>
      </c>
      <c r="J24" s="157">
        <v>1872.5707608385301</v>
      </c>
      <c r="K24" s="157">
        <v>1929.0017865611601</v>
      </c>
      <c r="L24" s="157">
        <v>807.74590226932003</v>
      </c>
      <c r="M24" s="157">
        <v>742.60453818865199</v>
      </c>
      <c r="N24" s="157">
        <v>868.012649557072</v>
      </c>
      <c r="O24" s="157">
        <v>23.0791567378796</v>
      </c>
      <c r="P24" s="157">
        <v>17.652866202302999</v>
      </c>
      <c r="Q24" s="157">
        <v>28.505447273456198</v>
      </c>
      <c r="R24" s="157">
        <v>177.422898407541</v>
      </c>
      <c r="S24" s="157">
        <v>149.42704921545001</v>
      </c>
      <c r="T24" s="157">
        <v>201.56742179813199</v>
      </c>
      <c r="U24" s="157">
        <v>109.681368568634</v>
      </c>
      <c r="V24" s="157">
        <v>100.927844510786</v>
      </c>
      <c r="W24" s="157">
        <v>119.616164889891</v>
      </c>
      <c r="X24" s="157">
        <v>236.66066842525001</v>
      </c>
      <c r="Y24" s="157">
        <v>226.54001557420401</v>
      </c>
      <c r="Z24" s="157">
        <v>247.02219470606499</v>
      </c>
      <c r="AA24" s="157">
        <v>317.70746455798701</v>
      </c>
      <c r="AB24" s="157">
        <v>306.028403250385</v>
      </c>
      <c r="AC24" s="157">
        <v>329.37901503761401</v>
      </c>
      <c r="AD24" s="157">
        <v>328.15413635602698</v>
      </c>
      <c r="AE24" s="157">
        <v>308.35173332261797</v>
      </c>
      <c r="AF24" s="157">
        <v>347.95653938943701</v>
      </c>
      <c r="AG24" s="157">
        <v>214.00348465640701</v>
      </c>
      <c r="AH24" s="157">
        <v>203.775375522763</v>
      </c>
      <c r="AI24" s="157">
        <v>224.23159379005</v>
      </c>
      <c r="AJ24" s="157">
        <v>324.06489468483699</v>
      </c>
      <c r="AK24" s="157">
        <v>312.59110441931</v>
      </c>
      <c r="AL24" s="157">
        <v>335.53868495036301</v>
      </c>
      <c r="AM24" s="157">
        <v>10.804379726309101</v>
      </c>
      <c r="AN24" s="157">
        <v>6.2305620924708398</v>
      </c>
      <c r="AO24" s="157">
        <v>15.755815645634</v>
      </c>
    </row>
    <row r="25" spans="1:41">
      <c r="A25" s="155">
        <v>45261</v>
      </c>
      <c r="B25" s="45">
        <f t="shared" si="0"/>
        <v>2023</v>
      </c>
      <c r="C25" s="157">
        <v>7879.6867600366804</v>
      </c>
      <c r="D25" s="157">
        <v>6993.4249619173097</v>
      </c>
      <c r="E25" s="157">
        <v>8918.8680303102592</v>
      </c>
      <c r="F25" s="157">
        <v>3237.4689011396599</v>
      </c>
      <c r="G25" s="157">
        <v>3063.1677952075302</v>
      </c>
      <c r="H25" s="157">
        <v>3418.5465945506298</v>
      </c>
      <c r="I25" s="157">
        <v>1907.9405150278101</v>
      </c>
      <c r="J25" s="157">
        <v>1879.7228511450601</v>
      </c>
      <c r="K25" s="157">
        <v>1936.1581789105701</v>
      </c>
      <c r="L25" s="157">
        <v>834.23843974318697</v>
      </c>
      <c r="M25" s="157">
        <v>770.05920171619903</v>
      </c>
      <c r="N25" s="157">
        <v>893.82153382035199</v>
      </c>
      <c r="O25" s="157">
        <v>23.137817915350901</v>
      </c>
      <c r="P25" s="157">
        <v>17.641163876950401</v>
      </c>
      <c r="Q25" s="157">
        <v>28.6344719537515</v>
      </c>
      <c r="R25" s="157">
        <v>191.504831837826</v>
      </c>
      <c r="S25" s="157">
        <v>165.38048186054201</v>
      </c>
      <c r="T25" s="157">
        <v>214.470476281613</v>
      </c>
      <c r="U25" s="157">
        <v>110.713889102954</v>
      </c>
      <c r="V25" s="157">
        <v>101.842269990144</v>
      </c>
      <c r="W25" s="157">
        <v>120.78820689927301</v>
      </c>
      <c r="X25" s="157">
        <v>239.967855777838</v>
      </c>
      <c r="Y25" s="157">
        <v>229.76979030188301</v>
      </c>
      <c r="Z25" s="157">
        <v>250.407086871552</v>
      </c>
      <c r="AA25" s="157">
        <v>319.73073475369301</v>
      </c>
      <c r="AB25" s="157">
        <v>308.00951611928502</v>
      </c>
      <c r="AC25" s="157">
        <v>331.44443610818701</v>
      </c>
      <c r="AD25" s="157">
        <v>331.82892486811198</v>
      </c>
      <c r="AE25" s="157">
        <v>311.579657199363</v>
      </c>
      <c r="AF25" s="157">
        <v>352.07819253686199</v>
      </c>
      <c r="AG25" s="157">
        <v>214.30785348083</v>
      </c>
      <c r="AH25" s="157">
        <v>204.02005858458401</v>
      </c>
      <c r="AI25" s="157">
        <v>224.595648377076</v>
      </c>
      <c r="AJ25" s="157">
        <v>323.11108222215802</v>
      </c>
      <c r="AK25" s="157">
        <v>311.28808020544301</v>
      </c>
      <c r="AL25" s="157">
        <v>334.93408423887303</v>
      </c>
      <c r="AM25" s="157">
        <v>11.162618200370099</v>
      </c>
      <c r="AN25" s="157">
        <v>6.4751810884014498</v>
      </c>
      <c r="AO25" s="157">
        <v>16.233498283458999</v>
      </c>
    </row>
    <row r="26" spans="1:41">
      <c r="A26" s="155">
        <v>45292</v>
      </c>
      <c r="B26" s="45">
        <f t="shared" si="0"/>
        <v>2024</v>
      </c>
      <c r="C26" s="157">
        <v>7923.4655512774198</v>
      </c>
      <c r="D26" s="157">
        <v>7006.7437255471796</v>
      </c>
      <c r="E26" s="157">
        <v>9003.7001498877999</v>
      </c>
      <c r="F26" s="157">
        <v>3262.8371423014501</v>
      </c>
      <c r="G26" s="157">
        <v>3081.7402923048598</v>
      </c>
      <c r="H26" s="157">
        <v>3451.20120521224</v>
      </c>
      <c r="I26" s="157">
        <v>1913.7500700559101</v>
      </c>
      <c r="J26" s="157">
        <v>1884.2246727325901</v>
      </c>
      <c r="K26" s="157">
        <v>1943.2754673792299</v>
      </c>
      <c r="L26" s="157">
        <v>840.27701416448497</v>
      </c>
      <c r="M26" s="157">
        <v>773.56726970810905</v>
      </c>
      <c r="N26" s="157">
        <v>902.06718357763395</v>
      </c>
      <c r="O26" s="157">
        <v>23.131648470908601</v>
      </c>
      <c r="P26" s="157">
        <v>17.552028692157801</v>
      </c>
      <c r="Q26" s="157">
        <v>28.711268249659501</v>
      </c>
      <c r="R26" s="157">
        <v>188.44240832320801</v>
      </c>
      <c r="S26" s="157">
        <v>159.01341171924901</v>
      </c>
      <c r="T26" s="157">
        <v>213.85959587719</v>
      </c>
      <c r="U26" s="157">
        <v>112.07744481916799</v>
      </c>
      <c r="V26" s="157">
        <v>102.987260757683</v>
      </c>
      <c r="W26" s="157">
        <v>122.417011580433</v>
      </c>
      <c r="X26" s="157">
        <v>238.944752283957</v>
      </c>
      <c r="Y26" s="157">
        <v>228.488692724321</v>
      </c>
      <c r="Z26" s="157">
        <v>249.65560001747801</v>
      </c>
      <c r="AA26" s="157">
        <v>319.44259378600498</v>
      </c>
      <c r="AB26" s="157">
        <v>307.05482369331401</v>
      </c>
      <c r="AC26" s="157">
        <v>331.82195982554703</v>
      </c>
      <c r="AD26" s="157">
        <v>333.87393965227199</v>
      </c>
      <c r="AE26" s="157">
        <v>312.63930447259798</v>
      </c>
      <c r="AF26" s="157">
        <v>355.10857483194599</v>
      </c>
      <c r="AG26" s="157">
        <v>214.60227112699201</v>
      </c>
      <c r="AH26" s="157">
        <v>204.10140039054801</v>
      </c>
      <c r="AI26" s="157">
        <v>225.10314186343601</v>
      </c>
      <c r="AJ26" s="157">
        <v>343.132017332327</v>
      </c>
      <c r="AK26" s="157">
        <v>330.33415873493902</v>
      </c>
      <c r="AL26" s="157">
        <v>355.92987592971502</v>
      </c>
      <c r="AM26" s="157">
        <v>11.1185538384743</v>
      </c>
      <c r="AN26" s="157">
        <v>6.0896315239261698</v>
      </c>
      <c r="AO26" s="157">
        <v>16.595557709160801</v>
      </c>
    </row>
    <row r="27" spans="1:41">
      <c r="A27" s="155">
        <v>45323</v>
      </c>
      <c r="B27" s="45">
        <f t="shared" si="0"/>
        <v>2024</v>
      </c>
      <c r="C27" s="157">
        <v>7937.6786012340299</v>
      </c>
      <c r="D27" s="157">
        <v>6995.2699371689696</v>
      </c>
      <c r="E27" s="157">
        <v>9053.3883071375403</v>
      </c>
      <c r="F27" s="157">
        <v>3263.9293613488999</v>
      </c>
      <c r="G27" s="157">
        <v>3077.0373912937298</v>
      </c>
      <c r="H27" s="157">
        <v>3458.56839641531</v>
      </c>
      <c r="I27" s="157">
        <v>1917.40425123717</v>
      </c>
      <c r="J27" s="157">
        <v>1887.1301276496499</v>
      </c>
      <c r="K27" s="157">
        <v>1947.6783748246901</v>
      </c>
      <c r="L27" s="157">
        <v>840.28752383225196</v>
      </c>
      <c r="M27" s="157">
        <v>771.29406821129396</v>
      </c>
      <c r="N27" s="157">
        <v>904.03116622527102</v>
      </c>
      <c r="O27" s="157">
        <v>23.138776866525198</v>
      </c>
      <c r="P27" s="157">
        <v>17.4819994116747</v>
      </c>
      <c r="Q27" s="157">
        <v>28.7955543213757</v>
      </c>
      <c r="R27" s="157">
        <v>189.302260346997</v>
      </c>
      <c r="S27" s="157">
        <v>158.745811677029</v>
      </c>
      <c r="T27" s="157">
        <v>215.57035079444</v>
      </c>
      <c r="U27" s="157">
        <v>114.320553602648</v>
      </c>
      <c r="V27" s="157">
        <v>104.930421210177</v>
      </c>
      <c r="W27" s="157">
        <v>125.020005962889</v>
      </c>
      <c r="X27" s="157">
        <v>239.347010007927</v>
      </c>
      <c r="Y27" s="157">
        <v>228.748712130207</v>
      </c>
      <c r="Z27" s="157">
        <v>250.20671176415701</v>
      </c>
      <c r="AA27" s="157">
        <v>323.19309531879202</v>
      </c>
      <c r="AB27" s="157">
        <v>310.556779881853</v>
      </c>
      <c r="AC27" s="157">
        <v>335.820767574797</v>
      </c>
      <c r="AD27" s="157">
        <v>333.16800027446902</v>
      </c>
      <c r="AE27" s="157">
        <v>311.16721305040198</v>
      </c>
      <c r="AF27" s="157">
        <v>355.16878749853498</v>
      </c>
      <c r="AG27" s="157">
        <v>215.488737436658</v>
      </c>
      <c r="AH27" s="157">
        <v>204.86230942536099</v>
      </c>
      <c r="AI27" s="157">
        <v>226.115165447956</v>
      </c>
      <c r="AJ27" s="157">
        <v>344.67616865856098</v>
      </c>
      <c r="AK27" s="157">
        <v>331.24578835932999</v>
      </c>
      <c r="AL27" s="157">
        <v>358.10654895779197</v>
      </c>
      <c r="AM27" s="157">
        <v>11.5037343522374</v>
      </c>
      <c r="AN27" s="157">
        <v>6.3392530693960598</v>
      </c>
      <c r="AO27" s="157">
        <v>17.1244136847594</v>
      </c>
    </row>
    <row r="28" spans="1:41">
      <c r="A28" s="155">
        <v>45352</v>
      </c>
      <c r="B28" s="45">
        <f t="shared" si="0"/>
        <v>2024</v>
      </c>
      <c r="C28" s="157">
        <v>7956.5605430174101</v>
      </c>
      <c r="D28" s="157">
        <v>6990.9438999824497</v>
      </c>
      <c r="E28" s="157">
        <v>9104.4277821415308</v>
      </c>
      <c r="F28" s="157">
        <v>3275.1116300897002</v>
      </c>
      <c r="G28" s="157">
        <v>3082.8718839286698</v>
      </c>
      <c r="H28" s="157">
        <v>3475.5287100883202</v>
      </c>
      <c r="I28" s="157">
        <v>1921.8541152108701</v>
      </c>
      <c r="J28" s="157">
        <v>1891.14467056185</v>
      </c>
      <c r="K28" s="157">
        <v>1952.5635598598899</v>
      </c>
      <c r="L28" s="157">
        <v>836.62351563278003</v>
      </c>
      <c r="M28" s="157">
        <v>765.380195664594</v>
      </c>
      <c r="N28" s="157">
        <v>902.25919466026403</v>
      </c>
      <c r="O28" s="157">
        <v>23.139926118218298</v>
      </c>
      <c r="P28" s="157">
        <v>17.409444755577201</v>
      </c>
      <c r="Q28" s="157">
        <v>28.870407480859399</v>
      </c>
      <c r="R28" s="157">
        <v>183.47448664055199</v>
      </c>
      <c r="S28" s="157">
        <v>150.75081754772401</v>
      </c>
      <c r="T28" s="157">
        <v>211.18735284541401</v>
      </c>
      <c r="U28" s="157">
        <v>114.892737251247</v>
      </c>
      <c r="V28" s="157">
        <v>105.416934121029</v>
      </c>
      <c r="W28" s="157">
        <v>125.695976688651</v>
      </c>
      <c r="X28" s="157">
        <v>239.60751534966801</v>
      </c>
      <c r="Y28" s="157">
        <v>228.93988396264001</v>
      </c>
      <c r="Z28" s="157">
        <v>250.539729934409</v>
      </c>
      <c r="AA28" s="157">
        <v>322.26922627160599</v>
      </c>
      <c r="AB28" s="157">
        <v>309.42578072925699</v>
      </c>
      <c r="AC28" s="157">
        <v>335.10371738878302</v>
      </c>
      <c r="AD28" s="157">
        <v>334.24086966596502</v>
      </c>
      <c r="AE28" s="157">
        <v>311.53762214036601</v>
      </c>
      <c r="AF28" s="157">
        <v>356.94411719156398</v>
      </c>
      <c r="AG28" s="157">
        <v>215.81380545357999</v>
      </c>
      <c r="AH28" s="157">
        <v>205.07717851616999</v>
      </c>
      <c r="AI28" s="157">
        <v>226.55043239099001</v>
      </c>
      <c r="AJ28" s="157">
        <v>344.09234713391697</v>
      </c>
      <c r="AK28" s="157">
        <v>330.057923551697</v>
      </c>
      <c r="AL28" s="157">
        <v>358.126770716137</v>
      </c>
      <c r="AM28" s="157">
        <v>10.143903524715601</v>
      </c>
      <c r="AN28" s="157">
        <v>5.00182929351487</v>
      </c>
      <c r="AO28" s="157">
        <v>15.810004422043299</v>
      </c>
    </row>
    <row r="29" spans="1:41">
      <c r="A29" s="155">
        <v>45383</v>
      </c>
      <c r="B29" s="45">
        <f t="shared" si="0"/>
        <v>2024</v>
      </c>
      <c r="C29" s="157">
        <v>7926.4827321113498</v>
      </c>
      <c r="D29" s="157">
        <v>6947.0759834693799</v>
      </c>
      <c r="E29" s="157">
        <v>9094.7376310884592</v>
      </c>
      <c r="F29" s="157">
        <v>3269.33065172234</v>
      </c>
      <c r="G29" s="157">
        <v>3072.56540464003</v>
      </c>
      <c r="H29" s="157">
        <v>3474.6872370751598</v>
      </c>
      <c r="I29" s="157">
        <v>1914.6737325028701</v>
      </c>
      <c r="J29" s="157">
        <v>1883.7090639560399</v>
      </c>
      <c r="K29" s="157">
        <v>1945.6384010497</v>
      </c>
      <c r="L29" s="157">
        <v>822.48178030373504</v>
      </c>
      <c r="M29" s="157">
        <v>747.98053957243599</v>
      </c>
      <c r="N29" s="157">
        <v>890.77405381180495</v>
      </c>
      <c r="O29" s="157">
        <v>23.1455719770026</v>
      </c>
      <c r="P29" s="157">
        <v>17.343606640421001</v>
      </c>
      <c r="Q29" s="157">
        <v>28.947537313584199</v>
      </c>
      <c r="R29" s="157">
        <v>178.16650965804399</v>
      </c>
      <c r="S29" s="157">
        <v>143.22143670949799</v>
      </c>
      <c r="T29" s="157">
        <v>207.30262680355099</v>
      </c>
      <c r="U29" s="157">
        <v>112.29107576813</v>
      </c>
      <c r="V29" s="157">
        <v>103.11846224553599</v>
      </c>
      <c r="W29" s="157">
        <v>122.73465847521901</v>
      </c>
      <c r="X29" s="157">
        <v>235.21897207547499</v>
      </c>
      <c r="Y29" s="157">
        <v>224.629331381443</v>
      </c>
      <c r="Z29" s="157">
        <v>246.07428043922701</v>
      </c>
      <c r="AA29" s="157">
        <v>323.35914765086699</v>
      </c>
      <c r="AB29" s="157">
        <v>310.34613386917903</v>
      </c>
      <c r="AC29" s="157">
        <v>336.36299999902798</v>
      </c>
      <c r="AD29" s="157">
        <v>330.04724463419399</v>
      </c>
      <c r="AE29" s="157">
        <v>306.67124106628103</v>
      </c>
      <c r="AF29" s="157">
        <v>353.423248202107</v>
      </c>
      <c r="AG29" s="157">
        <v>214.687716382741</v>
      </c>
      <c r="AH29" s="157">
        <v>203.85424543630401</v>
      </c>
      <c r="AI29" s="157">
        <v>225.52118732917901</v>
      </c>
      <c r="AJ29" s="157">
        <v>345.37697505855402</v>
      </c>
      <c r="AK29" s="157">
        <v>330.76345475753101</v>
      </c>
      <c r="AL29" s="157">
        <v>359.99049535957602</v>
      </c>
      <c r="AM29" s="157">
        <v>10.6607693909682</v>
      </c>
      <c r="AN29" s="157">
        <v>5.34557523869048</v>
      </c>
      <c r="AO29" s="157">
        <v>16.507006061548498</v>
      </c>
    </row>
    <row r="30" spans="1:41">
      <c r="A30" s="155">
        <v>45413</v>
      </c>
      <c r="B30" s="45">
        <f t="shared" si="0"/>
        <v>2024</v>
      </c>
      <c r="C30" s="157">
        <v>7840.0647371025198</v>
      </c>
      <c r="D30" s="157">
        <v>6856.5447869525697</v>
      </c>
      <c r="E30" s="157">
        <v>9016.6875074640193</v>
      </c>
      <c r="F30" s="157">
        <v>3233.7856657889702</v>
      </c>
      <c r="G30" s="157">
        <v>3033.9159621946601</v>
      </c>
      <c r="H30" s="157">
        <v>3442.62800352354</v>
      </c>
      <c r="I30" s="157">
        <v>1900.8436358190299</v>
      </c>
      <c r="J30" s="157">
        <v>1869.72862658346</v>
      </c>
      <c r="K30" s="157">
        <v>1931.9586450545901</v>
      </c>
      <c r="L30" s="157">
        <v>790.63430897322496</v>
      </c>
      <c r="M30" s="157">
        <v>710.84515083948997</v>
      </c>
      <c r="N30" s="157">
        <v>863.07892944856098</v>
      </c>
      <c r="O30" s="157">
        <v>23.150932846795801</v>
      </c>
      <c r="P30" s="157">
        <v>17.279040234473499</v>
      </c>
      <c r="Q30" s="157">
        <v>29.022825459118099</v>
      </c>
      <c r="R30" s="157">
        <v>173.33073871273501</v>
      </c>
      <c r="S30" s="157">
        <v>136.111239422983</v>
      </c>
      <c r="T30" s="157">
        <v>203.86511800060899</v>
      </c>
      <c r="U30" s="157">
        <v>111.477517622186</v>
      </c>
      <c r="V30" s="157">
        <v>102.39754167742301</v>
      </c>
      <c r="W30" s="157">
        <v>121.81151129762</v>
      </c>
      <c r="X30" s="157">
        <v>233.78659301504999</v>
      </c>
      <c r="Y30" s="157">
        <v>223.21822879661499</v>
      </c>
      <c r="Z30" s="157">
        <v>244.62120728812701</v>
      </c>
      <c r="AA30" s="157">
        <v>323.73834147001401</v>
      </c>
      <c r="AB30" s="157">
        <v>310.58468532663602</v>
      </c>
      <c r="AC30" s="157">
        <v>336.88264805666</v>
      </c>
      <c r="AD30" s="157">
        <v>328.70529282335298</v>
      </c>
      <c r="AE30" s="157">
        <v>304.67734528940099</v>
      </c>
      <c r="AF30" s="157">
        <v>352.733240357304</v>
      </c>
      <c r="AG30" s="157">
        <v>213.045495153605</v>
      </c>
      <c r="AH30" s="157">
        <v>202.12682858454301</v>
      </c>
      <c r="AI30" s="157">
        <v>223.964161722667</v>
      </c>
      <c r="AJ30" s="157">
        <v>344.67612448029399</v>
      </c>
      <c r="AK30" s="157">
        <v>329.505596938655</v>
      </c>
      <c r="AL30" s="157">
        <v>359.84665202193298</v>
      </c>
      <c r="AM30" s="157">
        <v>10.1262901263832</v>
      </c>
      <c r="AN30" s="157">
        <v>4.7632833518520599</v>
      </c>
      <c r="AO30" s="157">
        <v>16.065496713585201</v>
      </c>
    </row>
    <row r="31" spans="1:41">
      <c r="A31" s="155">
        <v>45444</v>
      </c>
      <c r="B31" s="45">
        <f t="shared" si="0"/>
        <v>2024</v>
      </c>
      <c r="C31" s="157">
        <v>7774.0246810095696</v>
      </c>
      <c r="D31" s="157">
        <v>6783.9123640699399</v>
      </c>
      <c r="E31" s="157">
        <v>8962.0898624532092</v>
      </c>
      <c r="F31" s="157">
        <v>3195.5328706291498</v>
      </c>
      <c r="G31" s="157">
        <v>2992.8660634856001</v>
      </c>
      <c r="H31" s="157">
        <v>3407.5466784629698</v>
      </c>
      <c r="I31" s="157">
        <v>1898.70382004413</v>
      </c>
      <c r="J31" s="157">
        <v>1867.5000117167201</v>
      </c>
      <c r="K31" s="157">
        <v>1929.9076283715301</v>
      </c>
      <c r="L31" s="157">
        <v>786.07317391772597</v>
      </c>
      <c r="M31" s="157">
        <v>703.82707085177606</v>
      </c>
      <c r="N31" s="157">
        <v>860.49428789837202</v>
      </c>
      <c r="O31" s="157">
        <v>23.151118853371699</v>
      </c>
      <c r="P31" s="157">
        <v>17.2104904372856</v>
      </c>
      <c r="Q31" s="157">
        <v>29.091747269457802</v>
      </c>
      <c r="R31" s="157">
        <v>169.554430633035</v>
      </c>
      <c r="S31" s="157">
        <v>130.19994522283599</v>
      </c>
      <c r="T31" s="157">
        <v>201.35929761289299</v>
      </c>
      <c r="U31" s="157">
        <v>111.58432808310501</v>
      </c>
      <c r="V31" s="157">
        <v>102.489524478562</v>
      </c>
      <c r="W31" s="157">
        <v>121.936160836337</v>
      </c>
      <c r="X31" s="157">
        <v>234.76196785930199</v>
      </c>
      <c r="Y31" s="157">
        <v>224.16259452315001</v>
      </c>
      <c r="Z31" s="157">
        <v>245.628034912309</v>
      </c>
      <c r="AA31" s="157">
        <v>321.47756007589402</v>
      </c>
      <c r="AB31" s="157">
        <v>308.205415571495</v>
      </c>
      <c r="AC31" s="157">
        <v>334.74011890447701</v>
      </c>
      <c r="AD31" s="157">
        <v>326.97157829186102</v>
      </c>
      <c r="AE31" s="157">
        <v>302.30937388578599</v>
      </c>
      <c r="AF31" s="157">
        <v>351.63378269793702</v>
      </c>
      <c r="AG31" s="157">
        <v>210.50628367857601</v>
      </c>
      <c r="AH31" s="157">
        <v>199.51260857857201</v>
      </c>
      <c r="AI31" s="157">
        <v>221.499958778581</v>
      </c>
      <c r="AJ31" s="157">
        <v>344.675886076962</v>
      </c>
      <c r="AK31" s="157">
        <v>328.96809068120899</v>
      </c>
      <c r="AL31" s="157">
        <v>360.38368147271598</v>
      </c>
      <c r="AM31" s="157">
        <v>10.4528140337249</v>
      </c>
      <c r="AN31" s="157">
        <v>4.9413662047814997</v>
      </c>
      <c r="AO31" s="157">
        <v>16.553230784041499</v>
      </c>
    </row>
    <row r="32" spans="1:41">
      <c r="A32" s="155">
        <v>45474</v>
      </c>
      <c r="B32" s="45">
        <f t="shared" si="0"/>
        <v>2024</v>
      </c>
      <c r="C32" s="157">
        <v>7679.54743357385</v>
      </c>
      <c r="D32" s="157">
        <v>6688.2635611698497</v>
      </c>
      <c r="E32" s="157">
        <v>8872.2351073995706</v>
      </c>
      <c r="F32" s="157">
        <v>3154.9330115475</v>
      </c>
      <c r="G32" s="157">
        <v>2949.7598433785201</v>
      </c>
      <c r="H32" s="157">
        <v>3369.8205262022202</v>
      </c>
      <c r="I32" s="157">
        <v>1897.72477032391</v>
      </c>
      <c r="J32" s="157">
        <v>1866.46842969211</v>
      </c>
      <c r="K32" s="157">
        <v>1928.9811109557099</v>
      </c>
      <c r="L32" s="157">
        <v>771.93136739341003</v>
      </c>
      <c r="M32" s="157">
        <v>686.04866611889395</v>
      </c>
      <c r="N32" s="157">
        <v>849.17269754299298</v>
      </c>
      <c r="O32" s="157">
        <v>23.141181114374501</v>
      </c>
      <c r="P32" s="157">
        <v>17.132801281641999</v>
      </c>
      <c r="Q32" s="157">
        <v>29.149560947106998</v>
      </c>
      <c r="R32" s="157">
        <v>171.66681604669799</v>
      </c>
      <c r="S32" s="157">
        <v>131.90846321811</v>
      </c>
      <c r="T32" s="157">
        <v>203.81200951327099</v>
      </c>
      <c r="U32" s="157">
        <v>105.253514907341</v>
      </c>
      <c r="V32" s="157">
        <v>96.901341936540305</v>
      </c>
      <c r="W32" s="157">
        <v>114.725501385336</v>
      </c>
      <c r="X32" s="157">
        <v>226.93783523731301</v>
      </c>
      <c r="Y32" s="157">
        <v>216.53079034394699</v>
      </c>
      <c r="Z32" s="157">
        <v>237.61095350049399</v>
      </c>
      <c r="AA32" s="157">
        <v>314.61258773787301</v>
      </c>
      <c r="AB32" s="157">
        <v>301.23824492277902</v>
      </c>
      <c r="AC32" s="157">
        <v>327.97698432709399</v>
      </c>
      <c r="AD32" s="157">
        <v>326.14803830797001</v>
      </c>
      <c r="AE32" s="157">
        <v>300.86759124215598</v>
      </c>
      <c r="AF32" s="157">
        <v>351.42848537378302</v>
      </c>
      <c r="AG32" s="157">
        <v>209.58391224236399</v>
      </c>
      <c r="AH32" s="157">
        <v>198.524158899388</v>
      </c>
      <c r="AI32" s="157">
        <v>220.64366558533999</v>
      </c>
      <c r="AJ32" s="157">
        <v>345.60979851599802</v>
      </c>
      <c r="AK32" s="157">
        <v>329.38251388491898</v>
      </c>
      <c r="AL32" s="157">
        <v>361.83708314707798</v>
      </c>
      <c r="AM32" s="157">
        <v>10.242505135931699</v>
      </c>
      <c r="AN32" s="157">
        <v>4.6519883791317396</v>
      </c>
      <c r="AO32" s="157">
        <v>16.4561923112059</v>
      </c>
    </row>
    <row r="33" spans="1:41">
      <c r="A33" s="155">
        <v>45505</v>
      </c>
      <c r="B33" s="45">
        <f t="shared" si="0"/>
        <v>2024</v>
      </c>
      <c r="C33" s="157">
        <v>7674.2005496723796</v>
      </c>
      <c r="D33" s="157">
        <v>6667.59174999682</v>
      </c>
      <c r="E33" s="157">
        <v>8889.3149668305596</v>
      </c>
      <c r="F33" s="157">
        <v>3136.8465376900499</v>
      </c>
      <c r="G33" s="157">
        <v>2928.29509373982</v>
      </c>
      <c r="H33" s="157">
        <v>3355.5034897331102</v>
      </c>
      <c r="I33" s="157">
        <v>1890.31740123688</v>
      </c>
      <c r="J33" s="157">
        <v>1859.02995440011</v>
      </c>
      <c r="K33" s="157">
        <v>1921.6048480736499</v>
      </c>
      <c r="L33" s="157">
        <v>772.87596237703497</v>
      </c>
      <c r="M33" s="157">
        <v>685.20147801218695</v>
      </c>
      <c r="N33" s="157">
        <v>851.57175296349499</v>
      </c>
      <c r="O33" s="157">
        <v>23.136216803181998</v>
      </c>
      <c r="P33" s="157">
        <v>17.0609477216572</v>
      </c>
      <c r="Q33" s="157">
        <v>29.2114858847068</v>
      </c>
      <c r="R33" s="157">
        <v>170.17436161192299</v>
      </c>
      <c r="S33" s="157">
        <v>128.929239013814</v>
      </c>
      <c r="T33" s="157">
        <v>203.214361535704</v>
      </c>
      <c r="U33" s="157">
        <v>110.417387686567</v>
      </c>
      <c r="V33" s="157">
        <v>101.459718813999</v>
      </c>
      <c r="W33" s="157">
        <v>120.6065582893</v>
      </c>
      <c r="X33" s="157">
        <v>237.441451829226</v>
      </c>
      <c r="Y33" s="157">
        <v>226.770944415706</v>
      </c>
      <c r="Z33" s="157">
        <v>248.37916294069001</v>
      </c>
      <c r="AA33" s="157">
        <v>319.99786684123802</v>
      </c>
      <c r="AB33" s="157">
        <v>306.54687598126401</v>
      </c>
      <c r="AC33" s="157">
        <v>333.43896644136902</v>
      </c>
      <c r="AD33" s="157">
        <v>325.54097374783601</v>
      </c>
      <c r="AE33" s="157">
        <v>299.657071379402</v>
      </c>
      <c r="AF33" s="157">
        <v>351.42487611627098</v>
      </c>
      <c r="AG33" s="157">
        <v>209.178348838847</v>
      </c>
      <c r="AH33" s="157">
        <v>198.06036266462201</v>
      </c>
      <c r="AI33" s="157">
        <v>220.296335013071</v>
      </c>
      <c r="AJ33" s="157">
        <v>345.37395801871997</v>
      </c>
      <c r="AK33" s="157">
        <v>328.64330660279302</v>
      </c>
      <c r="AL33" s="157">
        <v>362.10460943464801</v>
      </c>
      <c r="AM33" s="157">
        <v>10.4528148498961</v>
      </c>
      <c r="AN33" s="157">
        <v>4.7318957145222296</v>
      </c>
      <c r="AO33" s="157">
        <v>16.813585787828099</v>
      </c>
    </row>
    <row r="34" spans="1:41">
      <c r="A34" s="155">
        <v>45536</v>
      </c>
      <c r="B34" s="45">
        <f t="shared" si="0"/>
        <v>2024</v>
      </c>
      <c r="C34" s="157">
        <v>7722.2796793224197</v>
      </c>
      <c r="D34" s="157">
        <v>6691.5801562964298</v>
      </c>
      <c r="E34" s="157">
        <v>8971.0125272982605</v>
      </c>
      <c r="F34" s="157">
        <v>3156.7071798265001</v>
      </c>
      <c r="G34" s="157">
        <v>2943.0950935933902</v>
      </c>
      <c r="H34" s="157">
        <v>3380.8636242000598</v>
      </c>
      <c r="I34" s="157">
        <v>1890.2611863725101</v>
      </c>
      <c r="J34" s="157">
        <v>1858.95531040127</v>
      </c>
      <c r="K34" s="157">
        <v>1921.56706234375</v>
      </c>
      <c r="L34" s="157">
        <v>777.31532144654</v>
      </c>
      <c r="M34" s="157">
        <v>688.34193111588195</v>
      </c>
      <c r="N34" s="157">
        <v>857.10246901867799</v>
      </c>
      <c r="O34" s="157">
        <v>23.151305568336799</v>
      </c>
      <c r="P34" s="157">
        <v>17.009933185120101</v>
      </c>
      <c r="Q34" s="157">
        <v>29.292677951553401</v>
      </c>
      <c r="R34" s="157">
        <v>167.25170858582501</v>
      </c>
      <c r="S34" s="157">
        <v>123.997271467956</v>
      </c>
      <c r="T34" s="157">
        <v>201.42283909501299</v>
      </c>
      <c r="U34" s="157">
        <v>109.328839370107</v>
      </c>
      <c r="V34" s="157">
        <v>100.49986611687901</v>
      </c>
      <c r="W34" s="157">
        <v>119.36534032807199</v>
      </c>
      <c r="X34" s="157">
        <v>237.16828350606499</v>
      </c>
      <c r="Y34" s="157">
        <v>226.503773381652</v>
      </c>
      <c r="Z34" s="157">
        <v>248.10000844903999</v>
      </c>
      <c r="AA34" s="157">
        <v>321.89883759677298</v>
      </c>
      <c r="AB34" s="157">
        <v>308.38207976920302</v>
      </c>
      <c r="AC34" s="157">
        <v>335.405666187821</v>
      </c>
      <c r="AD34" s="157">
        <v>324.55170267129398</v>
      </c>
      <c r="AE34" s="157">
        <v>298.07810263112202</v>
      </c>
      <c r="AF34" s="157">
        <v>351.02530271146702</v>
      </c>
      <c r="AG34" s="157">
        <v>213.71484385809899</v>
      </c>
      <c r="AH34" s="157">
        <v>202.54553098666699</v>
      </c>
      <c r="AI34" s="157">
        <v>224.88415672952999</v>
      </c>
      <c r="AJ34" s="157">
        <v>343.166944292582</v>
      </c>
      <c r="AK34" s="157">
        <v>325.94763457632098</v>
      </c>
      <c r="AL34" s="157">
        <v>360.386254008842</v>
      </c>
      <c r="AM34" s="157">
        <v>10.567825433160399</v>
      </c>
      <c r="AN34" s="157">
        <v>4.7305597938052504</v>
      </c>
      <c r="AO34" s="157">
        <v>17.065388992418001</v>
      </c>
    </row>
    <row r="35" spans="1:41">
      <c r="A35" s="155">
        <v>45566</v>
      </c>
      <c r="B35" s="45">
        <f t="shared" si="0"/>
        <v>2024</v>
      </c>
      <c r="C35" s="157">
        <v>7799.9452788038197</v>
      </c>
      <c r="D35" s="157">
        <v>6740.0661965254503</v>
      </c>
      <c r="E35" s="157">
        <v>9088.9536681808404</v>
      </c>
      <c r="F35" s="157">
        <v>3197.8792561088499</v>
      </c>
      <c r="G35" s="157">
        <v>2978.2266210676999</v>
      </c>
      <c r="H35" s="157">
        <v>3428.5457209705401</v>
      </c>
      <c r="I35" s="157">
        <v>1908.0333265680799</v>
      </c>
      <c r="J35" s="157">
        <v>1876.71652857408</v>
      </c>
      <c r="K35" s="157">
        <v>1939.3501245620701</v>
      </c>
      <c r="L35" s="157">
        <v>774.90276445699806</v>
      </c>
      <c r="M35" s="157">
        <v>683.77715686212002</v>
      </c>
      <c r="N35" s="157">
        <v>856.38687214827803</v>
      </c>
      <c r="O35" s="157">
        <v>23.146302421386501</v>
      </c>
      <c r="P35" s="157">
        <v>16.939561687053299</v>
      </c>
      <c r="Q35" s="157">
        <v>29.3530431557197</v>
      </c>
      <c r="R35" s="157">
        <v>171.91243619066401</v>
      </c>
      <c r="S35" s="157">
        <v>129.22880424397599</v>
      </c>
      <c r="T35" s="157">
        <v>205.931783060957</v>
      </c>
      <c r="U35" s="157">
        <v>111.015967565034</v>
      </c>
      <c r="V35" s="157">
        <v>101.987876314473</v>
      </c>
      <c r="W35" s="157">
        <v>121.288669370036</v>
      </c>
      <c r="X35" s="157">
        <v>238.78772278882701</v>
      </c>
      <c r="Y35" s="157">
        <v>228.082931256412</v>
      </c>
      <c r="Z35" s="157">
        <v>249.75990512904801</v>
      </c>
      <c r="AA35" s="157">
        <v>327.00713337586399</v>
      </c>
      <c r="AB35" s="157">
        <v>313.43819895522</v>
      </c>
      <c r="AC35" s="157">
        <v>340.56621804772601</v>
      </c>
      <c r="AD35" s="157">
        <v>325.62802533637199</v>
      </c>
      <c r="AE35" s="157">
        <v>298.577580979304</v>
      </c>
      <c r="AF35" s="157">
        <v>352.67846969343998</v>
      </c>
      <c r="AG35" s="157">
        <v>217.65455891512099</v>
      </c>
      <c r="AH35" s="157">
        <v>206.440010296899</v>
      </c>
      <c r="AI35" s="157">
        <v>228.869107533343</v>
      </c>
      <c r="AJ35" s="157">
        <v>344.58894652827303</v>
      </c>
      <c r="AK35" s="157">
        <v>326.89446836677502</v>
      </c>
      <c r="AL35" s="157">
        <v>362.28342468977098</v>
      </c>
      <c r="AM35" s="157">
        <v>9.9274362163997907</v>
      </c>
      <c r="AN35" s="157">
        <v>4.0803132785715697</v>
      </c>
      <c r="AO35" s="157">
        <v>16.491254929132801</v>
      </c>
    </row>
    <row r="36" spans="1:41">
      <c r="A36" s="155">
        <v>45597</v>
      </c>
      <c r="B36" s="45">
        <f t="shared" si="0"/>
        <v>2024</v>
      </c>
      <c r="C36" s="157">
        <v>7948.6462830085802</v>
      </c>
      <c r="D36" s="157">
        <v>6846.7925555246002</v>
      </c>
      <c r="E36" s="157">
        <v>9294.5625986138493</v>
      </c>
      <c r="F36" s="157">
        <v>3284.0781043260199</v>
      </c>
      <c r="G36" s="157">
        <v>3056.1990703636702</v>
      </c>
      <c r="H36" s="157">
        <v>3523.5062098240801</v>
      </c>
      <c r="I36" s="157">
        <v>1923.6055693872299</v>
      </c>
      <c r="J36" s="157">
        <v>1892.2822972219001</v>
      </c>
      <c r="K36" s="157">
        <v>1954.92884155256</v>
      </c>
      <c r="L36" s="157">
        <v>790.28962241393594</v>
      </c>
      <c r="M36" s="157">
        <v>699.401590393829</v>
      </c>
      <c r="N36" s="157">
        <v>871.75333277160701</v>
      </c>
      <c r="O36" s="157">
        <v>23.131252702374201</v>
      </c>
      <c r="P36" s="157">
        <v>16.859841632105301</v>
      </c>
      <c r="Q36" s="157">
        <v>29.402663772642999</v>
      </c>
      <c r="R36" s="157">
        <v>174.18466849290701</v>
      </c>
      <c r="S36" s="157">
        <v>131.28412320237001</v>
      </c>
      <c r="T36" s="157">
        <v>208.43533936486401</v>
      </c>
      <c r="U36" s="157">
        <v>114.304218184969</v>
      </c>
      <c r="V36" s="157">
        <v>104.884402830677</v>
      </c>
      <c r="W36" s="157">
        <v>125.042438394084</v>
      </c>
      <c r="X36" s="157">
        <v>243.54771204915801</v>
      </c>
      <c r="Y36" s="157">
        <v>232.72610514316</v>
      </c>
      <c r="Z36" s="157">
        <v>254.63717696907699</v>
      </c>
      <c r="AA36" s="157">
        <v>328.15783492662899</v>
      </c>
      <c r="AB36" s="157">
        <v>314.54306406705098</v>
      </c>
      <c r="AC36" s="157">
        <v>341.76272415146201</v>
      </c>
      <c r="AD36" s="157">
        <v>328.39804973241098</v>
      </c>
      <c r="AE36" s="157">
        <v>300.78280701274502</v>
      </c>
      <c r="AF36" s="157">
        <v>356.013292452077</v>
      </c>
      <c r="AG36" s="157">
        <v>218.53826385261499</v>
      </c>
      <c r="AH36" s="157">
        <v>207.28386162917599</v>
      </c>
      <c r="AI36" s="157">
        <v>229.792666076053</v>
      </c>
      <c r="AJ36" s="157">
        <v>344.80516985391398</v>
      </c>
      <c r="AK36" s="157">
        <v>326.64795399599802</v>
      </c>
      <c r="AL36" s="157">
        <v>362.96238571183</v>
      </c>
      <c r="AM36" s="157">
        <v>10.4528148777254</v>
      </c>
      <c r="AN36" s="157">
        <v>4.4351551045221296</v>
      </c>
      <c r="AO36" s="157">
        <v>17.187145191299098</v>
      </c>
    </row>
    <row r="37" spans="1:41">
      <c r="A37" s="155">
        <v>45627</v>
      </c>
      <c r="B37" s="45">
        <f t="shared" si="0"/>
        <v>2024</v>
      </c>
      <c r="C37" s="157">
        <v>8042.4354655955103</v>
      </c>
      <c r="D37" s="157">
        <v>6907.8065729075697</v>
      </c>
      <c r="E37" s="157">
        <v>9433.8480424671106</v>
      </c>
      <c r="F37" s="157">
        <v>3327.5443938046101</v>
      </c>
      <c r="G37" s="157">
        <v>3093.4941665954402</v>
      </c>
      <c r="H37" s="157">
        <v>3573.6269338950101</v>
      </c>
      <c r="I37" s="157">
        <v>1929.58508588071</v>
      </c>
      <c r="J37" s="157">
        <v>1898.25797563172</v>
      </c>
      <c r="K37" s="157">
        <v>1960.9121961296901</v>
      </c>
      <c r="L37" s="157">
        <v>816.24847649276796</v>
      </c>
      <c r="M37" s="157">
        <v>726.93743036510398</v>
      </c>
      <c r="N37" s="157">
        <v>896.70852261472999</v>
      </c>
      <c r="O37" s="157">
        <v>23.141296681544802</v>
      </c>
      <c r="P37" s="157">
        <v>16.805884389636699</v>
      </c>
      <c r="Q37" s="157">
        <v>29.476708973452801</v>
      </c>
      <c r="R37" s="157">
        <v>187.79146718097101</v>
      </c>
      <c r="S37" s="157">
        <v>148.035535584146</v>
      </c>
      <c r="T37" s="157">
        <v>220.49249479068101</v>
      </c>
      <c r="U37" s="157">
        <v>115.400943417855</v>
      </c>
      <c r="V37" s="157">
        <v>105.851560355994</v>
      </c>
      <c r="W37" s="157">
        <v>126.29314515273801</v>
      </c>
      <c r="X37" s="157">
        <v>246.906744109865</v>
      </c>
      <c r="Y37" s="157">
        <v>236.003412708269</v>
      </c>
      <c r="Z37" s="157">
        <v>258.078253964174</v>
      </c>
      <c r="AA37" s="157">
        <v>329.42087528127502</v>
      </c>
      <c r="AB37" s="157">
        <v>315.76807681471598</v>
      </c>
      <c r="AC37" s="157">
        <v>343.06377493285402</v>
      </c>
      <c r="AD37" s="157">
        <v>331.88111218232098</v>
      </c>
      <c r="AE37" s="157">
        <v>303.71238848374202</v>
      </c>
      <c r="AF37" s="157">
        <v>360.04983588090101</v>
      </c>
      <c r="AG37" s="157">
        <v>218.82300679008901</v>
      </c>
      <c r="AH37" s="157">
        <v>207.53351595735001</v>
      </c>
      <c r="AI37" s="157">
        <v>230.11249762282699</v>
      </c>
      <c r="AJ37" s="157">
        <v>343.85135739123501</v>
      </c>
      <c r="AK37" s="157">
        <v>325.24290721358199</v>
      </c>
      <c r="AL37" s="157">
        <v>362.45980756888798</v>
      </c>
      <c r="AM37" s="157">
        <v>10.9046515403871</v>
      </c>
      <c r="AN37" s="157">
        <v>4.7291490966825602</v>
      </c>
      <c r="AO37" s="157">
        <v>17.800667320858398</v>
      </c>
    </row>
    <row r="38" spans="1:41">
      <c r="A38" s="155">
        <v>45658</v>
      </c>
      <c r="B38" s="45">
        <f t="shared" si="0"/>
        <v>2025</v>
      </c>
      <c r="C38" s="157">
        <v>8087.40237193555</v>
      </c>
      <c r="D38" s="157">
        <v>6921.8500430635104</v>
      </c>
      <c r="E38" s="157">
        <v>9523.7326086874691</v>
      </c>
      <c r="F38" s="157">
        <v>3353.40056214691</v>
      </c>
      <c r="G38" s="157">
        <v>3112.3282626333698</v>
      </c>
      <c r="H38" s="157">
        <v>3607.1540648505402</v>
      </c>
      <c r="I38" s="157">
        <v>1936.4140730050899</v>
      </c>
      <c r="J38" s="157">
        <v>1903.5162477264801</v>
      </c>
      <c r="K38" s="157">
        <v>1969.3118982837</v>
      </c>
      <c r="L38" s="157">
        <v>822.35808056823396</v>
      </c>
      <c r="M38" s="157">
        <v>730.84930197583606</v>
      </c>
      <c r="N38" s="157">
        <v>904.65796026419002</v>
      </c>
      <c r="O38" s="157">
        <v>23.140240348017699</v>
      </c>
      <c r="P38" s="157">
        <v>16.739482534416599</v>
      </c>
      <c r="Q38" s="157">
        <v>29.540998161618901</v>
      </c>
      <c r="R38" s="157">
        <v>184.89030319147301</v>
      </c>
      <c r="S38" s="157">
        <v>141.25842789083001</v>
      </c>
      <c r="T38" s="157">
        <v>220.034380543265</v>
      </c>
      <c r="U38" s="157">
        <v>116.850607690834</v>
      </c>
      <c r="V38" s="157">
        <v>107.064665232298</v>
      </c>
      <c r="W38" s="157">
        <v>128.03158611883501</v>
      </c>
      <c r="X38" s="157">
        <v>245.86767696588299</v>
      </c>
      <c r="Y38" s="157">
        <v>234.717767142897</v>
      </c>
      <c r="Z38" s="157">
        <v>257.29940576785901</v>
      </c>
      <c r="AA38" s="157">
        <v>329.43651504791899</v>
      </c>
      <c r="AB38" s="157">
        <v>315.047827006624</v>
      </c>
      <c r="AC38" s="157">
        <v>343.81420901229399</v>
      </c>
      <c r="AD38" s="157">
        <v>334.01873117751802</v>
      </c>
      <c r="AE38" s="157">
        <v>304.89367947021998</v>
      </c>
      <c r="AF38" s="157">
        <v>363.14378288481498</v>
      </c>
      <c r="AG38" s="157">
        <v>219.09893012517301</v>
      </c>
      <c r="AH38" s="157">
        <v>207.650667239131</v>
      </c>
      <c r="AI38" s="157">
        <v>230.547193011215</v>
      </c>
      <c r="AJ38" s="157">
        <v>363.87229250140399</v>
      </c>
      <c r="AK38" s="157">
        <v>344.28330898732497</v>
      </c>
      <c r="AL38" s="157">
        <v>383.46127601548301</v>
      </c>
      <c r="AM38" s="157">
        <v>10.7533637366385</v>
      </c>
      <c r="AN38" s="157">
        <v>4.3985314993591498</v>
      </c>
      <c r="AO38" s="157">
        <v>17.890440022115101</v>
      </c>
    </row>
    <row r="39" spans="1:41">
      <c r="A39" s="155">
        <v>45689</v>
      </c>
      <c r="B39" s="45">
        <f t="shared" si="0"/>
        <v>2025</v>
      </c>
      <c r="C39" s="157">
        <v>8102.00159440689</v>
      </c>
      <c r="D39" s="157">
        <v>6911.4616666435204</v>
      </c>
      <c r="E39" s="157">
        <v>9575.8277504365597</v>
      </c>
      <c r="F39" s="157">
        <v>3354.5137625258899</v>
      </c>
      <c r="G39" s="157">
        <v>3107.6992874468501</v>
      </c>
      <c r="H39" s="157">
        <v>3614.6328953788602</v>
      </c>
      <c r="I39" s="157">
        <v>1941.3554306091301</v>
      </c>
      <c r="J39" s="157">
        <v>1907.5607431006699</v>
      </c>
      <c r="K39" s="157">
        <v>1975.1501181176</v>
      </c>
      <c r="L39" s="157">
        <v>822.55859437363301</v>
      </c>
      <c r="M39" s="157">
        <v>728.66107091782806</v>
      </c>
      <c r="N39" s="157">
        <v>906.78524645050595</v>
      </c>
      <c r="O39" s="157">
        <v>23.141460873431299</v>
      </c>
      <c r="P39" s="157">
        <v>16.6766807621994</v>
      </c>
      <c r="Q39" s="157">
        <v>29.606240984663199</v>
      </c>
      <c r="R39" s="157">
        <v>186.13598092416601</v>
      </c>
      <c r="S39" s="157">
        <v>141.24563831226601</v>
      </c>
      <c r="T39" s="157">
        <v>222.133095422504</v>
      </c>
      <c r="U39" s="157">
        <v>119.237484698579</v>
      </c>
      <c r="V39" s="157">
        <v>109.124007804877</v>
      </c>
      <c r="W39" s="157">
        <v>130.813775317107</v>
      </c>
      <c r="X39" s="157">
        <v>246.27624490008</v>
      </c>
      <c r="Y39" s="157">
        <v>234.98808030105599</v>
      </c>
      <c r="Z39" s="157">
        <v>257.852860423702</v>
      </c>
      <c r="AA39" s="157">
        <v>332.92425214665502</v>
      </c>
      <c r="AB39" s="157">
        <v>318.267874021267</v>
      </c>
      <c r="AC39" s="157">
        <v>347.56934282760898</v>
      </c>
      <c r="AD39" s="157">
        <v>333.30146685395999</v>
      </c>
      <c r="AE39" s="157">
        <v>303.37999069377901</v>
      </c>
      <c r="AF39" s="157">
        <v>363.22294301414098</v>
      </c>
      <c r="AG39" s="157">
        <v>219.96796845601</v>
      </c>
      <c r="AH39" s="157">
        <v>208.42980810260801</v>
      </c>
      <c r="AI39" s="157">
        <v>231.50612880941199</v>
      </c>
      <c r="AJ39" s="157">
        <v>365.41644382763798</v>
      </c>
      <c r="AK39" s="157">
        <v>345.12473895772303</v>
      </c>
      <c r="AL39" s="157">
        <v>385.70814869755299</v>
      </c>
      <c r="AM39" s="157">
        <v>11.152324095034899</v>
      </c>
      <c r="AN39" s="157">
        <v>4.6377995120393303</v>
      </c>
      <c r="AO39" s="157">
        <v>18.4570456559645</v>
      </c>
    </row>
    <row r="40" spans="1:41">
      <c r="A40" s="155">
        <v>45717</v>
      </c>
      <c r="B40" s="45">
        <f t="shared" si="0"/>
        <v>2025</v>
      </c>
      <c r="C40" s="157">
        <v>8121.3968994777497</v>
      </c>
      <c r="D40" s="157">
        <v>6907.6642039281896</v>
      </c>
      <c r="E40" s="157">
        <v>9630.0471273193107</v>
      </c>
      <c r="F40" s="157">
        <v>3365.91071697593</v>
      </c>
      <c r="G40" s="157">
        <v>3113.5531504692699</v>
      </c>
      <c r="H40" s="157">
        <v>3632.1444809853401</v>
      </c>
      <c r="I40" s="157">
        <v>1945.4755464371101</v>
      </c>
      <c r="J40" s="157">
        <v>1911.16015224378</v>
      </c>
      <c r="K40" s="157">
        <v>1979.79094063044</v>
      </c>
      <c r="L40" s="157">
        <v>818.68509415935102</v>
      </c>
      <c r="M40" s="157">
        <v>722.13818073386301</v>
      </c>
      <c r="N40" s="157">
        <v>904.99073683367305</v>
      </c>
      <c r="O40" s="157">
        <v>23.141657648559502</v>
      </c>
      <c r="P40" s="157">
        <v>16.613839385633199</v>
      </c>
      <c r="Q40" s="157">
        <v>29.669475911485801</v>
      </c>
      <c r="R40" s="157">
        <v>180.15864186942801</v>
      </c>
      <c r="S40" s="157">
        <v>131.885689933175</v>
      </c>
      <c r="T40" s="157">
        <v>217.992438676452</v>
      </c>
      <c r="U40" s="157">
        <v>119.846203931055</v>
      </c>
      <c r="V40" s="157">
        <v>109.639608528715</v>
      </c>
      <c r="W40" s="157">
        <v>131.535980109972</v>
      </c>
      <c r="X40" s="157">
        <v>246.54083508339599</v>
      </c>
      <c r="Y40" s="157">
        <v>235.185092497586</v>
      </c>
      <c r="Z40" s="157">
        <v>258.18821626403297</v>
      </c>
      <c r="AA40" s="157">
        <v>332.19248822381599</v>
      </c>
      <c r="AB40" s="157">
        <v>317.31291503350599</v>
      </c>
      <c r="AC40" s="157">
        <v>347.06040196303599</v>
      </c>
      <c r="AD40" s="157">
        <v>334.33818058327199</v>
      </c>
      <c r="AE40" s="157">
        <v>303.66957315507898</v>
      </c>
      <c r="AF40" s="157">
        <v>365.00678801146501</v>
      </c>
      <c r="AG40" s="157">
        <v>220.27661334450201</v>
      </c>
      <c r="AH40" s="157">
        <v>208.65926764142401</v>
      </c>
      <c r="AI40" s="157">
        <v>231.89395904758001</v>
      </c>
      <c r="AJ40" s="157">
        <v>364.83262230299403</v>
      </c>
      <c r="AK40" s="157">
        <v>343.86173062093599</v>
      </c>
      <c r="AL40" s="157">
        <v>385.80351398505201</v>
      </c>
      <c r="AM40" s="157">
        <v>10.028153044920099</v>
      </c>
      <c r="AN40" s="157">
        <v>3.5736581436043702</v>
      </c>
      <c r="AO40" s="157">
        <v>17.370217351177601</v>
      </c>
    </row>
    <row r="41" spans="1:41">
      <c r="A41" s="155">
        <v>45748</v>
      </c>
      <c r="B41" s="45">
        <f t="shared" si="0"/>
        <v>2025</v>
      </c>
      <c r="C41" s="157">
        <v>8090.5015122490704</v>
      </c>
      <c r="D41" s="157">
        <v>6864.7073774745804</v>
      </c>
      <c r="E41" s="157">
        <v>9619.26223073035</v>
      </c>
      <c r="F41" s="157">
        <v>3360.01877909222</v>
      </c>
      <c r="G41" s="157">
        <v>3103.1274275792898</v>
      </c>
      <c r="H41" s="157">
        <v>3631.3303967237998</v>
      </c>
      <c r="I41" s="157">
        <v>1935.8480344290101</v>
      </c>
      <c r="J41" s="157">
        <v>1901.2275970871401</v>
      </c>
      <c r="K41" s="157">
        <v>1970.4684717708799</v>
      </c>
      <c r="L41" s="157">
        <v>804.61890856975697</v>
      </c>
      <c r="M41" s="157">
        <v>703.99397362239995</v>
      </c>
      <c r="N41" s="157">
        <v>893.98936046721303</v>
      </c>
      <c r="O41" s="157">
        <v>23.142624333689898</v>
      </c>
      <c r="P41" s="157">
        <v>16.552562796504201</v>
      </c>
      <c r="Q41" s="157">
        <v>29.732685870875599</v>
      </c>
      <c r="R41" s="157">
        <v>172.24894740289099</v>
      </c>
      <c r="S41" s="157">
        <v>119.36553089915201</v>
      </c>
      <c r="T41" s="157">
        <v>212.347776483801</v>
      </c>
      <c r="U41" s="157">
        <v>117.07624213799799</v>
      </c>
      <c r="V41" s="157">
        <v>107.203183449302</v>
      </c>
      <c r="W41" s="157">
        <v>128.36795150751101</v>
      </c>
      <c r="X41" s="157">
        <v>242.08343705034099</v>
      </c>
      <c r="Y41" s="157">
        <v>230.81216290364901</v>
      </c>
      <c r="Z41" s="157">
        <v>253.64739979762001</v>
      </c>
      <c r="AA41" s="157">
        <v>333.079091728435</v>
      </c>
      <c r="AB41" s="157">
        <v>318.01638763830198</v>
      </c>
      <c r="AC41" s="157">
        <v>348.12987941815101</v>
      </c>
      <c r="AD41" s="157">
        <v>330.186887446642</v>
      </c>
      <c r="AE41" s="157">
        <v>298.79549866262897</v>
      </c>
      <c r="AF41" s="157">
        <v>361.57827623065401</v>
      </c>
      <c r="AG41" s="157">
        <v>219.13504805866</v>
      </c>
      <c r="AH41" s="157">
        <v>207.44790340333199</v>
      </c>
      <c r="AI41" s="157">
        <v>230.82219271398799</v>
      </c>
      <c r="AJ41" s="157">
        <v>366.11725022763102</v>
      </c>
      <c r="AK41" s="157">
        <v>344.48848906677102</v>
      </c>
      <c r="AL41" s="157">
        <v>387.74601138848999</v>
      </c>
      <c r="AM41" s="157">
        <v>10.505082307115501</v>
      </c>
      <c r="AN41" s="157">
        <v>3.8663864122213498</v>
      </c>
      <c r="AO41" s="157">
        <v>18.034854071183599</v>
      </c>
    </row>
    <row r="42" spans="1:41">
      <c r="A42" s="155">
        <v>45778</v>
      </c>
      <c r="B42" s="45">
        <f t="shared" si="0"/>
        <v>2025</v>
      </c>
      <c r="C42" s="157">
        <v>8001.7399223789398</v>
      </c>
      <c r="D42" s="157">
        <v>6775.7241836426001</v>
      </c>
      <c r="E42" s="157">
        <v>9535.0452276371198</v>
      </c>
      <c r="F42" s="157">
        <v>3323.79021862838</v>
      </c>
      <c r="G42" s="157">
        <v>3064.1396372458198</v>
      </c>
      <c r="H42" s="157">
        <v>3598.3514304949799</v>
      </c>
      <c r="I42" s="157">
        <v>1918.62688592226</v>
      </c>
      <c r="J42" s="157">
        <v>1883.82684275559</v>
      </c>
      <c r="K42" s="157">
        <v>1953.4269290889199</v>
      </c>
      <c r="L42" s="157">
        <v>772.22052052131403</v>
      </c>
      <c r="M42" s="157">
        <v>664.48343422011897</v>
      </c>
      <c r="N42" s="157">
        <v>866.66736312262196</v>
      </c>
      <c r="O42" s="157">
        <v>23.143542222942401</v>
      </c>
      <c r="P42" s="157">
        <v>16.491923325906299</v>
      </c>
      <c r="Q42" s="157">
        <v>29.795161119978498</v>
      </c>
      <c r="R42" s="157">
        <v>167.87019349897099</v>
      </c>
      <c r="S42" s="157">
        <v>111.394246037115</v>
      </c>
      <c r="T42" s="157">
        <v>209.648439777238</v>
      </c>
      <c r="U42" s="157">
        <v>116.210310018657</v>
      </c>
      <c r="V42" s="157">
        <v>106.439207831506</v>
      </c>
      <c r="W42" s="157">
        <v>127.380675991505</v>
      </c>
      <c r="X42" s="157">
        <v>240.62846084842499</v>
      </c>
      <c r="Y42" s="157">
        <v>229.380726019593</v>
      </c>
      <c r="Z42" s="157">
        <v>252.169455752635</v>
      </c>
      <c r="AA42" s="157">
        <v>333.52762730554701</v>
      </c>
      <c r="AB42" s="157">
        <v>318.31308292915003</v>
      </c>
      <c r="AC42" s="157">
        <v>348.73003018253399</v>
      </c>
      <c r="AD42" s="157">
        <v>328.87055295916599</v>
      </c>
      <c r="AE42" s="157">
        <v>296.774179510735</v>
      </c>
      <c r="AF42" s="157">
        <v>360.96692640759699</v>
      </c>
      <c r="AG42" s="157">
        <v>217.47824293146499</v>
      </c>
      <c r="AH42" s="157">
        <v>205.72954065878901</v>
      </c>
      <c r="AI42" s="157">
        <v>229.226945204142</v>
      </c>
      <c r="AJ42" s="157">
        <v>365.41639964937099</v>
      </c>
      <c r="AK42" s="157">
        <v>343.14919684420602</v>
      </c>
      <c r="AL42" s="157">
        <v>387.68360245453698</v>
      </c>
      <c r="AM42" s="157">
        <v>10.084705729192001</v>
      </c>
      <c r="AN42" s="157">
        <v>3.4117417944145001</v>
      </c>
      <c r="AO42" s="157">
        <v>17.709899540325601</v>
      </c>
    </row>
    <row r="43" spans="1:41">
      <c r="A43" s="155">
        <v>45809</v>
      </c>
      <c r="B43" s="45">
        <f t="shared" si="0"/>
        <v>2025</v>
      </c>
      <c r="C43" s="157">
        <v>7933.9143585894799</v>
      </c>
      <c r="D43" s="157">
        <v>6704.2869728563201</v>
      </c>
      <c r="E43" s="157">
        <v>9476.1843486657308</v>
      </c>
      <c r="F43" s="157">
        <v>3284.79919544125</v>
      </c>
      <c r="G43" s="157">
        <v>3022.71464992958</v>
      </c>
      <c r="H43" s="157">
        <v>3562.2745805356399</v>
      </c>
      <c r="I43" s="157">
        <v>1918.3841805549901</v>
      </c>
      <c r="J43" s="157">
        <v>1883.47808053988</v>
      </c>
      <c r="K43" s="157">
        <v>1953.2902805701001</v>
      </c>
      <c r="L43" s="157">
        <v>767.65248570206404</v>
      </c>
      <c r="M43" s="157">
        <v>656.945792401782</v>
      </c>
      <c r="N43" s="157">
        <v>864.294202153382</v>
      </c>
      <c r="O43" s="157">
        <v>23.143574071029398</v>
      </c>
      <c r="P43" s="157">
        <v>16.431018152443102</v>
      </c>
      <c r="Q43" s="157">
        <v>29.856129989615599</v>
      </c>
      <c r="R43" s="157">
        <v>163.98763453570501</v>
      </c>
      <c r="S43" s="157">
        <v>103.815584800137</v>
      </c>
      <c r="T43" s="157">
        <v>207.38030624193101</v>
      </c>
      <c r="U43" s="157">
        <v>116.323751299964</v>
      </c>
      <c r="V43" s="157">
        <v>106.536517083023</v>
      </c>
      <c r="W43" s="157">
        <v>127.51363939726799</v>
      </c>
      <c r="X43" s="157">
        <v>241.61923864214501</v>
      </c>
      <c r="Y43" s="157">
        <v>230.33948662593599</v>
      </c>
      <c r="Z43" s="157">
        <v>253.19270348678</v>
      </c>
      <c r="AA43" s="157">
        <v>331.19062112867601</v>
      </c>
      <c r="AB43" s="157">
        <v>315.84787687997999</v>
      </c>
      <c r="AC43" s="157">
        <v>346.52093129472701</v>
      </c>
      <c r="AD43" s="157">
        <v>327.01808883812203</v>
      </c>
      <c r="AE43" s="157">
        <v>294.23224094146502</v>
      </c>
      <c r="AF43" s="157">
        <v>359.80393673477897</v>
      </c>
      <c r="AG43" s="157">
        <v>214.92528842672701</v>
      </c>
      <c r="AH43" s="157">
        <v>203.122277741483</v>
      </c>
      <c r="AI43" s="157">
        <v>226.72829911197201</v>
      </c>
      <c r="AJ43" s="157">
        <v>365.416161246039</v>
      </c>
      <c r="AK43" s="157">
        <v>342.52831879247401</v>
      </c>
      <c r="AL43" s="157">
        <v>388.304003699605</v>
      </c>
      <c r="AM43" s="157">
        <v>10.327549270537499</v>
      </c>
      <c r="AN43" s="157">
        <v>3.5108461078054298</v>
      </c>
      <c r="AO43" s="157">
        <v>18.113740354038701</v>
      </c>
    </row>
    <row r="44" spans="1:41">
      <c r="A44" s="155">
        <v>45839</v>
      </c>
      <c r="B44" s="45">
        <f t="shared" si="0"/>
        <v>2025</v>
      </c>
      <c r="C44" s="157">
        <v>7836.8910255596502</v>
      </c>
      <c r="D44" s="157">
        <v>6610.1185509408497</v>
      </c>
      <c r="E44" s="157">
        <v>9379.5093958247908</v>
      </c>
      <c r="F44" s="157">
        <v>3243.41284269376</v>
      </c>
      <c r="G44" s="157">
        <v>2979.2019288045399</v>
      </c>
      <c r="H44" s="157">
        <v>3523.4846411314802</v>
      </c>
      <c r="I44" s="157">
        <v>1917.5200178259599</v>
      </c>
      <c r="J44" s="157">
        <v>1882.5511856696401</v>
      </c>
      <c r="K44" s="157">
        <v>1952.48884998228</v>
      </c>
      <c r="L44" s="157">
        <v>753.13842723706296</v>
      </c>
      <c r="M44" s="157">
        <v>637.67716212033599</v>
      </c>
      <c r="N44" s="157">
        <v>853.11459115432001</v>
      </c>
      <c r="O44" s="157">
        <v>23.141872529278</v>
      </c>
      <c r="P44" s="157">
        <v>16.3689579827786</v>
      </c>
      <c r="Q44" s="157">
        <v>29.914787075777401</v>
      </c>
      <c r="R44" s="157">
        <v>167.115538875184</v>
      </c>
      <c r="S44" s="157">
        <v>107.13472212370399</v>
      </c>
      <c r="T44" s="157">
        <v>210.66024015380199</v>
      </c>
      <c r="U44" s="157">
        <v>109.593914163861</v>
      </c>
      <c r="V44" s="157">
        <v>100.620926655971</v>
      </c>
      <c r="W44" s="157">
        <v>119.813482673042</v>
      </c>
      <c r="X44" s="157">
        <v>233.67074849016399</v>
      </c>
      <c r="Y44" s="157">
        <v>222.59334027183701</v>
      </c>
      <c r="Z44" s="157">
        <v>245.04118124195699</v>
      </c>
      <c r="AA44" s="157">
        <v>324.32549754874401</v>
      </c>
      <c r="AB44" s="157">
        <v>308.87201713886299</v>
      </c>
      <c r="AC44" s="157">
        <v>339.76609675674302</v>
      </c>
      <c r="AD44" s="157">
        <v>326.15329910331002</v>
      </c>
      <c r="AE44" s="157">
        <v>292.692263176594</v>
      </c>
      <c r="AF44" s="157">
        <v>359.61433503002598</v>
      </c>
      <c r="AG44" s="157">
        <v>213.98996634694601</v>
      </c>
      <c r="AH44" s="157">
        <v>202.13903459479499</v>
      </c>
      <c r="AI44" s="157">
        <v>225.84089809909801</v>
      </c>
      <c r="AJ44" s="157">
        <v>366.35007368507502</v>
      </c>
      <c r="AK44" s="157">
        <v>342.857982599092</v>
      </c>
      <c r="AL44" s="157">
        <v>389.84216477105798</v>
      </c>
      <c r="AM44" s="157">
        <v>10.1479288379608</v>
      </c>
      <c r="AN44" s="157">
        <v>3.2632478911452498</v>
      </c>
      <c r="AO44" s="157">
        <v>18.049045134230902</v>
      </c>
    </row>
    <row r="45" spans="1:41">
      <c r="A45" s="155">
        <v>45870</v>
      </c>
      <c r="B45" s="45">
        <f t="shared" si="0"/>
        <v>2025</v>
      </c>
      <c r="C45" s="157">
        <v>7831.4003399716403</v>
      </c>
      <c r="D45" s="157">
        <v>6589.7247967124304</v>
      </c>
      <c r="E45" s="157">
        <v>9397.9381364555393</v>
      </c>
      <c r="F45" s="157">
        <v>3224.9750026781599</v>
      </c>
      <c r="G45" s="157">
        <v>2957.4658543186601</v>
      </c>
      <c r="H45" s="157">
        <v>3508.8545692308999</v>
      </c>
      <c r="I45" s="157">
        <v>1911.5290396407199</v>
      </c>
      <c r="J45" s="157">
        <v>1876.5230649493899</v>
      </c>
      <c r="K45" s="157">
        <v>1946.53501433205</v>
      </c>
      <c r="L45" s="157">
        <v>753.89012759365403</v>
      </c>
      <c r="M45" s="157">
        <v>636.35090087479705</v>
      </c>
      <c r="N45" s="157">
        <v>855.42967251684104</v>
      </c>
      <c r="O45" s="157">
        <v>23.141022538876499</v>
      </c>
      <c r="P45" s="157">
        <v>16.3082988239955</v>
      </c>
      <c r="Q45" s="157">
        <v>29.973746253757501</v>
      </c>
      <c r="R45" s="157">
        <v>164.79777944244401</v>
      </c>
      <c r="S45" s="157">
        <v>101.881467206485</v>
      </c>
      <c r="T45" s="157">
        <v>209.61200161254101</v>
      </c>
      <c r="U45" s="157">
        <v>115.082154371915</v>
      </c>
      <c r="V45" s="157">
        <v>105.44550936987601</v>
      </c>
      <c r="W45" s="157">
        <v>126.092357856482</v>
      </c>
      <c r="X45" s="157">
        <v>244.34087993770501</v>
      </c>
      <c r="Y45" s="157">
        <v>232.98679212812701</v>
      </c>
      <c r="Z45" s="157">
        <v>255.98921397722901</v>
      </c>
      <c r="AA45" s="157">
        <v>329.39200499774103</v>
      </c>
      <c r="AB45" s="157">
        <v>313.855506524075</v>
      </c>
      <c r="AC45" s="157">
        <v>344.91568375624701</v>
      </c>
      <c r="AD45" s="157">
        <v>325.59565981583398</v>
      </c>
      <c r="AE45" s="157">
        <v>291.472812421274</v>
      </c>
      <c r="AF45" s="157">
        <v>359.718507210393</v>
      </c>
      <c r="AG45" s="157">
        <v>213.57219899914699</v>
      </c>
      <c r="AH45" s="157">
        <v>201.67898324895799</v>
      </c>
      <c r="AI45" s="157">
        <v>225.46541474933599</v>
      </c>
      <c r="AJ45" s="157">
        <v>366.11423318779799</v>
      </c>
      <c r="AK45" s="157">
        <v>342.033050596301</v>
      </c>
      <c r="AL45" s="157">
        <v>390.19541577929402</v>
      </c>
      <c r="AM45" s="157">
        <v>10.3275497141325</v>
      </c>
      <c r="AN45" s="157">
        <v>3.3127872106097001</v>
      </c>
      <c r="AO45" s="157">
        <v>18.3796219305903</v>
      </c>
    </row>
    <row r="46" spans="1:41">
      <c r="A46" s="155">
        <v>45901</v>
      </c>
      <c r="B46" s="45">
        <f t="shared" si="0"/>
        <v>2025</v>
      </c>
      <c r="C46" s="157">
        <v>7880.7736607318502</v>
      </c>
      <c r="D46" s="157">
        <v>6613.2601298518703</v>
      </c>
      <c r="E46" s="157">
        <v>9485.9549429509698</v>
      </c>
      <c r="F46" s="157">
        <v>3245.2214444538799</v>
      </c>
      <c r="G46" s="157">
        <v>2972.2313974040999</v>
      </c>
      <c r="H46" s="157">
        <v>3535.16801815296</v>
      </c>
      <c r="I46" s="157">
        <v>1911.3565769684701</v>
      </c>
      <c r="J46" s="157">
        <v>1876.3285980385899</v>
      </c>
      <c r="K46" s="157">
        <v>1946.3845558983501</v>
      </c>
      <c r="L46" s="157">
        <v>758.26900166463997</v>
      </c>
      <c r="M46" s="157">
        <v>639.36637298728203</v>
      </c>
      <c r="N46" s="157">
        <v>860.90428202606802</v>
      </c>
      <c r="O46" s="157">
        <v>23.143606040406802</v>
      </c>
      <c r="P46" s="157">
        <v>16.251600963139399</v>
      </c>
      <c r="Q46" s="157">
        <v>30.0356111176742</v>
      </c>
      <c r="R46" s="157">
        <v>162.44666075279801</v>
      </c>
      <c r="S46" s="157">
        <v>96.374503381916796</v>
      </c>
      <c r="T46" s="157">
        <v>208.543114662362</v>
      </c>
      <c r="U46" s="157">
        <v>113.92448164063499</v>
      </c>
      <c r="V46" s="157">
        <v>104.429008412252</v>
      </c>
      <c r="W46" s="157">
        <v>124.766228932198</v>
      </c>
      <c r="X46" s="157">
        <v>244.063425713567</v>
      </c>
      <c r="Y46" s="157">
        <v>232.71570066496199</v>
      </c>
      <c r="Z46" s="157">
        <v>255.70540585881099</v>
      </c>
      <c r="AA46" s="157">
        <v>331.64305125033798</v>
      </c>
      <c r="AB46" s="157">
        <v>316.03573456982599</v>
      </c>
      <c r="AC46" s="157">
        <v>347.23751888783301</v>
      </c>
      <c r="AD46" s="157">
        <v>324.62514320812397</v>
      </c>
      <c r="AE46" s="157">
        <v>289.85308264946599</v>
      </c>
      <c r="AF46" s="157">
        <v>359.39720376678298</v>
      </c>
      <c r="AG46" s="157">
        <v>218.09719372072999</v>
      </c>
      <c r="AH46" s="157">
        <v>206.16667681392801</v>
      </c>
      <c r="AI46" s="157">
        <v>230.027710627533</v>
      </c>
      <c r="AJ46" s="157">
        <v>363.907219461659</v>
      </c>
      <c r="AK46" s="157">
        <v>339.25101605525703</v>
      </c>
      <c r="AL46" s="157">
        <v>388.56342286806102</v>
      </c>
      <c r="AM46" s="157">
        <v>10.390031779564</v>
      </c>
      <c r="AN46" s="157">
        <v>3.26776279980291</v>
      </c>
      <c r="AO46" s="157">
        <v>18.578918479405001</v>
      </c>
    </row>
    <row r="47" spans="1:41">
      <c r="A47" s="155">
        <v>45931</v>
      </c>
      <c r="B47" s="45">
        <f t="shared" si="0"/>
        <v>2025</v>
      </c>
      <c r="C47" s="157">
        <v>7960.53519962475</v>
      </c>
      <c r="D47" s="157">
        <v>6660.8709312064502</v>
      </c>
      <c r="E47" s="157">
        <v>9613.0672064414903</v>
      </c>
      <c r="F47" s="157">
        <v>3287.1909407511098</v>
      </c>
      <c r="G47" s="157">
        <v>3007.4537000436899</v>
      </c>
      <c r="H47" s="157">
        <v>3584.51875270454</v>
      </c>
      <c r="I47" s="157">
        <v>1930.09058195327</v>
      </c>
      <c r="J47" s="157">
        <v>1895.0495626262</v>
      </c>
      <c r="K47" s="157">
        <v>1965.13160128033</v>
      </c>
      <c r="L47" s="157">
        <v>755.70550197674197</v>
      </c>
      <c r="M47" s="157">
        <v>634.17609798309297</v>
      </c>
      <c r="N47" s="157">
        <v>860.23493594278898</v>
      </c>
      <c r="O47" s="157">
        <v>23.1427494005383</v>
      </c>
      <c r="P47" s="157">
        <v>16.191973291952198</v>
      </c>
      <c r="Q47" s="157">
        <v>30.0935255091245</v>
      </c>
      <c r="R47" s="157">
        <v>167.10995822696401</v>
      </c>
      <c r="S47" s="157">
        <v>102.51024425995899</v>
      </c>
      <c r="T47" s="157">
        <v>212.94026102203</v>
      </c>
      <c r="U47" s="157">
        <v>115.718732233829</v>
      </c>
      <c r="V47" s="157">
        <v>106.004805871663</v>
      </c>
      <c r="W47" s="157">
        <v>126.82114656414799</v>
      </c>
      <c r="X47" s="157">
        <v>245.70825012116799</v>
      </c>
      <c r="Y47" s="157">
        <v>234.31823372608201</v>
      </c>
      <c r="Z47" s="157">
        <v>257.39271140433402</v>
      </c>
      <c r="AA47" s="157">
        <v>336.38767928435601</v>
      </c>
      <c r="AB47" s="157">
        <v>320.72373431327202</v>
      </c>
      <c r="AC47" s="157">
        <v>352.038864341742</v>
      </c>
      <c r="AD47" s="157">
        <v>325.62418996661302</v>
      </c>
      <c r="AE47" s="157">
        <v>290.21481800406701</v>
      </c>
      <c r="AF47" s="157">
        <v>361.03356192915999</v>
      </c>
      <c r="AG47" s="157">
        <v>222.026071556326</v>
      </c>
      <c r="AH47" s="157">
        <v>210.06266515862899</v>
      </c>
      <c r="AI47" s="157">
        <v>233.98947795402299</v>
      </c>
      <c r="AJ47" s="157">
        <v>365.32922169735002</v>
      </c>
      <c r="AK47" s="157">
        <v>340.111105633085</v>
      </c>
      <c r="AL47" s="157">
        <v>390.54733776161601</v>
      </c>
      <c r="AM47" s="157">
        <v>9.8432951848054095</v>
      </c>
      <c r="AN47" s="157">
        <v>2.7330954257697999</v>
      </c>
      <c r="AO47" s="157">
        <v>18.0999759954429</v>
      </c>
    </row>
    <row r="48" spans="1:41">
      <c r="A48" s="155">
        <v>45962</v>
      </c>
      <c r="B48" s="45">
        <f t="shared" si="0"/>
        <v>2025</v>
      </c>
      <c r="C48" s="157">
        <v>8113.2674195312702</v>
      </c>
      <c r="D48" s="157">
        <v>6765.7710101773901</v>
      </c>
      <c r="E48" s="157">
        <v>9834.6860543033508</v>
      </c>
      <c r="F48" s="157">
        <v>3375.0491741012602</v>
      </c>
      <c r="G48" s="157">
        <v>3085.7910564580998</v>
      </c>
      <c r="H48" s="157">
        <v>3682.6342951864799</v>
      </c>
      <c r="I48" s="157">
        <v>1945.34307033913</v>
      </c>
      <c r="J48" s="157">
        <v>1910.29432129065</v>
      </c>
      <c r="K48" s="157">
        <v>1980.39181938762</v>
      </c>
      <c r="L48" s="157">
        <v>771.27515275967005</v>
      </c>
      <c r="M48" s="157">
        <v>650.59047077920104</v>
      </c>
      <c r="N48" s="157">
        <v>875.47964010698001</v>
      </c>
      <c r="O48" s="157">
        <v>23.140172584497101</v>
      </c>
      <c r="P48" s="157">
        <v>16.131120792706401</v>
      </c>
      <c r="Q48" s="157">
        <v>30.149224376287901</v>
      </c>
      <c r="R48" s="157">
        <v>168.982122793651</v>
      </c>
      <c r="S48" s="157">
        <v>104.05160409010399</v>
      </c>
      <c r="T48" s="157">
        <v>215.13626682322001</v>
      </c>
      <c r="U48" s="157">
        <v>119.218219749076</v>
      </c>
      <c r="V48" s="157">
        <v>109.074138443845</v>
      </c>
      <c r="W48" s="157">
        <v>130.83489633890699</v>
      </c>
      <c r="X48" s="157">
        <v>250.54239926375701</v>
      </c>
      <c r="Y48" s="157">
        <v>239.029669263578</v>
      </c>
      <c r="Z48" s="157">
        <v>262.35008138331398</v>
      </c>
      <c r="AA48" s="157">
        <v>337.73237642048502</v>
      </c>
      <c r="AB48" s="157">
        <v>322.01899755573299</v>
      </c>
      <c r="AC48" s="157">
        <v>353.43296583092098</v>
      </c>
      <c r="AD48" s="157">
        <v>328.43648869478398</v>
      </c>
      <c r="AE48" s="157">
        <v>292.40107391642499</v>
      </c>
      <c r="AF48" s="157">
        <v>364.47190347314302</v>
      </c>
      <c r="AG48" s="157">
        <v>222.899564117441</v>
      </c>
      <c r="AH48" s="157">
        <v>210.907180831353</v>
      </c>
      <c r="AI48" s="157">
        <v>234.891947403529</v>
      </c>
      <c r="AJ48" s="157">
        <v>365.54544502299098</v>
      </c>
      <c r="AK48" s="157">
        <v>339.77766690295101</v>
      </c>
      <c r="AL48" s="157">
        <v>391.313223143031</v>
      </c>
      <c r="AM48" s="157">
        <v>10.3275497292579</v>
      </c>
      <c r="AN48" s="157">
        <v>3.0305558817953799</v>
      </c>
      <c r="AO48" s="157">
        <v>18.764593302622998</v>
      </c>
    </row>
    <row r="49" spans="1:41">
      <c r="A49" s="155">
        <v>45992</v>
      </c>
      <c r="B49" s="45">
        <f t="shared" si="0"/>
        <v>2025</v>
      </c>
      <c r="C49" s="157">
        <v>8209.6114103977598</v>
      </c>
      <c r="D49" s="157">
        <v>6825.5988892284604</v>
      </c>
      <c r="E49" s="157">
        <v>9985.0812645869992</v>
      </c>
      <c r="F49" s="157">
        <v>3419.3471453263001</v>
      </c>
      <c r="G49" s="157">
        <v>3123.1600944267002</v>
      </c>
      <c r="H49" s="157">
        <v>3734.5137617087898</v>
      </c>
      <c r="I49" s="157">
        <v>1952.53554900279</v>
      </c>
      <c r="J49" s="157">
        <v>1917.48221759332</v>
      </c>
      <c r="K49" s="157">
        <v>1987.5888804122601</v>
      </c>
      <c r="L49" s="157">
        <v>798.14600457686504</v>
      </c>
      <c r="M49" s="157">
        <v>680.28985188262504</v>
      </c>
      <c r="N49" s="157">
        <v>900.71170419819805</v>
      </c>
      <c r="O49" s="157">
        <v>23.141892316714401</v>
      </c>
      <c r="P49" s="157">
        <v>16.075046775751201</v>
      </c>
      <c r="Q49" s="157">
        <v>30.208737857677502</v>
      </c>
      <c r="R49" s="157">
        <v>183.64465728155801</v>
      </c>
      <c r="S49" s="157">
        <v>125.265792700883</v>
      </c>
      <c r="T49" s="157">
        <v>227.507304633215</v>
      </c>
      <c r="U49" s="157">
        <v>120.38608067464401</v>
      </c>
      <c r="V49" s="157">
        <v>110.099498085717</v>
      </c>
      <c r="W49" s="157">
        <v>132.17314707580601</v>
      </c>
      <c r="X49" s="157">
        <v>253.953366507509</v>
      </c>
      <c r="Y49" s="157">
        <v>242.35478016146001</v>
      </c>
      <c r="Z49" s="157">
        <v>265.847253247065</v>
      </c>
      <c r="AA49" s="157">
        <v>339.24887926060899</v>
      </c>
      <c r="AB49" s="157">
        <v>323.49456612880499</v>
      </c>
      <c r="AC49" s="157">
        <v>354.99039368436098</v>
      </c>
      <c r="AD49" s="157">
        <v>331.96726547394701</v>
      </c>
      <c r="AE49" s="157">
        <v>295.31649512592202</v>
      </c>
      <c r="AF49" s="157">
        <v>368.61803582197098</v>
      </c>
      <c r="AG49" s="157">
        <v>223.174683496699</v>
      </c>
      <c r="AH49" s="157">
        <v>211.15679972200701</v>
      </c>
      <c r="AI49" s="157">
        <v>235.192567271391</v>
      </c>
      <c r="AJ49" s="157">
        <v>364.59163256031201</v>
      </c>
      <c r="AK49" s="157">
        <v>338.28567504767801</v>
      </c>
      <c r="AL49" s="157">
        <v>390.897590072946</v>
      </c>
      <c r="AM49" s="157">
        <v>10.5727158952994</v>
      </c>
      <c r="AN49" s="157">
        <v>3.1374882994786701</v>
      </c>
      <c r="AO49" s="157">
        <v>19.161910650586801</v>
      </c>
    </row>
    <row r="50" spans="1:41">
      <c r="A50" s="155">
        <v>46023</v>
      </c>
      <c r="B50" s="45">
        <f t="shared" si="0"/>
        <v>2026</v>
      </c>
      <c r="C50" s="157">
        <v>8255.8065379079999</v>
      </c>
      <c r="D50" s="157">
        <v>6839.7211633950501</v>
      </c>
      <c r="E50" s="157">
        <v>10081.417144278899</v>
      </c>
      <c r="F50" s="157">
        <v>3445.6964638270902</v>
      </c>
      <c r="G50" s="157">
        <v>3142.0925641170902</v>
      </c>
      <c r="H50" s="157">
        <v>3769.1119106850401</v>
      </c>
      <c r="I50" s="157">
        <v>1958.73694067934</v>
      </c>
      <c r="J50" s="157">
        <v>1922.68906901269</v>
      </c>
      <c r="K50" s="157">
        <v>1994.7848123460001</v>
      </c>
      <c r="L50" s="157">
        <v>804.409363075393</v>
      </c>
      <c r="M50" s="157">
        <v>684.34764379351498</v>
      </c>
      <c r="N50" s="157">
        <v>908.74582846218402</v>
      </c>
      <c r="O50" s="157">
        <v>23.141711451066602</v>
      </c>
      <c r="P50" s="157">
        <v>16.017236487136199</v>
      </c>
      <c r="Q50" s="157">
        <v>30.266186414997001</v>
      </c>
      <c r="R50" s="157">
        <v>180.54348691318901</v>
      </c>
      <c r="S50" s="157">
        <v>117.380792984102</v>
      </c>
      <c r="T50" s="157">
        <v>226.746718248066</v>
      </c>
      <c r="U50" s="157">
        <v>121.930320173594</v>
      </c>
      <c r="V50" s="157">
        <v>111.38691531660299</v>
      </c>
      <c r="W50" s="157">
        <v>134.032821970909</v>
      </c>
      <c r="X50" s="157">
        <v>252.89826915630701</v>
      </c>
      <c r="Y50" s="157">
        <v>241.062771979535</v>
      </c>
      <c r="Z50" s="157">
        <v>265.04273235465803</v>
      </c>
      <c r="AA50" s="157">
        <v>339.18272208100001</v>
      </c>
      <c r="AB50" s="157">
        <v>322.87870714549803</v>
      </c>
      <c r="AC50" s="157">
        <v>355.47302693396301</v>
      </c>
      <c r="AD50" s="157">
        <v>334.08183831795498</v>
      </c>
      <c r="AE50" s="157">
        <v>296.43274159986402</v>
      </c>
      <c r="AF50" s="157">
        <v>371.73093503604503</v>
      </c>
      <c r="AG50" s="157">
        <v>223.44153814205799</v>
      </c>
      <c r="AH50" s="157">
        <v>211.28967221929599</v>
      </c>
      <c r="AI50" s="157">
        <v>235.59340406482099</v>
      </c>
      <c r="AJ50" s="157">
        <v>384.61256767048098</v>
      </c>
      <c r="AK50" s="157">
        <v>357.301581395673</v>
      </c>
      <c r="AL50" s="157">
        <v>411.92355394529</v>
      </c>
      <c r="AM50" s="157">
        <v>10.513026549574899</v>
      </c>
      <c r="AN50" s="157">
        <v>2.92585541021263</v>
      </c>
      <c r="AO50" s="157">
        <v>19.322008705251999</v>
      </c>
    </row>
    <row r="51" spans="1:41">
      <c r="A51" s="155">
        <v>46054</v>
      </c>
      <c r="B51" s="45">
        <f t="shared" si="0"/>
        <v>2026</v>
      </c>
      <c r="C51" s="157">
        <v>8270.8049836418904</v>
      </c>
      <c r="D51" s="157">
        <v>6829.7925273208002</v>
      </c>
      <c r="E51" s="157">
        <v>10137.042677978499</v>
      </c>
      <c r="F51" s="157">
        <v>3446.83086985304</v>
      </c>
      <c r="G51" s="157">
        <v>3137.3948602211699</v>
      </c>
      <c r="H51" s="157">
        <v>3776.86571502887</v>
      </c>
      <c r="I51" s="157">
        <v>1963.03224323926</v>
      </c>
      <c r="J51" s="157">
        <v>1926.40743261478</v>
      </c>
      <c r="K51" s="157">
        <v>1999.65705386374</v>
      </c>
      <c r="L51" s="157">
        <v>804.56382435611897</v>
      </c>
      <c r="M51" s="157">
        <v>681.790891865194</v>
      </c>
      <c r="N51" s="157">
        <v>910.93851823525404</v>
      </c>
      <c r="O51" s="157">
        <v>23.141920429683601</v>
      </c>
      <c r="P51" s="157">
        <v>15.960379971697</v>
      </c>
      <c r="Q51" s="157">
        <v>30.323460887670201</v>
      </c>
      <c r="R51" s="157">
        <v>181.46924813671001</v>
      </c>
      <c r="S51" s="157">
        <v>116.758938293494</v>
      </c>
      <c r="T51" s="157">
        <v>228.53876733256399</v>
      </c>
      <c r="U51" s="157">
        <v>124.474242676831</v>
      </c>
      <c r="V51" s="157">
        <v>113.572438634771</v>
      </c>
      <c r="W51" s="157">
        <v>137.01197612025501</v>
      </c>
      <c r="X51" s="157">
        <v>253.313144328584</v>
      </c>
      <c r="Y51" s="157">
        <v>241.34265857884</v>
      </c>
      <c r="Z51" s="157">
        <v>265.59924754525099</v>
      </c>
      <c r="AA51" s="157">
        <v>342.69612560661602</v>
      </c>
      <c r="AB51" s="157">
        <v>326.179795851633</v>
      </c>
      <c r="AC51" s="157">
        <v>359.19853012764202</v>
      </c>
      <c r="AD51" s="157">
        <v>333.36739240199603</v>
      </c>
      <c r="AE51" s="157">
        <v>294.86843281894699</v>
      </c>
      <c r="AF51" s="157">
        <v>371.86635198504598</v>
      </c>
      <c r="AG51" s="157">
        <v>224.30203065943701</v>
      </c>
      <c r="AH51" s="157">
        <v>212.076097573803</v>
      </c>
      <c r="AI51" s="157">
        <v>236.52796374507</v>
      </c>
      <c r="AJ51" s="157">
        <v>386.15671899671497</v>
      </c>
      <c r="AK51" s="157">
        <v>358.07949106620703</v>
      </c>
      <c r="AL51" s="157">
        <v>414.23394692722297</v>
      </c>
      <c r="AM51" s="157">
        <v>10.749359538938201</v>
      </c>
      <c r="AN51" s="157">
        <v>3.0193002832812699</v>
      </c>
      <c r="AO51" s="157">
        <v>19.717857602116201</v>
      </c>
    </row>
    <row r="52" spans="1:41">
      <c r="A52" s="155">
        <v>46082</v>
      </c>
      <c r="B52" s="45">
        <f t="shared" si="0"/>
        <v>2026</v>
      </c>
      <c r="C52" s="157">
        <v>8290.7310126013508</v>
      </c>
      <c r="D52" s="157">
        <v>6826.0827393429699</v>
      </c>
      <c r="E52" s="157">
        <v>10195.412407194</v>
      </c>
      <c r="F52" s="157">
        <v>3458.44480394834</v>
      </c>
      <c r="G52" s="157">
        <v>3143.17145018869</v>
      </c>
      <c r="H52" s="157">
        <v>3795.0518277579399</v>
      </c>
      <c r="I52" s="157">
        <v>1967.3611532713401</v>
      </c>
      <c r="J52" s="157">
        <v>1930.3985120115999</v>
      </c>
      <c r="K52" s="157">
        <v>2004.32379453109</v>
      </c>
      <c r="L52" s="157">
        <v>800.63794282584297</v>
      </c>
      <c r="M52" s="157">
        <v>674.68685914260004</v>
      </c>
      <c r="N52" s="157">
        <v>909.30845914839006</v>
      </c>
      <c r="O52" s="157">
        <v>23.1419541215623</v>
      </c>
      <c r="P52" s="157">
        <v>15.9038528999025</v>
      </c>
      <c r="Q52" s="157">
        <v>30.3800553432221</v>
      </c>
      <c r="R52" s="157">
        <v>175.273660077399</v>
      </c>
      <c r="S52" s="157">
        <v>104.97636022065301</v>
      </c>
      <c r="T52" s="157">
        <v>224.54882918721501</v>
      </c>
      <c r="U52" s="157">
        <v>125.123264964824</v>
      </c>
      <c r="V52" s="157">
        <v>114.119945749134</v>
      </c>
      <c r="W52" s="157">
        <v>137.78548952102699</v>
      </c>
      <c r="X52" s="157">
        <v>253.58181656378801</v>
      </c>
      <c r="Y52" s="157">
        <v>241.54518259724099</v>
      </c>
      <c r="Z52" s="157">
        <v>265.93726556949599</v>
      </c>
      <c r="AA52" s="157">
        <v>341.93640774874098</v>
      </c>
      <c r="AB52" s="157">
        <v>325.24127077276199</v>
      </c>
      <c r="AC52" s="157">
        <v>358.61728474247099</v>
      </c>
      <c r="AD52" s="157">
        <v>334.41310408990699</v>
      </c>
      <c r="AE52" s="157">
        <v>295.11001031691399</v>
      </c>
      <c r="AF52" s="157">
        <v>373.71619786290103</v>
      </c>
      <c r="AG52" s="157">
        <v>224.602622463095</v>
      </c>
      <c r="AH52" s="157">
        <v>212.31134914010499</v>
      </c>
      <c r="AI52" s="157">
        <v>236.89389578608601</v>
      </c>
      <c r="AJ52" s="157">
        <v>385.57289747207102</v>
      </c>
      <c r="AK52" s="157">
        <v>356.74979067872499</v>
      </c>
      <c r="AL52" s="157">
        <v>414.39600426541699</v>
      </c>
      <c r="AM52" s="157">
        <v>10.000783722802399</v>
      </c>
      <c r="AN52" s="157">
        <v>2.3272694652420798</v>
      </c>
      <c r="AO52" s="157">
        <v>19.027574714651401</v>
      </c>
    </row>
    <row r="53" spans="1:41">
      <c r="A53" s="155">
        <v>46113</v>
      </c>
      <c r="B53" s="45">
        <f t="shared" si="0"/>
        <v>2026</v>
      </c>
      <c r="C53" s="157">
        <v>8258.9904069141503</v>
      </c>
      <c r="D53" s="157">
        <v>6783.6784733198901</v>
      </c>
      <c r="E53" s="157">
        <v>10183.9780420471</v>
      </c>
      <c r="F53" s="157">
        <v>3452.4407212337801</v>
      </c>
      <c r="G53" s="157">
        <v>3132.5464832472198</v>
      </c>
      <c r="H53" s="157">
        <v>3794.3614861534002</v>
      </c>
      <c r="I53" s="157">
        <v>1958.05407159672</v>
      </c>
      <c r="J53" s="157">
        <v>1920.89257151688</v>
      </c>
      <c r="K53" s="157">
        <v>1995.2155716765701</v>
      </c>
      <c r="L53" s="157">
        <v>786.14480986103695</v>
      </c>
      <c r="M53" s="157">
        <v>654.92694108959097</v>
      </c>
      <c r="N53" s="157">
        <v>898.39867468608702</v>
      </c>
      <c r="O53" s="157">
        <v>23.142119637592799</v>
      </c>
      <c r="P53" s="157">
        <v>15.847925867429501</v>
      </c>
      <c r="Q53" s="157">
        <v>30.436313407756099</v>
      </c>
      <c r="R53" s="157">
        <v>168.485032121827</v>
      </c>
      <c r="S53" s="157">
        <v>91.060893088932701</v>
      </c>
      <c r="T53" s="157">
        <v>220.18833389216101</v>
      </c>
      <c r="U53" s="157">
        <v>122.17069990442801</v>
      </c>
      <c r="V53" s="157">
        <v>111.53465738939801</v>
      </c>
      <c r="W53" s="157">
        <v>134.391824839278</v>
      </c>
      <c r="X53" s="157">
        <v>249.05538374781599</v>
      </c>
      <c r="Y53" s="157">
        <v>237.109328583782</v>
      </c>
      <c r="Z53" s="157">
        <v>261.32127102327598</v>
      </c>
      <c r="AA53" s="157">
        <v>342.79683269667902</v>
      </c>
      <c r="AB53" s="157">
        <v>325.95475477953403</v>
      </c>
      <c r="AC53" s="157">
        <v>359.62443493958398</v>
      </c>
      <c r="AD53" s="157">
        <v>330.25127593284299</v>
      </c>
      <c r="AE53" s="157">
        <v>290.16648956405299</v>
      </c>
      <c r="AF53" s="157">
        <v>370.336062301634</v>
      </c>
      <c r="AG53" s="157">
        <v>223.45346841163899</v>
      </c>
      <c r="AH53" s="157">
        <v>211.10452712201501</v>
      </c>
      <c r="AI53" s="157">
        <v>235.802409701263</v>
      </c>
      <c r="AJ53" s="157">
        <v>386.85752539670801</v>
      </c>
      <c r="AK53" s="157">
        <v>357.30736055487398</v>
      </c>
      <c r="AL53" s="157">
        <v>416.40769023854102</v>
      </c>
      <c r="AM53" s="157">
        <v>10.301362939179199</v>
      </c>
      <c r="AN53" s="157">
        <v>2.4633116523765999</v>
      </c>
      <c r="AO53" s="157">
        <v>19.504137374544399</v>
      </c>
    </row>
    <row r="54" spans="1:41">
      <c r="A54" s="155">
        <v>46143</v>
      </c>
      <c r="B54" s="45">
        <f t="shared" si="0"/>
        <v>2026</v>
      </c>
      <c r="C54" s="157">
        <v>8167.80616960516</v>
      </c>
      <c r="D54" s="157">
        <v>6695.9147510728299</v>
      </c>
      <c r="E54" s="157">
        <v>10093.498556807401</v>
      </c>
      <c r="F54" s="157">
        <v>3415.5212699210001</v>
      </c>
      <c r="G54" s="157">
        <v>3093.1595850018498</v>
      </c>
      <c r="H54" s="157">
        <v>3760.5216559360601</v>
      </c>
      <c r="I54" s="157">
        <v>1941.45237797908</v>
      </c>
      <c r="J54" s="157">
        <v>1904.17346994323</v>
      </c>
      <c r="K54" s="157">
        <v>1978.73128601494</v>
      </c>
      <c r="L54" s="157">
        <v>752.90243121565095</v>
      </c>
      <c r="M54" s="157">
        <v>612.00354340588694</v>
      </c>
      <c r="N54" s="157">
        <v>871.30835049422797</v>
      </c>
      <c r="O54" s="157">
        <v>23.142276798782799</v>
      </c>
      <c r="P54" s="157">
        <v>15.792434584359301</v>
      </c>
      <c r="Q54" s="157">
        <v>30.492119013206398</v>
      </c>
      <c r="R54" s="157">
        <v>163.53401455440999</v>
      </c>
      <c r="S54" s="157">
        <v>79.129866072640993</v>
      </c>
      <c r="T54" s="157">
        <v>217.315122624807</v>
      </c>
      <c r="U54" s="157">
        <v>121.248129572621</v>
      </c>
      <c r="V54" s="157">
        <v>110.724375251403</v>
      </c>
      <c r="W54" s="157">
        <v>133.334778663652</v>
      </c>
      <c r="X54" s="157">
        <v>247.577747836078</v>
      </c>
      <c r="Y54" s="157">
        <v>235.65735226790699</v>
      </c>
      <c r="Z54" s="157">
        <v>259.818536700366</v>
      </c>
      <c r="AA54" s="157">
        <v>343.27950517463898</v>
      </c>
      <c r="AB54" s="157">
        <v>326.31519274669301</v>
      </c>
      <c r="AC54" s="157">
        <v>360.22915169899397</v>
      </c>
      <c r="AD54" s="157">
        <v>328.92856613369702</v>
      </c>
      <c r="AE54" s="157">
        <v>288.07851210300998</v>
      </c>
      <c r="AF54" s="157">
        <v>369.77862016438399</v>
      </c>
      <c r="AG54" s="157">
        <v>221.78951206664999</v>
      </c>
      <c r="AH54" s="157">
        <v>209.38965876658801</v>
      </c>
      <c r="AI54" s="157">
        <v>234.18936536671299</v>
      </c>
      <c r="AJ54" s="157">
        <v>386.15667481844798</v>
      </c>
      <c r="AK54" s="157">
        <v>355.89691607621</v>
      </c>
      <c r="AL54" s="157">
        <v>416.41643356068698</v>
      </c>
      <c r="AM54" s="157">
        <v>10.013097509016101</v>
      </c>
      <c r="AN54" s="157">
        <v>2.1457183971073102</v>
      </c>
      <c r="AO54" s="157">
        <v>19.319966383376201</v>
      </c>
    </row>
    <row r="55" spans="1:41">
      <c r="A55" s="155">
        <v>46174</v>
      </c>
      <c r="B55" s="45">
        <f t="shared" si="0"/>
        <v>2026</v>
      </c>
      <c r="C55" s="157">
        <v>8098.1350551018304</v>
      </c>
      <c r="D55" s="157">
        <v>6625.3891785966598</v>
      </c>
      <c r="E55" s="157">
        <v>10030.410062606201</v>
      </c>
      <c r="F55" s="157">
        <v>3375.7840899610601</v>
      </c>
      <c r="G55" s="157">
        <v>3051.3096488927299</v>
      </c>
      <c r="H55" s="157">
        <v>3723.49527533937</v>
      </c>
      <c r="I55" s="157">
        <v>1940.7800871212601</v>
      </c>
      <c r="J55" s="157">
        <v>1903.4317389534301</v>
      </c>
      <c r="K55" s="157">
        <v>1978.12843528909</v>
      </c>
      <c r="L55" s="157">
        <v>748.189082725503</v>
      </c>
      <c r="M55" s="157">
        <v>603.57785506520395</v>
      </c>
      <c r="N55" s="157">
        <v>869.06278985587005</v>
      </c>
      <c r="O55" s="157">
        <v>23.142282251819001</v>
      </c>
      <c r="P55" s="157">
        <v>15.7372184442325</v>
      </c>
      <c r="Q55" s="157">
        <v>30.547346059405399</v>
      </c>
      <c r="R55" s="157">
        <v>159.61378704311801</v>
      </c>
      <c r="S55" s="157">
        <v>67.935055397464495</v>
      </c>
      <c r="T55" s="157">
        <v>215.26420167036301</v>
      </c>
      <c r="U55" s="157">
        <v>121.368974055537</v>
      </c>
      <c r="V55" s="157">
        <v>110.827608111749</v>
      </c>
      <c r="W55" s="157">
        <v>133.47706569662</v>
      </c>
      <c r="X55" s="157">
        <v>248.58396282661701</v>
      </c>
      <c r="Y55" s="157">
        <v>236.630552967591</v>
      </c>
      <c r="Z55" s="157">
        <v>260.85822782752399</v>
      </c>
      <c r="AA55" s="157">
        <v>340.89181463394698</v>
      </c>
      <c r="AB55" s="157">
        <v>323.82334767914301</v>
      </c>
      <c r="AC55" s="157">
        <v>357.94533106187703</v>
      </c>
      <c r="AD55" s="157">
        <v>327.10565489112201</v>
      </c>
      <c r="AE55" s="157">
        <v>285.50475117658101</v>
      </c>
      <c r="AF55" s="157">
        <v>368.706558605662</v>
      </c>
      <c r="AG55" s="157">
        <v>219.229818664108</v>
      </c>
      <c r="AH55" s="157">
        <v>206.78501137957301</v>
      </c>
      <c r="AI55" s="157">
        <v>231.67462594864301</v>
      </c>
      <c r="AJ55" s="157">
        <v>386.15643641511701</v>
      </c>
      <c r="AK55" s="157">
        <v>355.20334681008001</v>
      </c>
      <c r="AL55" s="157">
        <v>417.109526020153</v>
      </c>
      <c r="AM55" s="157">
        <v>10.184989088563199</v>
      </c>
      <c r="AN55" s="157">
        <v>2.1838083242149402</v>
      </c>
      <c r="AO55" s="157">
        <v>19.649779843386099</v>
      </c>
    </row>
    <row r="56" spans="1:41">
      <c r="A56" s="155">
        <v>46204</v>
      </c>
      <c r="B56" s="45">
        <f t="shared" si="0"/>
        <v>2026</v>
      </c>
      <c r="C56" s="157">
        <v>7998.4802957104603</v>
      </c>
      <c r="D56" s="157">
        <v>6532.4488010679597</v>
      </c>
      <c r="E56" s="157">
        <v>9926.6563573600306</v>
      </c>
      <c r="F56" s="157">
        <v>3333.60276466088</v>
      </c>
      <c r="G56" s="157">
        <v>3007.34999948524</v>
      </c>
      <c r="H56" s="157">
        <v>3683.6763031915598</v>
      </c>
      <c r="I56" s="157">
        <v>1940.3931691647399</v>
      </c>
      <c r="J56" s="157">
        <v>1903.0037089223499</v>
      </c>
      <c r="K56" s="157">
        <v>1977.7826294071399</v>
      </c>
      <c r="L56" s="157">
        <v>733.29699751914995</v>
      </c>
      <c r="M56" s="157">
        <v>582.34665162455997</v>
      </c>
      <c r="N56" s="157">
        <v>858.09329368403996</v>
      </c>
      <c r="O56" s="157">
        <v>23.141990913483902</v>
      </c>
      <c r="P56" s="157">
        <v>15.682118968148499</v>
      </c>
      <c r="Q56" s="157">
        <v>30.601862858819398</v>
      </c>
      <c r="R56" s="157">
        <v>162.491207112225</v>
      </c>
      <c r="S56" s="157">
        <v>71.896522494113796</v>
      </c>
      <c r="T56" s="157">
        <v>218.26221730862699</v>
      </c>
      <c r="U56" s="157">
        <v>114.206169680881</v>
      </c>
      <c r="V56" s="157">
        <v>104.558628737429</v>
      </c>
      <c r="W56" s="157">
        <v>125.242675365224</v>
      </c>
      <c r="X56" s="157">
        <v>240.510799522935</v>
      </c>
      <c r="Y56" s="157">
        <v>228.76935849087999</v>
      </c>
      <c r="Z56" s="157">
        <v>252.57234095405499</v>
      </c>
      <c r="AA56" s="157">
        <v>333.955806792879</v>
      </c>
      <c r="AB56" s="157">
        <v>316.79604946199902</v>
      </c>
      <c r="AC56" s="157">
        <v>351.100139405508</v>
      </c>
      <c r="AD56" s="157">
        <v>326.25113086653499</v>
      </c>
      <c r="AE56" s="157">
        <v>283.91277142290699</v>
      </c>
      <c r="AF56" s="157">
        <v>368.58949031016402</v>
      </c>
      <c r="AG56" s="157">
        <v>218.28814623325101</v>
      </c>
      <c r="AH56" s="157">
        <v>205.80364686354</v>
      </c>
      <c r="AI56" s="157">
        <v>230.772645602962</v>
      </c>
      <c r="AJ56" s="157">
        <v>387.09034885415201</v>
      </c>
      <c r="AK56" s="157">
        <v>355.45912198802699</v>
      </c>
      <c r="AL56" s="157">
        <v>418.721575720278</v>
      </c>
      <c r="AM56" s="157">
        <v>10.0671244826028</v>
      </c>
      <c r="AN56" s="157">
        <v>2.0031783746922298</v>
      </c>
      <c r="AO56" s="157">
        <v>19.652613641435401</v>
      </c>
    </row>
    <row r="57" spans="1:41">
      <c r="A57" s="155">
        <v>46235</v>
      </c>
      <c r="B57" s="45">
        <f t="shared" si="0"/>
        <v>2026</v>
      </c>
      <c r="C57" s="157">
        <v>7992.8409982836802</v>
      </c>
      <c r="D57" s="157">
        <v>6512.1211853357599</v>
      </c>
      <c r="E57" s="157">
        <v>9946.9344199353709</v>
      </c>
      <c r="F57" s="157">
        <v>3314.8097598479299</v>
      </c>
      <c r="G57" s="157">
        <v>2985.3024985736702</v>
      </c>
      <c r="H57" s="157">
        <v>3668.7815049651999</v>
      </c>
      <c r="I57" s="157">
        <v>1933.5520367787201</v>
      </c>
      <c r="J57" s="157">
        <v>1896.1382213826701</v>
      </c>
      <c r="K57" s="157">
        <v>1970.9658521747799</v>
      </c>
      <c r="L57" s="157">
        <v>734.12691292496197</v>
      </c>
      <c r="M57" s="157">
        <v>580.75558971083797</v>
      </c>
      <c r="N57" s="157">
        <v>860.58725581210501</v>
      </c>
      <c r="O57" s="157">
        <v>23.141845377949299</v>
      </c>
      <c r="P57" s="157">
        <v>15.6275675845473</v>
      </c>
      <c r="Q57" s="157">
        <v>30.6561231713514</v>
      </c>
      <c r="R57" s="157">
        <v>160.52365190834001</v>
      </c>
      <c r="S57" s="157">
        <v>64.553846932462406</v>
      </c>
      <c r="T57" s="157">
        <v>217.64481258902501</v>
      </c>
      <c r="U57" s="157">
        <v>120.04650608516</v>
      </c>
      <c r="V57" s="157">
        <v>109.67066833819899</v>
      </c>
      <c r="W57" s="157">
        <v>131.95586955902499</v>
      </c>
      <c r="X57" s="157">
        <v>251.34786139257699</v>
      </c>
      <c r="Y57" s="157">
        <v>239.317015649181</v>
      </c>
      <c r="Z57" s="157">
        <v>263.70011875292801</v>
      </c>
      <c r="AA57" s="157">
        <v>339.09052253686002</v>
      </c>
      <c r="AB57" s="157">
        <v>321.864662045861</v>
      </c>
      <c r="AC57" s="157">
        <v>356.30107461518901</v>
      </c>
      <c r="AD57" s="157">
        <v>325.68119124958798</v>
      </c>
      <c r="AE57" s="157">
        <v>282.61802184747398</v>
      </c>
      <c r="AF57" s="157">
        <v>368.74436065170198</v>
      </c>
      <c r="AG57" s="157">
        <v>217.86439467854399</v>
      </c>
      <c r="AH57" s="157">
        <v>205.34485692697399</v>
      </c>
      <c r="AI57" s="157">
        <v>230.38393243011299</v>
      </c>
      <c r="AJ57" s="157">
        <v>386.85450835687499</v>
      </c>
      <c r="AK57" s="157">
        <v>354.55938070555197</v>
      </c>
      <c r="AL57" s="157">
        <v>419.149636008198</v>
      </c>
      <c r="AM57" s="157">
        <v>10.1849894672132</v>
      </c>
      <c r="AN57" s="157">
        <v>2.0024791568965998</v>
      </c>
      <c r="AO57" s="157">
        <v>19.918815532738599</v>
      </c>
    </row>
    <row r="58" spans="1:41">
      <c r="A58" s="155">
        <v>46266</v>
      </c>
      <c r="B58" s="45">
        <f t="shared" si="0"/>
        <v>2026</v>
      </c>
      <c r="C58" s="157">
        <v>8043.5518387279199</v>
      </c>
      <c r="D58" s="157">
        <v>6535.01765417978</v>
      </c>
      <c r="E58" s="157">
        <v>10042.235416777001</v>
      </c>
      <c r="F58" s="157">
        <v>3335.44617180761</v>
      </c>
      <c r="G58" s="157">
        <v>2999.9870623687798</v>
      </c>
      <c r="H58" s="157">
        <v>3696.1269293448499</v>
      </c>
      <c r="I58" s="157">
        <v>1933.2760979595901</v>
      </c>
      <c r="J58" s="157">
        <v>1895.8478492025999</v>
      </c>
      <c r="K58" s="157">
        <v>1970.7043467165799</v>
      </c>
      <c r="L58" s="157">
        <v>738.66884207108603</v>
      </c>
      <c r="M58" s="157">
        <v>583.90399989367904</v>
      </c>
      <c r="N58" s="157">
        <v>866.211473491986</v>
      </c>
      <c r="O58" s="157">
        <v>23.142287725622499</v>
      </c>
      <c r="P58" s="157">
        <v>15.5739965517608</v>
      </c>
      <c r="Q58" s="157">
        <v>30.710578899484201</v>
      </c>
      <c r="R58" s="157">
        <v>157.40294540999901</v>
      </c>
      <c r="S58" s="157">
        <v>53.054978835727901</v>
      </c>
      <c r="T58" s="157">
        <v>216.18835669706101</v>
      </c>
      <c r="U58" s="157">
        <v>118.813832076493</v>
      </c>
      <c r="V58" s="157">
        <v>108.59303268254</v>
      </c>
      <c r="W58" s="157">
        <v>130.53706355638101</v>
      </c>
      <c r="X58" s="157">
        <v>251.06610921037401</v>
      </c>
      <c r="Y58" s="157">
        <v>239.04197495871</v>
      </c>
      <c r="Z58" s="157">
        <v>263.41166175872002</v>
      </c>
      <c r="AA58" s="157">
        <v>341.25269168148202</v>
      </c>
      <c r="AB58" s="157">
        <v>323.96974704078298</v>
      </c>
      <c r="AC58" s="157">
        <v>358.520323918727</v>
      </c>
      <c r="AD58" s="157">
        <v>324.70600726963499</v>
      </c>
      <c r="AE58" s="157">
        <v>280.93003143870601</v>
      </c>
      <c r="AF58" s="157">
        <v>368.481983100565</v>
      </c>
      <c r="AG58" s="157">
        <v>222.38375022649899</v>
      </c>
      <c r="AH58" s="157">
        <v>209.83329585338899</v>
      </c>
      <c r="AI58" s="157">
        <v>234.93420459960799</v>
      </c>
      <c r="AJ58" s="157">
        <v>384.64749463073599</v>
      </c>
      <c r="AK58" s="157">
        <v>351.70184200441503</v>
      </c>
      <c r="AL58" s="157">
        <v>417.59314725705599</v>
      </c>
      <c r="AM58" s="157">
        <v>10.238319984628401</v>
      </c>
      <c r="AN58" s="157">
        <v>1.95442326623757</v>
      </c>
      <c r="AO58" s="157">
        <v>20.111007743550999</v>
      </c>
    </row>
    <row r="59" spans="1:41">
      <c r="A59" s="155">
        <v>46296</v>
      </c>
      <c r="B59" s="45">
        <f t="shared" si="0"/>
        <v>2026</v>
      </c>
      <c r="C59" s="157">
        <v>8125.47966802069</v>
      </c>
      <c r="D59" s="157">
        <v>6581.5859697938204</v>
      </c>
      <c r="E59" s="157">
        <v>10179.752391149501</v>
      </c>
      <c r="F59" s="157">
        <v>3378.22168310505</v>
      </c>
      <c r="G59" s="157">
        <v>3035.25113820059</v>
      </c>
      <c r="H59" s="157">
        <v>3747.2408997831399</v>
      </c>
      <c r="I59" s="157">
        <v>1951.6862101587301</v>
      </c>
      <c r="J59" s="157">
        <v>1914.2494060901199</v>
      </c>
      <c r="K59" s="157">
        <v>1989.12301422733</v>
      </c>
      <c r="L59" s="157">
        <v>736.06119510494796</v>
      </c>
      <c r="M59" s="157">
        <v>578.03111031325795</v>
      </c>
      <c r="N59" s="157">
        <v>865.71080142798405</v>
      </c>
      <c r="O59" s="157">
        <v>23.142141051564799</v>
      </c>
      <c r="P59" s="157">
        <v>15.520220000796501</v>
      </c>
      <c r="Q59" s="157">
        <v>30.764062102333</v>
      </c>
      <c r="R59" s="157">
        <v>162.43060688984301</v>
      </c>
      <c r="S59" s="157">
        <v>63.782903930116099</v>
      </c>
      <c r="T59" s="157">
        <v>220.68067355871699</v>
      </c>
      <c r="U59" s="157">
        <v>120.724487180399</v>
      </c>
      <c r="V59" s="157">
        <v>110.263719447263</v>
      </c>
      <c r="W59" s="157">
        <v>132.735811147406</v>
      </c>
      <c r="X59" s="157">
        <v>252.73638070239701</v>
      </c>
      <c r="Y59" s="157">
        <v>240.668019638386</v>
      </c>
      <c r="Z59" s="157">
        <v>265.126363384223</v>
      </c>
      <c r="AA59" s="157">
        <v>346.10427180168301</v>
      </c>
      <c r="AB59" s="157">
        <v>328.77643878310198</v>
      </c>
      <c r="AC59" s="157">
        <v>363.416928531221</v>
      </c>
      <c r="AD59" s="157">
        <v>325.72428546702503</v>
      </c>
      <c r="AE59" s="157">
        <v>281.24692611268</v>
      </c>
      <c r="AF59" s="157">
        <v>370.20164482137</v>
      </c>
      <c r="AG59" s="157">
        <v>226.307314028055</v>
      </c>
      <c r="AH59" s="157">
        <v>213.72959922262999</v>
      </c>
      <c r="AI59" s="157">
        <v>238.88502883348099</v>
      </c>
      <c r="AJ59" s="157">
        <v>386.06949686642702</v>
      </c>
      <c r="AK59" s="157">
        <v>352.48591778478198</v>
      </c>
      <c r="AL59" s="157">
        <v>419.653075948072</v>
      </c>
      <c r="AM59" s="157">
        <v>9.8792239616340893</v>
      </c>
      <c r="AN59" s="157">
        <v>1.6043017298068201</v>
      </c>
      <c r="AO59" s="157">
        <v>19.836402111584501</v>
      </c>
    </row>
    <row r="60" spans="1:41">
      <c r="A60" s="155">
        <v>46327</v>
      </c>
      <c r="B60" s="45">
        <f t="shared" si="0"/>
        <v>2026</v>
      </c>
      <c r="C60" s="157">
        <v>8282.3790329569802</v>
      </c>
      <c r="D60" s="157">
        <v>6684.5097528229498</v>
      </c>
      <c r="E60" s="157">
        <v>10419.2957725098</v>
      </c>
      <c r="F60" s="157">
        <v>3467.75707989692</v>
      </c>
      <c r="G60" s="157">
        <v>3113.8929441823998</v>
      </c>
      <c r="H60" s="157">
        <v>3848.6455719966698</v>
      </c>
      <c r="I60" s="157">
        <v>1967.1097745705699</v>
      </c>
      <c r="J60" s="157">
        <v>1929.6678987439</v>
      </c>
      <c r="K60" s="157">
        <v>2004.5516503972301</v>
      </c>
      <c r="L60" s="157">
        <v>752.09109764152197</v>
      </c>
      <c r="M60" s="157">
        <v>595.85081482720898</v>
      </c>
      <c r="N60" s="157">
        <v>881.04868542101497</v>
      </c>
      <c r="O60" s="157">
        <v>23.141699848582501</v>
      </c>
      <c r="P60" s="157">
        <v>15.4665240496401</v>
      </c>
      <c r="Q60" s="157">
        <v>30.816875647524899</v>
      </c>
      <c r="R60" s="157">
        <v>164.58337567157</v>
      </c>
      <c r="S60" s="157">
        <v>66.5076628930792</v>
      </c>
      <c r="T60" s="157">
        <v>223.05362559308199</v>
      </c>
      <c r="U60" s="157">
        <v>124.45366804574201</v>
      </c>
      <c r="V60" s="157">
        <v>113.51994051837499</v>
      </c>
      <c r="W60" s="157">
        <v>137.03395413478299</v>
      </c>
      <c r="X60" s="157">
        <v>257.64487181223399</v>
      </c>
      <c r="Y60" s="157">
        <v>245.448121080059</v>
      </c>
      <c r="Z60" s="157">
        <v>270.163790609133</v>
      </c>
      <c r="AA60" s="157">
        <v>347.32547156353002</v>
      </c>
      <c r="AB60" s="157">
        <v>329.957594753813</v>
      </c>
      <c r="AC60" s="157">
        <v>364.67815546633898</v>
      </c>
      <c r="AD60" s="157">
        <v>328.52606350030698</v>
      </c>
      <c r="AE60" s="157">
        <v>283.35820971794601</v>
      </c>
      <c r="AF60" s="157">
        <v>373.69391728266697</v>
      </c>
      <c r="AG60" s="157">
        <v>227.17579894804501</v>
      </c>
      <c r="AH60" s="157">
        <v>214.57407230273</v>
      </c>
      <c r="AI60" s="157">
        <v>239.77752559336</v>
      </c>
      <c r="AJ60" s="157">
        <v>386.28572019206803</v>
      </c>
      <c r="AK60" s="157">
        <v>352.07610837182102</v>
      </c>
      <c r="AL60" s="157">
        <v>420.495332012316</v>
      </c>
      <c r="AM60" s="157">
        <v>10.1849894801241</v>
      </c>
      <c r="AN60" s="157">
        <v>1.7441852366362101</v>
      </c>
      <c r="AO60" s="157">
        <v>20.310758304438401</v>
      </c>
    </row>
    <row r="61" spans="1:41">
      <c r="A61" s="155">
        <v>46357</v>
      </c>
      <c r="B61" s="45">
        <f t="shared" si="0"/>
        <v>2026</v>
      </c>
      <c r="C61" s="157">
        <v>8381.36439493957</v>
      </c>
      <c r="D61" s="157">
        <v>6743.01794522195</v>
      </c>
      <c r="E61" s="157">
        <v>10582.210535799801</v>
      </c>
      <c r="F61" s="157">
        <v>3512.8955897218102</v>
      </c>
      <c r="G61" s="157">
        <v>3151.2935009478101</v>
      </c>
      <c r="H61" s="157">
        <v>3902.3730447032799</v>
      </c>
      <c r="I61" s="157">
        <v>1973.81317539273</v>
      </c>
      <c r="J61" s="157">
        <v>1936.36829270464</v>
      </c>
      <c r="K61" s="157">
        <v>2011.2580580808201</v>
      </c>
      <c r="L61" s="157">
        <v>779.54523354741002</v>
      </c>
      <c r="M61" s="157">
        <v>627.84608434405004</v>
      </c>
      <c r="N61" s="157">
        <v>906.19735296574697</v>
      </c>
      <c r="O61" s="157">
        <v>23.1419943014929</v>
      </c>
      <c r="P61" s="157">
        <v>15.413930946287699</v>
      </c>
      <c r="Q61" s="157">
        <v>30.870057656698101</v>
      </c>
      <c r="R61" s="157">
        <v>179.30165083561599</v>
      </c>
      <c r="S61" s="157">
        <v>95.607242468845797</v>
      </c>
      <c r="T61" s="157">
        <v>234.85759181015601</v>
      </c>
      <c r="U61" s="157">
        <v>125.69895813351199</v>
      </c>
      <c r="V61" s="157">
        <v>114.60830424220001</v>
      </c>
      <c r="W61" s="157">
        <v>138.46807476917201</v>
      </c>
      <c r="X61" s="157">
        <v>261.10790079099701</v>
      </c>
      <c r="Y61" s="157">
        <v>248.82131797876301</v>
      </c>
      <c r="Z61" s="157">
        <v>273.71702721745402</v>
      </c>
      <c r="AA61" s="157">
        <v>348.88034167244399</v>
      </c>
      <c r="AB61" s="157">
        <v>331.47949296416499</v>
      </c>
      <c r="AC61" s="157">
        <v>366.26600770077499</v>
      </c>
      <c r="AD61" s="157">
        <v>332.04496574770201</v>
      </c>
      <c r="AE61" s="157">
        <v>286.19701077244503</v>
      </c>
      <c r="AF61" s="157">
        <v>377.89292072295802</v>
      </c>
      <c r="AG61" s="157">
        <v>227.446199413301</v>
      </c>
      <c r="AH61" s="157">
        <v>214.823352735452</v>
      </c>
      <c r="AI61" s="157">
        <v>240.06904609115099</v>
      </c>
      <c r="AJ61" s="157">
        <v>385.331907729389</v>
      </c>
      <c r="AK61" s="157">
        <v>350.50751544680998</v>
      </c>
      <c r="AL61" s="157">
        <v>420.15630001196803</v>
      </c>
      <c r="AM61" s="157">
        <v>10.3942039797675</v>
      </c>
      <c r="AN61" s="157">
        <v>1.8146397886119201</v>
      </c>
      <c r="AO61" s="157">
        <v>20.674784590340401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956B-0370-41BE-BB22-D0F5F0EDBE4F}">
  <sheetPr codeName="Sheet39">
    <tabColor theme="4" tint="0.39997558519241921"/>
  </sheetPr>
  <dimension ref="A1:AO66"/>
  <sheetViews>
    <sheetView topLeftCell="A34" workbookViewId="0">
      <selection activeCell="A58" sqref="A58:A60"/>
    </sheetView>
  </sheetViews>
  <sheetFormatPr defaultColWidth="9.140625" defaultRowHeight="12.75"/>
  <cols>
    <col min="1" max="1" width="10.42578125" style="45" bestFit="1" customWidth="1"/>
    <col min="2" max="2" width="10.42578125" style="45" customWidth="1"/>
    <col min="3" max="3" width="22.85546875" style="45" bestFit="1" customWidth="1"/>
    <col min="4" max="4" width="21.42578125" style="45" bestFit="1" customWidth="1"/>
    <col min="5" max="5" width="21.85546875" style="45" bestFit="1" customWidth="1"/>
    <col min="6" max="6" width="20" style="45" bestFit="1" customWidth="1"/>
    <col min="7" max="7" width="18.5703125" style="45" bestFit="1" customWidth="1"/>
    <col min="8" max="8" width="19" style="45" bestFit="1" customWidth="1"/>
    <col min="9" max="9" width="19.7109375" style="45" bestFit="1" customWidth="1"/>
    <col min="10" max="10" width="18.42578125" style="45" bestFit="1" customWidth="1"/>
    <col min="11" max="11" width="18.7109375" style="45" bestFit="1" customWidth="1"/>
    <col min="12" max="12" width="20" style="45" bestFit="1" customWidth="1"/>
    <col min="13" max="13" width="18.5703125" style="45" bestFit="1" customWidth="1"/>
    <col min="14" max="14" width="19" style="45" bestFit="1" customWidth="1"/>
    <col min="15" max="15" width="30.5703125" style="45" bestFit="1" customWidth="1"/>
    <col min="16" max="16" width="29.140625" style="45" bestFit="1" customWidth="1"/>
    <col min="17" max="17" width="29.5703125" style="45" bestFit="1" customWidth="1"/>
    <col min="18" max="18" width="20.5703125" style="45" bestFit="1" customWidth="1"/>
    <col min="19" max="19" width="11" style="45" bestFit="1" customWidth="1"/>
    <col min="20" max="20" width="19.5703125" style="45" bestFit="1" customWidth="1"/>
    <col min="21" max="21" width="20.5703125" style="45" bestFit="1" customWidth="1"/>
    <col min="22" max="22" width="19.28515625" style="45" bestFit="1" customWidth="1"/>
    <col min="23" max="23" width="19.5703125" style="45" bestFit="1" customWidth="1"/>
    <col min="24" max="24" width="22.28515625" style="45" bestFit="1" customWidth="1"/>
    <col min="25" max="25" width="20.85546875" style="45" bestFit="1" customWidth="1"/>
    <col min="26" max="26" width="21.28515625" style="45" bestFit="1" customWidth="1"/>
    <col min="27" max="27" width="20.5703125" style="45" bestFit="1" customWidth="1"/>
    <col min="28" max="28" width="19.28515625" style="45" bestFit="1" customWidth="1"/>
    <col min="29" max="29" width="19.5703125" style="45" bestFit="1" customWidth="1"/>
    <col min="30" max="30" width="22.28515625" style="45" bestFit="1" customWidth="1"/>
    <col min="31" max="31" width="20.85546875" style="45" bestFit="1" customWidth="1"/>
    <col min="32" max="32" width="21.28515625" style="45" bestFit="1" customWidth="1"/>
    <col min="33" max="33" width="20.5703125" style="45" bestFit="1" customWidth="1"/>
    <col min="34" max="34" width="19.28515625" style="45" bestFit="1" customWidth="1"/>
    <col min="35" max="35" width="19.5703125" style="45" bestFit="1" customWidth="1"/>
    <col min="36" max="36" width="21.140625" style="45" bestFit="1" customWidth="1"/>
    <col min="37" max="37" width="19.5703125" style="45" bestFit="1" customWidth="1"/>
    <col min="38" max="38" width="20" style="45" bestFit="1" customWidth="1"/>
    <col min="39" max="39" width="23" style="45" bestFit="1" customWidth="1"/>
    <col min="40" max="40" width="21.5703125" style="45" bestFit="1" customWidth="1"/>
    <col min="41" max="41" width="22" style="45" bestFit="1" customWidth="1"/>
    <col min="42" max="16384" width="9.140625" style="45"/>
  </cols>
  <sheetData>
    <row r="1" spans="1:41">
      <c r="A1" s="154" t="s">
        <v>109</v>
      </c>
      <c r="B1" s="154" t="s">
        <v>110</v>
      </c>
      <c r="C1" s="47" t="s">
        <v>376</v>
      </c>
      <c r="D1" s="48" t="s">
        <v>377</v>
      </c>
      <c r="E1" s="49" t="s">
        <v>378</v>
      </c>
      <c r="F1" s="47" t="s">
        <v>380</v>
      </c>
      <c r="G1" s="48" t="s">
        <v>382</v>
      </c>
      <c r="H1" s="49" t="s">
        <v>383</v>
      </c>
      <c r="I1" s="47" t="s">
        <v>385</v>
      </c>
      <c r="J1" s="48" t="s">
        <v>387</v>
      </c>
      <c r="K1" s="49" t="s">
        <v>389</v>
      </c>
      <c r="L1" s="47" t="s">
        <v>391</v>
      </c>
      <c r="M1" s="48" t="s">
        <v>393</v>
      </c>
      <c r="N1" s="49" t="s">
        <v>395</v>
      </c>
      <c r="O1" s="47" t="s">
        <v>397</v>
      </c>
      <c r="P1" s="48" t="s">
        <v>399</v>
      </c>
      <c r="Q1" s="49" t="s">
        <v>401</v>
      </c>
      <c r="R1" s="47" t="s">
        <v>402</v>
      </c>
      <c r="S1" s="48" t="s">
        <v>403</v>
      </c>
      <c r="T1" s="49" t="s">
        <v>404</v>
      </c>
      <c r="U1" s="47" t="s">
        <v>405</v>
      </c>
      <c r="V1" s="48" t="s">
        <v>406</v>
      </c>
      <c r="W1" s="49" t="s">
        <v>407</v>
      </c>
      <c r="X1" s="47" t="s">
        <v>408</v>
      </c>
      <c r="Y1" s="48" t="s">
        <v>409</v>
      </c>
      <c r="Z1" s="49" t="s">
        <v>410</v>
      </c>
      <c r="AA1" s="47" t="s">
        <v>411</v>
      </c>
      <c r="AB1" s="48" t="s">
        <v>412</v>
      </c>
      <c r="AC1" s="49" t="s">
        <v>413</v>
      </c>
      <c r="AD1" s="47" t="s">
        <v>414</v>
      </c>
      <c r="AE1" s="48" t="s">
        <v>415</v>
      </c>
      <c r="AF1" s="49" t="s">
        <v>416</v>
      </c>
      <c r="AG1" s="47" t="s">
        <v>417</v>
      </c>
      <c r="AH1" s="48" t="s">
        <v>418</v>
      </c>
      <c r="AI1" s="49" t="s">
        <v>419</v>
      </c>
      <c r="AJ1" s="47" t="s">
        <v>420</v>
      </c>
      <c r="AK1" s="48" t="s">
        <v>421</v>
      </c>
      <c r="AL1" s="49" t="s">
        <v>422</v>
      </c>
      <c r="AM1" s="47" t="s">
        <v>665</v>
      </c>
      <c r="AN1" s="48" t="s">
        <v>666</v>
      </c>
      <c r="AO1" s="49" t="s">
        <v>667</v>
      </c>
    </row>
    <row r="2" spans="1:41">
      <c r="A2" s="155">
        <v>44562</v>
      </c>
      <c r="B2" s="45">
        <f>YEAR(A2)</f>
        <v>2022</v>
      </c>
      <c r="C2" s="156">
        <v>1639.6</v>
      </c>
      <c r="D2" s="156">
        <v>1551.8</v>
      </c>
      <c r="E2" s="156">
        <v>1722.9</v>
      </c>
      <c r="F2" s="156">
        <v>440.2</v>
      </c>
      <c r="G2" s="156">
        <v>401.7</v>
      </c>
      <c r="H2" s="156">
        <v>477.2</v>
      </c>
      <c r="I2" s="156">
        <v>2130.9</v>
      </c>
      <c r="J2" s="156">
        <v>1941.9</v>
      </c>
      <c r="K2" s="156">
        <v>2313.1999999999998</v>
      </c>
      <c r="L2" s="156">
        <v>335.6</v>
      </c>
      <c r="M2" s="156">
        <v>314</v>
      </c>
      <c r="N2" s="156">
        <v>356.8</v>
      </c>
      <c r="O2" s="156">
        <v>423.7</v>
      </c>
      <c r="P2" s="156">
        <v>311.5</v>
      </c>
      <c r="Q2" s="156">
        <v>577.20000000000005</v>
      </c>
      <c r="R2" s="156">
        <v>34.4</v>
      </c>
      <c r="S2" s="156">
        <v>19.2</v>
      </c>
      <c r="T2" s="156">
        <v>62.7</v>
      </c>
      <c r="U2" s="156">
        <v>78.3</v>
      </c>
      <c r="V2" s="156">
        <v>61.1</v>
      </c>
      <c r="W2" s="156">
        <v>108.1</v>
      </c>
      <c r="X2" s="156">
        <v>186.6</v>
      </c>
      <c r="Y2" s="156">
        <v>157.69999999999999</v>
      </c>
      <c r="Z2" s="156">
        <v>215.4</v>
      </c>
      <c r="AA2" s="156">
        <v>358.1</v>
      </c>
      <c r="AB2" s="156">
        <v>311.8</v>
      </c>
      <c r="AC2" s="156">
        <v>410.1</v>
      </c>
      <c r="AD2" s="156">
        <v>728.4</v>
      </c>
      <c r="AE2" s="156">
        <v>649.9</v>
      </c>
      <c r="AF2" s="156">
        <v>799.2</v>
      </c>
      <c r="AG2" s="156">
        <v>1568.7</v>
      </c>
      <c r="AH2" s="156">
        <v>1364.5</v>
      </c>
      <c r="AI2" s="156">
        <v>1749.3</v>
      </c>
      <c r="AJ2" s="156">
        <v>13.291485434393101</v>
      </c>
      <c r="AK2" s="156">
        <v>8.4739810960405908</v>
      </c>
      <c r="AL2" s="156">
        <v>28.675988930451201</v>
      </c>
      <c r="AM2" s="156">
        <v>8.4</v>
      </c>
      <c r="AN2" s="156">
        <v>5.6</v>
      </c>
      <c r="AO2" s="156">
        <v>15.6</v>
      </c>
    </row>
    <row r="3" spans="1:41">
      <c r="A3" s="155">
        <v>44593</v>
      </c>
      <c r="B3" s="45">
        <f t="shared" ref="B3:B61" si="0">YEAR(A3)</f>
        <v>2022</v>
      </c>
      <c r="C3" s="156">
        <v>1537.3</v>
      </c>
      <c r="D3" s="156">
        <v>1432.7</v>
      </c>
      <c r="E3" s="156">
        <v>1635.2</v>
      </c>
      <c r="F3" s="156">
        <v>405.5</v>
      </c>
      <c r="G3" s="156">
        <v>359.7</v>
      </c>
      <c r="H3" s="156">
        <v>448.9</v>
      </c>
      <c r="I3" s="156">
        <v>1957.2</v>
      </c>
      <c r="J3" s="156">
        <v>1720.6</v>
      </c>
      <c r="K3" s="156">
        <v>2182.4</v>
      </c>
      <c r="L3" s="156">
        <v>315.89999999999998</v>
      </c>
      <c r="M3" s="156">
        <v>291.10000000000002</v>
      </c>
      <c r="N3" s="156">
        <v>340.1</v>
      </c>
      <c r="O3" s="156">
        <v>401.3</v>
      </c>
      <c r="P3" s="156">
        <v>291.39999999999998</v>
      </c>
      <c r="Q3" s="156">
        <v>553.70000000000005</v>
      </c>
      <c r="R3" s="156">
        <v>33.4</v>
      </c>
      <c r="S3" s="156">
        <v>18</v>
      </c>
      <c r="T3" s="156">
        <v>63.3</v>
      </c>
      <c r="U3" s="156">
        <v>75.7</v>
      </c>
      <c r="V3" s="156">
        <v>58.7</v>
      </c>
      <c r="W3" s="156">
        <v>105.2</v>
      </c>
      <c r="X3" s="156">
        <v>185</v>
      </c>
      <c r="Y3" s="156">
        <v>156.19999999999999</v>
      </c>
      <c r="Z3" s="156">
        <v>213.9</v>
      </c>
      <c r="AA3" s="156">
        <v>352.4</v>
      </c>
      <c r="AB3" s="156">
        <v>306.7</v>
      </c>
      <c r="AC3" s="156">
        <v>403.6</v>
      </c>
      <c r="AD3" s="156">
        <v>687.3</v>
      </c>
      <c r="AE3" s="156">
        <v>602.9</v>
      </c>
      <c r="AF3" s="156">
        <v>762.4</v>
      </c>
      <c r="AG3" s="156">
        <v>1410</v>
      </c>
      <c r="AH3" s="156">
        <v>1178.5999999999999</v>
      </c>
      <c r="AI3" s="156">
        <v>1608.5</v>
      </c>
      <c r="AJ3" s="156">
        <v>12.243749800066899</v>
      </c>
      <c r="AK3" s="156">
        <v>7.5055737283931601</v>
      </c>
      <c r="AL3" s="156">
        <v>29.980765597722201</v>
      </c>
      <c r="AM3" s="156">
        <v>7.4</v>
      </c>
      <c r="AN3" s="156">
        <v>5.0999999999999996</v>
      </c>
      <c r="AO3" s="156">
        <v>13.4</v>
      </c>
    </row>
    <row r="4" spans="1:41">
      <c r="A4" s="155">
        <v>44621</v>
      </c>
      <c r="B4" s="45">
        <f t="shared" si="0"/>
        <v>2022</v>
      </c>
      <c r="C4" s="156">
        <v>1560.5</v>
      </c>
      <c r="D4" s="156">
        <v>1453.1</v>
      </c>
      <c r="E4" s="156">
        <v>1661.1</v>
      </c>
      <c r="F4" s="156">
        <v>367.4</v>
      </c>
      <c r="G4" s="156">
        <v>317.60000000000002</v>
      </c>
      <c r="H4" s="156">
        <v>414.1</v>
      </c>
      <c r="I4" s="156">
        <v>1908.4</v>
      </c>
      <c r="J4" s="156">
        <v>1653.1</v>
      </c>
      <c r="K4" s="156">
        <v>2150.3000000000002</v>
      </c>
      <c r="L4" s="156">
        <v>310.2</v>
      </c>
      <c r="M4" s="156">
        <v>284.10000000000002</v>
      </c>
      <c r="N4" s="156">
        <v>335.7</v>
      </c>
      <c r="O4" s="156">
        <v>344.4</v>
      </c>
      <c r="P4" s="156">
        <v>250.4</v>
      </c>
      <c r="Q4" s="156">
        <v>474.8</v>
      </c>
      <c r="R4" s="156">
        <v>32.1</v>
      </c>
      <c r="S4" s="156">
        <v>16.8</v>
      </c>
      <c r="T4" s="156">
        <v>62.9</v>
      </c>
      <c r="U4" s="156">
        <v>70.2</v>
      </c>
      <c r="V4" s="156">
        <v>54.9</v>
      </c>
      <c r="W4" s="156">
        <v>96.3</v>
      </c>
      <c r="X4" s="156">
        <v>172</v>
      </c>
      <c r="Y4" s="156">
        <v>143.1</v>
      </c>
      <c r="Z4" s="156">
        <v>200.9</v>
      </c>
      <c r="AA4" s="156">
        <v>335.9</v>
      </c>
      <c r="AB4" s="156">
        <v>292.10000000000002</v>
      </c>
      <c r="AC4" s="156">
        <v>385.2</v>
      </c>
      <c r="AD4" s="156">
        <v>658.4</v>
      </c>
      <c r="AE4" s="156">
        <v>569.4</v>
      </c>
      <c r="AF4" s="156">
        <v>736.8</v>
      </c>
      <c r="AG4" s="156">
        <v>1300.5999999999999</v>
      </c>
      <c r="AH4" s="156">
        <v>1045.2</v>
      </c>
      <c r="AI4" s="156">
        <v>1513.5</v>
      </c>
      <c r="AJ4" s="156">
        <v>12.1742871553735</v>
      </c>
      <c r="AK4" s="156">
        <v>7.2845885493949698</v>
      </c>
      <c r="AL4" s="156">
        <v>32.569019771805799</v>
      </c>
      <c r="AM4" s="156">
        <v>7.6</v>
      </c>
      <c r="AN4" s="156">
        <v>5.0999999999999996</v>
      </c>
      <c r="AO4" s="156">
        <v>14.1</v>
      </c>
    </row>
    <row r="5" spans="1:41">
      <c r="A5" s="155">
        <v>44652</v>
      </c>
      <c r="B5" s="45">
        <f t="shared" si="0"/>
        <v>2022</v>
      </c>
      <c r="C5" s="156">
        <v>1465</v>
      </c>
      <c r="D5" s="156">
        <v>1346.5</v>
      </c>
      <c r="E5" s="156">
        <v>1574.6</v>
      </c>
      <c r="F5" s="156">
        <v>335.8</v>
      </c>
      <c r="G5" s="156">
        <v>283.10000000000002</v>
      </c>
      <c r="H5" s="156">
        <v>384.7</v>
      </c>
      <c r="I5" s="156">
        <v>1794.2</v>
      </c>
      <c r="J5" s="156">
        <v>1524.5</v>
      </c>
      <c r="K5" s="156">
        <v>2048</v>
      </c>
      <c r="L5" s="156">
        <v>292.39999999999998</v>
      </c>
      <c r="M5" s="156">
        <v>264.8</v>
      </c>
      <c r="N5" s="156">
        <v>319.39999999999998</v>
      </c>
      <c r="O5" s="156">
        <v>301.5</v>
      </c>
      <c r="P5" s="156">
        <v>219.3</v>
      </c>
      <c r="Q5" s="156">
        <v>415.3</v>
      </c>
      <c r="R5" s="156">
        <v>32</v>
      </c>
      <c r="S5" s="156">
        <v>16.2</v>
      </c>
      <c r="T5" s="156">
        <v>65</v>
      </c>
      <c r="U5" s="156">
        <v>61</v>
      </c>
      <c r="V5" s="156">
        <v>48.8</v>
      </c>
      <c r="W5" s="156">
        <v>80.5</v>
      </c>
      <c r="X5" s="156">
        <v>154.69999999999999</v>
      </c>
      <c r="Y5" s="156">
        <v>125.8</v>
      </c>
      <c r="Z5" s="156">
        <v>183.5</v>
      </c>
      <c r="AA5" s="156">
        <v>315.8</v>
      </c>
      <c r="AB5" s="156">
        <v>274.2</v>
      </c>
      <c r="AC5" s="156">
        <v>362.6</v>
      </c>
      <c r="AD5" s="156">
        <v>620.29999999999995</v>
      </c>
      <c r="AE5" s="156">
        <v>524.6</v>
      </c>
      <c r="AF5" s="156">
        <v>703.1</v>
      </c>
      <c r="AG5" s="156">
        <v>1168.5999999999999</v>
      </c>
      <c r="AH5" s="156">
        <v>875.5</v>
      </c>
      <c r="AI5" s="156">
        <v>1401.6</v>
      </c>
      <c r="AJ5" s="156">
        <v>12.0189884530099</v>
      </c>
      <c r="AK5" s="156">
        <v>7.1491934269491102</v>
      </c>
      <c r="AL5" s="156">
        <v>32.904795297804398</v>
      </c>
      <c r="AM5" s="156">
        <v>7.2</v>
      </c>
      <c r="AN5" s="156">
        <v>4.9000000000000004</v>
      </c>
      <c r="AO5" s="156">
        <v>12.8</v>
      </c>
    </row>
    <row r="6" spans="1:41">
      <c r="A6" s="155">
        <v>44682</v>
      </c>
      <c r="B6" s="45">
        <f t="shared" si="0"/>
        <v>2022</v>
      </c>
      <c r="C6" s="156">
        <v>1438.3</v>
      </c>
      <c r="D6" s="156">
        <v>1314.2</v>
      </c>
      <c r="E6" s="156">
        <v>1552.5</v>
      </c>
      <c r="F6" s="156">
        <v>306.5</v>
      </c>
      <c r="G6" s="156">
        <v>251</v>
      </c>
      <c r="H6" s="156">
        <v>357.5</v>
      </c>
      <c r="I6" s="156">
        <v>1699.4</v>
      </c>
      <c r="J6" s="156">
        <v>1419.7</v>
      </c>
      <c r="K6" s="156">
        <v>1961.1</v>
      </c>
      <c r="L6" s="156">
        <v>278.39999999999998</v>
      </c>
      <c r="M6" s="156">
        <v>249.3</v>
      </c>
      <c r="N6" s="156">
        <v>306.8</v>
      </c>
      <c r="O6" s="156">
        <v>244.6</v>
      </c>
      <c r="P6" s="156">
        <v>178.1</v>
      </c>
      <c r="Q6" s="156">
        <v>336.5</v>
      </c>
      <c r="R6" s="156">
        <v>29.6</v>
      </c>
      <c r="S6" s="156">
        <v>14.6</v>
      </c>
      <c r="T6" s="156">
        <v>62</v>
      </c>
      <c r="U6" s="156">
        <v>51.5</v>
      </c>
      <c r="V6" s="156">
        <v>42.4</v>
      </c>
      <c r="W6" s="156">
        <v>65.3</v>
      </c>
      <c r="X6" s="156">
        <v>148.69999999999999</v>
      </c>
      <c r="Y6" s="156">
        <v>119.9</v>
      </c>
      <c r="Z6" s="156">
        <v>177.6</v>
      </c>
      <c r="AA6" s="156">
        <v>299.89999999999998</v>
      </c>
      <c r="AB6" s="156">
        <v>260.10000000000002</v>
      </c>
      <c r="AC6" s="156">
        <v>344.7</v>
      </c>
      <c r="AD6" s="156">
        <v>561.70000000000005</v>
      </c>
      <c r="AE6" s="156">
        <v>453.6</v>
      </c>
      <c r="AF6" s="156">
        <v>652.1</v>
      </c>
      <c r="AG6" s="156">
        <v>1045.9000000000001</v>
      </c>
      <c r="AH6" s="156">
        <v>703.4</v>
      </c>
      <c r="AI6" s="156">
        <v>1301.0999999999999</v>
      </c>
      <c r="AJ6" s="156">
        <v>13.612088122059401</v>
      </c>
      <c r="AK6" s="156">
        <v>7.6962748808305603</v>
      </c>
      <c r="AL6" s="156">
        <v>46.748738562899902</v>
      </c>
      <c r="AM6" s="156">
        <v>7.3</v>
      </c>
      <c r="AN6" s="156">
        <v>5</v>
      </c>
      <c r="AO6" s="156">
        <v>13.3</v>
      </c>
    </row>
    <row r="7" spans="1:41">
      <c r="A7" s="155">
        <v>44713</v>
      </c>
      <c r="B7" s="45">
        <f t="shared" si="0"/>
        <v>2022</v>
      </c>
      <c r="C7" s="156">
        <v>1404.7</v>
      </c>
      <c r="D7" s="156">
        <v>1274.3</v>
      </c>
      <c r="E7" s="156">
        <v>1524</v>
      </c>
      <c r="F7" s="156">
        <v>291.60000000000002</v>
      </c>
      <c r="G7" s="156">
        <v>234.5</v>
      </c>
      <c r="H7" s="156">
        <v>343.8</v>
      </c>
      <c r="I7" s="156">
        <v>1622.5</v>
      </c>
      <c r="J7" s="156">
        <v>1335.3</v>
      </c>
      <c r="K7" s="156">
        <v>1890</v>
      </c>
      <c r="L7" s="156">
        <v>273.7</v>
      </c>
      <c r="M7" s="156">
        <v>243.3</v>
      </c>
      <c r="N7" s="156">
        <v>303.2</v>
      </c>
      <c r="O7" s="156">
        <v>193.9</v>
      </c>
      <c r="P7" s="156">
        <v>141.4</v>
      </c>
      <c r="Q7" s="156">
        <v>266.39999999999998</v>
      </c>
      <c r="R7" s="156">
        <v>29.7</v>
      </c>
      <c r="S7" s="156">
        <v>14.2</v>
      </c>
      <c r="T7" s="156">
        <v>64.099999999999994</v>
      </c>
      <c r="U7" s="156">
        <v>51.2</v>
      </c>
      <c r="V7" s="156">
        <v>42.1</v>
      </c>
      <c r="W7" s="156">
        <v>64.900000000000006</v>
      </c>
      <c r="X7" s="156">
        <v>138.69999999999999</v>
      </c>
      <c r="Y7" s="156">
        <v>109.8</v>
      </c>
      <c r="Z7" s="156">
        <v>167.6</v>
      </c>
      <c r="AA7" s="156">
        <v>295.5</v>
      </c>
      <c r="AB7" s="156">
        <v>256.10000000000002</v>
      </c>
      <c r="AC7" s="156">
        <v>339.7</v>
      </c>
      <c r="AD7" s="156">
        <v>567.1</v>
      </c>
      <c r="AE7" s="156">
        <v>460.3</v>
      </c>
      <c r="AF7" s="156">
        <v>656.9</v>
      </c>
      <c r="AG7" s="156">
        <v>1124</v>
      </c>
      <c r="AH7" s="156">
        <v>815</v>
      </c>
      <c r="AI7" s="156">
        <v>1364.7</v>
      </c>
      <c r="AJ7" s="156">
        <v>12.7158668343919</v>
      </c>
      <c r="AK7" s="156">
        <v>7.3667505351661999</v>
      </c>
      <c r="AL7" s="156">
        <v>38.892964385981898</v>
      </c>
      <c r="AM7" s="156">
        <v>6.7</v>
      </c>
      <c r="AN7" s="156">
        <v>4.7</v>
      </c>
      <c r="AO7" s="156">
        <v>11.5</v>
      </c>
    </row>
    <row r="8" spans="1:41">
      <c r="A8" s="155">
        <v>44743</v>
      </c>
      <c r="B8" s="45">
        <f t="shared" si="0"/>
        <v>2022</v>
      </c>
      <c r="C8" s="156">
        <v>1399.6</v>
      </c>
      <c r="D8" s="156">
        <v>1265.7</v>
      </c>
      <c r="E8" s="156">
        <v>1521.8</v>
      </c>
      <c r="F8" s="156">
        <v>293.60000000000002</v>
      </c>
      <c r="G8" s="156">
        <v>236.7</v>
      </c>
      <c r="H8" s="156">
        <v>345.6</v>
      </c>
      <c r="I8" s="156">
        <v>1671.9</v>
      </c>
      <c r="J8" s="156">
        <v>1388.1</v>
      </c>
      <c r="K8" s="156">
        <v>1936.9</v>
      </c>
      <c r="L8" s="156">
        <v>268.2</v>
      </c>
      <c r="M8" s="156">
        <v>236.6</v>
      </c>
      <c r="N8" s="156">
        <v>298.89999999999998</v>
      </c>
      <c r="O8" s="156">
        <v>164.4</v>
      </c>
      <c r="P8" s="156">
        <v>120</v>
      </c>
      <c r="Q8" s="156">
        <v>225.7</v>
      </c>
      <c r="R8" s="156">
        <v>29.7</v>
      </c>
      <c r="S8" s="156">
        <v>13.8</v>
      </c>
      <c r="T8" s="156">
        <v>66.2</v>
      </c>
      <c r="U8" s="156">
        <v>51.4</v>
      </c>
      <c r="V8" s="156">
        <v>42.2</v>
      </c>
      <c r="W8" s="156">
        <v>65.3</v>
      </c>
      <c r="X8" s="156">
        <v>134.9</v>
      </c>
      <c r="Y8" s="156">
        <v>106</v>
      </c>
      <c r="Z8" s="156">
        <v>163.69999999999999</v>
      </c>
      <c r="AA8" s="156">
        <v>291.89999999999998</v>
      </c>
      <c r="AB8" s="156">
        <v>253</v>
      </c>
      <c r="AC8" s="156">
        <v>335.7</v>
      </c>
      <c r="AD8" s="156">
        <v>555.5</v>
      </c>
      <c r="AE8" s="156">
        <v>445.8</v>
      </c>
      <c r="AF8" s="156">
        <v>646.9</v>
      </c>
      <c r="AG8" s="156">
        <v>1116.9000000000001</v>
      </c>
      <c r="AH8" s="156">
        <v>805.2</v>
      </c>
      <c r="AI8" s="156">
        <v>1358.8</v>
      </c>
      <c r="AJ8" s="156">
        <v>11.8077420978452</v>
      </c>
      <c r="AK8" s="156">
        <v>7.0194564424520802</v>
      </c>
      <c r="AL8" s="156">
        <v>32.400890873785798</v>
      </c>
      <c r="AM8" s="156">
        <v>7.1</v>
      </c>
      <c r="AN8" s="156">
        <v>4.9000000000000004</v>
      </c>
      <c r="AO8" s="156">
        <v>12.8</v>
      </c>
    </row>
    <row r="9" spans="1:41">
      <c r="A9" s="155">
        <v>44774</v>
      </c>
      <c r="B9" s="45">
        <f t="shared" si="0"/>
        <v>2022</v>
      </c>
      <c r="C9" s="156">
        <v>1398.9</v>
      </c>
      <c r="D9" s="156">
        <v>1262</v>
      </c>
      <c r="E9" s="156">
        <v>1523.6</v>
      </c>
      <c r="F9" s="156">
        <v>284.3</v>
      </c>
      <c r="G9" s="156">
        <v>226.4</v>
      </c>
      <c r="H9" s="156">
        <v>337.1</v>
      </c>
      <c r="I9" s="156">
        <v>1613.8</v>
      </c>
      <c r="J9" s="156">
        <v>1324.9</v>
      </c>
      <c r="K9" s="156">
        <v>1882.6</v>
      </c>
      <c r="L9" s="156">
        <v>268.3</v>
      </c>
      <c r="M9" s="156">
        <v>235.6</v>
      </c>
      <c r="N9" s="156">
        <v>299.89999999999998</v>
      </c>
      <c r="O9" s="156">
        <v>155.1</v>
      </c>
      <c r="P9" s="156">
        <v>113.2</v>
      </c>
      <c r="Q9" s="156">
        <v>212.8</v>
      </c>
      <c r="R9" s="156">
        <v>29.3</v>
      </c>
      <c r="S9" s="156">
        <v>13.3</v>
      </c>
      <c r="T9" s="156">
        <v>67.2</v>
      </c>
      <c r="U9" s="156">
        <v>51.8</v>
      </c>
      <c r="V9" s="156">
        <v>42.5</v>
      </c>
      <c r="W9" s="156">
        <v>66</v>
      </c>
      <c r="X9" s="156">
        <v>128.9</v>
      </c>
      <c r="Y9" s="156">
        <v>100</v>
      </c>
      <c r="Z9" s="156">
        <v>157.80000000000001</v>
      </c>
      <c r="AA9" s="156">
        <v>290</v>
      </c>
      <c r="AB9" s="156">
        <v>251.3</v>
      </c>
      <c r="AC9" s="156">
        <v>333.6</v>
      </c>
      <c r="AD9" s="156">
        <v>542.4</v>
      </c>
      <c r="AE9" s="156">
        <v>429.3</v>
      </c>
      <c r="AF9" s="156">
        <v>635.6</v>
      </c>
      <c r="AG9" s="156">
        <v>1062.3</v>
      </c>
      <c r="AH9" s="156">
        <v>727.6</v>
      </c>
      <c r="AI9" s="156">
        <v>1314.4</v>
      </c>
      <c r="AJ9" s="156">
        <v>11.485410884911801</v>
      </c>
      <c r="AK9" s="156">
        <v>6.8823227647283103</v>
      </c>
      <c r="AL9" s="156">
        <v>30.556392338667301</v>
      </c>
      <c r="AM9" s="156">
        <v>6.6</v>
      </c>
      <c r="AN9" s="156">
        <v>4.5999999999999996</v>
      </c>
      <c r="AO9" s="156">
        <v>11.3</v>
      </c>
    </row>
    <row r="10" spans="1:41">
      <c r="A10" s="155">
        <v>44805</v>
      </c>
      <c r="B10" s="45">
        <f t="shared" si="0"/>
        <v>2022</v>
      </c>
      <c r="C10" s="156">
        <v>1371.9</v>
      </c>
      <c r="D10" s="156">
        <v>1229.0999999999999</v>
      </c>
      <c r="E10" s="156">
        <v>1501.3</v>
      </c>
      <c r="F10" s="156">
        <v>291.5</v>
      </c>
      <c r="G10" s="156">
        <v>234.4</v>
      </c>
      <c r="H10" s="156">
        <v>343.7</v>
      </c>
      <c r="I10" s="156">
        <v>1637</v>
      </c>
      <c r="J10" s="156">
        <v>1349.9</v>
      </c>
      <c r="K10" s="156">
        <v>1904.4</v>
      </c>
      <c r="L10" s="156">
        <v>274.8</v>
      </c>
      <c r="M10" s="156">
        <v>241.4</v>
      </c>
      <c r="N10" s="156">
        <v>307.2</v>
      </c>
      <c r="O10" s="156">
        <v>171</v>
      </c>
      <c r="P10" s="156">
        <v>124.8</v>
      </c>
      <c r="Q10" s="156">
        <v>234.7</v>
      </c>
      <c r="R10" s="156">
        <v>29.6</v>
      </c>
      <c r="S10" s="156">
        <v>13.1</v>
      </c>
      <c r="T10" s="156">
        <v>69.900000000000006</v>
      </c>
      <c r="U10" s="156">
        <v>51.9</v>
      </c>
      <c r="V10" s="156">
        <v>42.5</v>
      </c>
      <c r="W10" s="156">
        <v>66.099999999999994</v>
      </c>
      <c r="X10" s="156">
        <v>147.69999999999999</v>
      </c>
      <c r="Y10" s="156">
        <v>118.9</v>
      </c>
      <c r="Z10" s="156">
        <v>176.6</v>
      </c>
      <c r="AA10" s="156">
        <v>308.39999999999998</v>
      </c>
      <c r="AB10" s="156">
        <v>267.7</v>
      </c>
      <c r="AC10" s="156">
        <v>354.3</v>
      </c>
      <c r="AD10" s="156">
        <v>552.79999999999995</v>
      </c>
      <c r="AE10" s="156">
        <v>442.4</v>
      </c>
      <c r="AF10" s="156">
        <v>644.6</v>
      </c>
      <c r="AG10" s="156">
        <v>1098.8</v>
      </c>
      <c r="AH10" s="156">
        <v>779.9</v>
      </c>
      <c r="AI10" s="156">
        <v>1344</v>
      </c>
      <c r="AJ10" s="156">
        <v>11.4275263298701</v>
      </c>
      <c r="AK10" s="156">
        <v>6.8447017294816304</v>
      </c>
      <c r="AL10" s="156">
        <v>30.452333734844999</v>
      </c>
      <c r="AM10" s="156">
        <v>6.9</v>
      </c>
      <c r="AN10" s="156">
        <v>4.7</v>
      </c>
      <c r="AO10" s="156">
        <v>12.2</v>
      </c>
    </row>
    <row r="11" spans="1:41">
      <c r="A11" s="155">
        <v>44835</v>
      </c>
      <c r="B11" s="45">
        <f t="shared" si="0"/>
        <v>2022</v>
      </c>
      <c r="C11" s="156">
        <v>1450</v>
      </c>
      <c r="D11" s="156">
        <v>1313</v>
      </c>
      <c r="E11" s="156">
        <v>1575.2</v>
      </c>
      <c r="F11" s="156">
        <v>294.2</v>
      </c>
      <c r="G11" s="156">
        <v>237.3</v>
      </c>
      <c r="H11" s="156">
        <v>346.1</v>
      </c>
      <c r="I11" s="156">
        <v>1665.8</v>
      </c>
      <c r="J11" s="156">
        <v>1381.1</v>
      </c>
      <c r="K11" s="156">
        <v>1931.6</v>
      </c>
      <c r="L11" s="156">
        <v>282</v>
      </c>
      <c r="M11" s="156">
        <v>247.8</v>
      </c>
      <c r="N11" s="156">
        <v>315.10000000000002</v>
      </c>
      <c r="O11" s="156">
        <v>187.6</v>
      </c>
      <c r="P11" s="156">
        <v>136.80000000000001</v>
      </c>
      <c r="Q11" s="156">
        <v>257.60000000000002</v>
      </c>
      <c r="R11" s="156">
        <v>31.4</v>
      </c>
      <c r="S11" s="156">
        <v>13.5</v>
      </c>
      <c r="T11" s="156">
        <v>76.400000000000006</v>
      </c>
      <c r="U11" s="156">
        <v>51.2</v>
      </c>
      <c r="V11" s="156">
        <v>42.1</v>
      </c>
      <c r="W11" s="156">
        <v>65.099999999999994</v>
      </c>
      <c r="X11" s="156">
        <v>147.30000000000001</v>
      </c>
      <c r="Y11" s="156">
        <v>118.4</v>
      </c>
      <c r="Z11" s="156">
        <v>176.2</v>
      </c>
      <c r="AA11" s="156">
        <v>301.39999999999998</v>
      </c>
      <c r="AB11" s="156">
        <v>261.39999999999998</v>
      </c>
      <c r="AC11" s="156">
        <v>346.4</v>
      </c>
      <c r="AD11" s="156">
        <v>545</v>
      </c>
      <c r="AE11" s="156">
        <v>432.6</v>
      </c>
      <c r="AF11" s="156">
        <v>637.9</v>
      </c>
      <c r="AG11" s="156">
        <v>1066.5</v>
      </c>
      <c r="AH11" s="156">
        <v>733.8</v>
      </c>
      <c r="AI11" s="156">
        <v>1317.8</v>
      </c>
      <c r="AJ11" s="156">
        <v>11.5655408821215</v>
      </c>
      <c r="AK11" s="156">
        <v>6.8808272324226998</v>
      </c>
      <c r="AL11" s="156">
        <v>31.638749003780902</v>
      </c>
      <c r="AM11" s="156">
        <v>7.4</v>
      </c>
      <c r="AN11" s="156">
        <v>5</v>
      </c>
      <c r="AO11" s="156">
        <v>13.8</v>
      </c>
    </row>
    <row r="12" spans="1:41">
      <c r="A12" s="155">
        <v>44866</v>
      </c>
      <c r="B12" s="45">
        <f t="shared" si="0"/>
        <v>2022</v>
      </c>
      <c r="C12" s="156">
        <v>1492.2</v>
      </c>
      <c r="D12" s="156">
        <v>1356.8</v>
      </c>
      <c r="E12" s="156">
        <v>1616.3</v>
      </c>
      <c r="F12" s="156">
        <v>331.5</v>
      </c>
      <c r="G12" s="156">
        <v>278.3</v>
      </c>
      <c r="H12" s="156">
        <v>380.9</v>
      </c>
      <c r="I12" s="156">
        <v>1793.2</v>
      </c>
      <c r="J12" s="156">
        <v>1518.1</v>
      </c>
      <c r="K12" s="156">
        <v>2051.8000000000002</v>
      </c>
      <c r="L12" s="156">
        <v>302.39999999999998</v>
      </c>
      <c r="M12" s="156">
        <v>268</v>
      </c>
      <c r="N12" s="156">
        <v>335.9</v>
      </c>
      <c r="O12" s="156">
        <v>279.3</v>
      </c>
      <c r="P12" s="156">
        <v>203.3</v>
      </c>
      <c r="Q12" s="156">
        <v>384.5</v>
      </c>
      <c r="R12" s="156">
        <v>30.1</v>
      </c>
      <c r="S12" s="156">
        <v>12.6</v>
      </c>
      <c r="T12" s="156">
        <v>75</v>
      </c>
      <c r="U12" s="156">
        <v>58.2</v>
      </c>
      <c r="V12" s="156">
        <v>46.8</v>
      </c>
      <c r="W12" s="156">
        <v>76.5</v>
      </c>
      <c r="X12" s="156">
        <v>154.69999999999999</v>
      </c>
      <c r="Y12" s="156">
        <v>125.8</v>
      </c>
      <c r="Z12" s="156">
        <v>183.5</v>
      </c>
      <c r="AA12" s="156">
        <v>331.4</v>
      </c>
      <c r="AB12" s="156">
        <v>288.10000000000002</v>
      </c>
      <c r="AC12" s="156">
        <v>380.1</v>
      </c>
      <c r="AD12" s="156">
        <v>606.1</v>
      </c>
      <c r="AE12" s="156">
        <v>507.4</v>
      </c>
      <c r="AF12" s="156">
        <v>690.8</v>
      </c>
      <c r="AG12" s="156">
        <v>1251.0999999999999</v>
      </c>
      <c r="AH12" s="156">
        <v>982.9</v>
      </c>
      <c r="AI12" s="156">
        <v>1471.1</v>
      </c>
      <c r="AJ12" s="156">
        <v>12.2325062173904</v>
      </c>
      <c r="AK12" s="156">
        <v>7.1078330088067698</v>
      </c>
      <c r="AL12" s="156">
        <v>36.923979191723397</v>
      </c>
      <c r="AM12" s="156">
        <v>6.9</v>
      </c>
      <c r="AN12" s="156">
        <v>4.7</v>
      </c>
      <c r="AO12" s="156">
        <v>12.2</v>
      </c>
    </row>
    <row r="13" spans="1:41">
      <c r="A13" s="155">
        <v>44896</v>
      </c>
      <c r="B13" s="45">
        <f t="shared" si="0"/>
        <v>2022</v>
      </c>
      <c r="C13" s="156">
        <v>1578.7</v>
      </c>
      <c r="D13" s="156">
        <v>1449.1</v>
      </c>
      <c r="E13" s="156">
        <v>1698.5</v>
      </c>
      <c r="F13" s="156">
        <v>393</v>
      </c>
      <c r="G13" s="156">
        <v>344.5</v>
      </c>
      <c r="H13" s="156">
        <v>438.9</v>
      </c>
      <c r="I13" s="156">
        <v>1953.1</v>
      </c>
      <c r="J13" s="156">
        <v>1688.7</v>
      </c>
      <c r="K13" s="156">
        <v>2203.5</v>
      </c>
      <c r="L13" s="156">
        <v>327.5</v>
      </c>
      <c r="M13" s="156">
        <v>292.89999999999998</v>
      </c>
      <c r="N13" s="156">
        <v>361.2</v>
      </c>
      <c r="O13" s="156">
        <v>396.8</v>
      </c>
      <c r="P13" s="156">
        <v>288.2</v>
      </c>
      <c r="Q13" s="156">
        <v>547.29999999999995</v>
      </c>
      <c r="R13" s="156">
        <v>34.700000000000003</v>
      </c>
      <c r="S13" s="156">
        <v>14.1</v>
      </c>
      <c r="T13" s="156">
        <v>89.6</v>
      </c>
      <c r="U13" s="156">
        <v>69</v>
      </c>
      <c r="V13" s="156">
        <v>53.7</v>
      </c>
      <c r="W13" s="156">
        <v>95.5</v>
      </c>
      <c r="X13" s="156">
        <v>176.8</v>
      </c>
      <c r="Y13" s="156">
        <v>147.9</v>
      </c>
      <c r="Z13" s="156">
        <v>205.6</v>
      </c>
      <c r="AA13" s="156">
        <v>358.4</v>
      </c>
      <c r="AB13" s="156">
        <v>312</v>
      </c>
      <c r="AC13" s="156">
        <v>410.3</v>
      </c>
      <c r="AD13" s="156">
        <v>661</v>
      </c>
      <c r="AE13" s="156">
        <v>571.79999999999995</v>
      </c>
      <c r="AF13" s="156">
        <v>739.5</v>
      </c>
      <c r="AG13" s="156">
        <v>1581.3</v>
      </c>
      <c r="AH13" s="156">
        <v>1378.9</v>
      </c>
      <c r="AI13" s="156">
        <v>1760.5</v>
      </c>
      <c r="AJ13" s="156">
        <v>12.268214150754099</v>
      </c>
      <c r="AK13" s="156">
        <v>7.1039695582956597</v>
      </c>
      <c r="AL13" s="156">
        <v>37.605148012560697</v>
      </c>
      <c r="AM13" s="156">
        <v>7.5</v>
      </c>
      <c r="AN13" s="156">
        <v>5</v>
      </c>
      <c r="AO13" s="156">
        <v>14.2</v>
      </c>
    </row>
    <row r="14" spans="1:41">
      <c r="A14" s="155">
        <v>44927</v>
      </c>
      <c r="B14" s="45">
        <f t="shared" si="0"/>
        <v>2023</v>
      </c>
      <c r="C14" s="156">
        <v>1665</v>
      </c>
      <c r="D14" s="156">
        <v>1536.8</v>
      </c>
      <c r="E14" s="156">
        <v>1783.9</v>
      </c>
      <c r="F14" s="156">
        <v>440.9</v>
      </c>
      <c r="G14" s="156">
        <v>392.2</v>
      </c>
      <c r="H14" s="156">
        <v>487.1</v>
      </c>
      <c r="I14" s="156">
        <v>2139.1999999999998</v>
      </c>
      <c r="J14" s="156">
        <v>1870.7</v>
      </c>
      <c r="K14" s="156">
        <v>2394.4</v>
      </c>
      <c r="L14" s="156">
        <v>351.5</v>
      </c>
      <c r="M14" s="156">
        <v>315.3</v>
      </c>
      <c r="N14" s="156">
        <v>386.9</v>
      </c>
      <c r="O14" s="156">
        <v>425.3</v>
      </c>
      <c r="P14" s="156">
        <v>304.5</v>
      </c>
      <c r="Q14" s="156">
        <v>595.20000000000005</v>
      </c>
      <c r="R14" s="156">
        <v>32.9</v>
      </c>
      <c r="S14" s="156">
        <v>12.5</v>
      </c>
      <c r="T14" s="156">
        <v>91.5</v>
      </c>
      <c r="U14" s="156">
        <v>77.900000000000006</v>
      </c>
      <c r="V14" s="156">
        <v>58.7</v>
      </c>
      <c r="W14" s="156">
        <v>113.8</v>
      </c>
      <c r="X14" s="156">
        <v>187.1</v>
      </c>
      <c r="Y14" s="156">
        <v>158.19999999999999</v>
      </c>
      <c r="Z14" s="156">
        <v>216</v>
      </c>
      <c r="AA14" s="156">
        <v>360</v>
      </c>
      <c r="AB14" s="156">
        <v>313.10000000000002</v>
      </c>
      <c r="AC14" s="156">
        <v>412.7</v>
      </c>
      <c r="AD14" s="156">
        <v>717.4</v>
      </c>
      <c r="AE14" s="156">
        <v>636.1</v>
      </c>
      <c r="AF14" s="156">
        <v>790.4</v>
      </c>
      <c r="AG14" s="156">
        <v>1575.1</v>
      </c>
      <c r="AH14" s="156">
        <v>1360.4</v>
      </c>
      <c r="AI14" s="156">
        <v>1763.8</v>
      </c>
      <c r="AJ14" s="156">
        <v>12.2314392039172</v>
      </c>
      <c r="AK14" s="156">
        <v>7.0143289317674498</v>
      </c>
      <c r="AL14" s="156">
        <v>39.199093318471398</v>
      </c>
      <c r="AM14" s="156">
        <v>8.1</v>
      </c>
      <c r="AN14" s="156">
        <v>5.2</v>
      </c>
      <c r="AO14" s="156">
        <v>17.3</v>
      </c>
    </row>
    <row r="15" spans="1:41">
      <c r="A15" s="155">
        <v>44958</v>
      </c>
      <c r="B15" s="45">
        <f t="shared" si="0"/>
        <v>2023</v>
      </c>
      <c r="C15" s="156">
        <v>1565.9</v>
      </c>
      <c r="D15" s="156">
        <v>1425</v>
      </c>
      <c r="E15" s="156">
        <v>1695</v>
      </c>
      <c r="F15" s="156">
        <v>402.6</v>
      </c>
      <c r="G15" s="156">
        <v>350.7</v>
      </c>
      <c r="H15" s="156">
        <v>451.4</v>
      </c>
      <c r="I15" s="156">
        <v>1966.8</v>
      </c>
      <c r="J15" s="156">
        <v>1681.3</v>
      </c>
      <c r="K15" s="156">
        <v>2236</v>
      </c>
      <c r="L15" s="156">
        <v>333.8</v>
      </c>
      <c r="M15" s="156">
        <v>295.60000000000002</v>
      </c>
      <c r="N15" s="156">
        <v>370.9</v>
      </c>
      <c r="O15" s="156">
        <v>401.3</v>
      </c>
      <c r="P15" s="156">
        <v>287.10000000000002</v>
      </c>
      <c r="Q15" s="156">
        <v>562.1</v>
      </c>
      <c r="R15" s="156">
        <v>32.700000000000003</v>
      </c>
      <c r="S15" s="156">
        <v>12</v>
      </c>
      <c r="T15" s="156">
        <v>94.3</v>
      </c>
      <c r="U15" s="156">
        <v>74.900000000000006</v>
      </c>
      <c r="V15" s="156">
        <v>56.9</v>
      </c>
      <c r="W15" s="156">
        <v>107.8</v>
      </c>
      <c r="X15" s="156">
        <v>178.7</v>
      </c>
      <c r="Y15" s="156">
        <v>149.80000000000001</v>
      </c>
      <c r="Z15" s="156">
        <v>207.6</v>
      </c>
      <c r="AA15" s="156">
        <v>342.4</v>
      </c>
      <c r="AB15" s="156">
        <v>297.39999999999998</v>
      </c>
      <c r="AC15" s="156">
        <v>392.9</v>
      </c>
      <c r="AD15" s="156">
        <v>670.7</v>
      </c>
      <c r="AE15" s="156">
        <v>582.9</v>
      </c>
      <c r="AF15" s="156">
        <v>748.2</v>
      </c>
      <c r="AG15" s="156">
        <v>1372</v>
      </c>
      <c r="AH15" s="156">
        <v>1119</v>
      </c>
      <c r="AI15" s="156">
        <v>1585.1</v>
      </c>
      <c r="AJ15" s="156">
        <v>12.071177932027</v>
      </c>
      <c r="AK15" s="156">
        <v>6.9105826828287702</v>
      </c>
      <c r="AL15" s="156">
        <v>38.999724939290502</v>
      </c>
      <c r="AM15" s="156">
        <v>7.2</v>
      </c>
      <c r="AN15" s="156">
        <v>4.8</v>
      </c>
      <c r="AO15" s="156">
        <v>14.1</v>
      </c>
    </row>
    <row r="16" spans="1:41">
      <c r="A16" s="155">
        <v>44986</v>
      </c>
      <c r="B16" s="45">
        <f t="shared" si="0"/>
        <v>2023</v>
      </c>
      <c r="C16" s="156">
        <v>1589.1</v>
      </c>
      <c r="D16" s="156">
        <v>1447.5</v>
      </c>
      <c r="E16" s="156">
        <v>1719.2</v>
      </c>
      <c r="F16" s="156">
        <v>367.3</v>
      </c>
      <c r="G16" s="156">
        <v>312.60000000000002</v>
      </c>
      <c r="H16" s="156">
        <v>418.4</v>
      </c>
      <c r="I16" s="156">
        <v>1915.8</v>
      </c>
      <c r="J16" s="156">
        <v>1624</v>
      </c>
      <c r="K16" s="156">
        <v>2190.3000000000002</v>
      </c>
      <c r="L16" s="156">
        <v>328.2</v>
      </c>
      <c r="M16" s="156">
        <v>288.60000000000002</v>
      </c>
      <c r="N16" s="156">
        <v>366.6</v>
      </c>
      <c r="O16" s="156">
        <v>344.4</v>
      </c>
      <c r="P16" s="156">
        <v>246.6</v>
      </c>
      <c r="Q16" s="156">
        <v>482</v>
      </c>
      <c r="R16" s="156">
        <v>32.299999999999997</v>
      </c>
      <c r="S16" s="156">
        <v>11.5</v>
      </c>
      <c r="T16" s="156">
        <v>96.7</v>
      </c>
      <c r="U16" s="156">
        <v>69.2</v>
      </c>
      <c r="V16" s="156">
        <v>53.5</v>
      </c>
      <c r="W16" s="156">
        <v>97</v>
      </c>
      <c r="X16" s="156">
        <v>166.8</v>
      </c>
      <c r="Y16" s="156">
        <v>137.9</v>
      </c>
      <c r="Z16" s="156">
        <v>195.7</v>
      </c>
      <c r="AA16" s="156">
        <v>332.2</v>
      </c>
      <c r="AB16" s="156">
        <v>288.39999999999998</v>
      </c>
      <c r="AC16" s="156">
        <v>381.5</v>
      </c>
      <c r="AD16" s="156">
        <v>649.6</v>
      </c>
      <c r="AE16" s="156">
        <v>558.5</v>
      </c>
      <c r="AF16" s="156">
        <v>729.4</v>
      </c>
      <c r="AG16" s="156">
        <v>1299.9000000000001</v>
      </c>
      <c r="AH16" s="156">
        <v>1029.3</v>
      </c>
      <c r="AI16" s="156">
        <v>1523.1</v>
      </c>
      <c r="AJ16" s="156">
        <v>12.059782211556699</v>
      </c>
      <c r="AK16" s="156">
        <v>6.8720209675268604</v>
      </c>
      <c r="AL16" s="156">
        <v>39.843319987645003</v>
      </c>
      <c r="AM16" s="156">
        <v>7.2</v>
      </c>
      <c r="AN16" s="156">
        <v>4.7</v>
      </c>
      <c r="AO16" s="156">
        <v>14</v>
      </c>
    </row>
    <row r="17" spans="1:41">
      <c r="A17" s="155">
        <v>45017</v>
      </c>
      <c r="B17" s="45">
        <f t="shared" si="0"/>
        <v>2023</v>
      </c>
      <c r="C17" s="156">
        <v>1495.6</v>
      </c>
      <c r="D17" s="156">
        <v>1340.9</v>
      </c>
      <c r="E17" s="156">
        <v>1635.7</v>
      </c>
      <c r="F17" s="156">
        <v>328.4</v>
      </c>
      <c r="G17" s="156">
        <v>270.10000000000002</v>
      </c>
      <c r="H17" s="156">
        <v>382</v>
      </c>
      <c r="I17" s="156">
        <v>1772.6</v>
      </c>
      <c r="J17" s="156">
        <v>1468.6</v>
      </c>
      <c r="K17" s="156">
        <v>2056.3000000000002</v>
      </c>
      <c r="L17" s="156">
        <v>310.60000000000002</v>
      </c>
      <c r="M17" s="156">
        <v>269.3</v>
      </c>
      <c r="N17" s="156">
        <v>350.6</v>
      </c>
      <c r="O17" s="156">
        <v>301.5</v>
      </c>
      <c r="P17" s="156">
        <v>216.1</v>
      </c>
      <c r="Q17" s="156">
        <v>421.6</v>
      </c>
      <c r="R17" s="156">
        <v>32.299999999999997</v>
      </c>
      <c r="S17" s="156">
        <v>11.2</v>
      </c>
      <c r="T17" s="156">
        <v>100.2</v>
      </c>
      <c r="U17" s="156">
        <v>60.1</v>
      </c>
      <c r="V17" s="156">
        <v>47.7</v>
      </c>
      <c r="W17" s="156">
        <v>80.400000000000006</v>
      </c>
      <c r="X17" s="156">
        <v>160.69999999999999</v>
      </c>
      <c r="Y17" s="156">
        <v>131.9</v>
      </c>
      <c r="Z17" s="156">
        <v>189.6</v>
      </c>
      <c r="AA17" s="156">
        <v>322.89999999999998</v>
      </c>
      <c r="AB17" s="156">
        <v>280.10000000000002</v>
      </c>
      <c r="AC17" s="156">
        <v>371</v>
      </c>
      <c r="AD17" s="156">
        <v>622.1</v>
      </c>
      <c r="AE17" s="156">
        <v>526.20000000000005</v>
      </c>
      <c r="AF17" s="156">
        <v>705</v>
      </c>
      <c r="AG17" s="156">
        <v>1240.8</v>
      </c>
      <c r="AH17" s="156">
        <v>953.6</v>
      </c>
      <c r="AI17" s="156">
        <v>1473</v>
      </c>
      <c r="AJ17" s="156">
        <v>12.033928274188399</v>
      </c>
      <c r="AK17" s="156">
        <v>6.8367235980721199</v>
      </c>
      <c r="AL17" s="156">
        <v>40.347564047978302</v>
      </c>
      <c r="AM17" s="156">
        <v>7</v>
      </c>
      <c r="AN17" s="156">
        <v>4.5999999999999996</v>
      </c>
      <c r="AO17" s="156">
        <v>13.4</v>
      </c>
    </row>
    <row r="18" spans="1:41">
      <c r="A18" s="155">
        <v>45047</v>
      </c>
      <c r="B18" s="45">
        <f t="shared" si="0"/>
        <v>2023</v>
      </c>
      <c r="C18" s="156">
        <v>1469.5</v>
      </c>
      <c r="D18" s="156">
        <v>1308.7</v>
      </c>
      <c r="E18" s="156">
        <v>1614.4</v>
      </c>
      <c r="F18" s="156">
        <v>300.39999999999998</v>
      </c>
      <c r="G18" s="156">
        <v>239.2</v>
      </c>
      <c r="H18" s="156">
        <v>356.2</v>
      </c>
      <c r="I18" s="156">
        <v>1673.9</v>
      </c>
      <c r="J18" s="156">
        <v>1360.9</v>
      </c>
      <c r="K18" s="156">
        <v>1964.2</v>
      </c>
      <c r="L18" s="156">
        <v>296.89999999999998</v>
      </c>
      <c r="M18" s="156">
        <v>253.9</v>
      </c>
      <c r="N18" s="156">
        <v>338.4</v>
      </c>
      <c r="O18" s="156">
        <v>244.6</v>
      </c>
      <c r="P18" s="156">
        <v>175.5</v>
      </c>
      <c r="Q18" s="156">
        <v>341.6</v>
      </c>
      <c r="R18" s="156">
        <v>31.6</v>
      </c>
      <c r="S18" s="156">
        <v>10.6</v>
      </c>
      <c r="T18" s="156">
        <v>101.5</v>
      </c>
      <c r="U18" s="156">
        <v>50.8</v>
      </c>
      <c r="V18" s="156">
        <v>41.5</v>
      </c>
      <c r="W18" s="156">
        <v>64.900000000000006</v>
      </c>
      <c r="X18" s="156">
        <v>145.4</v>
      </c>
      <c r="Y18" s="156">
        <v>116.5</v>
      </c>
      <c r="Z18" s="156">
        <v>174.2</v>
      </c>
      <c r="AA18" s="156">
        <v>300</v>
      </c>
      <c r="AB18" s="156">
        <v>259.89999999999998</v>
      </c>
      <c r="AC18" s="156">
        <v>345.3</v>
      </c>
      <c r="AD18" s="156">
        <v>558.20000000000005</v>
      </c>
      <c r="AE18" s="156">
        <v>449</v>
      </c>
      <c r="AF18" s="156">
        <v>649.4</v>
      </c>
      <c r="AG18" s="156">
        <v>1052.7</v>
      </c>
      <c r="AH18" s="156">
        <v>691.4</v>
      </c>
      <c r="AI18" s="156">
        <v>1318.4</v>
      </c>
      <c r="AJ18" s="156">
        <v>12.276501681782801</v>
      </c>
      <c r="AK18" s="156">
        <v>6.8989342325404301</v>
      </c>
      <c r="AL18" s="156">
        <v>43.508897631287198</v>
      </c>
      <c r="AM18" s="156">
        <v>7.1</v>
      </c>
      <c r="AN18" s="156">
        <v>4.7</v>
      </c>
      <c r="AO18" s="156">
        <v>13.8</v>
      </c>
    </row>
    <row r="19" spans="1:41">
      <c r="A19" s="155">
        <v>45078</v>
      </c>
      <c r="B19" s="45">
        <f t="shared" si="0"/>
        <v>2023</v>
      </c>
      <c r="C19" s="156">
        <v>1436.6</v>
      </c>
      <c r="D19" s="156">
        <v>1268.5</v>
      </c>
      <c r="E19" s="156">
        <v>1587</v>
      </c>
      <c r="F19" s="156">
        <v>285.2</v>
      </c>
      <c r="G19" s="156">
        <v>222.1</v>
      </c>
      <c r="H19" s="156">
        <v>342.2</v>
      </c>
      <c r="I19" s="156">
        <v>1601.5</v>
      </c>
      <c r="J19" s="156">
        <v>1281.5999999999999</v>
      </c>
      <c r="K19" s="156">
        <v>1896.8</v>
      </c>
      <c r="L19" s="156">
        <v>292.2</v>
      </c>
      <c r="M19" s="156">
        <v>247.9</v>
      </c>
      <c r="N19" s="156">
        <v>334.9</v>
      </c>
      <c r="O19" s="156">
        <v>193.9</v>
      </c>
      <c r="P19" s="156">
        <v>139.30000000000001</v>
      </c>
      <c r="Q19" s="156">
        <v>270.39999999999998</v>
      </c>
      <c r="R19" s="156">
        <v>31.6</v>
      </c>
      <c r="S19" s="156">
        <v>10.3</v>
      </c>
      <c r="T19" s="156">
        <v>105</v>
      </c>
      <c r="U19" s="156">
        <v>50.4</v>
      </c>
      <c r="V19" s="156">
        <v>41.3</v>
      </c>
      <c r="W19" s="156">
        <v>64.3</v>
      </c>
      <c r="X19" s="156">
        <v>135.6</v>
      </c>
      <c r="Y19" s="156">
        <v>106.7</v>
      </c>
      <c r="Z19" s="156">
        <v>164.5</v>
      </c>
      <c r="AA19" s="156">
        <v>296.10000000000002</v>
      </c>
      <c r="AB19" s="156">
        <v>256.39999999999998</v>
      </c>
      <c r="AC19" s="156">
        <v>340.9</v>
      </c>
      <c r="AD19" s="156">
        <v>565.1</v>
      </c>
      <c r="AE19" s="156">
        <v>457.5</v>
      </c>
      <c r="AF19" s="156">
        <v>655.29999999999995</v>
      </c>
      <c r="AG19" s="156">
        <v>1137.5999999999999</v>
      </c>
      <c r="AH19" s="156">
        <v>814.8</v>
      </c>
      <c r="AI19" s="156">
        <v>1387.2</v>
      </c>
      <c r="AJ19" s="156">
        <v>12.1459979451802</v>
      </c>
      <c r="AK19" s="156">
        <v>6.8355563288061196</v>
      </c>
      <c r="AL19" s="156">
        <v>42.719731923485597</v>
      </c>
      <c r="AM19" s="156">
        <v>6.9</v>
      </c>
      <c r="AN19" s="156">
        <v>4.5999999999999996</v>
      </c>
      <c r="AO19" s="156">
        <v>13.1</v>
      </c>
    </row>
    <row r="20" spans="1:41">
      <c r="A20" s="155">
        <v>45108</v>
      </c>
      <c r="B20" s="45">
        <f t="shared" si="0"/>
        <v>2023</v>
      </c>
      <c r="C20" s="156">
        <v>1431.7</v>
      </c>
      <c r="D20" s="156">
        <v>1259.8</v>
      </c>
      <c r="E20" s="156">
        <v>1585</v>
      </c>
      <c r="F20" s="156">
        <v>295.39999999999998</v>
      </c>
      <c r="G20" s="156">
        <v>233.6</v>
      </c>
      <c r="H20" s="156">
        <v>351.6</v>
      </c>
      <c r="I20" s="156">
        <v>1676</v>
      </c>
      <c r="J20" s="156">
        <v>1362.9</v>
      </c>
      <c r="K20" s="156">
        <v>1966.4</v>
      </c>
      <c r="L20" s="156">
        <v>286.8</v>
      </c>
      <c r="M20" s="156">
        <v>241.2</v>
      </c>
      <c r="N20" s="156">
        <v>330.7</v>
      </c>
      <c r="O20" s="156">
        <v>164.4</v>
      </c>
      <c r="P20" s="156">
        <v>118.3</v>
      </c>
      <c r="Q20" s="156">
        <v>229.1</v>
      </c>
      <c r="R20" s="156">
        <v>31.7</v>
      </c>
      <c r="S20" s="156">
        <v>10</v>
      </c>
      <c r="T20" s="156">
        <v>108.7</v>
      </c>
      <c r="U20" s="156">
        <v>50.6</v>
      </c>
      <c r="V20" s="156">
        <v>41.4</v>
      </c>
      <c r="W20" s="156">
        <v>64.599999999999994</v>
      </c>
      <c r="X20" s="156">
        <v>134.4</v>
      </c>
      <c r="Y20" s="156">
        <v>105.6</v>
      </c>
      <c r="Z20" s="156">
        <v>163.30000000000001</v>
      </c>
      <c r="AA20" s="156">
        <v>297.5</v>
      </c>
      <c r="AB20" s="156">
        <v>257.60000000000002</v>
      </c>
      <c r="AC20" s="156">
        <v>342.4</v>
      </c>
      <c r="AD20" s="156">
        <v>556.6</v>
      </c>
      <c r="AE20" s="156">
        <v>446.9</v>
      </c>
      <c r="AF20" s="156">
        <v>647.9</v>
      </c>
      <c r="AG20" s="156">
        <v>1135.3</v>
      </c>
      <c r="AH20" s="156">
        <v>811.6</v>
      </c>
      <c r="AI20" s="156">
        <v>1385.3</v>
      </c>
      <c r="AJ20" s="156">
        <v>11.9979004914237</v>
      </c>
      <c r="AK20" s="156">
        <v>6.7665951404931901</v>
      </c>
      <c r="AL20" s="156">
        <v>41.736920756596099</v>
      </c>
      <c r="AM20" s="156">
        <v>7</v>
      </c>
      <c r="AN20" s="156">
        <v>4.5999999999999996</v>
      </c>
      <c r="AO20" s="156">
        <v>13.6</v>
      </c>
    </row>
    <row r="21" spans="1:41">
      <c r="A21" s="155">
        <v>45139</v>
      </c>
      <c r="B21" s="45">
        <f t="shared" si="0"/>
        <v>2023</v>
      </c>
      <c r="C21" s="156">
        <v>1431</v>
      </c>
      <c r="D21" s="156">
        <v>1255.9000000000001</v>
      </c>
      <c r="E21" s="156">
        <v>1586.8</v>
      </c>
      <c r="F21" s="156">
        <v>280.5</v>
      </c>
      <c r="G21" s="156">
        <v>216.8</v>
      </c>
      <c r="H21" s="156">
        <v>337.9</v>
      </c>
      <c r="I21" s="156">
        <v>1593.6</v>
      </c>
      <c r="J21" s="156">
        <v>1272.7</v>
      </c>
      <c r="K21" s="156">
        <v>1889.5</v>
      </c>
      <c r="L21" s="156">
        <v>286.89999999999998</v>
      </c>
      <c r="M21" s="156">
        <v>240.2</v>
      </c>
      <c r="N21" s="156">
        <v>331.8</v>
      </c>
      <c r="O21" s="156">
        <v>155.1</v>
      </c>
      <c r="P21" s="156">
        <v>111.6</v>
      </c>
      <c r="Q21" s="156">
        <v>216</v>
      </c>
      <c r="R21" s="156">
        <v>31.5</v>
      </c>
      <c r="S21" s="156">
        <v>9.6999999999999993</v>
      </c>
      <c r="T21" s="156">
        <v>111.8</v>
      </c>
      <c r="U21" s="156">
        <v>50.9</v>
      </c>
      <c r="V21" s="156">
        <v>41.6</v>
      </c>
      <c r="W21" s="156">
        <v>65.099999999999994</v>
      </c>
      <c r="X21" s="156">
        <v>129.19999999999999</v>
      </c>
      <c r="Y21" s="156">
        <v>100.3</v>
      </c>
      <c r="Z21" s="156">
        <v>158</v>
      </c>
      <c r="AA21" s="156">
        <v>290.5</v>
      </c>
      <c r="AB21" s="156">
        <v>251.4</v>
      </c>
      <c r="AC21" s="156">
        <v>334.5</v>
      </c>
      <c r="AD21" s="156">
        <v>542.20000000000005</v>
      </c>
      <c r="AE21" s="156">
        <v>428.9</v>
      </c>
      <c r="AF21" s="156">
        <v>635.70000000000005</v>
      </c>
      <c r="AG21" s="156">
        <v>1079</v>
      </c>
      <c r="AH21" s="156">
        <v>730.9</v>
      </c>
      <c r="AI21" s="156">
        <v>1339.6</v>
      </c>
      <c r="AJ21" s="156">
        <v>11.9409256758467</v>
      </c>
      <c r="AK21" s="156">
        <v>6.7286453363455498</v>
      </c>
      <c r="AL21" s="156">
        <v>41.724129717606203</v>
      </c>
      <c r="AM21" s="156">
        <v>6.8</v>
      </c>
      <c r="AN21" s="156">
        <v>4.5</v>
      </c>
      <c r="AO21" s="156">
        <v>12.9</v>
      </c>
    </row>
    <row r="22" spans="1:41">
      <c r="A22" s="155">
        <v>45170</v>
      </c>
      <c r="B22" s="45">
        <f t="shared" si="0"/>
        <v>2023</v>
      </c>
      <c r="C22" s="156">
        <v>1404.6</v>
      </c>
      <c r="D22" s="156">
        <v>1222.7</v>
      </c>
      <c r="E22" s="156">
        <v>1565.5</v>
      </c>
      <c r="F22" s="156">
        <v>289.8</v>
      </c>
      <c r="G22" s="156">
        <v>227.3</v>
      </c>
      <c r="H22" s="156">
        <v>346.4</v>
      </c>
      <c r="I22" s="156">
        <v>1639.8</v>
      </c>
      <c r="J22" s="156">
        <v>1323.3</v>
      </c>
      <c r="K22" s="156">
        <v>1932.7</v>
      </c>
      <c r="L22" s="156">
        <v>293.3</v>
      </c>
      <c r="M22" s="156">
        <v>245.9</v>
      </c>
      <c r="N22" s="156">
        <v>339</v>
      </c>
      <c r="O22" s="156">
        <v>171</v>
      </c>
      <c r="P22" s="156">
        <v>122.9</v>
      </c>
      <c r="Q22" s="156">
        <v>238.2</v>
      </c>
      <c r="R22" s="156">
        <v>31.6</v>
      </c>
      <c r="S22" s="156">
        <v>9.5</v>
      </c>
      <c r="T22" s="156">
        <v>115.7</v>
      </c>
      <c r="U22" s="156">
        <v>50.9</v>
      </c>
      <c r="V22" s="156">
        <v>41.6</v>
      </c>
      <c r="W22" s="156">
        <v>65.2</v>
      </c>
      <c r="X22" s="156">
        <v>143.6</v>
      </c>
      <c r="Y22" s="156">
        <v>114.7</v>
      </c>
      <c r="Z22" s="156">
        <v>172.5</v>
      </c>
      <c r="AA22" s="156">
        <v>312</v>
      </c>
      <c r="AB22" s="156">
        <v>270.5</v>
      </c>
      <c r="AC22" s="156">
        <v>358.8</v>
      </c>
      <c r="AD22" s="156">
        <v>555.5</v>
      </c>
      <c r="AE22" s="156">
        <v>445.6</v>
      </c>
      <c r="AF22" s="156">
        <v>647.1</v>
      </c>
      <c r="AG22" s="156">
        <v>1101.5999999999999</v>
      </c>
      <c r="AH22" s="156">
        <v>763.8</v>
      </c>
      <c r="AI22" s="156">
        <v>1357.8</v>
      </c>
      <c r="AJ22" s="156">
        <v>11.930427292933301</v>
      </c>
      <c r="AK22" s="156">
        <v>6.7066213870553701</v>
      </c>
      <c r="AL22" s="156">
        <v>42.2108042191268</v>
      </c>
      <c r="AM22" s="156">
        <v>7</v>
      </c>
      <c r="AN22" s="156">
        <v>4.5999999999999996</v>
      </c>
      <c r="AO22" s="156">
        <v>13.8</v>
      </c>
    </row>
    <row r="23" spans="1:41">
      <c r="A23" s="155">
        <v>45200</v>
      </c>
      <c r="B23" s="45">
        <f t="shared" si="0"/>
        <v>2023</v>
      </c>
      <c r="C23" s="156">
        <v>1481</v>
      </c>
      <c r="D23" s="156">
        <v>1306.9000000000001</v>
      </c>
      <c r="E23" s="156">
        <v>1636.7</v>
      </c>
      <c r="F23" s="156">
        <v>292.60000000000002</v>
      </c>
      <c r="G23" s="156">
        <v>230.5</v>
      </c>
      <c r="H23" s="156">
        <v>349</v>
      </c>
      <c r="I23" s="156">
        <v>1656.2</v>
      </c>
      <c r="J23" s="156">
        <v>1341.2</v>
      </c>
      <c r="K23" s="156">
        <v>1948</v>
      </c>
      <c r="L23" s="156">
        <v>300.39999999999998</v>
      </c>
      <c r="M23" s="156">
        <v>252.2</v>
      </c>
      <c r="N23" s="156">
        <v>346.7</v>
      </c>
      <c r="O23" s="156">
        <v>187.6</v>
      </c>
      <c r="P23" s="156">
        <v>134.80000000000001</v>
      </c>
      <c r="Q23" s="156">
        <v>261.5</v>
      </c>
      <c r="R23" s="156">
        <v>32.1</v>
      </c>
      <c r="S23" s="156">
        <v>9.3000000000000007</v>
      </c>
      <c r="T23" s="156">
        <v>121.4</v>
      </c>
      <c r="U23" s="156">
        <v>50.3</v>
      </c>
      <c r="V23" s="156">
        <v>41.2</v>
      </c>
      <c r="W23" s="156">
        <v>64.099999999999994</v>
      </c>
      <c r="X23" s="156">
        <v>141.80000000000001</v>
      </c>
      <c r="Y23" s="156">
        <v>113</v>
      </c>
      <c r="Z23" s="156">
        <v>170.7</v>
      </c>
      <c r="AA23" s="156">
        <v>302.7</v>
      </c>
      <c r="AB23" s="156">
        <v>262.3</v>
      </c>
      <c r="AC23" s="156">
        <v>348.4</v>
      </c>
      <c r="AD23" s="156">
        <v>546.5</v>
      </c>
      <c r="AE23" s="156">
        <v>434.3</v>
      </c>
      <c r="AF23" s="156">
        <v>639.29999999999995</v>
      </c>
      <c r="AG23" s="156">
        <v>1067.8</v>
      </c>
      <c r="AH23" s="156">
        <v>714.2</v>
      </c>
      <c r="AI23" s="156">
        <v>1330.6</v>
      </c>
      <c r="AJ23" s="156">
        <v>11.955322341360199</v>
      </c>
      <c r="AK23" s="156">
        <v>6.6966210381474998</v>
      </c>
      <c r="AL23" s="156">
        <v>43.106659836627898</v>
      </c>
      <c r="AM23" s="156">
        <v>7.3</v>
      </c>
      <c r="AN23" s="156">
        <v>4.7</v>
      </c>
      <c r="AO23" s="156">
        <v>14.7</v>
      </c>
    </row>
    <row r="24" spans="1:41">
      <c r="A24" s="155">
        <v>45231</v>
      </c>
      <c r="B24" s="45">
        <f t="shared" si="0"/>
        <v>2023</v>
      </c>
      <c r="C24" s="156">
        <v>1522.3</v>
      </c>
      <c r="D24" s="156">
        <v>1350.8</v>
      </c>
      <c r="E24" s="156">
        <v>1676.3</v>
      </c>
      <c r="F24" s="156">
        <v>328.6</v>
      </c>
      <c r="G24" s="156">
        <v>270.3</v>
      </c>
      <c r="H24" s="156">
        <v>382.2</v>
      </c>
      <c r="I24" s="156">
        <v>1768</v>
      </c>
      <c r="J24" s="156">
        <v>1462.6</v>
      </c>
      <c r="K24" s="156">
        <v>2052.8000000000002</v>
      </c>
      <c r="L24" s="156">
        <v>320.5</v>
      </c>
      <c r="M24" s="156">
        <v>272.2</v>
      </c>
      <c r="N24" s="156">
        <v>367.1</v>
      </c>
      <c r="O24" s="156">
        <v>279.3</v>
      </c>
      <c r="P24" s="156">
        <v>200.3</v>
      </c>
      <c r="Q24" s="156">
        <v>390.4</v>
      </c>
      <c r="R24" s="156">
        <v>31.8</v>
      </c>
      <c r="S24" s="156">
        <v>9</v>
      </c>
      <c r="T24" s="156">
        <v>123.6</v>
      </c>
      <c r="U24" s="156">
        <v>57</v>
      </c>
      <c r="V24" s="156">
        <v>45.7</v>
      </c>
      <c r="W24" s="156">
        <v>75.099999999999994</v>
      </c>
      <c r="X24" s="156">
        <v>146.1</v>
      </c>
      <c r="Y24" s="156">
        <v>117.3</v>
      </c>
      <c r="Z24" s="156">
        <v>175</v>
      </c>
      <c r="AA24" s="156">
        <v>322.5</v>
      </c>
      <c r="AB24" s="156">
        <v>279.8</v>
      </c>
      <c r="AC24" s="156">
        <v>370.5</v>
      </c>
      <c r="AD24" s="156">
        <v>601.79999999999995</v>
      </c>
      <c r="AE24" s="156">
        <v>502.1</v>
      </c>
      <c r="AF24" s="156">
        <v>687.2</v>
      </c>
      <c r="AG24" s="156">
        <v>1241.4000000000001</v>
      </c>
      <c r="AH24" s="156">
        <v>954.4</v>
      </c>
      <c r="AI24" s="156">
        <v>1473.5</v>
      </c>
      <c r="AJ24" s="156">
        <v>12.069340319613501</v>
      </c>
      <c r="AK24" s="156">
        <v>6.71607392424308</v>
      </c>
      <c r="AL24" s="156">
        <v>45.1081054060814</v>
      </c>
      <c r="AM24" s="156">
        <v>6.8</v>
      </c>
      <c r="AN24" s="156">
        <v>4.5</v>
      </c>
      <c r="AO24" s="156">
        <v>13.2</v>
      </c>
    </row>
    <row r="25" spans="1:41">
      <c r="A25" s="155">
        <v>45261</v>
      </c>
      <c r="B25" s="45">
        <f t="shared" si="0"/>
        <v>2023</v>
      </c>
      <c r="C25" s="156">
        <v>1607.2</v>
      </c>
      <c r="D25" s="156">
        <v>1443.3</v>
      </c>
      <c r="E25" s="156">
        <v>1755.9</v>
      </c>
      <c r="F25" s="156">
        <v>390.1</v>
      </c>
      <c r="G25" s="156">
        <v>337</v>
      </c>
      <c r="H25" s="156">
        <v>439.9</v>
      </c>
      <c r="I25" s="156">
        <v>1922.3</v>
      </c>
      <c r="J25" s="156">
        <v>1628.7</v>
      </c>
      <c r="K25" s="156">
        <v>2198.4</v>
      </c>
      <c r="L25" s="156">
        <v>345.2</v>
      </c>
      <c r="M25" s="156">
        <v>296.89999999999998</v>
      </c>
      <c r="N25" s="156">
        <v>391.9</v>
      </c>
      <c r="O25" s="156">
        <v>396.8</v>
      </c>
      <c r="P25" s="156">
        <v>283.89999999999998</v>
      </c>
      <c r="Q25" s="156">
        <v>555.6</v>
      </c>
      <c r="R25" s="156">
        <v>33</v>
      </c>
      <c r="S25" s="156">
        <v>9.1</v>
      </c>
      <c r="T25" s="156">
        <v>132.80000000000001</v>
      </c>
      <c r="U25" s="156">
        <v>67.3</v>
      </c>
      <c r="V25" s="156">
        <v>52.2</v>
      </c>
      <c r="W25" s="156">
        <v>93.4</v>
      </c>
      <c r="X25" s="156">
        <v>175.8</v>
      </c>
      <c r="Y25" s="156">
        <v>146.9</v>
      </c>
      <c r="Z25" s="156">
        <v>204.6</v>
      </c>
      <c r="AA25" s="156">
        <v>367.2</v>
      </c>
      <c r="AB25" s="156">
        <v>319.5</v>
      </c>
      <c r="AC25" s="156">
        <v>420.8</v>
      </c>
      <c r="AD25" s="156">
        <v>669.2</v>
      </c>
      <c r="AE25" s="156">
        <v>581.20000000000005</v>
      </c>
      <c r="AF25" s="156">
        <v>746.9</v>
      </c>
      <c r="AG25" s="156">
        <v>1576.3</v>
      </c>
      <c r="AH25" s="156">
        <v>1361.8</v>
      </c>
      <c r="AI25" s="156">
        <v>1764.9</v>
      </c>
      <c r="AJ25" s="156">
        <v>12.075167073571199</v>
      </c>
      <c r="AK25" s="156">
        <v>6.69986149455824</v>
      </c>
      <c r="AL25" s="156">
        <v>45.868508448289298</v>
      </c>
      <c r="AM25" s="156">
        <v>7</v>
      </c>
      <c r="AN25" s="156">
        <v>4.5999999999999996</v>
      </c>
      <c r="AO25" s="156">
        <v>13.9</v>
      </c>
    </row>
    <row r="26" spans="1:41">
      <c r="A26" s="155">
        <v>45292</v>
      </c>
      <c r="B26" s="45">
        <f t="shared" si="0"/>
        <v>2024</v>
      </c>
      <c r="C26" s="156">
        <v>1692</v>
      </c>
      <c r="D26" s="156">
        <v>1531.6</v>
      </c>
      <c r="E26" s="156">
        <v>1838.4</v>
      </c>
      <c r="F26" s="156">
        <v>441.3</v>
      </c>
      <c r="G26" s="156">
        <v>387.8</v>
      </c>
      <c r="H26" s="156">
        <v>491.8</v>
      </c>
      <c r="I26" s="156">
        <v>2116.5</v>
      </c>
      <c r="J26" s="156">
        <v>1817.6</v>
      </c>
      <c r="K26" s="156">
        <v>2398.8000000000002</v>
      </c>
      <c r="L26" s="156">
        <v>369</v>
      </c>
      <c r="M26" s="156">
        <v>319.39999999999998</v>
      </c>
      <c r="N26" s="156">
        <v>417</v>
      </c>
      <c r="O26" s="156">
        <v>425.3</v>
      </c>
      <c r="P26" s="156">
        <v>300.10000000000002</v>
      </c>
      <c r="Q26" s="156">
        <v>603.9</v>
      </c>
      <c r="R26" s="156">
        <v>32.5</v>
      </c>
      <c r="S26" s="156">
        <v>8.6999999999999993</v>
      </c>
      <c r="T26" s="156">
        <v>136</v>
      </c>
      <c r="U26" s="156">
        <v>75.7</v>
      </c>
      <c r="V26" s="156">
        <v>57.1</v>
      </c>
      <c r="W26" s="156">
        <v>110.7</v>
      </c>
      <c r="X26" s="156">
        <v>184.1</v>
      </c>
      <c r="Y26" s="156">
        <v>154</v>
      </c>
      <c r="Z26" s="156">
        <v>214.1</v>
      </c>
      <c r="AA26" s="156">
        <v>360</v>
      </c>
      <c r="AB26" s="156">
        <v>310.5</v>
      </c>
      <c r="AC26" s="156">
        <v>416</v>
      </c>
      <c r="AD26" s="156">
        <v>718.1</v>
      </c>
      <c r="AE26" s="156">
        <v>636</v>
      </c>
      <c r="AF26" s="156">
        <v>791.8</v>
      </c>
      <c r="AG26" s="156">
        <v>1575</v>
      </c>
      <c r="AH26" s="156">
        <v>1325.9</v>
      </c>
      <c r="AI26" s="156">
        <v>1789.8</v>
      </c>
      <c r="AJ26" s="156">
        <v>12.069165791516401</v>
      </c>
      <c r="AK26" s="156">
        <v>6.6734225716392102</v>
      </c>
      <c r="AL26" s="156">
        <v>46.759070335515197</v>
      </c>
      <c r="AM26" s="156">
        <v>7.1</v>
      </c>
      <c r="AN26" s="156">
        <v>4.5999999999999996</v>
      </c>
      <c r="AO26" s="156">
        <v>14.7</v>
      </c>
    </row>
    <row r="27" spans="1:41">
      <c r="A27" s="155">
        <v>45323</v>
      </c>
      <c r="B27" s="45">
        <f t="shared" si="0"/>
        <v>2024</v>
      </c>
      <c r="C27" s="156">
        <v>1594.5</v>
      </c>
      <c r="D27" s="156">
        <v>1419.4</v>
      </c>
      <c r="E27" s="156">
        <v>1752.3</v>
      </c>
      <c r="F27" s="156">
        <v>399.4</v>
      </c>
      <c r="G27" s="156">
        <v>342</v>
      </c>
      <c r="H27" s="156">
        <v>453.1</v>
      </c>
      <c r="I27" s="156">
        <v>1948.1</v>
      </c>
      <c r="J27" s="156">
        <v>1629.7</v>
      </c>
      <c r="K27" s="156">
        <v>2246.3000000000002</v>
      </c>
      <c r="L27" s="156">
        <v>351.4</v>
      </c>
      <c r="M27" s="156">
        <v>299.7</v>
      </c>
      <c r="N27" s="156">
        <v>401.3</v>
      </c>
      <c r="O27" s="156">
        <v>401.3</v>
      </c>
      <c r="P27" s="156">
        <v>283</v>
      </c>
      <c r="Q27" s="156">
        <v>570.4</v>
      </c>
      <c r="R27" s="156">
        <v>32.5</v>
      </c>
      <c r="S27" s="156">
        <v>8.4</v>
      </c>
      <c r="T27" s="156">
        <v>140.19999999999999</v>
      </c>
      <c r="U27" s="156">
        <v>72.8</v>
      </c>
      <c r="V27" s="156">
        <v>55.3</v>
      </c>
      <c r="W27" s="156">
        <v>104.9</v>
      </c>
      <c r="X27" s="156">
        <v>177.7</v>
      </c>
      <c r="Y27" s="156">
        <v>147.69999999999999</v>
      </c>
      <c r="Z27" s="156">
        <v>207.8</v>
      </c>
      <c r="AA27" s="156">
        <v>342.4</v>
      </c>
      <c r="AB27" s="156">
        <v>294.89999999999998</v>
      </c>
      <c r="AC27" s="156">
        <v>396</v>
      </c>
      <c r="AD27" s="156">
        <v>672</v>
      </c>
      <c r="AE27" s="156">
        <v>583.4</v>
      </c>
      <c r="AF27" s="156">
        <v>750.2</v>
      </c>
      <c r="AG27" s="156">
        <v>1381.7</v>
      </c>
      <c r="AH27" s="156">
        <v>1089.2</v>
      </c>
      <c r="AI27" s="156">
        <v>1622.3</v>
      </c>
      <c r="AJ27" s="156">
        <v>12.042675407349799</v>
      </c>
      <c r="AK27" s="156">
        <v>6.6431290346319196</v>
      </c>
      <c r="AL27" s="156">
        <v>47.298294800024301</v>
      </c>
      <c r="AM27" s="156">
        <v>7.1</v>
      </c>
      <c r="AN27" s="156">
        <v>4.5</v>
      </c>
      <c r="AO27" s="156">
        <v>15</v>
      </c>
    </row>
    <row r="28" spans="1:41">
      <c r="A28" s="155">
        <v>45352</v>
      </c>
      <c r="B28" s="45">
        <f t="shared" si="0"/>
        <v>2024</v>
      </c>
      <c r="C28" s="156">
        <v>1617.4</v>
      </c>
      <c r="D28" s="156">
        <v>1441.9</v>
      </c>
      <c r="E28" s="156">
        <v>1775.7</v>
      </c>
      <c r="F28" s="156">
        <v>365.5</v>
      </c>
      <c r="G28" s="156">
        <v>304.89999999999998</v>
      </c>
      <c r="H28" s="156">
        <v>421.6</v>
      </c>
      <c r="I28" s="156">
        <v>1914.6</v>
      </c>
      <c r="J28" s="156">
        <v>1590.1</v>
      </c>
      <c r="K28" s="156">
        <v>2217.6999999999998</v>
      </c>
      <c r="L28" s="156">
        <v>345.9</v>
      </c>
      <c r="M28" s="156">
        <v>292.7</v>
      </c>
      <c r="N28" s="156">
        <v>397.1</v>
      </c>
      <c r="O28" s="156">
        <v>344.4</v>
      </c>
      <c r="P28" s="156">
        <v>243.1</v>
      </c>
      <c r="Q28" s="156">
        <v>489</v>
      </c>
      <c r="R28" s="156">
        <v>32.4</v>
      </c>
      <c r="S28" s="156">
        <v>8.1999999999999993</v>
      </c>
      <c r="T28" s="156">
        <v>144.1</v>
      </c>
      <c r="U28" s="156">
        <v>67.5</v>
      </c>
      <c r="V28" s="156">
        <v>52.1</v>
      </c>
      <c r="W28" s="156">
        <v>94.6</v>
      </c>
      <c r="X28" s="156">
        <v>165.5</v>
      </c>
      <c r="Y28" s="156">
        <v>135.4</v>
      </c>
      <c r="Z28" s="156">
        <v>195.5</v>
      </c>
      <c r="AA28" s="156">
        <v>332.2</v>
      </c>
      <c r="AB28" s="156">
        <v>286</v>
      </c>
      <c r="AC28" s="156">
        <v>384.5</v>
      </c>
      <c r="AD28" s="156">
        <v>650.20000000000005</v>
      </c>
      <c r="AE28" s="156">
        <v>558.20000000000005</v>
      </c>
      <c r="AF28" s="156">
        <v>730.8</v>
      </c>
      <c r="AG28" s="156">
        <v>1302.2</v>
      </c>
      <c r="AH28" s="156">
        <v>986.4</v>
      </c>
      <c r="AI28" s="156">
        <v>1555.1</v>
      </c>
      <c r="AJ28" s="156">
        <v>12.0407705554377</v>
      </c>
      <c r="AK28" s="156">
        <v>6.6224280563674203</v>
      </c>
      <c r="AL28" s="156">
        <v>48.125345772780001</v>
      </c>
      <c r="AM28" s="156">
        <v>7.1</v>
      </c>
      <c r="AN28" s="156">
        <v>4.5</v>
      </c>
      <c r="AO28" s="156">
        <v>15.2</v>
      </c>
    </row>
    <row r="29" spans="1:41">
      <c r="A29" s="155">
        <v>45383</v>
      </c>
      <c r="B29" s="45">
        <f t="shared" si="0"/>
        <v>2024</v>
      </c>
      <c r="C29" s="156">
        <v>1525.6</v>
      </c>
      <c r="D29" s="156">
        <v>1334.8</v>
      </c>
      <c r="E29" s="156">
        <v>1695.1</v>
      </c>
      <c r="F29" s="156">
        <v>342.4</v>
      </c>
      <c r="G29" s="156">
        <v>279.5</v>
      </c>
      <c r="H29" s="156">
        <v>400.1</v>
      </c>
      <c r="I29" s="156">
        <v>1821.8</v>
      </c>
      <c r="J29" s="156">
        <v>1488</v>
      </c>
      <c r="K29" s="156">
        <v>2131.9</v>
      </c>
      <c r="L29" s="156">
        <v>328.6</v>
      </c>
      <c r="M29" s="156">
        <v>273.5</v>
      </c>
      <c r="N29" s="156">
        <v>381.6</v>
      </c>
      <c r="O29" s="156">
        <v>301.5</v>
      </c>
      <c r="P29" s="156">
        <v>213</v>
      </c>
      <c r="Q29" s="156">
        <v>427.7</v>
      </c>
      <c r="R29" s="156">
        <v>32.4</v>
      </c>
      <c r="S29" s="156">
        <v>8</v>
      </c>
      <c r="T29" s="156">
        <v>148.6</v>
      </c>
      <c r="U29" s="156">
        <v>58.7</v>
      </c>
      <c r="V29" s="156">
        <v>46.6</v>
      </c>
      <c r="W29" s="156">
        <v>78.599999999999994</v>
      </c>
      <c r="X29" s="156">
        <v>156.1</v>
      </c>
      <c r="Y29" s="156">
        <v>126</v>
      </c>
      <c r="Z29" s="156">
        <v>186.1</v>
      </c>
      <c r="AA29" s="156">
        <v>322.89999999999998</v>
      </c>
      <c r="AB29" s="156">
        <v>277.7</v>
      </c>
      <c r="AC29" s="156">
        <v>374</v>
      </c>
      <c r="AD29" s="156">
        <v>621.70000000000005</v>
      </c>
      <c r="AE29" s="156">
        <v>524.70000000000005</v>
      </c>
      <c r="AF29" s="156">
        <v>705.5</v>
      </c>
      <c r="AG29" s="156">
        <v>1239.4000000000001</v>
      </c>
      <c r="AH29" s="156">
        <v>901.9</v>
      </c>
      <c r="AI29" s="156">
        <v>1502.9</v>
      </c>
      <c r="AJ29" s="156">
        <v>12.036438365835799</v>
      </c>
      <c r="AK29" s="156">
        <v>6.6021349788516801</v>
      </c>
      <c r="AL29" s="156">
        <v>48.897717376657603</v>
      </c>
      <c r="AM29" s="156">
        <v>7.1</v>
      </c>
      <c r="AN29" s="156">
        <v>4.5</v>
      </c>
      <c r="AO29" s="156">
        <v>15.3</v>
      </c>
    </row>
    <row r="30" spans="1:41">
      <c r="A30" s="155">
        <v>45413</v>
      </c>
      <c r="B30" s="45">
        <f t="shared" si="0"/>
        <v>2024</v>
      </c>
      <c r="C30" s="156">
        <v>1500</v>
      </c>
      <c r="D30" s="156">
        <v>1302.2</v>
      </c>
      <c r="E30" s="156">
        <v>1674.6</v>
      </c>
      <c r="F30" s="156">
        <v>311.10000000000002</v>
      </c>
      <c r="G30" s="156">
        <v>244.8</v>
      </c>
      <c r="H30" s="156">
        <v>371.3</v>
      </c>
      <c r="I30" s="156">
        <v>1710.5</v>
      </c>
      <c r="J30" s="156">
        <v>1365.7</v>
      </c>
      <c r="K30" s="156">
        <v>2028.5</v>
      </c>
      <c r="L30" s="156">
        <v>315.10000000000002</v>
      </c>
      <c r="M30" s="156">
        <v>258.10000000000002</v>
      </c>
      <c r="N30" s="156">
        <v>369.6</v>
      </c>
      <c r="O30" s="156">
        <v>244.6</v>
      </c>
      <c r="P30" s="156">
        <v>173</v>
      </c>
      <c r="Q30" s="156">
        <v>346.5</v>
      </c>
      <c r="R30" s="156">
        <v>32.200000000000003</v>
      </c>
      <c r="S30" s="156">
        <v>7.7</v>
      </c>
      <c r="T30" s="156">
        <v>152.30000000000001</v>
      </c>
      <c r="U30" s="156">
        <v>49.8</v>
      </c>
      <c r="V30" s="156">
        <v>40.6</v>
      </c>
      <c r="W30" s="156">
        <v>63.7</v>
      </c>
      <c r="X30" s="156">
        <v>143.5</v>
      </c>
      <c r="Y30" s="156">
        <v>113.5</v>
      </c>
      <c r="Z30" s="156">
        <v>173.6</v>
      </c>
      <c r="AA30" s="156">
        <v>300</v>
      </c>
      <c r="AB30" s="156">
        <v>257.60000000000002</v>
      </c>
      <c r="AC30" s="156">
        <v>348.1</v>
      </c>
      <c r="AD30" s="156">
        <v>558.4</v>
      </c>
      <c r="AE30" s="156">
        <v>447.9</v>
      </c>
      <c r="AF30" s="156">
        <v>650.4</v>
      </c>
      <c r="AG30" s="156">
        <v>1058.8</v>
      </c>
      <c r="AH30" s="156">
        <v>631.20000000000005</v>
      </c>
      <c r="AI30" s="156">
        <v>1357.9</v>
      </c>
      <c r="AJ30" s="156">
        <v>12.0765155743129</v>
      </c>
      <c r="AK30" s="156">
        <v>6.5970747704919699</v>
      </c>
      <c r="AL30" s="156">
        <v>50.308761842963101</v>
      </c>
      <c r="AM30" s="156">
        <v>7.1</v>
      </c>
      <c r="AN30" s="156">
        <v>4.5</v>
      </c>
      <c r="AO30" s="156">
        <v>15.4</v>
      </c>
    </row>
    <row r="31" spans="1:41">
      <c r="A31" s="155">
        <v>45444</v>
      </c>
      <c r="B31" s="45">
        <f t="shared" si="0"/>
        <v>2024</v>
      </c>
      <c r="C31" s="156">
        <v>1467.8</v>
      </c>
      <c r="D31" s="156">
        <v>1261.7</v>
      </c>
      <c r="E31" s="156">
        <v>1648.4</v>
      </c>
      <c r="F31" s="156">
        <v>291.10000000000002</v>
      </c>
      <c r="G31" s="156">
        <v>222.1</v>
      </c>
      <c r="H31" s="156">
        <v>352.9</v>
      </c>
      <c r="I31" s="156">
        <v>1619.7</v>
      </c>
      <c r="J31" s="156">
        <v>1265.4000000000001</v>
      </c>
      <c r="K31" s="156">
        <v>1944.4</v>
      </c>
      <c r="L31" s="156">
        <v>310.5</v>
      </c>
      <c r="M31" s="156">
        <v>252</v>
      </c>
      <c r="N31" s="156">
        <v>366.3</v>
      </c>
      <c r="O31" s="156">
        <v>193.9</v>
      </c>
      <c r="P31" s="156">
        <v>137.4</v>
      </c>
      <c r="Q31" s="156">
        <v>274.3</v>
      </c>
      <c r="R31" s="156">
        <v>32.200000000000003</v>
      </c>
      <c r="S31" s="156">
        <v>7.5</v>
      </c>
      <c r="T31" s="156">
        <v>156.9</v>
      </c>
      <c r="U31" s="156">
        <v>49.4</v>
      </c>
      <c r="V31" s="156">
        <v>40.4</v>
      </c>
      <c r="W31" s="156">
        <v>63.1</v>
      </c>
      <c r="X31" s="156">
        <v>133.69999999999999</v>
      </c>
      <c r="Y31" s="156">
        <v>103.6</v>
      </c>
      <c r="Z31" s="156">
        <v>163.69999999999999</v>
      </c>
      <c r="AA31" s="156">
        <v>296.10000000000002</v>
      </c>
      <c r="AB31" s="156">
        <v>254.2</v>
      </c>
      <c r="AC31" s="156">
        <v>343.7</v>
      </c>
      <c r="AD31" s="156">
        <v>565.20000000000005</v>
      </c>
      <c r="AE31" s="156">
        <v>456.3</v>
      </c>
      <c r="AF31" s="156">
        <v>656.3</v>
      </c>
      <c r="AG31" s="156">
        <v>1137.8</v>
      </c>
      <c r="AH31" s="156">
        <v>756.2</v>
      </c>
      <c r="AI31" s="156">
        <v>1420.3</v>
      </c>
      <c r="AJ31" s="156">
        <v>12.0551116514365</v>
      </c>
      <c r="AK31" s="156">
        <v>6.5726639141694303</v>
      </c>
      <c r="AL31" s="156">
        <v>50.831268086424998</v>
      </c>
      <c r="AM31" s="156">
        <v>7.1</v>
      </c>
      <c r="AN31" s="156">
        <v>4.5</v>
      </c>
      <c r="AO31" s="156">
        <v>15.4</v>
      </c>
    </row>
    <row r="32" spans="1:41">
      <c r="A32" s="155">
        <v>45474</v>
      </c>
      <c r="B32" s="45">
        <f t="shared" si="0"/>
        <v>2024</v>
      </c>
      <c r="C32" s="156">
        <v>1463</v>
      </c>
      <c r="D32" s="156">
        <v>1252.8</v>
      </c>
      <c r="E32" s="156">
        <v>1646.5</v>
      </c>
      <c r="F32" s="156">
        <v>298.8</v>
      </c>
      <c r="G32" s="156">
        <v>230.9</v>
      </c>
      <c r="H32" s="156">
        <v>360</v>
      </c>
      <c r="I32" s="156">
        <v>1691.6</v>
      </c>
      <c r="J32" s="156">
        <v>1344.5</v>
      </c>
      <c r="K32" s="156">
        <v>2011.2</v>
      </c>
      <c r="L32" s="156">
        <v>305.10000000000002</v>
      </c>
      <c r="M32" s="156">
        <v>245.2</v>
      </c>
      <c r="N32" s="156">
        <v>362.3</v>
      </c>
      <c r="O32" s="156">
        <v>164.4</v>
      </c>
      <c r="P32" s="156">
        <v>116.6</v>
      </c>
      <c r="Q32" s="156">
        <v>232.4</v>
      </c>
      <c r="R32" s="156">
        <v>32.200000000000003</v>
      </c>
      <c r="S32" s="156">
        <v>7.4</v>
      </c>
      <c r="T32" s="156">
        <v>161.6</v>
      </c>
      <c r="U32" s="156">
        <v>49.6</v>
      </c>
      <c r="V32" s="156">
        <v>40.5</v>
      </c>
      <c r="W32" s="156">
        <v>63.4</v>
      </c>
      <c r="X32" s="156">
        <v>131.69999999999999</v>
      </c>
      <c r="Y32" s="156">
        <v>101.6</v>
      </c>
      <c r="Z32" s="156">
        <v>161.69999999999999</v>
      </c>
      <c r="AA32" s="156">
        <v>297.5</v>
      </c>
      <c r="AB32" s="156">
        <v>255.4</v>
      </c>
      <c r="AC32" s="156">
        <v>345.3</v>
      </c>
      <c r="AD32" s="156">
        <v>556.4</v>
      </c>
      <c r="AE32" s="156">
        <v>445.3</v>
      </c>
      <c r="AF32" s="156">
        <v>648.70000000000005</v>
      </c>
      <c r="AG32" s="156">
        <v>1134.2</v>
      </c>
      <c r="AH32" s="156">
        <v>750.8</v>
      </c>
      <c r="AI32" s="156">
        <v>1417.4</v>
      </c>
      <c r="AJ32" s="156">
        <v>12.0303768057189</v>
      </c>
      <c r="AK32" s="156">
        <v>6.5474522923243503</v>
      </c>
      <c r="AL32" s="156">
        <v>51.305645280170403</v>
      </c>
      <c r="AM32" s="156">
        <v>7.1</v>
      </c>
      <c r="AN32" s="156">
        <v>4.5</v>
      </c>
      <c r="AO32" s="156">
        <v>15.5</v>
      </c>
    </row>
    <row r="33" spans="1:41">
      <c r="A33" s="155">
        <v>45505</v>
      </c>
      <c r="B33" s="45">
        <f t="shared" si="0"/>
        <v>2024</v>
      </c>
      <c r="C33" s="156">
        <v>1462.3</v>
      </c>
      <c r="D33" s="156">
        <v>1248.8</v>
      </c>
      <c r="E33" s="156">
        <v>1648.4</v>
      </c>
      <c r="F33" s="156">
        <v>283.5</v>
      </c>
      <c r="G33" s="156">
        <v>213.5</v>
      </c>
      <c r="H33" s="156">
        <v>346</v>
      </c>
      <c r="I33" s="156">
        <v>1603.7</v>
      </c>
      <c r="J33" s="156">
        <v>1247.4000000000001</v>
      </c>
      <c r="K33" s="156">
        <v>1929.7</v>
      </c>
      <c r="L33" s="156">
        <v>305.2</v>
      </c>
      <c r="M33" s="156">
        <v>244.1</v>
      </c>
      <c r="N33" s="156">
        <v>363.4</v>
      </c>
      <c r="O33" s="156">
        <v>155.1</v>
      </c>
      <c r="P33" s="156">
        <v>110</v>
      </c>
      <c r="Q33" s="156">
        <v>219.1</v>
      </c>
      <c r="R33" s="156">
        <v>32.200000000000003</v>
      </c>
      <c r="S33" s="156">
        <v>7.2</v>
      </c>
      <c r="T33" s="156">
        <v>166.1</v>
      </c>
      <c r="U33" s="156">
        <v>49.9</v>
      </c>
      <c r="V33" s="156">
        <v>40.700000000000003</v>
      </c>
      <c r="W33" s="156">
        <v>63.9</v>
      </c>
      <c r="X33" s="156">
        <v>126.2</v>
      </c>
      <c r="Y33" s="156">
        <v>96.2</v>
      </c>
      <c r="Z33" s="156">
        <v>156.30000000000001</v>
      </c>
      <c r="AA33" s="156">
        <v>290.5</v>
      </c>
      <c r="AB33" s="156">
        <v>249.2</v>
      </c>
      <c r="AC33" s="156">
        <v>337.3</v>
      </c>
      <c r="AD33" s="156">
        <v>542.20000000000005</v>
      </c>
      <c r="AE33" s="156">
        <v>427.4</v>
      </c>
      <c r="AF33" s="156">
        <v>636.6</v>
      </c>
      <c r="AG33" s="156">
        <v>1077.7</v>
      </c>
      <c r="AH33" s="156">
        <v>662.3</v>
      </c>
      <c r="AI33" s="156">
        <v>1372.6</v>
      </c>
      <c r="AJ33" s="156">
        <v>12.0207320354593</v>
      </c>
      <c r="AK33" s="156">
        <v>6.5272224489635802</v>
      </c>
      <c r="AL33" s="156">
        <v>52.025309813509601</v>
      </c>
      <c r="AM33" s="156">
        <v>7.1</v>
      </c>
      <c r="AN33" s="156">
        <v>4.5</v>
      </c>
      <c r="AO33" s="156">
        <v>15.6</v>
      </c>
    </row>
    <row r="34" spans="1:41">
      <c r="A34" s="155">
        <v>45536</v>
      </c>
      <c r="B34" s="45">
        <f t="shared" si="0"/>
        <v>2024</v>
      </c>
      <c r="C34" s="156">
        <v>1436.5</v>
      </c>
      <c r="D34" s="156">
        <v>1215.2</v>
      </c>
      <c r="E34" s="156">
        <v>1628</v>
      </c>
      <c r="F34" s="156">
        <v>294.3</v>
      </c>
      <c r="G34" s="156">
        <v>225.8</v>
      </c>
      <c r="H34" s="156">
        <v>355.9</v>
      </c>
      <c r="I34" s="156">
        <v>1657.6</v>
      </c>
      <c r="J34" s="156">
        <v>1307</v>
      </c>
      <c r="K34" s="156">
        <v>1979.7</v>
      </c>
      <c r="L34" s="156">
        <v>311.60000000000002</v>
      </c>
      <c r="M34" s="156">
        <v>249.7</v>
      </c>
      <c r="N34" s="156">
        <v>370.5</v>
      </c>
      <c r="O34" s="156">
        <v>171</v>
      </c>
      <c r="P34" s="156">
        <v>121.2</v>
      </c>
      <c r="Q34" s="156">
        <v>241.6</v>
      </c>
      <c r="R34" s="156">
        <v>32.200000000000003</v>
      </c>
      <c r="S34" s="156">
        <v>7</v>
      </c>
      <c r="T34" s="156">
        <v>171</v>
      </c>
      <c r="U34" s="156">
        <v>49.9</v>
      </c>
      <c r="V34" s="156">
        <v>40.700000000000003</v>
      </c>
      <c r="W34" s="156">
        <v>64</v>
      </c>
      <c r="X34" s="156">
        <v>142</v>
      </c>
      <c r="Y34" s="156">
        <v>111.9</v>
      </c>
      <c r="Z34" s="156">
        <v>172</v>
      </c>
      <c r="AA34" s="156">
        <v>312</v>
      </c>
      <c r="AB34" s="156">
        <v>268.2</v>
      </c>
      <c r="AC34" s="156">
        <v>361.7</v>
      </c>
      <c r="AD34" s="156">
        <v>555.20000000000005</v>
      </c>
      <c r="AE34" s="156">
        <v>443.9</v>
      </c>
      <c r="AF34" s="156">
        <v>647.70000000000005</v>
      </c>
      <c r="AG34" s="156">
        <v>1101.8</v>
      </c>
      <c r="AH34" s="156">
        <v>700.9</v>
      </c>
      <c r="AI34" s="156">
        <v>1391.6</v>
      </c>
      <c r="AJ34" s="156">
        <v>12.018946921324799</v>
      </c>
      <c r="AK34" s="156">
        <v>6.5096534482048902</v>
      </c>
      <c r="AL34" s="156">
        <v>52.8900974608135</v>
      </c>
      <c r="AM34" s="156">
        <v>7.1</v>
      </c>
      <c r="AN34" s="156">
        <v>4.5</v>
      </c>
      <c r="AO34" s="156">
        <v>15.7</v>
      </c>
    </row>
    <row r="35" spans="1:41">
      <c r="A35" s="155">
        <v>45566</v>
      </c>
      <c r="B35" s="45">
        <f t="shared" si="0"/>
        <v>2024</v>
      </c>
      <c r="C35" s="156">
        <v>1511.3</v>
      </c>
      <c r="D35" s="156">
        <v>1299.8</v>
      </c>
      <c r="E35" s="156">
        <v>1696.6</v>
      </c>
      <c r="F35" s="156">
        <v>295.60000000000002</v>
      </c>
      <c r="G35" s="156">
        <v>227.3</v>
      </c>
      <c r="H35" s="156">
        <v>357.1</v>
      </c>
      <c r="I35" s="156">
        <v>1673.4</v>
      </c>
      <c r="J35" s="156">
        <v>1324.3</v>
      </c>
      <c r="K35" s="156">
        <v>1994.4</v>
      </c>
      <c r="L35" s="156">
        <v>318.5</v>
      </c>
      <c r="M35" s="156">
        <v>255.9</v>
      </c>
      <c r="N35" s="156">
        <v>378.1</v>
      </c>
      <c r="O35" s="156">
        <v>187.6</v>
      </c>
      <c r="P35" s="156">
        <v>132.9</v>
      </c>
      <c r="Q35" s="156">
        <v>265.3</v>
      </c>
      <c r="R35" s="156">
        <v>32.299999999999997</v>
      </c>
      <c r="S35" s="156">
        <v>6.9</v>
      </c>
      <c r="T35" s="156">
        <v>176.7</v>
      </c>
      <c r="U35" s="156">
        <v>49.3</v>
      </c>
      <c r="V35" s="156">
        <v>40.299999999999997</v>
      </c>
      <c r="W35" s="156">
        <v>63</v>
      </c>
      <c r="X35" s="156">
        <v>140.6</v>
      </c>
      <c r="Y35" s="156">
        <v>110.6</v>
      </c>
      <c r="Z35" s="156">
        <v>170.7</v>
      </c>
      <c r="AA35" s="156">
        <v>302.7</v>
      </c>
      <c r="AB35" s="156">
        <v>260</v>
      </c>
      <c r="AC35" s="156">
        <v>351.2</v>
      </c>
      <c r="AD35" s="156">
        <v>546.29999999999995</v>
      </c>
      <c r="AE35" s="156">
        <v>432.7</v>
      </c>
      <c r="AF35" s="156">
        <v>640.1</v>
      </c>
      <c r="AG35" s="156">
        <v>1071.7</v>
      </c>
      <c r="AH35" s="156">
        <v>652.5</v>
      </c>
      <c r="AI35" s="156">
        <v>1367.9</v>
      </c>
      <c r="AJ35" s="156">
        <v>12.0231759760219</v>
      </c>
      <c r="AK35" s="156">
        <v>6.4941333127187804</v>
      </c>
      <c r="AL35" s="156">
        <v>53.881254439061699</v>
      </c>
      <c r="AM35" s="156">
        <v>7.1</v>
      </c>
      <c r="AN35" s="156">
        <v>4.5</v>
      </c>
      <c r="AO35" s="156">
        <v>15.8</v>
      </c>
    </row>
    <row r="36" spans="1:41">
      <c r="A36" s="155">
        <v>45597</v>
      </c>
      <c r="B36" s="45">
        <f t="shared" si="0"/>
        <v>2024</v>
      </c>
      <c r="C36" s="156">
        <v>1551.8</v>
      </c>
      <c r="D36" s="156">
        <v>1343.7</v>
      </c>
      <c r="E36" s="156">
        <v>1735.1</v>
      </c>
      <c r="F36" s="156">
        <v>330.6</v>
      </c>
      <c r="G36" s="156">
        <v>266.5</v>
      </c>
      <c r="H36" s="156">
        <v>389.2</v>
      </c>
      <c r="I36" s="156">
        <v>1784.1</v>
      </c>
      <c r="J36" s="156">
        <v>1445.7</v>
      </c>
      <c r="K36" s="156">
        <v>2097.6</v>
      </c>
      <c r="L36" s="156">
        <v>338.4</v>
      </c>
      <c r="M36" s="156">
        <v>275.8</v>
      </c>
      <c r="N36" s="156">
        <v>398.2</v>
      </c>
      <c r="O36" s="156">
        <v>279.3</v>
      </c>
      <c r="P36" s="156">
        <v>197.4</v>
      </c>
      <c r="Q36" s="156">
        <v>396</v>
      </c>
      <c r="R36" s="156">
        <v>32.200000000000003</v>
      </c>
      <c r="S36" s="156">
        <v>6.7</v>
      </c>
      <c r="T36" s="156">
        <v>181</v>
      </c>
      <c r="U36" s="156">
        <v>55.7</v>
      </c>
      <c r="V36" s="156">
        <v>44.6</v>
      </c>
      <c r="W36" s="156">
        <v>73.599999999999994</v>
      </c>
      <c r="X36" s="156">
        <v>145.80000000000001</v>
      </c>
      <c r="Y36" s="156">
        <v>115.8</v>
      </c>
      <c r="Z36" s="156">
        <v>175.9</v>
      </c>
      <c r="AA36" s="156">
        <v>322.5</v>
      </c>
      <c r="AB36" s="156">
        <v>277.39999999999998</v>
      </c>
      <c r="AC36" s="156">
        <v>373.6</v>
      </c>
      <c r="AD36" s="156">
        <v>602.20000000000005</v>
      </c>
      <c r="AE36" s="156">
        <v>501.4</v>
      </c>
      <c r="AF36" s="156">
        <v>688.4</v>
      </c>
      <c r="AG36" s="156">
        <v>1246.7</v>
      </c>
      <c r="AH36" s="156">
        <v>911.9</v>
      </c>
      <c r="AI36" s="156">
        <v>1508.9</v>
      </c>
      <c r="AJ36" s="156">
        <v>12.042368433597501</v>
      </c>
      <c r="AK36" s="156">
        <v>6.4833902293003396</v>
      </c>
      <c r="AL36" s="156">
        <v>55.171755031322597</v>
      </c>
      <c r="AM36" s="156">
        <v>7.1</v>
      </c>
      <c r="AN36" s="156">
        <v>4.5</v>
      </c>
      <c r="AO36" s="156">
        <v>15.9</v>
      </c>
    </row>
    <row r="37" spans="1:41">
      <c r="A37" s="155">
        <v>45627</v>
      </c>
      <c r="B37" s="45">
        <f t="shared" si="0"/>
        <v>2024</v>
      </c>
      <c r="C37" s="156">
        <v>1635.2</v>
      </c>
      <c r="D37" s="156">
        <v>1436.5</v>
      </c>
      <c r="E37" s="156">
        <v>1812.1</v>
      </c>
      <c r="F37" s="156">
        <v>392</v>
      </c>
      <c r="G37" s="156">
        <v>333.6</v>
      </c>
      <c r="H37" s="156">
        <v>446.5</v>
      </c>
      <c r="I37" s="156">
        <v>1932.5</v>
      </c>
      <c r="J37" s="156">
        <v>1606.7</v>
      </c>
      <c r="K37" s="156">
        <v>2236.9</v>
      </c>
      <c r="L37" s="156">
        <v>362.8</v>
      </c>
      <c r="M37" s="156">
        <v>300.39999999999998</v>
      </c>
      <c r="N37" s="156">
        <v>422.6</v>
      </c>
      <c r="O37" s="156">
        <v>396.8</v>
      </c>
      <c r="P37" s="156">
        <v>279.89999999999998</v>
      </c>
      <c r="Q37" s="156">
        <v>563.79999999999995</v>
      </c>
      <c r="R37" s="156">
        <v>32.6</v>
      </c>
      <c r="S37" s="156">
        <v>6.6</v>
      </c>
      <c r="T37" s="156">
        <v>188.2</v>
      </c>
      <c r="U37" s="156">
        <v>65.5</v>
      </c>
      <c r="V37" s="156">
        <v>50.9</v>
      </c>
      <c r="W37" s="156">
        <v>91</v>
      </c>
      <c r="X37" s="156">
        <v>173.2</v>
      </c>
      <c r="Y37" s="156">
        <v>143.19999999999999</v>
      </c>
      <c r="Z37" s="156">
        <v>203.3</v>
      </c>
      <c r="AA37" s="156">
        <v>367.2</v>
      </c>
      <c r="AB37" s="156">
        <v>316.89999999999998</v>
      </c>
      <c r="AC37" s="156">
        <v>424.1</v>
      </c>
      <c r="AD37" s="156">
        <v>668.4</v>
      </c>
      <c r="AE37" s="156">
        <v>579.20000000000005</v>
      </c>
      <c r="AF37" s="156">
        <v>747</v>
      </c>
      <c r="AG37" s="156">
        <v>1581.2</v>
      </c>
      <c r="AH37" s="156">
        <v>1333.2</v>
      </c>
      <c r="AI37" s="156">
        <v>1795.2</v>
      </c>
      <c r="AJ37" s="156">
        <v>12.043341540402</v>
      </c>
      <c r="AK37" s="156">
        <v>6.4671647836572301</v>
      </c>
      <c r="AL37" s="156">
        <v>56.174449080577297</v>
      </c>
      <c r="AM37" s="156">
        <v>7.1</v>
      </c>
      <c r="AN37" s="156">
        <v>4.5</v>
      </c>
      <c r="AO37" s="156">
        <v>16</v>
      </c>
    </row>
    <row r="38" spans="1:41">
      <c r="A38" s="155">
        <v>45658</v>
      </c>
      <c r="B38" s="45">
        <f t="shared" si="0"/>
        <v>2025</v>
      </c>
      <c r="C38" s="156">
        <v>1718.6</v>
      </c>
      <c r="D38" s="156">
        <v>1525.3</v>
      </c>
      <c r="E38" s="156">
        <v>1892.2</v>
      </c>
      <c r="F38" s="156">
        <v>440.9</v>
      </c>
      <c r="G38" s="156">
        <v>381</v>
      </c>
      <c r="H38" s="156">
        <v>497.1</v>
      </c>
      <c r="I38" s="156">
        <v>2127.1</v>
      </c>
      <c r="J38" s="156">
        <v>1793.4</v>
      </c>
      <c r="K38" s="156">
        <v>2440.4</v>
      </c>
      <c r="L38" s="156">
        <v>386.2</v>
      </c>
      <c r="M38" s="156">
        <v>322.8</v>
      </c>
      <c r="N38" s="156">
        <v>447.2</v>
      </c>
      <c r="O38" s="156">
        <v>425.3</v>
      </c>
      <c r="P38" s="156">
        <v>296</v>
      </c>
      <c r="Q38" s="156">
        <v>612.4</v>
      </c>
      <c r="R38" s="156">
        <v>32.4</v>
      </c>
      <c r="S38" s="156">
        <v>6.4</v>
      </c>
      <c r="T38" s="156">
        <v>193</v>
      </c>
      <c r="U38" s="156">
        <v>73.5</v>
      </c>
      <c r="V38" s="156">
        <v>55.5</v>
      </c>
      <c r="W38" s="156">
        <v>107.4</v>
      </c>
      <c r="X38" s="156">
        <v>182.1</v>
      </c>
      <c r="Y38" s="156">
        <v>151.5</v>
      </c>
      <c r="Z38" s="156">
        <v>212.7</v>
      </c>
      <c r="AA38" s="156">
        <v>360</v>
      </c>
      <c r="AB38" s="156">
        <v>308.10000000000002</v>
      </c>
      <c r="AC38" s="156">
        <v>419.2</v>
      </c>
      <c r="AD38" s="156">
        <v>718</v>
      </c>
      <c r="AE38" s="156">
        <v>635.1</v>
      </c>
      <c r="AF38" s="156">
        <v>792.4</v>
      </c>
      <c r="AG38" s="156">
        <v>1573.9</v>
      </c>
      <c r="AH38" s="156">
        <v>1298.0999999999999</v>
      </c>
      <c r="AI38" s="156">
        <v>1808</v>
      </c>
      <c r="AJ38" s="156">
        <v>12.042339274777801</v>
      </c>
      <c r="AK38" s="156">
        <v>6.4495812951694296</v>
      </c>
      <c r="AL38" s="156">
        <v>57.2267971223147</v>
      </c>
      <c r="AM38" s="156">
        <v>7.1</v>
      </c>
      <c r="AN38" s="156">
        <v>4.5</v>
      </c>
      <c r="AO38" s="156">
        <v>16.100000000000001</v>
      </c>
    </row>
    <row r="39" spans="1:41">
      <c r="A39" s="155">
        <v>45689</v>
      </c>
      <c r="B39" s="45">
        <f t="shared" si="0"/>
        <v>2025</v>
      </c>
      <c r="C39" s="156">
        <v>1622.7</v>
      </c>
      <c r="D39" s="156">
        <v>1412.6</v>
      </c>
      <c r="E39" s="156">
        <v>1808.6</v>
      </c>
      <c r="F39" s="156">
        <v>402</v>
      </c>
      <c r="G39" s="156">
        <v>337.6</v>
      </c>
      <c r="H39" s="156">
        <v>461.7</v>
      </c>
      <c r="I39" s="156">
        <v>1956.2</v>
      </c>
      <c r="J39" s="156">
        <v>1599.4</v>
      </c>
      <c r="K39" s="156">
        <v>2287.8000000000002</v>
      </c>
      <c r="L39" s="156">
        <v>368.9</v>
      </c>
      <c r="M39" s="156">
        <v>303.2</v>
      </c>
      <c r="N39" s="156">
        <v>431.8</v>
      </c>
      <c r="O39" s="156">
        <v>401.3</v>
      </c>
      <c r="P39" s="156">
        <v>279.2</v>
      </c>
      <c r="Q39" s="156">
        <v>578.4</v>
      </c>
      <c r="R39" s="156">
        <v>32.4</v>
      </c>
      <c r="S39" s="156">
        <v>6.3</v>
      </c>
      <c r="T39" s="156">
        <v>198.2</v>
      </c>
      <c r="U39" s="156">
        <v>70.8</v>
      </c>
      <c r="V39" s="156">
        <v>53.8</v>
      </c>
      <c r="W39" s="156">
        <v>101.9</v>
      </c>
      <c r="X39" s="156">
        <v>175.2</v>
      </c>
      <c r="Y39" s="156">
        <v>144.6</v>
      </c>
      <c r="Z39" s="156">
        <v>205.8</v>
      </c>
      <c r="AA39" s="156">
        <v>342.4</v>
      </c>
      <c r="AB39" s="156">
        <v>292.60000000000002</v>
      </c>
      <c r="AC39" s="156">
        <v>399.1</v>
      </c>
      <c r="AD39" s="156">
        <v>671.8</v>
      </c>
      <c r="AE39" s="156">
        <v>582.29999999999995</v>
      </c>
      <c r="AF39" s="156">
        <v>750.8</v>
      </c>
      <c r="AG39" s="156">
        <v>1382.4</v>
      </c>
      <c r="AH39" s="156">
        <v>1058</v>
      </c>
      <c r="AI39" s="156">
        <v>1644.1</v>
      </c>
      <c r="AJ39" s="156">
        <v>12.0379057167267</v>
      </c>
      <c r="AK39" s="156">
        <v>6.4314616775493096</v>
      </c>
      <c r="AL39" s="156">
        <v>58.221215819459701</v>
      </c>
      <c r="AM39" s="156">
        <v>7.1</v>
      </c>
      <c r="AN39" s="156">
        <v>4.4000000000000004</v>
      </c>
      <c r="AO39" s="156">
        <v>16.2</v>
      </c>
    </row>
    <row r="40" spans="1:41">
      <c r="A40" s="155">
        <v>45717</v>
      </c>
      <c r="B40" s="45">
        <f t="shared" si="0"/>
        <v>2025</v>
      </c>
      <c r="C40" s="156">
        <v>1645.2</v>
      </c>
      <c r="D40" s="156">
        <v>1435.1</v>
      </c>
      <c r="E40" s="156">
        <v>1831.4</v>
      </c>
      <c r="F40" s="156">
        <v>366.6</v>
      </c>
      <c r="G40" s="156">
        <v>298.5</v>
      </c>
      <c r="H40" s="156">
        <v>429.1</v>
      </c>
      <c r="I40" s="156">
        <v>1913.5</v>
      </c>
      <c r="J40" s="156">
        <v>1548.7</v>
      </c>
      <c r="K40" s="156">
        <v>2251.5</v>
      </c>
      <c r="L40" s="156">
        <v>363.4</v>
      </c>
      <c r="M40" s="156">
        <v>296.10000000000002</v>
      </c>
      <c r="N40" s="156">
        <v>427.8</v>
      </c>
      <c r="O40" s="156">
        <v>344.4</v>
      </c>
      <c r="P40" s="156">
        <v>239.8</v>
      </c>
      <c r="Q40" s="156">
        <v>495.9</v>
      </c>
      <c r="R40" s="156">
        <v>32.4</v>
      </c>
      <c r="S40" s="156">
        <v>6.1</v>
      </c>
      <c r="T40" s="156">
        <v>203.4</v>
      </c>
      <c r="U40" s="156">
        <v>65.7</v>
      </c>
      <c r="V40" s="156">
        <v>50.8</v>
      </c>
      <c r="W40" s="156">
        <v>92.1</v>
      </c>
      <c r="X40" s="156">
        <v>163</v>
      </c>
      <c r="Y40" s="156">
        <v>132.4</v>
      </c>
      <c r="Z40" s="156">
        <v>193.6</v>
      </c>
      <c r="AA40" s="156">
        <v>332.2</v>
      </c>
      <c r="AB40" s="156">
        <v>283.7</v>
      </c>
      <c r="AC40" s="156">
        <v>387.5</v>
      </c>
      <c r="AD40" s="156">
        <v>650.20000000000005</v>
      </c>
      <c r="AE40" s="156">
        <v>557.1</v>
      </c>
      <c r="AF40" s="156">
        <v>731.4</v>
      </c>
      <c r="AG40" s="156">
        <v>1300.8</v>
      </c>
      <c r="AH40" s="156">
        <v>948.8</v>
      </c>
      <c r="AI40" s="156">
        <v>1576</v>
      </c>
      <c r="AJ40" s="156">
        <v>12.0375863171784</v>
      </c>
      <c r="AK40" s="156">
        <v>6.4149570986847699</v>
      </c>
      <c r="AL40" s="156">
        <v>59.315211167618699</v>
      </c>
      <c r="AM40" s="156">
        <v>7.1</v>
      </c>
      <c r="AN40" s="156">
        <v>4.4000000000000004</v>
      </c>
      <c r="AO40" s="156">
        <v>16.2</v>
      </c>
    </row>
    <row r="41" spans="1:41">
      <c r="A41" s="155">
        <v>45748</v>
      </c>
      <c r="B41" s="45">
        <f t="shared" si="0"/>
        <v>2025</v>
      </c>
      <c r="C41" s="156">
        <v>1555</v>
      </c>
      <c r="D41" s="156">
        <v>1327.3</v>
      </c>
      <c r="E41" s="156">
        <v>1753.4</v>
      </c>
      <c r="F41" s="156">
        <v>336.2</v>
      </c>
      <c r="G41" s="156">
        <v>264.60000000000002</v>
      </c>
      <c r="H41" s="156">
        <v>401.2</v>
      </c>
      <c r="I41" s="156">
        <v>1799.7</v>
      </c>
      <c r="J41" s="156">
        <v>1421.9</v>
      </c>
      <c r="K41" s="156">
        <v>2147</v>
      </c>
      <c r="L41" s="156">
        <v>346.4</v>
      </c>
      <c r="M41" s="156">
        <v>276.89999999999998</v>
      </c>
      <c r="N41" s="156">
        <v>412.5</v>
      </c>
      <c r="O41" s="156">
        <v>301.5</v>
      </c>
      <c r="P41" s="156">
        <v>210.1</v>
      </c>
      <c r="Q41" s="156">
        <v>433.7</v>
      </c>
      <c r="R41" s="156">
        <v>32.4</v>
      </c>
      <c r="S41" s="156">
        <v>6</v>
      </c>
      <c r="T41" s="156">
        <v>208.9</v>
      </c>
      <c r="U41" s="156">
        <v>57.4</v>
      </c>
      <c r="V41" s="156">
        <v>45.5</v>
      </c>
      <c r="W41" s="156">
        <v>76.900000000000006</v>
      </c>
      <c r="X41" s="156">
        <v>154.6</v>
      </c>
      <c r="Y41" s="156">
        <v>124</v>
      </c>
      <c r="Z41" s="156">
        <v>185.2</v>
      </c>
      <c r="AA41" s="156">
        <v>322.89999999999998</v>
      </c>
      <c r="AB41" s="156">
        <v>275.5</v>
      </c>
      <c r="AC41" s="156">
        <v>376.9</v>
      </c>
      <c r="AD41" s="156">
        <v>621.79999999999995</v>
      </c>
      <c r="AE41" s="156">
        <v>523.70000000000005</v>
      </c>
      <c r="AF41" s="156">
        <v>706.3</v>
      </c>
      <c r="AG41" s="156">
        <v>1226.9000000000001</v>
      </c>
      <c r="AH41" s="156">
        <v>844.7</v>
      </c>
      <c r="AI41" s="156">
        <v>1515.7</v>
      </c>
      <c r="AJ41" s="156">
        <v>12.0368596117441</v>
      </c>
      <c r="AK41" s="156">
        <v>6.3986304711710202</v>
      </c>
      <c r="AL41" s="156">
        <v>60.424500183619699</v>
      </c>
      <c r="AM41" s="156">
        <v>7.1</v>
      </c>
      <c r="AN41" s="156">
        <v>4.4000000000000004</v>
      </c>
      <c r="AO41" s="156">
        <v>16.3</v>
      </c>
    </row>
    <row r="42" spans="1:41">
      <c r="A42" s="155">
        <v>45778</v>
      </c>
      <c r="B42" s="45">
        <f t="shared" si="0"/>
        <v>2025</v>
      </c>
      <c r="C42" s="156">
        <v>1529.9</v>
      </c>
      <c r="D42" s="156">
        <v>1294.4000000000001</v>
      </c>
      <c r="E42" s="156">
        <v>1733.7</v>
      </c>
      <c r="F42" s="156">
        <v>306.5</v>
      </c>
      <c r="G42" s="156">
        <v>230.9</v>
      </c>
      <c r="H42" s="156">
        <v>374</v>
      </c>
      <c r="I42" s="156">
        <v>1696.2</v>
      </c>
      <c r="J42" s="156">
        <v>1306.4000000000001</v>
      </c>
      <c r="K42" s="156">
        <v>2051.8000000000002</v>
      </c>
      <c r="L42" s="156">
        <v>333</v>
      </c>
      <c r="M42" s="156">
        <v>261.39999999999998</v>
      </c>
      <c r="N42" s="156">
        <v>400.9</v>
      </c>
      <c r="O42" s="156">
        <v>244.6</v>
      </c>
      <c r="P42" s="156">
        <v>170.7</v>
      </c>
      <c r="Q42" s="156">
        <v>351.3</v>
      </c>
      <c r="R42" s="156">
        <v>32.299999999999997</v>
      </c>
      <c r="S42" s="156">
        <v>5.9</v>
      </c>
      <c r="T42" s="156">
        <v>214.1</v>
      </c>
      <c r="U42" s="156">
        <v>48.8</v>
      </c>
      <c r="V42" s="156">
        <v>39.799999999999997</v>
      </c>
      <c r="W42" s="156">
        <v>62.5</v>
      </c>
      <c r="X42" s="156">
        <v>141.19999999999999</v>
      </c>
      <c r="Y42" s="156">
        <v>110.6</v>
      </c>
      <c r="Z42" s="156">
        <v>171.8</v>
      </c>
      <c r="AA42" s="156">
        <v>300</v>
      </c>
      <c r="AB42" s="156">
        <v>255.5</v>
      </c>
      <c r="AC42" s="156">
        <v>350.8</v>
      </c>
      <c r="AD42" s="156">
        <v>558.4</v>
      </c>
      <c r="AE42" s="156">
        <v>446.7</v>
      </c>
      <c r="AF42" s="156">
        <v>651.20000000000005</v>
      </c>
      <c r="AG42" s="156">
        <v>1053.4000000000001</v>
      </c>
      <c r="AH42" s="156">
        <v>563.79999999999995</v>
      </c>
      <c r="AI42" s="156">
        <v>1379</v>
      </c>
      <c r="AJ42" s="156">
        <v>12.0435666431882</v>
      </c>
      <c r="AK42" s="156">
        <v>6.3848250747382096</v>
      </c>
      <c r="AL42" s="156">
        <v>61.723353456646997</v>
      </c>
      <c r="AM42" s="156">
        <v>7.1</v>
      </c>
      <c r="AN42" s="156">
        <v>4.4000000000000004</v>
      </c>
      <c r="AO42" s="156">
        <v>16.399999999999999</v>
      </c>
    </row>
    <row r="43" spans="1:41">
      <c r="A43" s="155">
        <v>45809</v>
      </c>
      <c r="B43" s="45">
        <f t="shared" si="0"/>
        <v>2025</v>
      </c>
      <c r="C43" s="156">
        <v>1498.4</v>
      </c>
      <c r="D43" s="156">
        <v>1253.5999999999999</v>
      </c>
      <c r="E43" s="156">
        <v>1708.5</v>
      </c>
      <c r="F43" s="156">
        <v>289.39999999999998</v>
      </c>
      <c r="G43" s="156">
        <v>211.1</v>
      </c>
      <c r="H43" s="156">
        <v>358.5</v>
      </c>
      <c r="I43" s="156">
        <v>1614.5</v>
      </c>
      <c r="J43" s="156">
        <v>1214.5999999999999</v>
      </c>
      <c r="K43" s="156">
        <v>1976.8</v>
      </c>
      <c r="L43" s="156">
        <v>328.4</v>
      </c>
      <c r="M43" s="156">
        <v>255.3</v>
      </c>
      <c r="N43" s="156">
        <v>397.7</v>
      </c>
      <c r="O43" s="156">
        <v>193.9</v>
      </c>
      <c r="P43" s="156">
        <v>135.5</v>
      </c>
      <c r="Q43" s="156">
        <v>278.10000000000002</v>
      </c>
      <c r="R43" s="156">
        <v>32.299999999999997</v>
      </c>
      <c r="S43" s="156">
        <v>5.8</v>
      </c>
      <c r="T43" s="156">
        <v>219.8</v>
      </c>
      <c r="U43" s="156">
        <v>48.4</v>
      </c>
      <c r="V43" s="156">
        <v>39.6</v>
      </c>
      <c r="W43" s="156">
        <v>62</v>
      </c>
      <c r="X43" s="156">
        <v>131.4</v>
      </c>
      <c r="Y43" s="156">
        <v>100.8</v>
      </c>
      <c r="Z43" s="156">
        <v>162</v>
      </c>
      <c r="AA43" s="156">
        <v>296.10000000000002</v>
      </c>
      <c r="AB43" s="156">
        <v>252.1</v>
      </c>
      <c r="AC43" s="156">
        <v>346.4</v>
      </c>
      <c r="AD43" s="156">
        <v>565.20000000000005</v>
      </c>
      <c r="AE43" s="156">
        <v>455.1</v>
      </c>
      <c r="AF43" s="156">
        <v>657.1</v>
      </c>
      <c r="AG43" s="156">
        <v>1135.0999999999999</v>
      </c>
      <c r="AH43" s="156">
        <v>704.7</v>
      </c>
      <c r="AI43" s="156">
        <v>1442.3</v>
      </c>
      <c r="AJ43" s="156">
        <v>12.039989025119</v>
      </c>
      <c r="AK43" s="156">
        <v>6.3680886647294104</v>
      </c>
      <c r="AL43" s="156">
        <v>62.831834166630102</v>
      </c>
      <c r="AM43" s="156">
        <v>7.1</v>
      </c>
      <c r="AN43" s="156">
        <v>4.4000000000000004</v>
      </c>
      <c r="AO43" s="156">
        <v>16.5</v>
      </c>
    </row>
    <row r="44" spans="1:41">
      <c r="A44" s="155">
        <v>45839</v>
      </c>
      <c r="B44" s="45">
        <f t="shared" si="0"/>
        <v>2025</v>
      </c>
      <c r="C44" s="156">
        <v>1493.7</v>
      </c>
      <c r="D44" s="156">
        <v>1244.4000000000001</v>
      </c>
      <c r="E44" s="156">
        <v>1706.9</v>
      </c>
      <c r="F44" s="156">
        <v>296.39999999999998</v>
      </c>
      <c r="G44" s="156">
        <v>219.2</v>
      </c>
      <c r="H44" s="156">
        <v>364.8</v>
      </c>
      <c r="I44" s="156">
        <v>1682</v>
      </c>
      <c r="J44" s="156">
        <v>1290</v>
      </c>
      <c r="K44" s="156">
        <v>2039.1</v>
      </c>
      <c r="L44" s="156">
        <v>323.2</v>
      </c>
      <c r="M44" s="156">
        <v>248.5</v>
      </c>
      <c r="N44" s="156">
        <v>393.8</v>
      </c>
      <c r="O44" s="156">
        <v>164.4</v>
      </c>
      <c r="P44" s="156">
        <v>115.1</v>
      </c>
      <c r="Q44" s="156">
        <v>235.6</v>
      </c>
      <c r="R44" s="156">
        <v>32.299999999999997</v>
      </c>
      <c r="S44" s="156">
        <v>5.6</v>
      </c>
      <c r="T44" s="156">
        <v>225.5</v>
      </c>
      <c r="U44" s="156">
        <v>48.6</v>
      </c>
      <c r="V44" s="156">
        <v>39.700000000000003</v>
      </c>
      <c r="W44" s="156">
        <v>62.3</v>
      </c>
      <c r="X44" s="156">
        <v>129.6</v>
      </c>
      <c r="Y44" s="156">
        <v>99</v>
      </c>
      <c r="Z44" s="156">
        <v>160.19999999999999</v>
      </c>
      <c r="AA44" s="156">
        <v>297.5</v>
      </c>
      <c r="AB44" s="156">
        <v>253.3</v>
      </c>
      <c r="AC44" s="156">
        <v>348</v>
      </c>
      <c r="AD44" s="156">
        <v>556.4</v>
      </c>
      <c r="AE44" s="156">
        <v>444.2</v>
      </c>
      <c r="AF44" s="156">
        <v>649.5</v>
      </c>
      <c r="AG44" s="156">
        <v>1131.5</v>
      </c>
      <c r="AH44" s="156">
        <v>698.8</v>
      </c>
      <c r="AI44" s="156">
        <v>1439.5</v>
      </c>
      <c r="AJ44" s="156">
        <v>12.035842117714401</v>
      </c>
      <c r="AK44" s="156">
        <v>6.3513441395916104</v>
      </c>
      <c r="AL44" s="156">
        <v>63.958799378920297</v>
      </c>
      <c r="AM44" s="156">
        <v>7.1</v>
      </c>
      <c r="AN44" s="156">
        <v>4.4000000000000004</v>
      </c>
      <c r="AO44" s="156">
        <v>16.600000000000001</v>
      </c>
    </row>
    <row r="45" spans="1:41">
      <c r="A45" s="155">
        <v>45870</v>
      </c>
      <c r="B45" s="45">
        <f t="shared" si="0"/>
        <v>2025</v>
      </c>
      <c r="C45" s="156">
        <v>1493</v>
      </c>
      <c r="D45" s="156">
        <v>1240.3</v>
      </c>
      <c r="E45" s="156">
        <v>1708.8</v>
      </c>
      <c r="F45" s="156">
        <v>282.8</v>
      </c>
      <c r="G45" s="156">
        <v>203.4</v>
      </c>
      <c r="H45" s="156">
        <v>352.5</v>
      </c>
      <c r="I45" s="156">
        <v>1602.8</v>
      </c>
      <c r="J45" s="156">
        <v>1201.0999999999999</v>
      </c>
      <c r="K45" s="156">
        <v>1966.2</v>
      </c>
      <c r="L45" s="156">
        <v>323.3</v>
      </c>
      <c r="M45" s="156">
        <v>247.3</v>
      </c>
      <c r="N45" s="156">
        <v>395</v>
      </c>
      <c r="O45" s="156">
        <v>155.1</v>
      </c>
      <c r="P45" s="156">
        <v>108.6</v>
      </c>
      <c r="Q45" s="156">
        <v>222.1</v>
      </c>
      <c r="R45" s="156">
        <v>32.299999999999997</v>
      </c>
      <c r="S45" s="156">
        <v>5.5</v>
      </c>
      <c r="T45" s="156">
        <v>231.2</v>
      </c>
      <c r="U45" s="156">
        <v>48.9</v>
      </c>
      <c r="V45" s="156">
        <v>39.9</v>
      </c>
      <c r="W45" s="156">
        <v>62.7</v>
      </c>
      <c r="X45" s="156">
        <v>124.2</v>
      </c>
      <c r="Y45" s="156">
        <v>93.6</v>
      </c>
      <c r="Z45" s="156">
        <v>154.80000000000001</v>
      </c>
      <c r="AA45" s="156">
        <v>290.5</v>
      </c>
      <c r="AB45" s="156">
        <v>247.2</v>
      </c>
      <c r="AC45" s="156">
        <v>339.9</v>
      </c>
      <c r="AD45" s="156">
        <v>542.20000000000005</v>
      </c>
      <c r="AE45" s="156">
        <v>426.2</v>
      </c>
      <c r="AF45" s="156">
        <v>637.4</v>
      </c>
      <c r="AG45" s="156">
        <v>1075.4000000000001</v>
      </c>
      <c r="AH45" s="156">
        <v>603.9</v>
      </c>
      <c r="AI45" s="156">
        <v>1395.9</v>
      </c>
      <c r="AJ45" s="156">
        <v>12.0342214737655</v>
      </c>
      <c r="AK45" s="156">
        <v>6.3355057040839799</v>
      </c>
      <c r="AL45" s="156">
        <v>65.1808447721628</v>
      </c>
      <c r="AM45" s="156">
        <v>7.1</v>
      </c>
      <c r="AN45" s="156">
        <v>4.4000000000000004</v>
      </c>
      <c r="AO45" s="156">
        <v>16.7</v>
      </c>
    </row>
    <row r="46" spans="1:41">
      <c r="A46" s="155">
        <v>45901</v>
      </c>
      <c r="B46" s="45">
        <f t="shared" si="0"/>
        <v>2025</v>
      </c>
      <c r="C46" s="156">
        <v>1467.7</v>
      </c>
      <c r="D46" s="156">
        <v>1206.3</v>
      </c>
      <c r="E46" s="156">
        <v>1689.2</v>
      </c>
      <c r="F46" s="156">
        <v>292.2</v>
      </c>
      <c r="G46" s="156">
        <v>214.4</v>
      </c>
      <c r="H46" s="156">
        <v>361</v>
      </c>
      <c r="I46" s="156">
        <v>1647.1</v>
      </c>
      <c r="J46" s="156">
        <v>1250.9000000000001</v>
      </c>
      <c r="K46" s="156">
        <v>2007</v>
      </c>
      <c r="L46" s="156">
        <v>329.5</v>
      </c>
      <c r="M46" s="156">
        <v>252.8</v>
      </c>
      <c r="N46" s="156">
        <v>402</v>
      </c>
      <c r="O46" s="156">
        <v>171</v>
      </c>
      <c r="P46" s="156">
        <v>119.6</v>
      </c>
      <c r="Q46" s="156">
        <v>245</v>
      </c>
      <c r="R46" s="156">
        <v>32.299999999999997</v>
      </c>
      <c r="S46" s="156">
        <v>5.4</v>
      </c>
      <c r="T46" s="156">
        <v>237.2</v>
      </c>
      <c r="U46" s="156">
        <v>48.9</v>
      </c>
      <c r="V46" s="156">
        <v>39.9</v>
      </c>
      <c r="W46" s="156">
        <v>62.8</v>
      </c>
      <c r="X46" s="156">
        <v>139.6</v>
      </c>
      <c r="Y46" s="156">
        <v>109</v>
      </c>
      <c r="Z46" s="156">
        <v>170.2</v>
      </c>
      <c r="AA46" s="156">
        <v>312</v>
      </c>
      <c r="AB46" s="156">
        <v>266</v>
      </c>
      <c r="AC46" s="156">
        <v>364.5</v>
      </c>
      <c r="AD46" s="156">
        <v>555.29999999999995</v>
      </c>
      <c r="AE46" s="156">
        <v>442.7</v>
      </c>
      <c r="AF46" s="156">
        <v>648.6</v>
      </c>
      <c r="AG46" s="156">
        <v>1101.0999999999999</v>
      </c>
      <c r="AH46" s="156">
        <v>648.6</v>
      </c>
      <c r="AI46" s="156">
        <v>1415.7</v>
      </c>
      <c r="AJ46" s="156">
        <v>12.033921289430101</v>
      </c>
      <c r="AK46" s="156">
        <v>6.3202058045963501</v>
      </c>
      <c r="AL46" s="156">
        <v>66.475386422350496</v>
      </c>
      <c r="AM46" s="156">
        <v>7.1</v>
      </c>
      <c r="AN46" s="156">
        <v>4.4000000000000004</v>
      </c>
      <c r="AO46" s="156">
        <v>16.8</v>
      </c>
    </row>
    <row r="47" spans="1:41">
      <c r="A47" s="155">
        <v>45931</v>
      </c>
      <c r="B47" s="45">
        <f t="shared" si="0"/>
        <v>2025</v>
      </c>
      <c r="C47" s="156">
        <v>1541</v>
      </c>
      <c r="D47" s="156">
        <v>1291.2</v>
      </c>
      <c r="E47" s="156">
        <v>1755.6</v>
      </c>
      <c r="F47" s="156">
        <v>294.3</v>
      </c>
      <c r="G47" s="156">
        <v>216.8</v>
      </c>
      <c r="H47" s="156">
        <v>363</v>
      </c>
      <c r="I47" s="156">
        <v>1666.1</v>
      </c>
      <c r="J47" s="156">
        <v>1272.0999999999999</v>
      </c>
      <c r="K47" s="156">
        <v>2024.5</v>
      </c>
      <c r="L47" s="156">
        <v>336.4</v>
      </c>
      <c r="M47" s="156">
        <v>258.89999999999998</v>
      </c>
      <c r="N47" s="156">
        <v>409.6</v>
      </c>
      <c r="O47" s="156">
        <v>187.6</v>
      </c>
      <c r="P47" s="156">
        <v>131.1</v>
      </c>
      <c r="Q47" s="156">
        <v>269</v>
      </c>
      <c r="R47" s="156">
        <v>32.4</v>
      </c>
      <c r="S47" s="156">
        <v>5.3</v>
      </c>
      <c r="T47" s="156">
        <v>243.5</v>
      </c>
      <c r="U47" s="156">
        <v>48.3</v>
      </c>
      <c r="V47" s="156">
        <v>39.5</v>
      </c>
      <c r="W47" s="156">
        <v>61.8</v>
      </c>
      <c r="X47" s="156">
        <v>138.1</v>
      </c>
      <c r="Y47" s="156">
        <v>107.5</v>
      </c>
      <c r="Z47" s="156">
        <v>168.7</v>
      </c>
      <c r="AA47" s="156">
        <v>302.7</v>
      </c>
      <c r="AB47" s="156">
        <v>257.89999999999998</v>
      </c>
      <c r="AC47" s="156">
        <v>353.9</v>
      </c>
      <c r="AD47" s="156">
        <v>546.29999999999995</v>
      </c>
      <c r="AE47" s="156">
        <v>431.5</v>
      </c>
      <c r="AF47" s="156">
        <v>640.9</v>
      </c>
      <c r="AG47" s="156">
        <v>1068.8</v>
      </c>
      <c r="AH47" s="156">
        <v>592.1</v>
      </c>
      <c r="AI47" s="156">
        <v>1390.8</v>
      </c>
      <c r="AJ47" s="156">
        <v>12.034632331919999</v>
      </c>
      <c r="AK47" s="156">
        <v>6.3053459570297496</v>
      </c>
      <c r="AL47" s="156">
        <v>67.839946357602798</v>
      </c>
      <c r="AM47" s="156">
        <v>7.1</v>
      </c>
      <c r="AN47" s="156">
        <v>4.4000000000000004</v>
      </c>
      <c r="AO47" s="156">
        <v>16.899999999999999</v>
      </c>
    </row>
    <row r="48" spans="1:41">
      <c r="A48" s="155">
        <v>45962</v>
      </c>
      <c r="B48" s="45">
        <f t="shared" si="0"/>
        <v>2025</v>
      </c>
      <c r="C48" s="156">
        <v>1580.7</v>
      </c>
      <c r="D48" s="156">
        <v>1335.3</v>
      </c>
      <c r="E48" s="156">
        <v>1792.8</v>
      </c>
      <c r="F48" s="156">
        <v>330.2</v>
      </c>
      <c r="G48" s="156">
        <v>257.8</v>
      </c>
      <c r="H48" s="156">
        <v>395.7</v>
      </c>
      <c r="I48" s="156">
        <v>1781</v>
      </c>
      <c r="J48" s="156">
        <v>1399.8</v>
      </c>
      <c r="K48" s="156">
        <v>2130.9</v>
      </c>
      <c r="L48" s="156">
        <v>356</v>
      </c>
      <c r="M48" s="156">
        <v>278.7</v>
      </c>
      <c r="N48" s="156">
        <v>429.4</v>
      </c>
      <c r="O48" s="156">
        <v>279.3</v>
      </c>
      <c r="P48" s="156">
        <v>194.7</v>
      </c>
      <c r="Q48" s="156">
        <v>401.5</v>
      </c>
      <c r="R48" s="156">
        <v>32.4</v>
      </c>
      <c r="S48" s="156">
        <v>5.2</v>
      </c>
      <c r="T48" s="156">
        <v>249.3</v>
      </c>
      <c r="U48" s="156">
        <v>54.5</v>
      </c>
      <c r="V48" s="156">
        <v>43.6</v>
      </c>
      <c r="W48" s="156">
        <v>72</v>
      </c>
      <c r="X48" s="156">
        <v>143</v>
      </c>
      <c r="Y48" s="156">
        <v>112.4</v>
      </c>
      <c r="Z48" s="156">
        <v>173.6</v>
      </c>
      <c r="AA48" s="156">
        <v>322.5</v>
      </c>
      <c r="AB48" s="156">
        <v>275.2</v>
      </c>
      <c r="AC48" s="156">
        <v>376.4</v>
      </c>
      <c r="AD48" s="156">
        <v>602.20000000000005</v>
      </c>
      <c r="AE48" s="156">
        <v>500.3</v>
      </c>
      <c r="AF48" s="156">
        <v>689.1</v>
      </c>
      <c r="AG48" s="156">
        <v>1245</v>
      </c>
      <c r="AH48" s="156">
        <v>870.7</v>
      </c>
      <c r="AI48" s="156">
        <v>1530.3</v>
      </c>
      <c r="AJ48" s="156">
        <v>12.037854249737901</v>
      </c>
      <c r="AK48" s="156">
        <v>6.2913567026862198</v>
      </c>
      <c r="AL48" s="156">
        <v>69.321645274039696</v>
      </c>
      <c r="AM48" s="156">
        <v>7.1</v>
      </c>
      <c r="AN48" s="156">
        <v>4.4000000000000004</v>
      </c>
      <c r="AO48" s="156">
        <v>17</v>
      </c>
    </row>
    <row r="49" spans="1:41">
      <c r="A49" s="155">
        <v>45992</v>
      </c>
      <c r="B49" s="45">
        <f t="shared" si="0"/>
        <v>2025</v>
      </c>
      <c r="C49" s="156">
        <v>1662.7</v>
      </c>
      <c r="D49" s="156">
        <v>1428.5</v>
      </c>
      <c r="E49" s="156">
        <v>1867.7</v>
      </c>
      <c r="F49" s="156">
        <v>391.7</v>
      </c>
      <c r="G49" s="156">
        <v>325.89999999999998</v>
      </c>
      <c r="H49" s="156">
        <v>452.6</v>
      </c>
      <c r="I49" s="156">
        <v>1934</v>
      </c>
      <c r="J49" s="156">
        <v>1567.7</v>
      </c>
      <c r="K49" s="156">
        <v>2273.5</v>
      </c>
      <c r="L49" s="156">
        <v>380.1</v>
      </c>
      <c r="M49" s="156">
        <v>303.10000000000002</v>
      </c>
      <c r="N49" s="156">
        <v>453.4</v>
      </c>
      <c r="O49" s="156">
        <v>396.8</v>
      </c>
      <c r="P49" s="156">
        <v>276</v>
      </c>
      <c r="Q49" s="156">
        <v>571.70000000000005</v>
      </c>
      <c r="R49" s="156">
        <v>32.4</v>
      </c>
      <c r="S49" s="156">
        <v>5.0999999999999996</v>
      </c>
      <c r="T49" s="156">
        <v>256.3</v>
      </c>
      <c r="U49" s="156">
        <v>63.9</v>
      </c>
      <c r="V49" s="156">
        <v>49.6</v>
      </c>
      <c r="W49" s="156">
        <v>88.7</v>
      </c>
      <c r="X49" s="156">
        <v>171.1</v>
      </c>
      <c r="Y49" s="156">
        <v>140.5</v>
      </c>
      <c r="Z49" s="156">
        <v>201.7</v>
      </c>
      <c r="AA49" s="156">
        <v>367.2</v>
      </c>
      <c r="AB49" s="156">
        <v>314.39999999999998</v>
      </c>
      <c r="AC49" s="156">
        <v>427.3</v>
      </c>
      <c r="AD49" s="156">
        <v>668.5</v>
      </c>
      <c r="AE49" s="156">
        <v>578.4</v>
      </c>
      <c r="AF49" s="156">
        <v>747.8</v>
      </c>
      <c r="AG49" s="156">
        <v>1578.8</v>
      </c>
      <c r="AH49" s="156">
        <v>1304.2</v>
      </c>
      <c r="AI49" s="156">
        <v>1812.3</v>
      </c>
      <c r="AJ49" s="156">
        <v>12.038017392959</v>
      </c>
      <c r="AK49" s="156">
        <v>6.2766095176475902</v>
      </c>
      <c r="AL49" s="156">
        <v>70.770274287765702</v>
      </c>
      <c r="AM49" s="156">
        <v>7.1</v>
      </c>
      <c r="AN49" s="156">
        <v>4.4000000000000004</v>
      </c>
      <c r="AO49" s="156">
        <v>17.100000000000001</v>
      </c>
    </row>
    <row r="50" spans="1:41">
      <c r="A50" s="155">
        <v>46023</v>
      </c>
      <c r="B50" s="45">
        <f t="shared" si="0"/>
        <v>2026</v>
      </c>
      <c r="C50" s="156">
        <v>1744.7</v>
      </c>
      <c r="D50" s="156">
        <v>1517.8</v>
      </c>
      <c r="E50" s="156">
        <v>1945.4</v>
      </c>
      <c r="F50" s="156">
        <v>441</v>
      </c>
      <c r="G50" s="156">
        <v>375.9</v>
      </c>
      <c r="H50" s="156">
        <v>501.8</v>
      </c>
      <c r="I50" s="156">
        <v>2126.5</v>
      </c>
      <c r="J50" s="156">
        <v>1760.1</v>
      </c>
      <c r="K50" s="156">
        <v>2468.4</v>
      </c>
      <c r="L50" s="156">
        <v>403.3</v>
      </c>
      <c r="M50" s="156">
        <v>325.5</v>
      </c>
      <c r="N50" s="156">
        <v>477.6</v>
      </c>
      <c r="O50" s="156">
        <v>425.3</v>
      </c>
      <c r="P50" s="156">
        <v>292.10000000000002</v>
      </c>
      <c r="Q50" s="156">
        <v>620.70000000000005</v>
      </c>
      <c r="R50" s="156">
        <v>32.4</v>
      </c>
      <c r="S50" s="156">
        <v>5</v>
      </c>
      <c r="T50" s="156">
        <v>262.39999999999998</v>
      </c>
      <c r="U50" s="156">
        <v>71.5</v>
      </c>
      <c r="V50" s="156">
        <v>54</v>
      </c>
      <c r="W50" s="156">
        <v>104.3</v>
      </c>
      <c r="X50" s="156">
        <v>179.8</v>
      </c>
      <c r="Y50" s="156">
        <v>148.6</v>
      </c>
      <c r="Z50" s="156">
        <v>211.1</v>
      </c>
      <c r="AA50" s="156">
        <v>360</v>
      </c>
      <c r="AB50" s="156">
        <v>305.8</v>
      </c>
      <c r="AC50" s="156">
        <v>422.2</v>
      </c>
      <c r="AD50" s="156">
        <v>718</v>
      </c>
      <c r="AE50" s="156">
        <v>634.20000000000005</v>
      </c>
      <c r="AF50" s="156">
        <v>793</v>
      </c>
      <c r="AG50" s="156">
        <v>1574.6</v>
      </c>
      <c r="AH50" s="156">
        <v>1275.8</v>
      </c>
      <c r="AI50" s="156">
        <v>1825.2</v>
      </c>
      <c r="AJ50" s="156">
        <v>12.0378493608842</v>
      </c>
      <c r="AK50" s="156">
        <v>6.2617658325724896</v>
      </c>
      <c r="AL50" s="156">
        <v>72.274465037966195</v>
      </c>
      <c r="AM50" s="156">
        <v>7.1</v>
      </c>
      <c r="AN50" s="156">
        <v>4.4000000000000004</v>
      </c>
      <c r="AO50" s="156">
        <v>17.2</v>
      </c>
    </row>
    <row r="51" spans="1:41">
      <c r="A51" s="155">
        <v>46054</v>
      </c>
      <c r="B51" s="45">
        <f t="shared" si="0"/>
        <v>2026</v>
      </c>
      <c r="C51" s="156">
        <v>1650.4</v>
      </c>
      <c r="D51" s="156">
        <v>1404.4</v>
      </c>
      <c r="E51" s="156">
        <v>1864.3</v>
      </c>
      <c r="F51" s="156">
        <v>401.3</v>
      </c>
      <c r="G51" s="156">
        <v>331.7</v>
      </c>
      <c r="H51" s="156">
        <v>465.5</v>
      </c>
      <c r="I51" s="156">
        <v>1956.1</v>
      </c>
      <c r="J51" s="156">
        <v>1567.6</v>
      </c>
      <c r="K51" s="156">
        <v>2314.8000000000002</v>
      </c>
      <c r="L51" s="156">
        <v>386.2</v>
      </c>
      <c r="M51" s="156">
        <v>305.8</v>
      </c>
      <c r="N51" s="156">
        <v>462.5</v>
      </c>
      <c r="O51" s="156">
        <v>401.3</v>
      </c>
      <c r="P51" s="156">
        <v>275.5</v>
      </c>
      <c r="Q51" s="156">
        <v>586.20000000000005</v>
      </c>
      <c r="R51" s="156">
        <v>32.4</v>
      </c>
      <c r="S51" s="156">
        <v>4.9000000000000004</v>
      </c>
      <c r="T51" s="156">
        <v>268.8</v>
      </c>
      <c r="U51" s="156">
        <v>68.900000000000006</v>
      </c>
      <c r="V51" s="156">
        <v>52.4</v>
      </c>
      <c r="W51" s="156">
        <v>99.1</v>
      </c>
      <c r="X51" s="156">
        <v>173.1</v>
      </c>
      <c r="Y51" s="156">
        <v>141.80000000000001</v>
      </c>
      <c r="Z51" s="156">
        <v>204.3</v>
      </c>
      <c r="AA51" s="156">
        <v>342.4</v>
      </c>
      <c r="AB51" s="156">
        <v>290.39999999999998</v>
      </c>
      <c r="AC51" s="156">
        <v>402</v>
      </c>
      <c r="AD51" s="156">
        <v>671.8</v>
      </c>
      <c r="AE51" s="156">
        <v>581.4</v>
      </c>
      <c r="AF51" s="156">
        <v>751.5</v>
      </c>
      <c r="AG51" s="156">
        <v>1380.1</v>
      </c>
      <c r="AH51" s="156">
        <v>1026.0999999999999</v>
      </c>
      <c r="AI51" s="156">
        <v>1660.3</v>
      </c>
      <c r="AJ51" s="156">
        <v>12.0371057996056</v>
      </c>
      <c r="AK51" s="156">
        <v>6.2469402008244703</v>
      </c>
      <c r="AL51" s="156">
        <v>73.809763433202406</v>
      </c>
      <c r="AM51" s="156">
        <v>7.1</v>
      </c>
      <c r="AN51" s="156">
        <v>4.4000000000000004</v>
      </c>
      <c r="AO51" s="156">
        <v>17.3</v>
      </c>
    </row>
    <row r="52" spans="1:41">
      <c r="A52" s="155">
        <v>46082</v>
      </c>
      <c r="B52" s="45">
        <f t="shared" si="0"/>
        <v>2026</v>
      </c>
      <c r="C52" s="156">
        <v>1672.5</v>
      </c>
      <c r="D52" s="156">
        <v>1426.9</v>
      </c>
      <c r="E52" s="156">
        <v>1886.5</v>
      </c>
      <c r="F52" s="156">
        <v>366.4</v>
      </c>
      <c r="G52" s="156">
        <v>293</v>
      </c>
      <c r="H52" s="156">
        <v>433.4</v>
      </c>
      <c r="I52" s="156">
        <v>1914.4</v>
      </c>
      <c r="J52" s="156">
        <v>1518.7</v>
      </c>
      <c r="K52" s="156">
        <v>2278.6999999999998</v>
      </c>
      <c r="L52" s="156">
        <v>380.8</v>
      </c>
      <c r="M52" s="156">
        <v>298.7</v>
      </c>
      <c r="N52" s="156">
        <v>458.6</v>
      </c>
      <c r="O52" s="156">
        <v>344.4</v>
      </c>
      <c r="P52" s="156">
        <v>236.7</v>
      </c>
      <c r="Q52" s="156">
        <v>502.6</v>
      </c>
      <c r="R52" s="156">
        <v>32.4</v>
      </c>
      <c r="S52" s="156">
        <v>4.8</v>
      </c>
      <c r="T52" s="156">
        <v>275.2</v>
      </c>
      <c r="U52" s="156">
        <v>64.099999999999994</v>
      </c>
      <c r="V52" s="156">
        <v>49.5</v>
      </c>
      <c r="W52" s="156">
        <v>89.8</v>
      </c>
      <c r="X52" s="156">
        <v>160.9</v>
      </c>
      <c r="Y52" s="156">
        <v>129.6</v>
      </c>
      <c r="Z52" s="156">
        <v>192.2</v>
      </c>
      <c r="AA52" s="156">
        <v>332.2</v>
      </c>
      <c r="AB52" s="156">
        <v>281.5</v>
      </c>
      <c r="AC52" s="156">
        <v>390.3</v>
      </c>
      <c r="AD52" s="156">
        <v>650.20000000000005</v>
      </c>
      <c r="AE52" s="156">
        <v>556.20000000000005</v>
      </c>
      <c r="AF52" s="156">
        <v>732.2</v>
      </c>
      <c r="AG52" s="156">
        <v>1301.3</v>
      </c>
      <c r="AH52" s="156">
        <v>917.3</v>
      </c>
      <c r="AI52" s="156">
        <v>1595.3</v>
      </c>
      <c r="AJ52" s="156">
        <v>12.0370522157192</v>
      </c>
      <c r="AK52" s="156">
        <v>6.2324742128953599</v>
      </c>
      <c r="AL52" s="156">
        <v>75.419870123935794</v>
      </c>
      <c r="AM52" s="156">
        <v>7.1</v>
      </c>
      <c r="AN52" s="156">
        <v>4.4000000000000004</v>
      </c>
      <c r="AO52" s="156">
        <v>17.399999999999999</v>
      </c>
    </row>
    <row r="53" spans="1:41">
      <c r="A53" s="155">
        <v>46113</v>
      </c>
      <c r="B53" s="45">
        <f t="shared" si="0"/>
        <v>2026</v>
      </c>
      <c r="C53" s="156">
        <v>1583.9</v>
      </c>
      <c r="D53" s="156">
        <v>1318.4</v>
      </c>
      <c r="E53" s="156">
        <v>1810.9</v>
      </c>
      <c r="F53" s="156">
        <v>336.2</v>
      </c>
      <c r="G53" s="156">
        <v>258.89999999999998</v>
      </c>
      <c r="H53" s="156">
        <v>405.7</v>
      </c>
      <c r="I53" s="156">
        <v>1800.5</v>
      </c>
      <c r="J53" s="156">
        <v>1391.2</v>
      </c>
      <c r="K53" s="156">
        <v>2174.1999999999998</v>
      </c>
      <c r="L53" s="156">
        <v>363.9</v>
      </c>
      <c r="M53" s="156">
        <v>279.39999999999998</v>
      </c>
      <c r="N53" s="156">
        <v>443.7</v>
      </c>
      <c r="O53" s="156">
        <v>301.5</v>
      </c>
      <c r="P53" s="156">
        <v>207.4</v>
      </c>
      <c r="Q53" s="156">
        <v>439.5</v>
      </c>
      <c r="R53" s="156">
        <v>32.4</v>
      </c>
      <c r="S53" s="156">
        <v>4.7</v>
      </c>
      <c r="T53" s="156">
        <v>281.8</v>
      </c>
      <c r="U53" s="156">
        <v>56.1</v>
      </c>
      <c r="V53" s="156">
        <v>44.5</v>
      </c>
      <c r="W53" s="156">
        <v>75.2</v>
      </c>
      <c r="X53" s="156">
        <v>152.19999999999999</v>
      </c>
      <c r="Y53" s="156">
        <v>120.9</v>
      </c>
      <c r="Z53" s="156">
        <v>183.4</v>
      </c>
      <c r="AA53" s="156">
        <v>322.89999999999998</v>
      </c>
      <c r="AB53" s="156">
        <v>273.39999999999998</v>
      </c>
      <c r="AC53" s="156">
        <v>379.6</v>
      </c>
      <c r="AD53" s="156">
        <v>621.79999999999995</v>
      </c>
      <c r="AE53" s="156">
        <v>522.70000000000005</v>
      </c>
      <c r="AF53" s="156">
        <v>707.1</v>
      </c>
      <c r="AG53" s="156">
        <v>1235.5999999999999</v>
      </c>
      <c r="AH53" s="156">
        <v>821.5</v>
      </c>
      <c r="AI53" s="156">
        <v>1542.2</v>
      </c>
      <c r="AJ53" s="156">
        <v>12.0369302920124</v>
      </c>
      <c r="AK53" s="156">
        <v>6.2181388440707197</v>
      </c>
      <c r="AL53" s="156">
        <v>77.085371250098305</v>
      </c>
      <c r="AM53" s="156">
        <v>7.1</v>
      </c>
      <c r="AN53" s="156">
        <v>4.3</v>
      </c>
      <c r="AO53" s="156">
        <v>17.5</v>
      </c>
    </row>
    <row r="54" spans="1:41">
      <c r="A54" s="155">
        <v>46143</v>
      </c>
      <c r="B54" s="45">
        <f t="shared" si="0"/>
        <v>2026</v>
      </c>
      <c r="C54" s="156">
        <v>1559.3</v>
      </c>
      <c r="D54" s="156">
        <v>1285.0999999999999</v>
      </c>
      <c r="E54" s="156">
        <v>1792</v>
      </c>
      <c r="F54" s="156">
        <v>306.39999999999998</v>
      </c>
      <c r="G54" s="156">
        <v>224.8</v>
      </c>
      <c r="H54" s="156">
        <v>378.6</v>
      </c>
      <c r="I54" s="156">
        <v>1695.6</v>
      </c>
      <c r="J54" s="156">
        <v>1273.3</v>
      </c>
      <c r="K54" s="156">
        <v>2078</v>
      </c>
      <c r="L54" s="156">
        <v>350.7</v>
      </c>
      <c r="M54" s="156">
        <v>263.89999999999998</v>
      </c>
      <c r="N54" s="156">
        <v>432.3</v>
      </c>
      <c r="O54" s="156">
        <v>244.6</v>
      </c>
      <c r="P54" s="156">
        <v>168.5</v>
      </c>
      <c r="Q54" s="156">
        <v>356.1</v>
      </c>
      <c r="R54" s="156">
        <v>32.4</v>
      </c>
      <c r="S54" s="156">
        <v>4.5999999999999996</v>
      </c>
      <c r="T54" s="156">
        <v>288.39999999999998</v>
      </c>
      <c r="U54" s="156">
        <v>47.8</v>
      </c>
      <c r="V54" s="156">
        <v>39</v>
      </c>
      <c r="W54" s="156">
        <v>61.4</v>
      </c>
      <c r="X54" s="156">
        <v>139</v>
      </c>
      <c r="Y54" s="156">
        <v>107.7</v>
      </c>
      <c r="Z54" s="156">
        <v>170.3</v>
      </c>
      <c r="AA54" s="156">
        <v>300</v>
      </c>
      <c r="AB54" s="156">
        <v>253.6</v>
      </c>
      <c r="AC54" s="156">
        <v>353.4</v>
      </c>
      <c r="AD54" s="156">
        <v>558.4</v>
      </c>
      <c r="AE54" s="156">
        <v>445.5</v>
      </c>
      <c r="AF54" s="156">
        <v>652</v>
      </c>
      <c r="AG54" s="156">
        <v>1055.9000000000001</v>
      </c>
      <c r="AH54" s="156">
        <v>513</v>
      </c>
      <c r="AI54" s="156">
        <v>1402.4</v>
      </c>
      <c r="AJ54" s="156">
        <v>12.0380551289041</v>
      </c>
      <c r="AK54" s="156">
        <v>6.20430496756219</v>
      </c>
      <c r="AL54" s="156">
        <v>78.855825802689395</v>
      </c>
      <c r="AM54" s="156">
        <v>7.1</v>
      </c>
      <c r="AN54" s="156">
        <v>4.3</v>
      </c>
      <c r="AO54" s="156">
        <v>17.600000000000001</v>
      </c>
    </row>
    <row r="55" spans="1:41">
      <c r="A55" s="155">
        <v>46174</v>
      </c>
      <c r="B55" s="45">
        <f t="shared" si="0"/>
        <v>2026</v>
      </c>
      <c r="C55" s="156">
        <v>1528.4</v>
      </c>
      <c r="D55" s="156">
        <v>1243.8</v>
      </c>
      <c r="E55" s="156">
        <v>1767.7</v>
      </c>
      <c r="F55" s="156">
        <v>288.8</v>
      </c>
      <c r="G55" s="156">
        <v>204.2</v>
      </c>
      <c r="H55" s="156">
        <v>362.8</v>
      </c>
      <c r="I55" s="156">
        <v>1613.2</v>
      </c>
      <c r="J55" s="156">
        <v>1179.7</v>
      </c>
      <c r="K55" s="156">
        <v>2002.6</v>
      </c>
      <c r="L55" s="156">
        <v>346.2</v>
      </c>
      <c r="M55" s="156">
        <v>257.8</v>
      </c>
      <c r="N55" s="156">
        <v>429.3</v>
      </c>
      <c r="O55" s="156">
        <v>193.9</v>
      </c>
      <c r="P55" s="156">
        <v>133.80000000000001</v>
      </c>
      <c r="Q55" s="156">
        <v>281.8</v>
      </c>
      <c r="R55" s="156">
        <v>32.4</v>
      </c>
      <c r="S55" s="156">
        <v>4.5999999999999996</v>
      </c>
      <c r="T55" s="156">
        <v>295.2</v>
      </c>
      <c r="U55" s="156">
        <v>47.5</v>
      </c>
      <c r="V55" s="156">
        <v>38.799999999999997</v>
      </c>
      <c r="W55" s="156">
        <v>60.9</v>
      </c>
      <c r="X55" s="156">
        <v>129.19999999999999</v>
      </c>
      <c r="Y55" s="156">
        <v>97.9</v>
      </c>
      <c r="Z55" s="156">
        <v>160.5</v>
      </c>
      <c r="AA55" s="156">
        <v>296.10000000000002</v>
      </c>
      <c r="AB55" s="156">
        <v>250.2</v>
      </c>
      <c r="AC55" s="156">
        <v>348.9</v>
      </c>
      <c r="AD55" s="156">
        <v>565.20000000000005</v>
      </c>
      <c r="AE55" s="156">
        <v>454</v>
      </c>
      <c r="AF55" s="156">
        <v>657.9</v>
      </c>
      <c r="AG55" s="156">
        <v>1136.8</v>
      </c>
      <c r="AH55" s="156">
        <v>663.8</v>
      </c>
      <c r="AI55" s="156">
        <v>1464.3</v>
      </c>
      <c r="AJ55" s="156">
        <v>12.0374552495283</v>
      </c>
      <c r="AK55" s="156">
        <v>6.1901057949152101</v>
      </c>
      <c r="AL55" s="156">
        <v>80.632753358876798</v>
      </c>
      <c r="AM55" s="156">
        <v>7.1</v>
      </c>
      <c r="AN55" s="156">
        <v>4.3</v>
      </c>
      <c r="AO55" s="156">
        <v>17.7</v>
      </c>
    </row>
    <row r="56" spans="1:41">
      <c r="A56" s="155">
        <v>46204</v>
      </c>
      <c r="B56" s="45">
        <f t="shared" si="0"/>
        <v>2026</v>
      </c>
      <c r="C56" s="156">
        <v>1523.7</v>
      </c>
      <c r="D56" s="156">
        <v>1234.5</v>
      </c>
      <c r="E56" s="156">
        <v>1766.2</v>
      </c>
      <c r="F56" s="156">
        <v>296.89999999999998</v>
      </c>
      <c r="G56" s="156">
        <v>213.7</v>
      </c>
      <c r="H56" s="156">
        <v>370.1</v>
      </c>
      <c r="I56" s="156">
        <v>1683.7</v>
      </c>
      <c r="J56" s="156">
        <v>1259.4000000000001</v>
      </c>
      <c r="K56" s="156">
        <v>2067.3000000000002</v>
      </c>
      <c r="L56" s="156">
        <v>341</v>
      </c>
      <c r="M56" s="156">
        <v>250.9</v>
      </c>
      <c r="N56" s="156">
        <v>425.5</v>
      </c>
      <c r="O56" s="156">
        <v>164.4</v>
      </c>
      <c r="P56" s="156">
        <v>113.6</v>
      </c>
      <c r="Q56" s="156">
        <v>238.7</v>
      </c>
      <c r="R56" s="156">
        <v>32.4</v>
      </c>
      <c r="S56" s="156">
        <v>4.5</v>
      </c>
      <c r="T56" s="156">
        <v>302.10000000000002</v>
      </c>
      <c r="U56" s="156">
        <v>47.6</v>
      </c>
      <c r="V56" s="156">
        <v>38.9</v>
      </c>
      <c r="W56" s="156">
        <v>61.1</v>
      </c>
      <c r="X56" s="156">
        <v>127.4</v>
      </c>
      <c r="Y56" s="156">
        <v>96.1</v>
      </c>
      <c r="Z56" s="156">
        <v>158.69999999999999</v>
      </c>
      <c r="AA56" s="156">
        <v>297.5</v>
      </c>
      <c r="AB56" s="156">
        <v>251.4</v>
      </c>
      <c r="AC56" s="156">
        <v>350.5</v>
      </c>
      <c r="AD56" s="156">
        <v>556.4</v>
      </c>
      <c r="AE56" s="156">
        <v>443</v>
      </c>
      <c r="AF56" s="156">
        <v>650.29999999999995</v>
      </c>
      <c r="AG56" s="156">
        <v>1133.5</v>
      </c>
      <c r="AH56" s="156">
        <v>658</v>
      </c>
      <c r="AI56" s="156">
        <v>1461.7</v>
      </c>
      <c r="AJ56" s="156">
        <v>12.0367595614102</v>
      </c>
      <c r="AK56" s="156">
        <v>6.1760039565729903</v>
      </c>
      <c r="AL56" s="156">
        <v>82.474989184599806</v>
      </c>
      <c r="AM56" s="156">
        <v>7.1</v>
      </c>
      <c r="AN56" s="156">
        <v>4.3</v>
      </c>
      <c r="AO56" s="156">
        <v>17.8</v>
      </c>
    </row>
    <row r="57" spans="1:41">
      <c r="A57" s="155">
        <v>46235</v>
      </c>
      <c r="B57" s="45">
        <f t="shared" si="0"/>
        <v>2026</v>
      </c>
      <c r="C57" s="156">
        <v>1523.1</v>
      </c>
      <c r="D57" s="156">
        <v>1230.0999999999999</v>
      </c>
      <c r="E57" s="156">
        <v>1768.2</v>
      </c>
      <c r="F57" s="156">
        <v>282.39999999999998</v>
      </c>
      <c r="G57" s="156">
        <v>196.6</v>
      </c>
      <c r="H57" s="156">
        <v>357.1</v>
      </c>
      <c r="I57" s="156">
        <v>1600.9</v>
      </c>
      <c r="J57" s="156">
        <v>1165.5</v>
      </c>
      <c r="K57" s="156">
        <v>1991.6</v>
      </c>
      <c r="L57" s="156">
        <v>341.1</v>
      </c>
      <c r="M57" s="156">
        <v>249.6</v>
      </c>
      <c r="N57" s="156">
        <v>426.8</v>
      </c>
      <c r="O57" s="156">
        <v>155.1</v>
      </c>
      <c r="P57" s="156">
        <v>107.1</v>
      </c>
      <c r="Q57" s="156">
        <v>225.1</v>
      </c>
      <c r="R57" s="156">
        <v>32.4</v>
      </c>
      <c r="S57" s="156">
        <v>4.4000000000000004</v>
      </c>
      <c r="T57" s="156">
        <v>309.10000000000002</v>
      </c>
      <c r="U57" s="156">
        <v>47.9</v>
      </c>
      <c r="V57" s="156">
        <v>39.1</v>
      </c>
      <c r="W57" s="156">
        <v>61.6</v>
      </c>
      <c r="X57" s="156">
        <v>122</v>
      </c>
      <c r="Y57" s="156">
        <v>90.7</v>
      </c>
      <c r="Z57" s="156">
        <v>153.19999999999999</v>
      </c>
      <c r="AA57" s="156">
        <v>290.5</v>
      </c>
      <c r="AB57" s="156">
        <v>245.3</v>
      </c>
      <c r="AC57" s="156">
        <v>342.5</v>
      </c>
      <c r="AD57" s="156">
        <v>542.20000000000005</v>
      </c>
      <c r="AE57" s="156">
        <v>425</v>
      </c>
      <c r="AF57" s="156">
        <v>638.20000000000005</v>
      </c>
      <c r="AG57" s="156">
        <v>1077.2</v>
      </c>
      <c r="AH57" s="156">
        <v>555.5</v>
      </c>
      <c r="AI57" s="156">
        <v>1418.5</v>
      </c>
      <c r="AJ57" s="156">
        <v>12.0364875780266</v>
      </c>
      <c r="AK57" s="156">
        <v>6.1621433549355498</v>
      </c>
      <c r="AL57" s="156">
        <v>84.407119833854395</v>
      </c>
      <c r="AM57" s="156">
        <v>7.1</v>
      </c>
      <c r="AN57" s="156">
        <v>4.3</v>
      </c>
      <c r="AO57" s="156">
        <v>17.899999999999999</v>
      </c>
    </row>
    <row r="58" spans="1:41">
      <c r="A58" s="155">
        <v>46266</v>
      </c>
      <c r="B58" s="45">
        <f t="shared" si="0"/>
        <v>2026</v>
      </c>
      <c r="C58" s="156">
        <v>1498.3</v>
      </c>
      <c r="D58" s="156">
        <v>1195.5999999999999</v>
      </c>
      <c r="E58" s="156">
        <v>1749.4</v>
      </c>
      <c r="F58" s="156">
        <v>292.2</v>
      </c>
      <c r="G58" s="156">
        <v>208.2</v>
      </c>
      <c r="H58" s="156">
        <v>365.9</v>
      </c>
      <c r="I58" s="156">
        <v>1648.8</v>
      </c>
      <c r="J58" s="156">
        <v>1219.9000000000001</v>
      </c>
      <c r="K58" s="156">
        <v>2035.4</v>
      </c>
      <c r="L58" s="156">
        <v>347.3</v>
      </c>
      <c r="M58" s="156">
        <v>255</v>
      </c>
      <c r="N58" s="156">
        <v>433.7</v>
      </c>
      <c r="O58" s="156">
        <v>171</v>
      </c>
      <c r="P58" s="156">
        <v>118</v>
      </c>
      <c r="Q58" s="156">
        <v>248.2</v>
      </c>
      <c r="R58" s="156">
        <v>32.4</v>
      </c>
      <c r="S58" s="156">
        <v>4.3</v>
      </c>
      <c r="T58" s="156">
        <v>316.2</v>
      </c>
      <c r="U58" s="156">
        <v>48</v>
      </c>
      <c r="V58" s="156">
        <v>39.1</v>
      </c>
      <c r="W58" s="156">
        <v>61.6</v>
      </c>
      <c r="X58" s="156">
        <v>137.4</v>
      </c>
      <c r="Y58" s="156">
        <v>106.2</v>
      </c>
      <c r="Z58" s="156">
        <v>168.7</v>
      </c>
      <c r="AA58" s="156">
        <v>312</v>
      </c>
      <c r="AB58" s="156">
        <v>264</v>
      </c>
      <c r="AC58" s="156">
        <v>367.2</v>
      </c>
      <c r="AD58" s="156">
        <v>555.29999999999995</v>
      </c>
      <c r="AE58" s="156">
        <v>441.5</v>
      </c>
      <c r="AF58" s="156">
        <v>649.4</v>
      </c>
      <c r="AG58" s="156">
        <v>1101.5</v>
      </c>
      <c r="AH58" s="156">
        <v>601.29999999999995</v>
      </c>
      <c r="AI58" s="156">
        <v>1437.1</v>
      </c>
      <c r="AJ58" s="156">
        <v>12.0364371934534</v>
      </c>
      <c r="AK58" s="156">
        <v>6.1484641016741701</v>
      </c>
      <c r="AL58" s="156">
        <v>86.427299509584003</v>
      </c>
      <c r="AM58" s="156">
        <v>7.1</v>
      </c>
      <c r="AN58" s="156">
        <v>4.3</v>
      </c>
      <c r="AO58" s="156">
        <v>18</v>
      </c>
    </row>
    <row r="59" spans="1:41">
      <c r="A59" s="155">
        <v>46296</v>
      </c>
      <c r="B59" s="45">
        <f t="shared" si="0"/>
        <v>2026</v>
      </c>
      <c r="C59" s="156">
        <v>1570.1</v>
      </c>
      <c r="D59" s="156">
        <v>1281.0999999999999</v>
      </c>
      <c r="E59" s="156">
        <v>1813.7</v>
      </c>
      <c r="F59" s="156">
        <v>294.3</v>
      </c>
      <c r="G59" s="156">
        <v>210.6</v>
      </c>
      <c r="H59" s="156">
        <v>367.7</v>
      </c>
      <c r="I59" s="156">
        <v>1666.1</v>
      </c>
      <c r="J59" s="156">
        <v>1239.5</v>
      </c>
      <c r="K59" s="156">
        <v>2051.3000000000002</v>
      </c>
      <c r="L59" s="156">
        <v>354</v>
      </c>
      <c r="M59" s="156">
        <v>261</v>
      </c>
      <c r="N59" s="156">
        <v>441.2</v>
      </c>
      <c r="O59" s="156">
        <v>187.6</v>
      </c>
      <c r="P59" s="156">
        <v>129.4</v>
      </c>
      <c r="Q59" s="156">
        <v>272.5</v>
      </c>
      <c r="R59" s="156">
        <v>32.4</v>
      </c>
      <c r="S59" s="156">
        <v>4.2</v>
      </c>
      <c r="T59" s="156">
        <v>323.5</v>
      </c>
      <c r="U59" s="156">
        <v>47.4</v>
      </c>
      <c r="V59" s="156">
        <v>38.700000000000003</v>
      </c>
      <c r="W59" s="156">
        <v>60.7</v>
      </c>
      <c r="X59" s="156">
        <v>136</v>
      </c>
      <c r="Y59" s="156">
        <v>104.7</v>
      </c>
      <c r="Z59" s="156">
        <v>167.3</v>
      </c>
      <c r="AA59" s="156">
        <v>302.7</v>
      </c>
      <c r="AB59" s="156">
        <v>255.9</v>
      </c>
      <c r="AC59" s="156">
        <v>356.6</v>
      </c>
      <c r="AD59" s="156">
        <v>546.29999999999995</v>
      </c>
      <c r="AE59" s="156">
        <v>430.2</v>
      </c>
      <c r="AF59" s="156">
        <v>641.70000000000005</v>
      </c>
      <c r="AG59" s="156">
        <v>1070</v>
      </c>
      <c r="AH59" s="156">
        <v>541.4</v>
      </c>
      <c r="AI59" s="156">
        <v>1413.1</v>
      </c>
      <c r="AJ59" s="156">
        <v>12.036556535475</v>
      </c>
      <c r="AK59" s="156">
        <v>6.1349490775022399</v>
      </c>
      <c r="AL59" s="156">
        <v>88.5393999650111</v>
      </c>
      <c r="AM59" s="156">
        <v>7.1</v>
      </c>
      <c r="AN59" s="156">
        <v>4.3</v>
      </c>
      <c r="AO59" s="156">
        <v>18.100000000000001</v>
      </c>
    </row>
    <row r="60" spans="1:41">
      <c r="A60" s="155">
        <v>46327</v>
      </c>
      <c r="B60" s="45">
        <f t="shared" si="0"/>
        <v>2026</v>
      </c>
      <c r="C60" s="156">
        <v>1609.2</v>
      </c>
      <c r="D60" s="156">
        <v>1325.4</v>
      </c>
      <c r="E60" s="156">
        <v>1849.9</v>
      </c>
      <c r="F60" s="156">
        <v>329.9</v>
      </c>
      <c r="G60" s="156">
        <v>251.8</v>
      </c>
      <c r="H60" s="156">
        <v>400</v>
      </c>
      <c r="I60" s="156">
        <v>1779</v>
      </c>
      <c r="J60" s="156">
        <v>1366.2</v>
      </c>
      <c r="K60" s="156">
        <v>2155.1999999999998</v>
      </c>
      <c r="L60" s="156">
        <v>373.4</v>
      </c>
      <c r="M60" s="156">
        <v>280.7</v>
      </c>
      <c r="N60" s="156">
        <v>460.7</v>
      </c>
      <c r="O60" s="156">
        <v>279.3</v>
      </c>
      <c r="P60" s="156">
        <v>192.2</v>
      </c>
      <c r="Q60" s="156">
        <v>406.9</v>
      </c>
      <c r="R60" s="156">
        <v>32.4</v>
      </c>
      <c r="S60" s="156">
        <v>4.2</v>
      </c>
      <c r="T60" s="156">
        <v>330.8</v>
      </c>
      <c r="U60" s="156">
        <v>53.4</v>
      </c>
      <c r="V60" s="156">
        <v>42.7</v>
      </c>
      <c r="W60" s="156">
        <v>70.599999999999994</v>
      </c>
      <c r="X60" s="156">
        <v>141</v>
      </c>
      <c r="Y60" s="156">
        <v>109.7</v>
      </c>
      <c r="Z60" s="156">
        <v>172.3</v>
      </c>
      <c r="AA60" s="156">
        <v>322.5</v>
      </c>
      <c r="AB60" s="156">
        <v>273.10000000000002</v>
      </c>
      <c r="AC60" s="156">
        <v>379.2</v>
      </c>
      <c r="AD60" s="156">
        <v>602.20000000000005</v>
      </c>
      <c r="AE60" s="156">
        <v>499.2</v>
      </c>
      <c r="AF60" s="156">
        <v>689.9</v>
      </c>
      <c r="AG60" s="156">
        <v>1245.0999999999999</v>
      </c>
      <c r="AH60" s="156">
        <v>835.8</v>
      </c>
      <c r="AI60" s="156">
        <v>1549.9</v>
      </c>
      <c r="AJ60" s="156">
        <v>12.0370971654269</v>
      </c>
      <c r="AK60" s="156">
        <v>6.12166543879919</v>
      </c>
      <c r="AL60" s="156">
        <v>90.761524964579493</v>
      </c>
      <c r="AM60" s="156">
        <v>7.1</v>
      </c>
      <c r="AN60" s="156">
        <v>4.3</v>
      </c>
      <c r="AO60" s="156">
        <v>18.2</v>
      </c>
    </row>
    <row r="61" spans="1:41">
      <c r="A61" s="155">
        <v>46357</v>
      </c>
      <c r="B61" s="45">
        <f t="shared" si="0"/>
        <v>2026</v>
      </c>
      <c r="C61" s="156">
        <v>1689.7</v>
      </c>
      <c r="D61" s="156">
        <v>1419.1</v>
      </c>
      <c r="E61" s="156">
        <v>1922.6</v>
      </c>
      <c r="F61" s="156">
        <v>391.4</v>
      </c>
      <c r="G61" s="156">
        <v>320.39999999999998</v>
      </c>
      <c r="H61" s="156">
        <v>456.6</v>
      </c>
      <c r="I61" s="156">
        <v>1930.8</v>
      </c>
      <c r="J61" s="156">
        <v>1534.2</v>
      </c>
      <c r="K61" s="156">
        <v>2296</v>
      </c>
      <c r="L61" s="156">
        <v>397.2</v>
      </c>
      <c r="M61" s="156">
        <v>304.89999999999998</v>
      </c>
      <c r="N61" s="156">
        <v>484.4</v>
      </c>
      <c r="O61" s="156">
        <v>396.8</v>
      </c>
      <c r="P61" s="156">
        <v>272.39999999999998</v>
      </c>
      <c r="Q61" s="156">
        <v>579.4</v>
      </c>
      <c r="R61" s="156">
        <v>32.4</v>
      </c>
      <c r="S61" s="156">
        <v>4.0999999999999996</v>
      </c>
      <c r="T61" s="156">
        <v>338.5</v>
      </c>
      <c r="U61" s="156">
        <v>62.3</v>
      </c>
      <c r="V61" s="156">
        <v>48.4</v>
      </c>
      <c r="W61" s="156">
        <v>86.5</v>
      </c>
      <c r="X61" s="156">
        <v>168.9</v>
      </c>
      <c r="Y61" s="156">
        <v>137.6</v>
      </c>
      <c r="Z61" s="156">
        <v>200.1</v>
      </c>
      <c r="AA61" s="156">
        <v>367.2</v>
      </c>
      <c r="AB61" s="156">
        <v>312</v>
      </c>
      <c r="AC61" s="156">
        <v>430.4</v>
      </c>
      <c r="AD61" s="156">
        <v>668.5</v>
      </c>
      <c r="AE61" s="156">
        <v>577.5</v>
      </c>
      <c r="AF61" s="156">
        <v>748.5</v>
      </c>
      <c r="AG61" s="156">
        <v>1579.5</v>
      </c>
      <c r="AH61" s="156">
        <v>1281.8</v>
      </c>
      <c r="AI61" s="156">
        <v>1829.4</v>
      </c>
      <c r="AJ61" s="156">
        <v>12.0371245343757</v>
      </c>
      <c r="AK61" s="156">
        <v>6.1083523485086202</v>
      </c>
      <c r="AL61" s="156">
        <v>93.056888619975197</v>
      </c>
      <c r="AM61" s="156">
        <v>7.1</v>
      </c>
      <c r="AN61" s="156">
        <v>4.3</v>
      </c>
      <c r="AO61" s="156">
        <v>18.3</v>
      </c>
    </row>
    <row r="62" spans="1:41">
      <c r="C62" s="45" t="str">
        <f>CONCATENATE(C1,"_",$A$63)</f>
        <v>Overall_Forecast_Average_Max</v>
      </c>
      <c r="D62" s="45" t="str">
        <f t="shared" ref="D62:AL62" si="1">CONCATENATE(D1,"_",$A$63)</f>
        <v>Overall_Forecast_Low95_Max</v>
      </c>
      <c r="E62" s="45" t="str">
        <f t="shared" si="1"/>
        <v>Overall_Forecast_High95_Max</v>
      </c>
      <c r="F62" s="45" t="str">
        <f t="shared" si="1"/>
        <v>GS2_Forecast_Average_Max</v>
      </c>
      <c r="G62" s="45" t="str">
        <f t="shared" si="1"/>
        <v>GS2_Forecast_Low95_Max</v>
      </c>
      <c r="H62" s="45" t="str">
        <f t="shared" si="1"/>
        <v>GS2_Forecast_High95_Max</v>
      </c>
      <c r="I62" s="45" t="str">
        <f t="shared" si="1"/>
        <v>LVS_Forecast_Average_Max</v>
      </c>
      <c r="J62" s="45" t="str">
        <f t="shared" si="1"/>
        <v>LVS_Forecast_Low95_Max</v>
      </c>
      <c r="K62" s="45" t="str">
        <f t="shared" si="1"/>
        <v>LVS_Forecast_High95_Max</v>
      </c>
      <c r="L62" s="45" t="str">
        <f t="shared" si="1"/>
        <v>GS1_Forecast_Average_Max</v>
      </c>
      <c r="M62" s="45" t="str">
        <f t="shared" si="1"/>
        <v>GS1_Forecast_Low95_Max</v>
      </c>
      <c r="N62" s="45" t="str">
        <f t="shared" si="1"/>
        <v>GS1_Forecast_High95_Max</v>
      </c>
      <c r="O62" s="45" t="str">
        <f t="shared" si="1"/>
        <v>GS1_FortMeade_Forecast_Average_Max</v>
      </c>
      <c r="P62" s="45" t="str">
        <f t="shared" si="1"/>
        <v>GS1_FortMeade_Forecast_Low95_Max</v>
      </c>
      <c r="Q62" s="45" t="str">
        <f t="shared" si="1"/>
        <v>GS1_FortMeade_Forecast_High95_Max</v>
      </c>
      <c r="R62" s="45" t="str">
        <f t="shared" si="1"/>
        <v>FTS1_Forecast_Average_Max</v>
      </c>
      <c r="S62" s="45" t="str">
        <f t="shared" si="1"/>
        <v>FTS1_Forecast_Low95_Max</v>
      </c>
      <c r="T62" s="45" t="str">
        <f t="shared" si="1"/>
        <v>FTS1_Forecast_High95_Max</v>
      </c>
      <c r="U62" s="45" t="str">
        <f t="shared" si="1"/>
        <v>FTS2_Forecast_Average_Max</v>
      </c>
      <c r="V62" s="45" t="str">
        <f t="shared" si="1"/>
        <v>FTS2_Forecast_Low95_Max</v>
      </c>
      <c r="W62" s="45" t="str">
        <f t="shared" si="1"/>
        <v>FTS2_Forecast_High95_Max</v>
      </c>
      <c r="X62" s="45" t="str">
        <f t="shared" si="1"/>
        <v>FTS2.1_Forecast_Average_Max</v>
      </c>
      <c r="Y62" s="45" t="str">
        <f t="shared" si="1"/>
        <v>FTS2.1_Forecast_Low95_Max</v>
      </c>
      <c r="Z62" s="45" t="str">
        <f t="shared" si="1"/>
        <v>FTS2.1_Forecast_High95_Max</v>
      </c>
      <c r="AA62" s="45" t="str">
        <f t="shared" si="1"/>
        <v>FTS3_Forecast_Average_Max</v>
      </c>
      <c r="AB62" s="45" t="str">
        <f t="shared" si="1"/>
        <v>FTS3_Forecast_Low95_Max</v>
      </c>
      <c r="AC62" s="45" t="str">
        <f t="shared" si="1"/>
        <v>FTS3_Forecast_High95_Max</v>
      </c>
      <c r="AD62" s="45" t="str">
        <f t="shared" si="1"/>
        <v>FTS3.1_Forecast_Average_Max</v>
      </c>
      <c r="AE62" s="45" t="str">
        <f t="shared" si="1"/>
        <v>FTS3.1_Forecast_Low95_Max</v>
      </c>
      <c r="AF62" s="45" t="str">
        <f t="shared" si="1"/>
        <v>FTS3.1_Forecast_High95_Max</v>
      </c>
      <c r="AG62" s="45" t="str">
        <f t="shared" si="1"/>
        <v>FTS4_Forecast_Average_Max</v>
      </c>
      <c r="AH62" s="45" t="str">
        <f t="shared" si="1"/>
        <v>FTS4_Forecast_Low95_Max</v>
      </c>
      <c r="AI62" s="45" t="str">
        <f t="shared" si="1"/>
        <v>FTS4_Forecast_High95_Max</v>
      </c>
      <c r="AJ62" s="45" t="str">
        <f t="shared" si="1"/>
        <v>CSGS_Forecast_Average_Max</v>
      </c>
      <c r="AK62" s="45" t="str">
        <f t="shared" si="1"/>
        <v>CSGS_Forecast_Low95_Max</v>
      </c>
      <c r="AL62" s="45" t="str">
        <f t="shared" si="1"/>
        <v>CSGS_Forecast_High95_Max</v>
      </c>
      <c r="AM62" s="45" t="str">
        <f>CONCATENATE(AM1,"_",$A$63)</f>
        <v>FTS_AB_C_Forecast_Average_Max</v>
      </c>
      <c r="AN62" s="45" t="str">
        <f>CONCATENATE(AN1,"_",$A$63)</f>
        <v>FTS_AB_C_Forecast_Low95_Max</v>
      </c>
      <c r="AO62" s="45" t="str">
        <f>CONCATENATE(AO1,"_",$A$63)</f>
        <v>FTS_AB_C_Forecast_High95_Max</v>
      </c>
    </row>
    <row r="63" spans="1:41">
      <c r="A63" s="45" t="s">
        <v>717</v>
      </c>
      <c r="B63" s="45">
        <v>2022</v>
      </c>
      <c r="C63" s="158">
        <f t="shared" ref="C63:K63" si="2">MAX(C2:C13)</f>
        <v>1639.6</v>
      </c>
      <c r="D63" s="158">
        <f t="shared" si="2"/>
        <v>1551.8</v>
      </c>
      <c r="E63" s="158">
        <f t="shared" si="2"/>
        <v>1722.9</v>
      </c>
      <c r="F63" s="158">
        <f t="shared" si="2"/>
        <v>440.2</v>
      </c>
      <c r="G63" s="158">
        <f t="shared" si="2"/>
        <v>401.7</v>
      </c>
      <c r="H63" s="158">
        <f t="shared" si="2"/>
        <v>477.2</v>
      </c>
      <c r="I63" s="158">
        <f t="shared" si="2"/>
        <v>2130.9</v>
      </c>
      <c r="J63" s="158">
        <f t="shared" si="2"/>
        <v>1941.9</v>
      </c>
      <c r="K63" s="158">
        <f t="shared" si="2"/>
        <v>2313.1999999999998</v>
      </c>
      <c r="L63" s="158">
        <f t="shared" ref="L63:AC63" si="3">MAX(L2:L13)</f>
        <v>335.6</v>
      </c>
      <c r="M63" s="158">
        <f t="shared" si="3"/>
        <v>314</v>
      </c>
      <c r="N63" s="158">
        <f t="shared" si="3"/>
        <v>361.2</v>
      </c>
      <c r="O63" s="158">
        <f t="shared" si="3"/>
        <v>423.7</v>
      </c>
      <c r="P63" s="158">
        <f t="shared" si="3"/>
        <v>311.5</v>
      </c>
      <c r="Q63" s="158">
        <f t="shared" si="3"/>
        <v>577.20000000000005</v>
      </c>
      <c r="R63" s="158">
        <f t="shared" si="3"/>
        <v>34.700000000000003</v>
      </c>
      <c r="S63" s="158">
        <f t="shared" si="3"/>
        <v>19.2</v>
      </c>
      <c r="T63" s="158">
        <f t="shared" si="3"/>
        <v>89.6</v>
      </c>
      <c r="U63" s="158">
        <f t="shared" si="3"/>
        <v>78.3</v>
      </c>
      <c r="V63" s="158">
        <f t="shared" si="3"/>
        <v>61.1</v>
      </c>
      <c r="W63" s="158">
        <f t="shared" si="3"/>
        <v>108.1</v>
      </c>
      <c r="X63" s="158">
        <f t="shared" si="3"/>
        <v>186.6</v>
      </c>
      <c r="Y63" s="158">
        <f t="shared" si="3"/>
        <v>157.69999999999999</v>
      </c>
      <c r="Z63" s="158">
        <f t="shared" si="3"/>
        <v>215.4</v>
      </c>
      <c r="AA63" s="158">
        <f t="shared" si="3"/>
        <v>358.4</v>
      </c>
      <c r="AB63" s="158">
        <f t="shared" si="3"/>
        <v>312</v>
      </c>
      <c r="AC63" s="158">
        <f t="shared" si="3"/>
        <v>410.3</v>
      </c>
      <c r="AD63" s="158">
        <f t="shared" ref="AD63:AL63" si="4">MAX(AD2:AD13)</f>
        <v>728.4</v>
      </c>
      <c r="AE63" s="158">
        <f t="shared" si="4"/>
        <v>649.9</v>
      </c>
      <c r="AF63" s="158">
        <f t="shared" si="4"/>
        <v>799.2</v>
      </c>
      <c r="AG63" s="158">
        <f t="shared" si="4"/>
        <v>1581.3</v>
      </c>
      <c r="AH63" s="158">
        <f t="shared" si="4"/>
        <v>1378.9</v>
      </c>
      <c r="AI63" s="158">
        <f t="shared" si="4"/>
        <v>1760.5</v>
      </c>
      <c r="AJ63" s="158">
        <f t="shared" si="4"/>
        <v>13.612088122059401</v>
      </c>
      <c r="AK63" s="158">
        <f t="shared" si="4"/>
        <v>8.4739810960405908</v>
      </c>
      <c r="AL63" s="158">
        <f t="shared" si="4"/>
        <v>46.748738562899902</v>
      </c>
      <c r="AM63" s="158">
        <f>MAX(AM2:AM13)</f>
        <v>8.4</v>
      </c>
      <c r="AN63" s="158">
        <f>MAX(AN2:AN13)</f>
        <v>5.6</v>
      </c>
      <c r="AO63" s="158">
        <f>MAX(AO2:AO13)</f>
        <v>15.6</v>
      </c>
    </row>
    <row r="64" spans="1:41">
      <c r="A64" s="45" t="s">
        <v>717</v>
      </c>
      <c r="B64" s="45">
        <v>2023</v>
      </c>
      <c r="C64" s="158">
        <f t="shared" ref="C64:K64" si="5">MAX(C14:C25)</f>
        <v>1665</v>
      </c>
      <c r="D64" s="158">
        <f t="shared" si="5"/>
        <v>1536.8</v>
      </c>
      <c r="E64" s="158">
        <f t="shared" si="5"/>
        <v>1783.9</v>
      </c>
      <c r="F64" s="158">
        <f t="shared" si="5"/>
        <v>440.9</v>
      </c>
      <c r="G64" s="158">
        <f t="shared" si="5"/>
        <v>392.2</v>
      </c>
      <c r="H64" s="158">
        <f t="shared" si="5"/>
        <v>487.1</v>
      </c>
      <c r="I64" s="158">
        <f t="shared" si="5"/>
        <v>2139.1999999999998</v>
      </c>
      <c r="J64" s="158">
        <f t="shared" si="5"/>
        <v>1870.7</v>
      </c>
      <c r="K64" s="158">
        <f t="shared" si="5"/>
        <v>2394.4</v>
      </c>
      <c r="L64" s="158">
        <f t="shared" ref="L64:AC64" si="6">MAX(L14:L25)</f>
        <v>351.5</v>
      </c>
      <c r="M64" s="158">
        <f t="shared" si="6"/>
        <v>315.3</v>
      </c>
      <c r="N64" s="158">
        <f t="shared" si="6"/>
        <v>391.9</v>
      </c>
      <c r="O64" s="158">
        <f t="shared" si="6"/>
        <v>425.3</v>
      </c>
      <c r="P64" s="158">
        <f t="shared" si="6"/>
        <v>304.5</v>
      </c>
      <c r="Q64" s="158">
        <f t="shared" si="6"/>
        <v>595.20000000000005</v>
      </c>
      <c r="R64" s="158">
        <f t="shared" si="6"/>
        <v>33</v>
      </c>
      <c r="S64" s="158">
        <f t="shared" si="6"/>
        <v>12.5</v>
      </c>
      <c r="T64" s="158">
        <f t="shared" si="6"/>
        <v>132.80000000000001</v>
      </c>
      <c r="U64" s="158">
        <f t="shared" si="6"/>
        <v>77.900000000000006</v>
      </c>
      <c r="V64" s="158">
        <f t="shared" si="6"/>
        <v>58.7</v>
      </c>
      <c r="W64" s="158">
        <f t="shared" si="6"/>
        <v>113.8</v>
      </c>
      <c r="X64" s="158">
        <f t="shared" si="6"/>
        <v>187.1</v>
      </c>
      <c r="Y64" s="158">
        <f t="shared" si="6"/>
        <v>158.19999999999999</v>
      </c>
      <c r="Z64" s="158">
        <f t="shared" si="6"/>
        <v>216</v>
      </c>
      <c r="AA64" s="158">
        <f t="shared" si="6"/>
        <v>367.2</v>
      </c>
      <c r="AB64" s="158">
        <f t="shared" si="6"/>
        <v>319.5</v>
      </c>
      <c r="AC64" s="158">
        <f t="shared" si="6"/>
        <v>420.8</v>
      </c>
      <c r="AD64" s="158">
        <f t="shared" ref="AD64:AL64" si="7">MAX(AD14:AD25)</f>
        <v>717.4</v>
      </c>
      <c r="AE64" s="158">
        <f t="shared" si="7"/>
        <v>636.1</v>
      </c>
      <c r="AF64" s="158">
        <f t="shared" si="7"/>
        <v>790.4</v>
      </c>
      <c r="AG64" s="158">
        <f t="shared" si="7"/>
        <v>1576.3</v>
      </c>
      <c r="AH64" s="158">
        <f t="shared" si="7"/>
        <v>1361.8</v>
      </c>
      <c r="AI64" s="158">
        <f t="shared" si="7"/>
        <v>1764.9</v>
      </c>
      <c r="AJ64" s="158">
        <f t="shared" si="7"/>
        <v>12.276501681782801</v>
      </c>
      <c r="AK64" s="158">
        <f t="shared" si="7"/>
        <v>7.0143289317674498</v>
      </c>
      <c r="AL64" s="158">
        <f t="shared" si="7"/>
        <v>45.868508448289298</v>
      </c>
      <c r="AM64" s="158">
        <f>MAX(AM14:AM25)</f>
        <v>8.1</v>
      </c>
      <c r="AN64" s="158">
        <f>MAX(AN14:AN25)</f>
        <v>5.2</v>
      </c>
      <c r="AO64" s="158">
        <f>MAX(AO14:AO25)</f>
        <v>17.3</v>
      </c>
    </row>
    <row r="65" spans="1:41">
      <c r="A65" s="45" t="s">
        <v>718</v>
      </c>
      <c r="B65" s="45">
        <v>2022</v>
      </c>
      <c r="C65" s="256">
        <f t="shared" ref="C65:K65" si="8">INDEX($A$2:$A$13,MATCH(C63,C2:C13,0))</f>
        <v>44562</v>
      </c>
      <c r="D65" s="256">
        <f t="shared" si="8"/>
        <v>44562</v>
      </c>
      <c r="E65" s="256">
        <f t="shared" si="8"/>
        <v>44562</v>
      </c>
      <c r="F65" s="256">
        <f t="shared" si="8"/>
        <v>44562</v>
      </c>
      <c r="G65" s="256">
        <f t="shared" si="8"/>
        <v>44562</v>
      </c>
      <c r="H65" s="256">
        <f t="shared" si="8"/>
        <v>44562</v>
      </c>
      <c r="I65" s="256">
        <f t="shared" si="8"/>
        <v>44562</v>
      </c>
      <c r="J65" s="256">
        <f t="shared" si="8"/>
        <v>44562</v>
      </c>
      <c r="K65" s="256">
        <f t="shared" si="8"/>
        <v>44562</v>
      </c>
      <c r="L65" s="256">
        <f t="shared" ref="L65:AC65" si="9">INDEX($A$2:$A$13,MATCH(L63,L2:L13,0))</f>
        <v>44562</v>
      </c>
      <c r="M65" s="256">
        <f t="shared" si="9"/>
        <v>44562</v>
      </c>
      <c r="N65" s="256">
        <f t="shared" si="9"/>
        <v>44896</v>
      </c>
      <c r="O65" s="256">
        <f t="shared" si="9"/>
        <v>44562</v>
      </c>
      <c r="P65" s="256">
        <f t="shared" si="9"/>
        <v>44562</v>
      </c>
      <c r="Q65" s="256">
        <f t="shared" si="9"/>
        <v>44562</v>
      </c>
      <c r="R65" s="256">
        <f t="shared" si="9"/>
        <v>44896</v>
      </c>
      <c r="S65" s="256">
        <f t="shared" si="9"/>
        <v>44562</v>
      </c>
      <c r="T65" s="256">
        <f t="shared" si="9"/>
        <v>44896</v>
      </c>
      <c r="U65" s="256">
        <f t="shared" si="9"/>
        <v>44562</v>
      </c>
      <c r="V65" s="256">
        <f t="shared" si="9"/>
        <v>44562</v>
      </c>
      <c r="W65" s="256">
        <f t="shared" si="9"/>
        <v>44562</v>
      </c>
      <c r="X65" s="256">
        <f t="shared" si="9"/>
        <v>44562</v>
      </c>
      <c r="Y65" s="256">
        <f t="shared" si="9"/>
        <v>44562</v>
      </c>
      <c r="Z65" s="256">
        <f t="shared" si="9"/>
        <v>44562</v>
      </c>
      <c r="AA65" s="256">
        <f t="shared" si="9"/>
        <v>44896</v>
      </c>
      <c r="AB65" s="256">
        <f t="shared" si="9"/>
        <v>44896</v>
      </c>
      <c r="AC65" s="256">
        <f t="shared" si="9"/>
        <v>44896</v>
      </c>
      <c r="AD65" s="256">
        <f t="shared" ref="AD65:AL65" si="10">INDEX($A$2:$A$13,MATCH(AD63,AD2:AD13,0))</f>
        <v>44562</v>
      </c>
      <c r="AE65" s="256">
        <f t="shared" si="10"/>
        <v>44562</v>
      </c>
      <c r="AF65" s="256">
        <f t="shared" si="10"/>
        <v>44562</v>
      </c>
      <c r="AG65" s="256">
        <f t="shared" si="10"/>
        <v>44896</v>
      </c>
      <c r="AH65" s="256">
        <f t="shared" si="10"/>
        <v>44896</v>
      </c>
      <c r="AI65" s="256">
        <f t="shared" si="10"/>
        <v>44896</v>
      </c>
      <c r="AJ65" s="256">
        <f t="shared" si="10"/>
        <v>44682</v>
      </c>
      <c r="AK65" s="256">
        <f t="shared" si="10"/>
        <v>44562</v>
      </c>
      <c r="AL65" s="256">
        <f t="shared" si="10"/>
        <v>44682</v>
      </c>
      <c r="AM65" s="256">
        <f>INDEX($A$2:$A$13,MATCH(AM63,AM2:AM13,0))</f>
        <v>44562</v>
      </c>
      <c r="AN65" s="256">
        <f>INDEX($A$2:$A$13,MATCH(AN63,AN2:AN13,0))</f>
        <v>44562</v>
      </c>
      <c r="AO65" s="256">
        <f>INDEX($A$2:$A$13,MATCH(AO63,AO2:AO13,0))</f>
        <v>44562</v>
      </c>
    </row>
    <row r="66" spans="1:41">
      <c r="A66" s="45" t="s">
        <v>718</v>
      </c>
      <c r="B66" s="45">
        <v>2023</v>
      </c>
      <c r="C66" s="256">
        <f t="shared" ref="C66:K66" si="11">INDEX($A$14:$A$25,MATCH(C64,C14:C25,0))</f>
        <v>44927</v>
      </c>
      <c r="D66" s="256">
        <f t="shared" si="11"/>
        <v>44927</v>
      </c>
      <c r="E66" s="256">
        <f t="shared" si="11"/>
        <v>44927</v>
      </c>
      <c r="F66" s="256">
        <f t="shared" si="11"/>
        <v>44927</v>
      </c>
      <c r="G66" s="256">
        <f t="shared" si="11"/>
        <v>44927</v>
      </c>
      <c r="H66" s="256">
        <f t="shared" si="11"/>
        <v>44927</v>
      </c>
      <c r="I66" s="256">
        <f t="shared" si="11"/>
        <v>44927</v>
      </c>
      <c r="J66" s="256">
        <f t="shared" si="11"/>
        <v>44927</v>
      </c>
      <c r="K66" s="256">
        <f t="shared" si="11"/>
        <v>44927</v>
      </c>
      <c r="L66" s="256">
        <f t="shared" ref="L66:AC66" si="12">INDEX($A$14:$A$25,MATCH(L64,L14:L25,0))</f>
        <v>44927</v>
      </c>
      <c r="M66" s="256">
        <f t="shared" si="12"/>
        <v>44927</v>
      </c>
      <c r="N66" s="256">
        <f t="shared" si="12"/>
        <v>45261</v>
      </c>
      <c r="O66" s="256">
        <f t="shared" si="12"/>
        <v>44927</v>
      </c>
      <c r="P66" s="256">
        <f t="shared" si="12"/>
        <v>44927</v>
      </c>
      <c r="Q66" s="256">
        <f t="shared" si="12"/>
        <v>44927</v>
      </c>
      <c r="R66" s="256">
        <f t="shared" si="12"/>
        <v>45261</v>
      </c>
      <c r="S66" s="256">
        <f t="shared" si="12"/>
        <v>44927</v>
      </c>
      <c r="T66" s="256">
        <f t="shared" si="12"/>
        <v>45261</v>
      </c>
      <c r="U66" s="256">
        <f t="shared" si="12"/>
        <v>44927</v>
      </c>
      <c r="V66" s="256">
        <f t="shared" si="12"/>
        <v>44927</v>
      </c>
      <c r="W66" s="256">
        <f t="shared" si="12"/>
        <v>44927</v>
      </c>
      <c r="X66" s="256">
        <f t="shared" si="12"/>
        <v>44927</v>
      </c>
      <c r="Y66" s="256">
        <f t="shared" si="12"/>
        <v>44927</v>
      </c>
      <c r="Z66" s="256">
        <f t="shared" si="12"/>
        <v>44927</v>
      </c>
      <c r="AA66" s="256">
        <f t="shared" si="12"/>
        <v>45261</v>
      </c>
      <c r="AB66" s="256">
        <f t="shared" si="12"/>
        <v>45261</v>
      </c>
      <c r="AC66" s="256">
        <f t="shared" si="12"/>
        <v>45261</v>
      </c>
      <c r="AD66" s="256">
        <f t="shared" ref="AD66:AL66" si="13">INDEX($A$14:$A$25,MATCH(AD64,AD14:AD25,0))</f>
        <v>44927</v>
      </c>
      <c r="AE66" s="256">
        <f t="shared" si="13"/>
        <v>44927</v>
      </c>
      <c r="AF66" s="256">
        <f t="shared" si="13"/>
        <v>44927</v>
      </c>
      <c r="AG66" s="256">
        <f t="shared" si="13"/>
        <v>45261</v>
      </c>
      <c r="AH66" s="256">
        <f t="shared" si="13"/>
        <v>45261</v>
      </c>
      <c r="AI66" s="256">
        <f t="shared" si="13"/>
        <v>45261</v>
      </c>
      <c r="AJ66" s="256">
        <f t="shared" si="13"/>
        <v>45047</v>
      </c>
      <c r="AK66" s="256">
        <f t="shared" si="13"/>
        <v>44927</v>
      </c>
      <c r="AL66" s="256">
        <f t="shared" si="13"/>
        <v>45261</v>
      </c>
      <c r="AM66" s="256">
        <f>INDEX($A$14:$A$25,MATCH(AM64,AM14:AM25,0))</f>
        <v>44927</v>
      </c>
      <c r="AN66" s="256">
        <f>INDEX($A$14:$A$25,MATCH(AN64,AN14:AN25,0))</f>
        <v>44927</v>
      </c>
      <c r="AO66" s="256">
        <f>INDEX($A$14:$A$25,MATCH(AO64,AO14:AO25,0))</f>
        <v>44927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29B6-F467-4AAD-B7D4-68085A4146ED}">
  <sheetPr codeName="Sheet40">
    <tabColor theme="0" tint="-0.34998626667073579"/>
  </sheetPr>
  <dimension ref="A1"/>
  <sheetViews>
    <sheetView workbookViewId="0"/>
  </sheetViews>
  <sheetFormatPr defaultColWidth="8.85546875" defaultRowHeight="12.75"/>
  <cols>
    <col min="1" max="16384" width="8.85546875" style="39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E883-C535-4447-87C3-E3E2871AF3A3}">
  <sheetPr>
    <tabColor theme="0" tint="-0.34998626667073579"/>
  </sheetPr>
  <dimension ref="A1:W258"/>
  <sheetViews>
    <sheetView workbookViewId="0"/>
  </sheetViews>
  <sheetFormatPr defaultColWidth="10" defaultRowHeight="11.25"/>
  <cols>
    <col min="1" max="1" width="3.85546875" style="198" bestFit="1" customWidth="1"/>
    <col min="2" max="2" width="31.42578125" style="198" bestFit="1" customWidth="1"/>
    <col min="3" max="3" width="11.5703125" style="198" bestFit="1" customWidth="1"/>
    <col min="4" max="4" width="7.7109375" style="198" bestFit="1" customWidth="1"/>
    <col min="5" max="7" width="7.140625" style="198" customWidth="1"/>
    <col min="8" max="8" width="7.85546875" style="198" customWidth="1"/>
    <col min="9" max="14" width="7.140625" style="198" customWidth="1"/>
    <col min="15" max="15" width="8.140625" style="198" customWidth="1"/>
    <col min="16" max="17" width="10" style="198"/>
    <col min="18" max="18" width="10" style="204"/>
    <col min="19" max="19" width="17.28515625" style="198" bestFit="1" customWidth="1"/>
    <col min="20" max="20" width="10" style="231"/>
    <col min="21" max="16384" width="10" style="198"/>
  </cols>
  <sheetData>
    <row r="1" spans="1:23" ht="12" thickBot="1">
      <c r="B1" s="199" t="s">
        <v>213</v>
      </c>
      <c r="C1" s="253">
        <v>1</v>
      </c>
      <c r="D1" s="253">
        <v>2</v>
      </c>
      <c r="E1" s="253">
        <v>3</v>
      </c>
      <c r="F1" s="253">
        <v>4</v>
      </c>
      <c r="G1" s="253">
        <v>5</v>
      </c>
      <c r="H1" s="253">
        <v>6</v>
      </c>
      <c r="I1" s="253">
        <v>7</v>
      </c>
      <c r="J1" s="253">
        <v>8</v>
      </c>
      <c r="K1" s="253">
        <v>9</v>
      </c>
      <c r="L1" s="253">
        <v>10</v>
      </c>
      <c r="M1" s="253">
        <v>11</v>
      </c>
      <c r="N1" s="253">
        <v>12</v>
      </c>
      <c r="O1" s="200" t="s">
        <v>121</v>
      </c>
      <c r="R1" s="201" t="s">
        <v>214</v>
      </c>
      <c r="S1" s="198" t="s">
        <v>2</v>
      </c>
      <c r="U1" s="198" t="s">
        <v>724</v>
      </c>
    </row>
    <row r="2" spans="1:23" ht="12" thickBot="1">
      <c r="A2" s="198">
        <v>2</v>
      </c>
      <c r="B2" s="202" t="s">
        <v>215</v>
      </c>
      <c r="C2" s="203">
        <f>C14+C59+C60+C61</f>
        <v>697</v>
      </c>
      <c r="D2" s="203">
        <f t="shared" ref="D2:N2" si="0">D14+D59+D60+D61</f>
        <v>697</v>
      </c>
      <c r="E2" s="203">
        <f t="shared" si="0"/>
        <v>699</v>
      </c>
      <c r="F2" s="203">
        <f t="shared" si="0"/>
        <v>697</v>
      </c>
      <c r="G2" s="203">
        <f t="shared" si="0"/>
        <v>697</v>
      </c>
      <c r="H2" s="203">
        <f t="shared" si="0"/>
        <v>693</v>
      </c>
      <c r="I2" s="203">
        <f t="shared" si="0"/>
        <v>695</v>
      </c>
      <c r="J2" s="203">
        <f t="shared" si="0"/>
        <v>699</v>
      </c>
      <c r="K2" s="203">
        <f>K14+K59+K60+K61</f>
        <v>697</v>
      </c>
      <c r="L2" s="203">
        <f t="shared" si="0"/>
        <v>694</v>
      </c>
      <c r="M2" s="203">
        <f t="shared" si="0"/>
        <v>698</v>
      </c>
      <c r="N2" s="203">
        <f t="shared" si="0"/>
        <v>694</v>
      </c>
      <c r="O2" s="204"/>
      <c r="Q2" s="205"/>
      <c r="R2" s="201" t="s">
        <v>216</v>
      </c>
      <c r="S2" s="205"/>
    </row>
    <row r="3" spans="1:23">
      <c r="A3" s="198">
        <f t="shared" ref="A3:A66" si="1">+A2+1</f>
        <v>3</v>
      </c>
      <c r="B3" s="206" t="s">
        <v>123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Q3" s="200"/>
      <c r="R3" s="203"/>
      <c r="S3" s="200"/>
    </row>
    <row r="4" spans="1:23">
      <c r="A4" s="198">
        <f t="shared" si="1"/>
        <v>4</v>
      </c>
      <c r="B4" s="207" t="s">
        <v>100</v>
      </c>
      <c r="C4" s="208">
        <v>1215</v>
      </c>
      <c r="D4" s="208">
        <v>1225</v>
      </c>
      <c r="E4" s="208">
        <v>1228</v>
      </c>
      <c r="F4" s="208">
        <v>1175</v>
      </c>
      <c r="G4" s="208">
        <v>1162</v>
      </c>
      <c r="H4" s="208">
        <v>1144</v>
      </c>
      <c r="I4" s="208">
        <v>1149</v>
      </c>
      <c r="J4" s="208">
        <v>1150</v>
      </c>
      <c r="K4" s="208">
        <v>1145</v>
      </c>
      <c r="L4" s="208">
        <v>1145</v>
      </c>
      <c r="M4" s="208">
        <v>1145</v>
      </c>
      <c r="N4" s="208">
        <v>1158</v>
      </c>
      <c r="O4" s="204">
        <f>AVERAGE(C4:N4)</f>
        <v>1170.0833333333333</v>
      </c>
      <c r="Q4" s="198" t="s">
        <v>8</v>
      </c>
      <c r="R4" s="204">
        <f>+SUM(C4:N4)</f>
        <v>14041</v>
      </c>
      <c r="S4" s="209" t="str">
        <f t="shared" ref="S4:S10" si="2">CONCATENATE(Q4," - ",B4," R")</f>
        <v>CFG - FTS-A R</v>
      </c>
      <c r="T4" s="232"/>
      <c r="U4" s="198" t="s">
        <v>0</v>
      </c>
    </row>
    <row r="5" spans="1:23">
      <c r="A5" s="198">
        <f t="shared" si="1"/>
        <v>5</v>
      </c>
      <c r="B5" s="207" t="s">
        <v>101</v>
      </c>
      <c r="C5" s="208">
        <v>2264</v>
      </c>
      <c r="D5" s="208">
        <v>2277</v>
      </c>
      <c r="E5" s="208">
        <v>2272</v>
      </c>
      <c r="F5" s="208">
        <v>2288</v>
      </c>
      <c r="G5" s="208">
        <v>2273</v>
      </c>
      <c r="H5" s="208">
        <v>2262</v>
      </c>
      <c r="I5" s="208">
        <v>2270</v>
      </c>
      <c r="J5" s="208">
        <v>2261</v>
      </c>
      <c r="K5" s="208">
        <v>2261</v>
      </c>
      <c r="L5" s="208">
        <v>2249</v>
      </c>
      <c r="M5" s="208">
        <v>2265</v>
      </c>
      <c r="N5" s="208">
        <v>2268</v>
      </c>
      <c r="O5" s="204">
        <f t="shared" ref="O5:O10" si="3">AVERAGE(C5:N5)</f>
        <v>2267.5</v>
      </c>
      <c r="Q5" s="198" t="s">
        <v>8</v>
      </c>
      <c r="R5" s="204">
        <f t="shared" ref="R5:R15" si="4">+SUM(C5:N5)</f>
        <v>27210</v>
      </c>
      <c r="S5" s="209" t="str">
        <f t="shared" si="2"/>
        <v>CFG - FTS-B R</v>
      </c>
      <c r="T5" s="204"/>
      <c r="U5" s="198" t="s">
        <v>0</v>
      </c>
    </row>
    <row r="6" spans="1:23">
      <c r="A6" s="198">
        <f t="shared" si="1"/>
        <v>6</v>
      </c>
      <c r="B6" s="207" t="s">
        <v>102</v>
      </c>
      <c r="C6" s="208">
        <v>11148</v>
      </c>
      <c r="D6" s="208">
        <v>11209</v>
      </c>
      <c r="E6" s="208">
        <v>11302</v>
      </c>
      <c r="F6" s="208">
        <v>11410</v>
      </c>
      <c r="G6" s="208">
        <v>11438</v>
      </c>
      <c r="H6" s="208">
        <v>11483</v>
      </c>
      <c r="I6" s="208">
        <v>11522</v>
      </c>
      <c r="J6" s="208">
        <v>11555</v>
      </c>
      <c r="K6" s="208">
        <v>11626</v>
      </c>
      <c r="L6" s="208">
        <v>11672</v>
      </c>
      <c r="M6" s="208">
        <v>11800</v>
      </c>
      <c r="N6" s="208">
        <v>11887</v>
      </c>
      <c r="O6" s="204">
        <f t="shared" si="3"/>
        <v>11504.333333333334</v>
      </c>
      <c r="Q6" s="198" t="s">
        <v>8</v>
      </c>
      <c r="R6" s="204">
        <f t="shared" si="4"/>
        <v>138052</v>
      </c>
      <c r="S6" s="209" t="str">
        <f t="shared" si="2"/>
        <v>CFG - FTS-1 R</v>
      </c>
      <c r="U6" s="198" t="s">
        <v>0</v>
      </c>
    </row>
    <row r="7" spans="1:23">
      <c r="A7" s="198">
        <f t="shared" si="1"/>
        <v>7</v>
      </c>
      <c r="B7" s="207" t="s">
        <v>103</v>
      </c>
      <c r="C7" s="208">
        <v>689</v>
      </c>
      <c r="D7" s="208">
        <v>688</v>
      </c>
      <c r="E7" s="208">
        <v>689</v>
      </c>
      <c r="F7" s="208">
        <v>728</v>
      </c>
      <c r="G7" s="208">
        <v>721</v>
      </c>
      <c r="H7" s="208">
        <v>721</v>
      </c>
      <c r="I7" s="208">
        <v>728</v>
      </c>
      <c r="J7" s="208">
        <v>717</v>
      </c>
      <c r="K7" s="208">
        <v>721</v>
      </c>
      <c r="L7" s="208">
        <v>719</v>
      </c>
      <c r="M7" s="208">
        <v>726</v>
      </c>
      <c r="N7" s="208">
        <v>724</v>
      </c>
      <c r="O7" s="204">
        <f t="shared" si="3"/>
        <v>714.25</v>
      </c>
      <c r="Q7" s="198" t="s">
        <v>8</v>
      </c>
      <c r="R7" s="204">
        <f t="shared" si="4"/>
        <v>8571</v>
      </c>
      <c r="S7" s="209" t="str">
        <f t="shared" si="2"/>
        <v>CFG - FTS-2 R</v>
      </c>
      <c r="U7" s="198" t="s">
        <v>0</v>
      </c>
    </row>
    <row r="8" spans="1:23">
      <c r="A8" s="198">
        <f t="shared" si="1"/>
        <v>8</v>
      </c>
      <c r="B8" s="207" t="s">
        <v>104</v>
      </c>
      <c r="C8" s="208">
        <v>516</v>
      </c>
      <c r="D8" s="208">
        <v>515</v>
      </c>
      <c r="E8" s="208">
        <v>512</v>
      </c>
      <c r="F8" s="208">
        <v>488</v>
      </c>
      <c r="G8" s="208">
        <v>481</v>
      </c>
      <c r="H8" s="208">
        <v>482</v>
      </c>
      <c r="I8" s="208">
        <v>485</v>
      </c>
      <c r="J8" s="208">
        <v>482</v>
      </c>
      <c r="K8" s="208">
        <v>484</v>
      </c>
      <c r="L8" s="208">
        <v>483</v>
      </c>
      <c r="M8" s="208">
        <v>484</v>
      </c>
      <c r="N8" s="208">
        <v>484</v>
      </c>
      <c r="O8" s="204">
        <f t="shared" si="3"/>
        <v>491.33333333333331</v>
      </c>
      <c r="Q8" s="198" t="s">
        <v>8</v>
      </c>
      <c r="R8" s="204">
        <f t="shared" si="4"/>
        <v>5896</v>
      </c>
      <c r="S8" s="210" t="str">
        <f t="shared" si="2"/>
        <v>CFG - FTS-2.1 R</v>
      </c>
      <c r="T8" s="232"/>
      <c r="U8" s="198" t="s">
        <v>0</v>
      </c>
      <c r="W8" s="211"/>
    </row>
    <row r="9" spans="1:23">
      <c r="A9" s="198">
        <f t="shared" si="1"/>
        <v>9</v>
      </c>
      <c r="B9" s="212" t="s">
        <v>105</v>
      </c>
      <c r="C9" s="208">
        <v>13</v>
      </c>
      <c r="D9" s="208">
        <v>13</v>
      </c>
      <c r="E9" s="208">
        <v>13</v>
      </c>
      <c r="F9" s="208">
        <v>16</v>
      </c>
      <c r="G9" s="208">
        <v>16</v>
      </c>
      <c r="H9" s="208">
        <v>16</v>
      </c>
      <c r="I9" s="208">
        <v>16</v>
      </c>
      <c r="J9" s="208">
        <v>16</v>
      </c>
      <c r="K9" s="208">
        <v>16</v>
      </c>
      <c r="L9" s="208">
        <v>16</v>
      </c>
      <c r="M9" s="208">
        <v>16</v>
      </c>
      <c r="N9" s="208">
        <v>16</v>
      </c>
      <c r="O9" s="204">
        <f t="shared" si="3"/>
        <v>15.25</v>
      </c>
      <c r="Q9" s="198" t="s">
        <v>8</v>
      </c>
      <c r="R9" s="204">
        <f t="shared" si="4"/>
        <v>183</v>
      </c>
      <c r="S9" s="209" t="str">
        <f t="shared" si="2"/>
        <v>CFG - FTS-3 R</v>
      </c>
      <c r="T9" s="204"/>
      <c r="U9" s="198" t="s">
        <v>0</v>
      </c>
    </row>
    <row r="10" spans="1:23">
      <c r="A10" s="198">
        <f t="shared" si="1"/>
        <v>10</v>
      </c>
      <c r="B10" s="212" t="s">
        <v>106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08"/>
      <c r="L10" s="208"/>
      <c r="M10" s="208"/>
      <c r="N10" s="208"/>
      <c r="O10" s="204">
        <f t="shared" si="3"/>
        <v>0</v>
      </c>
      <c r="Q10" s="198" t="s">
        <v>8</v>
      </c>
      <c r="R10" s="204">
        <f t="shared" si="4"/>
        <v>0</v>
      </c>
      <c r="S10" s="209" t="str">
        <f t="shared" si="2"/>
        <v>CFG - FTS-3.1 R</v>
      </c>
      <c r="U10" s="198" t="s">
        <v>0</v>
      </c>
    </row>
    <row r="11" spans="1:23">
      <c r="A11" s="198">
        <f t="shared" si="1"/>
        <v>11</v>
      </c>
      <c r="B11" s="212" t="s">
        <v>126</v>
      </c>
      <c r="C11" s="208">
        <v>53499</v>
      </c>
      <c r="D11" s="208">
        <v>53510</v>
      </c>
      <c r="E11" s="208">
        <v>53765</v>
      </c>
      <c r="F11" s="208">
        <v>53838</v>
      </c>
      <c r="G11" s="208">
        <v>53847</v>
      </c>
      <c r="H11" s="208">
        <v>54011</v>
      </c>
      <c r="I11" s="208">
        <v>53950</v>
      </c>
      <c r="J11" s="208">
        <v>54098</v>
      </c>
      <c r="K11" s="208">
        <v>54159</v>
      </c>
      <c r="L11" s="208">
        <v>54187</v>
      </c>
      <c r="M11" s="208">
        <v>54500</v>
      </c>
      <c r="N11" s="208">
        <v>54681</v>
      </c>
      <c r="O11" s="204">
        <f>AVERAGE(C11:N11)</f>
        <v>54003.75</v>
      </c>
      <c r="Q11" s="198" t="s">
        <v>7</v>
      </c>
      <c r="R11" s="204">
        <f t="shared" si="4"/>
        <v>648045</v>
      </c>
      <c r="S11" s="209" t="str">
        <f>CONCATENATE(Q11," - ",B11)</f>
        <v>FPU - FPU - RS</v>
      </c>
      <c r="T11" s="232"/>
      <c r="U11" s="198" t="s">
        <v>0</v>
      </c>
      <c r="W11" s="211"/>
    </row>
    <row r="12" spans="1:23">
      <c r="A12" s="198">
        <f t="shared" si="1"/>
        <v>12</v>
      </c>
      <c r="B12" s="212" t="s">
        <v>128</v>
      </c>
      <c r="C12" s="208">
        <v>434</v>
      </c>
      <c r="D12" s="208">
        <v>431</v>
      </c>
      <c r="E12" s="208">
        <v>440</v>
      </c>
      <c r="F12" s="208">
        <v>444</v>
      </c>
      <c r="G12" s="208">
        <v>441</v>
      </c>
      <c r="H12" s="208">
        <v>448</v>
      </c>
      <c r="I12" s="208">
        <v>453</v>
      </c>
      <c r="J12" s="208">
        <v>459</v>
      </c>
      <c r="K12" s="208">
        <v>478</v>
      </c>
      <c r="L12" s="208">
        <v>490</v>
      </c>
      <c r="M12" s="208">
        <v>495</v>
      </c>
      <c r="N12" s="208">
        <v>505</v>
      </c>
      <c r="O12" s="204">
        <f>AVERAGE(C12:N12)</f>
        <v>459.83333333333331</v>
      </c>
      <c r="Q12" s="198" t="s">
        <v>7</v>
      </c>
      <c r="R12" s="204">
        <f t="shared" si="4"/>
        <v>5518</v>
      </c>
      <c r="S12" s="209" t="str">
        <f>CONCATENATE(Q12," - ",B12)</f>
        <v>FPU - FPU - RS-GS</v>
      </c>
      <c r="T12" s="204"/>
      <c r="U12" s="198" t="s">
        <v>0</v>
      </c>
    </row>
    <row r="13" spans="1:23">
      <c r="A13" s="198">
        <f t="shared" si="1"/>
        <v>13</v>
      </c>
      <c r="B13" s="212" t="s">
        <v>98</v>
      </c>
      <c r="C13" s="208">
        <v>582</v>
      </c>
      <c r="D13" s="208">
        <v>581</v>
      </c>
      <c r="E13" s="208">
        <v>584</v>
      </c>
      <c r="F13" s="208">
        <v>577</v>
      </c>
      <c r="G13" s="208">
        <v>565</v>
      </c>
      <c r="H13" s="208">
        <v>561</v>
      </c>
      <c r="I13" s="208">
        <v>561</v>
      </c>
      <c r="J13" s="208">
        <v>557</v>
      </c>
      <c r="K13" s="208">
        <v>560</v>
      </c>
      <c r="L13" s="208">
        <v>558</v>
      </c>
      <c r="M13" s="208">
        <v>560</v>
      </c>
      <c r="N13" s="208">
        <v>560</v>
      </c>
      <c r="O13" s="204">
        <f>AVERAGE(C13:N13)</f>
        <v>567.16666666666663</v>
      </c>
      <c r="Q13" s="198" t="s">
        <v>5</v>
      </c>
      <c r="R13" s="204">
        <f t="shared" si="4"/>
        <v>6806</v>
      </c>
      <c r="S13" s="209" t="str">
        <f>CONCATENATE(Q13," - ",B13)</f>
        <v>FT - FT-RS</v>
      </c>
      <c r="T13" s="204"/>
      <c r="U13" s="198" t="s">
        <v>0</v>
      </c>
      <c r="W13" s="211"/>
    </row>
    <row r="14" spans="1:23">
      <c r="A14" s="198">
        <f t="shared" si="1"/>
        <v>14</v>
      </c>
      <c r="B14" s="212" t="s">
        <v>93</v>
      </c>
      <c r="C14" s="208">
        <v>671</v>
      </c>
      <c r="D14" s="208">
        <v>671</v>
      </c>
      <c r="E14" s="208">
        <v>673</v>
      </c>
      <c r="F14" s="208">
        <v>670</v>
      </c>
      <c r="G14" s="208">
        <v>671</v>
      </c>
      <c r="H14" s="208">
        <v>667</v>
      </c>
      <c r="I14" s="208">
        <v>669</v>
      </c>
      <c r="J14" s="208">
        <v>673</v>
      </c>
      <c r="K14" s="208">
        <v>671</v>
      </c>
      <c r="L14" s="208">
        <v>668</v>
      </c>
      <c r="M14" s="208">
        <v>672</v>
      </c>
      <c r="N14" s="208">
        <v>668</v>
      </c>
      <c r="O14" s="204">
        <f>AVERAGE(C14:N14)</f>
        <v>670.33333333333337</v>
      </c>
      <c r="Q14" s="198" t="s">
        <v>4</v>
      </c>
      <c r="R14" s="204">
        <f t="shared" si="4"/>
        <v>8044</v>
      </c>
      <c r="S14" s="209" t="str">
        <f>CONCATENATE(Q14," - ",B14)</f>
        <v>IGC - IGC - TS1</v>
      </c>
      <c r="U14" s="198" t="s">
        <v>0</v>
      </c>
      <c r="W14" s="211"/>
    </row>
    <row r="15" spans="1:23">
      <c r="A15" s="198">
        <f t="shared" si="1"/>
        <v>15</v>
      </c>
      <c r="B15" s="213" t="s">
        <v>131</v>
      </c>
      <c r="C15" s="214">
        <f>SUM(C4:C14)</f>
        <v>71031</v>
      </c>
      <c r="D15" s="214">
        <f t="shared" ref="D15:N15" si="5">SUM(D4:D14)</f>
        <v>71120</v>
      </c>
      <c r="E15" s="214">
        <f t="shared" si="5"/>
        <v>71478</v>
      </c>
      <c r="F15" s="214">
        <f t="shared" si="5"/>
        <v>71634</v>
      </c>
      <c r="G15" s="214">
        <f t="shared" si="5"/>
        <v>71615</v>
      </c>
      <c r="H15" s="214">
        <f t="shared" si="5"/>
        <v>71795</v>
      </c>
      <c r="I15" s="214">
        <f t="shared" si="5"/>
        <v>71803</v>
      </c>
      <c r="J15" s="214">
        <f t="shared" si="5"/>
        <v>71968</v>
      </c>
      <c r="K15" s="214">
        <f t="shared" si="5"/>
        <v>72121</v>
      </c>
      <c r="L15" s="214">
        <f t="shared" si="5"/>
        <v>72187</v>
      </c>
      <c r="M15" s="214">
        <f t="shared" si="5"/>
        <v>72663</v>
      </c>
      <c r="N15" s="214">
        <f t="shared" si="5"/>
        <v>72951</v>
      </c>
      <c r="O15" s="214">
        <f>+SUM(O4:O14)</f>
        <v>71863.833333333328</v>
      </c>
      <c r="R15" s="204">
        <f t="shared" si="4"/>
        <v>862366</v>
      </c>
      <c r="T15" s="232"/>
      <c r="W15" s="211"/>
    </row>
    <row r="16" spans="1:23">
      <c r="A16" s="198">
        <f t="shared" si="1"/>
        <v>16</v>
      </c>
      <c r="B16" s="206" t="s">
        <v>132</v>
      </c>
      <c r="C16" s="204"/>
      <c r="D16" s="215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T16" s="232"/>
    </row>
    <row r="17" spans="1:21">
      <c r="A17" s="198">
        <f t="shared" si="1"/>
        <v>17</v>
      </c>
      <c r="B17" s="207" t="s">
        <v>100</v>
      </c>
      <c r="C17" s="208">
        <v>34</v>
      </c>
      <c r="D17" s="208">
        <v>35</v>
      </c>
      <c r="E17" s="208">
        <v>35</v>
      </c>
      <c r="F17" s="208">
        <v>33</v>
      </c>
      <c r="G17" s="208">
        <v>29</v>
      </c>
      <c r="H17" s="208">
        <v>29</v>
      </c>
      <c r="I17" s="208">
        <v>30</v>
      </c>
      <c r="J17" s="208">
        <v>29</v>
      </c>
      <c r="K17" s="208">
        <v>28</v>
      </c>
      <c r="L17" s="208">
        <v>31</v>
      </c>
      <c r="M17" s="208">
        <v>32</v>
      </c>
      <c r="N17" s="208">
        <v>33</v>
      </c>
      <c r="O17" s="204">
        <f t="shared" ref="O17:O24" si="6">AVERAGE(C17:N17)</f>
        <v>31.5</v>
      </c>
      <c r="Q17" s="198" t="s">
        <v>8</v>
      </c>
      <c r="R17" s="204">
        <f t="shared" ref="R17:R24" si="7">+SUM(C17:N17)</f>
        <v>378</v>
      </c>
      <c r="S17" s="198" t="str">
        <f>CONCATENATE(Q17," - ",B17," - ",T17)</f>
        <v>CFG - FTS-A - Fixed R</v>
      </c>
      <c r="T17" s="231" t="s">
        <v>133</v>
      </c>
      <c r="U17" s="198" t="s">
        <v>0</v>
      </c>
    </row>
    <row r="18" spans="1:21">
      <c r="A18" s="198">
        <f t="shared" si="1"/>
        <v>18</v>
      </c>
      <c r="B18" s="207" t="s">
        <v>101</v>
      </c>
      <c r="C18" s="208">
        <v>66</v>
      </c>
      <c r="D18" s="208">
        <v>65</v>
      </c>
      <c r="E18" s="208">
        <v>66</v>
      </c>
      <c r="F18" s="208">
        <v>65</v>
      </c>
      <c r="G18" s="208">
        <v>62</v>
      </c>
      <c r="H18" s="208">
        <v>63</v>
      </c>
      <c r="I18" s="208">
        <v>59</v>
      </c>
      <c r="J18" s="208">
        <v>60</v>
      </c>
      <c r="K18" s="208">
        <v>60</v>
      </c>
      <c r="L18" s="208">
        <v>61</v>
      </c>
      <c r="M18" s="208">
        <v>59</v>
      </c>
      <c r="N18" s="208">
        <v>59</v>
      </c>
      <c r="O18" s="204">
        <f t="shared" si="6"/>
        <v>62.083333333333336</v>
      </c>
      <c r="Q18" s="198" t="s">
        <v>8</v>
      </c>
      <c r="R18" s="204">
        <f t="shared" si="7"/>
        <v>745</v>
      </c>
      <c r="S18" s="198" t="str">
        <f t="shared" ref="S18:S23" si="8">CONCATENATE(Q18," - ",B18," - ",T18)</f>
        <v>CFG - FTS-B - Fixed R</v>
      </c>
      <c r="T18" s="231" t="s">
        <v>133</v>
      </c>
      <c r="U18" s="198" t="s">
        <v>0</v>
      </c>
    </row>
    <row r="19" spans="1:21">
      <c r="A19" s="198">
        <f t="shared" si="1"/>
        <v>19</v>
      </c>
      <c r="B19" s="207" t="s">
        <v>102</v>
      </c>
      <c r="C19" s="208">
        <v>168</v>
      </c>
      <c r="D19" s="208">
        <v>169</v>
      </c>
      <c r="E19" s="208">
        <v>170</v>
      </c>
      <c r="F19" s="208">
        <v>167</v>
      </c>
      <c r="G19" s="208">
        <v>168</v>
      </c>
      <c r="H19" s="208">
        <v>167</v>
      </c>
      <c r="I19" s="208">
        <v>168</v>
      </c>
      <c r="J19" s="208">
        <v>165</v>
      </c>
      <c r="K19" s="208">
        <v>164</v>
      </c>
      <c r="L19" s="208">
        <v>163</v>
      </c>
      <c r="M19" s="208">
        <v>164</v>
      </c>
      <c r="N19" s="208">
        <v>164</v>
      </c>
      <c r="O19" s="204">
        <f t="shared" si="6"/>
        <v>166.41666666666666</v>
      </c>
      <c r="Q19" s="198" t="s">
        <v>8</v>
      </c>
      <c r="R19" s="204">
        <f t="shared" si="7"/>
        <v>1997</v>
      </c>
      <c r="S19" s="198" t="str">
        <f t="shared" si="8"/>
        <v>CFG - FTS-1 - Fixed R</v>
      </c>
      <c r="T19" s="231" t="s">
        <v>133</v>
      </c>
      <c r="U19" s="198" t="s">
        <v>0</v>
      </c>
    </row>
    <row r="20" spans="1:21">
      <c r="A20" s="198">
        <f t="shared" si="1"/>
        <v>20</v>
      </c>
      <c r="B20" s="207" t="s">
        <v>103</v>
      </c>
      <c r="C20" s="208">
        <v>17</v>
      </c>
      <c r="D20" s="208">
        <v>16</v>
      </c>
      <c r="E20" s="208">
        <v>16</v>
      </c>
      <c r="F20" s="208">
        <v>20</v>
      </c>
      <c r="G20" s="208">
        <v>20</v>
      </c>
      <c r="H20" s="208">
        <v>19</v>
      </c>
      <c r="I20" s="208">
        <v>19</v>
      </c>
      <c r="J20" s="208">
        <v>19</v>
      </c>
      <c r="K20" s="208">
        <v>19</v>
      </c>
      <c r="L20" s="208">
        <v>19</v>
      </c>
      <c r="M20" s="208">
        <v>20</v>
      </c>
      <c r="N20" s="208">
        <v>20</v>
      </c>
      <c r="O20" s="204">
        <f t="shared" si="6"/>
        <v>18.666666666666668</v>
      </c>
      <c r="Q20" s="198" t="s">
        <v>8</v>
      </c>
      <c r="R20" s="204">
        <f t="shared" si="7"/>
        <v>224</v>
      </c>
      <c r="S20" s="198" t="str">
        <f t="shared" si="8"/>
        <v>CFG - FTS-2 - Fixed R</v>
      </c>
      <c r="T20" s="231" t="s">
        <v>133</v>
      </c>
      <c r="U20" s="198" t="s">
        <v>0</v>
      </c>
    </row>
    <row r="21" spans="1:21">
      <c r="A21" s="198">
        <f t="shared" si="1"/>
        <v>21</v>
      </c>
      <c r="B21" s="207" t="s">
        <v>104</v>
      </c>
      <c r="C21" s="208">
        <v>8</v>
      </c>
      <c r="D21" s="208">
        <v>8</v>
      </c>
      <c r="E21" s="208">
        <v>8</v>
      </c>
      <c r="F21" s="208">
        <v>9</v>
      </c>
      <c r="G21" s="208">
        <v>9</v>
      </c>
      <c r="H21" s="208">
        <v>9</v>
      </c>
      <c r="I21" s="208">
        <v>9</v>
      </c>
      <c r="J21" s="208">
        <v>9</v>
      </c>
      <c r="K21" s="208">
        <v>9</v>
      </c>
      <c r="L21" s="208">
        <v>10</v>
      </c>
      <c r="M21" s="208">
        <v>9</v>
      </c>
      <c r="N21" s="208">
        <v>9</v>
      </c>
      <c r="O21" s="204">
        <f t="shared" si="6"/>
        <v>8.8333333333333339</v>
      </c>
      <c r="Q21" s="198" t="s">
        <v>8</v>
      </c>
      <c r="R21" s="204">
        <f t="shared" si="7"/>
        <v>106</v>
      </c>
      <c r="S21" s="198" t="str">
        <f t="shared" si="8"/>
        <v>CFG - FTS-2.1 - Fixed R</v>
      </c>
      <c r="T21" s="231" t="s">
        <v>133</v>
      </c>
      <c r="U21" s="198" t="s">
        <v>0</v>
      </c>
    </row>
    <row r="22" spans="1:21">
      <c r="A22" s="198">
        <f t="shared" si="1"/>
        <v>22</v>
      </c>
      <c r="B22" s="212" t="s">
        <v>105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/>
      <c r="N22" s="208"/>
      <c r="O22" s="204">
        <f t="shared" si="6"/>
        <v>0</v>
      </c>
      <c r="Q22" s="198" t="s">
        <v>8</v>
      </c>
      <c r="R22" s="204">
        <f t="shared" si="7"/>
        <v>0</v>
      </c>
      <c r="S22" s="198" t="str">
        <f t="shared" si="8"/>
        <v>CFG - FTS-3 - Fixed R</v>
      </c>
      <c r="T22" s="231" t="s">
        <v>133</v>
      </c>
      <c r="U22" s="198" t="s">
        <v>0</v>
      </c>
    </row>
    <row r="23" spans="1:21" ht="12.75" customHeight="1">
      <c r="A23" s="198">
        <f t="shared" si="1"/>
        <v>23</v>
      </c>
      <c r="B23" s="212" t="s">
        <v>106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/>
      <c r="N23" s="208"/>
      <c r="O23" s="216">
        <f t="shared" si="6"/>
        <v>0</v>
      </c>
      <c r="Q23" s="198" t="s">
        <v>8</v>
      </c>
      <c r="R23" s="204">
        <f t="shared" si="7"/>
        <v>0</v>
      </c>
      <c r="S23" s="198" t="str">
        <f t="shared" si="8"/>
        <v>CFG - FTS-3.1 - Fixed R</v>
      </c>
      <c r="T23" s="231" t="s">
        <v>133</v>
      </c>
      <c r="U23" s="198" t="s">
        <v>0</v>
      </c>
    </row>
    <row r="24" spans="1:21">
      <c r="A24" s="198">
        <f t="shared" si="1"/>
        <v>24</v>
      </c>
      <c r="B24" s="213" t="s">
        <v>134</v>
      </c>
      <c r="C24" s="214">
        <f t="shared" ref="C24:N24" si="9">SUM(C17:C23)</f>
        <v>293</v>
      </c>
      <c r="D24" s="214">
        <f t="shared" si="9"/>
        <v>293</v>
      </c>
      <c r="E24" s="214">
        <f t="shared" si="9"/>
        <v>295</v>
      </c>
      <c r="F24" s="214">
        <f t="shared" si="9"/>
        <v>294</v>
      </c>
      <c r="G24" s="214">
        <f t="shared" si="9"/>
        <v>288</v>
      </c>
      <c r="H24" s="214">
        <f t="shared" si="9"/>
        <v>287</v>
      </c>
      <c r="I24" s="214">
        <f t="shared" si="9"/>
        <v>285</v>
      </c>
      <c r="J24" s="214">
        <f t="shared" si="9"/>
        <v>282</v>
      </c>
      <c r="K24" s="214">
        <f t="shared" si="9"/>
        <v>280</v>
      </c>
      <c r="L24" s="214">
        <f t="shared" si="9"/>
        <v>284</v>
      </c>
      <c r="M24" s="214">
        <f t="shared" si="9"/>
        <v>284</v>
      </c>
      <c r="N24" s="214">
        <f t="shared" si="9"/>
        <v>285</v>
      </c>
      <c r="O24" s="204">
        <f t="shared" si="6"/>
        <v>287.5</v>
      </c>
      <c r="R24" s="204">
        <f t="shared" si="7"/>
        <v>3450</v>
      </c>
    </row>
    <row r="25" spans="1:21">
      <c r="A25" s="198">
        <f t="shared" si="1"/>
        <v>25</v>
      </c>
      <c r="B25" s="217" t="s">
        <v>135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R25" s="198"/>
    </row>
    <row r="26" spans="1:21">
      <c r="A26" s="198">
        <f t="shared" si="1"/>
        <v>26</v>
      </c>
      <c r="B26" s="207" t="s">
        <v>100</v>
      </c>
      <c r="C26" s="208">
        <v>13</v>
      </c>
      <c r="D26" s="208">
        <v>12</v>
      </c>
      <c r="E26" s="208">
        <v>12</v>
      </c>
      <c r="F26" s="208">
        <v>12</v>
      </c>
      <c r="G26" s="208">
        <v>12</v>
      </c>
      <c r="H26" s="208">
        <v>12</v>
      </c>
      <c r="I26" s="208">
        <v>12</v>
      </c>
      <c r="J26" s="208">
        <v>12</v>
      </c>
      <c r="K26" s="208">
        <v>12</v>
      </c>
      <c r="L26" s="208">
        <v>12</v>
      </c>
      <c r="M26" s="208">
        <v>12</v>
      </c>
      <c r="N26" s="208">
        <v>12</v>
      </c>
      <c r="O26" s="204">
        <f t="shared" ref="O26:O62" si="10">AVERAGE(C26:N26)</f>
        <v>12.083333333333334</v>
      </c>
      <c r="Q26" s="198" t="s">
        <v>8</v>
      </c>
      <c r="R26" s="204">
        <f t="shared" ref="R26:R62" si="11">+SUM(C26:N26)</f>
        <v>145</v>
      </c>
      <c r="S26" s="230" t="str">
        <f t="shared" ref="S26:S32" si="12">CONCATENATE(Q26," - ",B26," NR")</f>
        <v>CFG - FTS-A NR</v>
      </c>
      <c r="U26" s="198" t="s">
        <v>635</v>
      </c>
    </row>
    <row r="27" spans="1:21">
      <c r="A27" s="198">
        <f t="shared" si="1"/>
        <v>27</v>
      </c>
      <c r="B27" s="207" t="s">
        <v>101</v>
      </c>
      <c r="C27" s="208">
        <v>8</v>
      </c>
      <c r="D27" s="208">
        <v>8</v>
      </c>
      <c r="E27" s="208">
        <v>8</v>
      </c>
      <c r="F27" s="208">
        <v>8</v>
      </c>
      <c r="G27" s="208">
        <v>8</v>
      </c>
      <c r="H27" s="208">
        <v>7</v>
      </c>
      <c r="I27" s="208">
        <v>7</v>
      </c>
      <c r="J27" s="208">
        <v>7</v>
      </c>
      <c r="K27" s="208">
        <v>7</v>
      </c>
      <c r="L27" s="208">
        <v>7</v>
      </c>
      <c r="M27" s="208">
        <v>7</v>
      </c>
      <c r="N27" s="208">
        <v>7</v>
      </c>
      <c r="O27" s="204">
        <f t="shared" si="10"/>
        <v>7.416666666666667</v>
      </c>
      <c r="Q27" s="198" t="s">
        <v>8</v>
      </c>
      <c r="R27" s="204">
        <f t="shared" si="11"/>
        <v>89</v>
      </c>
      <c r="S27" s="230" t="str">
        <f t="shared" si="12"/>
        <v>CFG - FTS-B NR</v>
      </c>
      <c r="T27" s="204"/>
      <c r="U27" s="198" t="s">
        <v>635</v>
      </c>
    </row>
    <row r="28" spans="1:21">
      <c r="A28" s="198">
        <f t="shared" si="1"/>
        <v>28</v>
      </c>
      <c r="B28" s="207" t="s">
        <v>102</v>
      </c>
      <c r="C28" s="208">
        <v>242</v>
      </c>
      <c r="D28" s="208">
        <v>241</v>
      </c>
      <c r="E28" s="208">
        <v>240</v>
      </c>
      <c r="F28" s="208">
        <v>237</v>
      </c>
      <c r="G28" s="208">
        <v>236</v>
      </c>
      <c r="H28" s="208">
        <v>235</v>
      </c>
      <c r="I28" s="208">
        <v>232</v>
      </c>
      <c r="J28" s="208">
        <v>231</v>
      </c>
      <c r="K28" s="208">
        <v>230</v>
      </c>
      <c r="L28" s="208">
        <v>230</v>
      </c>
      <c r="M28" s="208">
        <v>230</v>
      </c>
      <c r="N28" s="208">
        <v>245</v>
      </c>
      <c r="O28" s="204">
        <f t="shared" si="10"/>
        <v>235.75</v>
      </c>
      <c r="Q28" s="198" t="s">
        <v>8</v>
      </c>
      <c r="R28" s="204">
        <f t="shared" si="11"/>
        <v>2829</v>
      </c>
      <c r="S28" s="230" t="str">
        <f t="shared" si="12"/>
        <v>CFG - FTS-1 NR</v>
      </c>
      <c r="T28" s="204"/>
      <c r="U28" s="198" t="s">
        <v>635</v>
      </c>
    </row>
    <row r="29" spans="1:21">
      <c r="A29" s="198">
        <f t="shared" si="1"/>
        <v>29</v>
      </c>
      <c r="B29" s="207" t="s">
        <v>103</v>
      </c>
      <c r="C29" s="208">
        <v>92</v>
      </c>
      <c r="D29" s="208">
        <v>92</v>
      </c>
      <c r="E29" s="208">
        <v>91</v>
      </c>
      <c r="F29" s="208">
        <v>93</v>
      </c>
      <c r="G29" s="208">
        <v>94</v>
      </c>
      <c r="H29" s="208">
        <v>95</v>
      </c>
      <c r="I29" s="208">
        <v>92</v>
      </c>
      <c r="J29" s="208">
        <v>92</v>
      </c>
      <c r="K29" s="208">
        <v>92</v>
      </c>
      <c r="L29" s="208">
        <v>92</v>
      </c>
      <c r="M29" s="208">
        <v>92</v>
      </c>
      <c r="N29" s="208">
        <v>97</v>
      </c>
      <c r="O29" s="204">
        <f t="shared" si="10"/>
        <v>92.833333333333329</v>
      </c>
      <c r="Q29" s="198" t="s">
        <v>8</v>
      </c>
      <c r="R29" s="204">
        <f t="shared" si="11"/>
        <v>1114</v>
      </c>
      <c r="S29" s="230" t="str">
        <f t="shared" si="12"/>
        <v>CFG - FTS-2 NR</v>
      </c>
      <c r="T29" s="204"/>
      <c r="U29" s="198" t="s">
        <v>635</v>
      </c>
    </row>
    <row r="30" spans="1:21">
      <c r="A30" s="198">
        <f t="shared" si="1"/>
        <v>30</v>
      </c>
      <c r="B30" s="207" t="s">
        <v>104</v>
      </c>
      <c r="C30" s="208">
        <v>201</v>
      </c>
      <c r="D30" s="208">
        <v>201</v>
      </c>
      <c r="E30" s="208">
        <v>201</v>
      </c>
      <c r="F30" s="208">
        <v>194</v>
      </c>
      <c r="G30" s="208">
        <v>197</v>
      </c>
      <c r="H30" s="208">
        <v>195</v>
      </c>
      <c r="I30" s="208">
        <v>194</v>
      </c>
      <c r="J30" s="208">
        <v>197</v>
      </c>
      <c r="K30" s="208">
        <v>197</v>
      </c>
      <c r="L30" s="208">
        <v>195</v>
      </c>
      <c r="M30" s="208">
        <v>197</v>
      </c>
      <c r="N30" s="208">
        <v>216</v>
      </c>
      <c r="O30" s="204">
        <f t="shared" si="10"/>
        <v>198.75</v>
      </c>
      <c r="Q30" s="198" t="s">
        <v>8</v>
      </c>
      <c r="R30" s="204">
        <f t="shared" si="11"/>
        <v>2385</v>
      </c>
      <c r="S30" s="230" t="str">
        <f t="shared" si="12"/>
        <v>CFG - FTS-2.1 NR</v>
      </c>
      <c r="T30" s="204"/>
      <c r="U30" s="198" t="s">
        <v>635</v>
      </c>
    </row>
    <row r="31" spans="1:21">
      <c r="A31" s="198">
        <f t="shared" si="1"/>
        <v>31</v>
      </c>
      <c r="B31" s="212" t="s">
        <v>105</v>
      </c>
      <c r="C31" s="208">
        <v>246</v>
      </c>
      <c r="D31" s="208">
        <v>247</v>
      </c>
      <c r="E31" s="208">
        <v>249</v>
      </c>
      <c r="F31" s="208">
        <v>255</v>
      </c>
      <c r="G31" s="208">
        <v>257</v>
      </c>
      <c r="H31" s="208">
        <v>257</v>
      </c>
      <c r="I31" s="208">
        <v>254</v>
      </c>
      <c r="J31" s="208">
        <v>253</v>
      </c>
      <c r="K31" s="208">
        <v>258</v>
      </c>
      <c r="L31" s="208">
        <v>262</v>
      </c>
      <c r="M31" s="208">
        <v>265</v>
      </c>
      <c r="N31" s="208">
        <v>292</v>
      </c>
      <c r="O31" s="204">
        <f t="shared" si="10"/>
        <v>257.91666666666669</v>
      </c>
      <c r="Q31" s="198" t="s">
        <v>8</v>
      </c>
      <c r="R31" s="204">
        <f t="shared" si="11"/>
        <v>3095</v>
      </c>
      <c r="S31" s="230" t="str">
        <f t="shared" si="12"/>
        <v>CFG - FTS-3 NR</v>
      </c>
      <c r="T31" s="232"/>
      <c r="U31" s="198" t="s">
        <v>635</v>
      </c>
    </row>
    <row r="32" spans="1:21">
      <c r="A32" s="198">
        <f t="shared" si="1"/>
        <v>32</v>
      </c>
      <c r="B32" s="212" t="s">
        <v>106</v>
      </c>
      <c r="C32" s="208">
        <v>324</v>
      </c>
      <c r="D32" s="208">
        <v>327</v>
      </c>
      <c r="E32" s="208">
        <v>325</v>
      </c>
      <c r="F32" s="208">
        <v>335</v>
      </c>
      <c r="G32" s="208">
        <v>334</v>
      </c>
      <c r="H32" s="208">
        <v>330</v>
      </c>
      <c r="I32" s="208">
        <v>329</v>
      </c>
      <c r="J32" s="208">
        <v>327</v>
      </c>
      <c r="K32" s="208">
        <v>325</v>
      </c>
      <c r="L32" s="208">
        <v>328</v>
      </c>
      <c r="M32" s="208">
        <v>331</v>
      </c>
      <c r="N32" s="208">
        <v>335</v>
      </c>
      <c r="O32" s="204">
        <f t="shared" si="10"/>
        <v>329.16666666666669</v>
      </c>
      <c r="Q32" s="198" t="s">
        <v>8</v>
      </c>
      <c r="R32" s="204">
        <f t="shared" si="11"/>
        <v>3950</v>
      </c>
      <c r="S32" s="230" t="str">
        <f t="shared" si="12"/>
        <v>CFG - FTS-3.1 NR</v>
      </c>
      <c r="U32" s="198" t="s">
        <v>635</v>
      </c>
    </row>
    <row r="33" spans="1:21">
      <c r="A33" s="198">
        <f t="shared" si="1"/>
        <v>33</v>
      </c>
      <c r="B33" s="212" t="s">
        <v>107</v>
      </c>
      <c r="C33" s="208">
        <v>197</v>
      </c>
      <c r="D33" s="208">
        <v>197</v>
      </c>
      <c r="E33" s="208">
        <v>200</v>
      </c>
      <c r="F33" s="208">
        <v>204</v>
      </c>
      <c r="G33" s="208">
        <v>204</v>
      </c>
      <c r="H33" s="208">
        <v>205</v>
      </c>
      <c r="I33" s="208">
        <v>205</v>
      </c>
      <c r="J33" s="208">
        <v>205</v>
      </c>
      <c r="K33" s="208">
        <v>206</v>
      </c>
      <c r="L33" s="208">
        <v>204</v>
      </c>
      <c r="M33" s="208">
        <v>205</v>
      </c>
      <c r="N33" s="208">
        <v>208</v>
      </c>
      <c r="O33" s="204">
        <f t="shared" si="10"/>
        <v>203.33333333333334</v>
      </c>
      <c r="Q33" s="198" t="s">
        <v>8</v>
      </c>
      <c r="R33" s="204">
        <f t="shared" si="11"/>
        <v>2440</v>
      </c>
      <c r="S33" s="230" t="str">
        <f t="shared" ref="S33:S61" si="13">CONCATENATE(Q33," - ",B33)</f>
        <v>CFG - FTS-4</v>
      </c>
      <c r="U33" s="198" t="s">
        <v>635</v>
      </c>
    </row>
    <row r="34" spans="1:21">
      <c r="A34" s="198">
        <f t="shared" si="1"/>
        <v>34</v>
      </c>
      <c r="B34" s="212" t="s">
        <v>111</v>
      </c>
      <c r="C34" s="208">
        <v>35</v>
      </c>
      <c r="D34" s="208">
        <v>37</v>
      </c>
      <c r="E34" s="208">
        <v>37</v>
      </c>
      <c r="F34" s="208">
        <v>33</v>
      </c>
      <c r="G34" s="208">
        <v>33</v>
      </c>
      <c r="H34" s="208">
        <v>33</v>
      </c>
      <c r="I34" s="208">
        <v>33</v>
      </c>
      <c r="J34" s="208">
        <v>34</v>
      </c>
      <c r="K34" s="208">
        <v>34</v>
      </c>
      <c r="L34" s="208">
        <v>34</v>
      </c>
      <c r="M34" s="208">
        <v>34</v>
      </c>
      <c r="N34" s="208">
        <v>34</v>
      </c>
      <c r="O34" s="204">
        <f t="shared" si="10"/>
        <v>34.25</v>
      </c>
      <c r="Q34" s="198" t="s">
        <v>8</v>
      </c>
      <c r="R34" s="204">
        <f t="shared" si="11"/>
        <v>411</v>
      </c>
      <c r="S34" s="230" t="str">
        <f t="shared" si="13"/>
        <v>CFG - FTS-5</v>
      </c>
      <c r="U34" s="198" t="s">
        <v>635</v>
      </c>
    </row>
    <row r="35" spans="1:21">
      <c r="A35" s="198">
        <f t="shared" si="1"/>
        <v>35</v>
      </c>
      <c r="B35" s="212" t="s">
        <v>112</v>
      </c>
      <c r="C35" s="208">
        <v>23</v>
      </c>
      <c r="D35" s="208">
        <v>24</v>
      </c>
      <c r="E35" s="208">
        <v>25</v>
      </c>
      <c r="F35" s="208">
        <v>26</v>
      </c>
      <c r="G35" s="208">
        <v>26</v>
      </c>
      <c r="H35" s="208">
        <v>26</v>
      </c>
      <c r="I35" s="208">
        <v>26</v>
      </c>
      <c r="J35" s="208">
        <v>26</v>
      </c>
      <c r="K35" s="208">
        <v>26</v>
      </c>
      <c r="L35" s="208">
        <v>27</v>
      </c>
      <c r="M35" s="208">
        <v>27</v>
      </c>
      <c r="N35" s="208">
        <v>26</v>
      </c>
      <c r="O35" s="204">
        <f t="shared" si="10"/>
        <v>25.666666666666668</v>
      </c>
      <c r="Q35" s="198" t="s">
        <v>8</v>
      </c>
      <c r="R35" s="204">
        <f t="shared" si="11"/>
        <v>308</v>
      </c>
      <c r="S35" s="230" t="str">
        <f t="shared" si="13"/>
        <v>CFG - FTS-6</v>
      </c>
      <c r="U35" s="198" t="s">
        <v>635</v>
      </c>
    </row>
    <row r="36" spans="1:21">
      <c r="A36" s="198">
        <f t="shared" si="1"/>
        <v>36</v>
      </c>
      <c r="B36" s="212" t="s">
        <v>113</v>
      </c>
      <c r="C36" s="208">
        <v>23</v>
      </c>
      <c r="D36" s="208">
        <v>22</v>
      </c>
      <c r="E36" s="208">
        <v>22</v>
      </c>
      <c r="F36" s="208">
        <v>21</v>
      </c>
      <c r="G36" s="208">
        <v>21</v>
      </c>
      <c r="H36" s="208">
        <v>23</v>
      </c>
      <c r="I36" s="208">
        <v>22</v>
      </c>
      <c r="J36" s="208">
        <v>22</v>
      </c>
      <c r="K36" s="208">
        <v>22</v>
      </c>
      <c r="L36" s="208">
        <v>22</v>
      </c>
      <c r="M36" s="208">
        <v>22</v>
      </c>
      <c r="N36" s="208">
        <v>22</v>
      </c>
      <c r="O36" s="204">
        <f t="shared" si="10"/>
        <v>22</v>
      </c>
      <c r="Q36" s="198" t="s">
        <v>8</v>
      </c>
      <c r="R36" s="204">
        <f t="shared" si="11"/>
        <v>264</v>
      </c>
      <c r="S36" s="230" t="str">
        <f t="shared" si="13"/>
        <v>CFG - FTS-7</v>
      </c>
      <c r="U36" s="198" t="s">
        <v>635</v>
      </c>
    </row>
    <row r="37" spans="1:21">
      <c r="A37" s="198">
        <f t="shared" si="1"/>
        <v>37</v>
      </c>
      <c r="B37" s="212" t="s">
        <v>114</v>
      </c>
      <c r="C37" s="208">
        <v>16</v>
      </c>
      <c r="D37" s="208">
        <v>16</v>
      </c>
      <c r="E37" s="208">
        <v>16</v>
      </c>
      <c r="F37" s="208">
        <v>18</v>
      </c>
      <c r="G37" s="208">
        <v>18</v>
      </c>
      <c r="H37" s="208">
        <v>18</v>
      </c>
      <c r="I37" s="208">
        <v>18</v>
      </c>
      <c r="J37" s="208">
        <v>18</v>
      </c>
      <c r="K37" s="208">
        <v>18</v>
      </c>
      <c r="L37" s="208">
        <v>18</v>
      </c>
      <c r="M37" s="208">
        <v>17</v>
      </c>
      <c r="N37" s="208">
        <v>18</v>
      </c>
      <c r="O37" s="204">
        <f t="shared" si="10"/>
        <v>17.416666666666668</v>
      </c>
      <c r="Q37" s="198" t="s">
        <v>8</v>
      </c>
      <c r="R37" s="204">
        <f t="shared" si="11"/>
        <v>209</v>
      </c>
      <c r="S37" s="230" t="str">
        <f t="shared" si="13"/>
        <v>CFG - FTS-8</v>
      </c>
      <c r="U37" s="198" t="s">
        <v>635</v>
      </c>
    </row>
    <row r="38" spans="1:21">
      <c r="A38" s="198">
        <f t="shared" si="1"/>
        <v>38</v>
      </c>
      <c r="B38" s="212" t="s">
        <v>115</v>
      </c>
      <c r="C38" s="208">
        <v>8</v>
      </c>
      <c r="D38" s="208">
        <v>8</v>
      </c>
      <c r="E38" s="208">
        <v>8</v>
      </c>
      <c r="F38" s="208">
        <v>7</v>
      </c>
      <c r="G38" s="208">
        <v>7</v>
      </c>
      <c r="H38" s="208">
        <v>7</v>
      </c>
      <c r="I38" s="208">
        <v>7</v>
      </c>
      <c r="J38" s="208">
        <v>7</v>
      </c>
      <c r="K38" s="208">
        <v>7</v>
      </c>
      <c r="L38" s="208">
        <v>7</v>
      </c>
      <c r="M38" s="208">
        <v>7</v>
      </c>
      <c r="N38" s="208">
        <v>7</v>
      </c>
      <c r="O38" s="204">
        <f t="shared" si="10"/>
        <v>7.25</v>
      </c>
      <c r="Q38" s="198" t="s">
        <v>8</v>
      </c>
      <c r="R38" s="204">
        <f t="shared" si="11"/>
        <v>87</v>
      </c>
      <c r="S38" s="230" t="str">
        <f t="shared" si="13"/>
        <v>CFG - FTS-9</v>
      </c>
      <c r="U38" s="198" t="s">
        <v>635</v>
      </c>
    </row>
    <row r="39" spans="1:21">
      <c r="A39" s="198">
        <f t="shared" si="1"/>
        <v>39</v>
      </c>
      <c r="B39" s="212" t="s">
        <v>116</v>
      </c>
      <c r="C39" s="208">
        <v>2</v>
      </c>
      <c r="D39" s="208">
        <v>2</v>
      </c>
      <c r="E39" s="208">
        <v>2</v>
      </c>
      <c r="F39" s="208">
        <v>3</v>
      </c>
      <c r="G39" s="208">
        <v>3</v>
      </c>
      <c r="H39" s="208">
        <v>3</v>
      </c>
      <c r="I39" s="208">
        <v>3</v>
      </c>
      <c r="J39" s="208">
        <v>3</v>
      </c>
      <c r="K39" s="208">
        <v>3</v>
      </c>
      <c r="L39" s="208">
        <v>3</v>
      </c>
      <c r="M39" s="208">
        <v>3</v>
      </c>
      <c r="N39" s="208">
        <v>3</v>
      </c>
      <c r="O39" s="204">
        <f t="shared" si="10"/>
        <v>2.75</v>
      </c>
      <c r="Q39" s="198" t="s">
        <v>8</v>
      </c>
      <c r="R39" s="204">
        <f t="shared" si="11"/>
        <v>33</v>
      </c>
      <c r="S39" s="230" t="str">
        <f t="shared" si="13"/>
        <v>CFG - FTS-10</v>
      </c>
      <c r="U39" s="198" t="s">
        <v>635</v>
      </c>
    </row>
    <row r="40" spans="1:21">
      <c r="A40" s="198">
        <f t="shared" si="1"/>
        <v>40</v>
      </c>
      <c r="B40" s="212" t="s">
        <v>117</v>
      </c>
      <c r="C40" s="208">
        <v>1</v>
      </c>
      <c r="D40" s="208">
        <v>1</v>
      </c>
      <c r="E40" s="208">
        <v>1</v>
      </c>
      <c r="F40" s="208">
        <v>2</v>
      </c>
      <c r="G40" s="208">
        <v>2</v>
      </c>
      <c r="H40" s="208">
        <v>2</v>
      </c>
      <c r="I40" s="208">
        <v>2</v>
      </c>
      <c r="J40" s="208">
        <v>2</v>
      </c>
      <c r="K40" s="208">
        <v>2</v>
      </c>
      <c r="L40" s="208">
        <v>2</v>
      </c>
      <c r="M40" s="208">
        <v>2</v>
      </c>
      <c r="N40" s="208">
        <v>2</v>
      </c>
      <c r="O40" s="204">
        <f t="shared" si="10"/>
        <v>1.75</v>
      </c>
      <c r="Q40" s="198" t="s">
        <v>8</v>
      </c>
      <c r="R40" s="204">
        <f t="shared" si="11"/>
        <v>21</v>
      </c>
      <c r="S40" s="230" t="str">
        <f t="shared" si="13"/>
        <v>CFG - FTS-11</v>
      </c>
      <c r="U40" s="198" t="s">
        <v>635</v>
      </c>
    </row>
    <row r="41" spans="1:21">
      <c r="A41" s="198">
        <f t="shared" si="1"/>
        <v>41</v>
      </c>
      <c r="B41" s="212" t="s">
        <v>118</v>
      </c>
      <c r="C41" s="208">
        <v>5</v>
      </c>
      <c r="D41" s="208">
        <v>5</v>
      </c>
      <c r="E41" s="208">
        <v>5</v>
      </c>
      <c r="F41" s="208">
        <v>4</v>
      </c>
      <c r="G41" s="208">
        <v>4</v>
      </c>
      <c r="H41" s="208">
        <v>4</v>
      </c>
      <c r="I41" s="208">
        <v>4</v>
      </c>
      <c r="J41" s="208">
        <v>4</v>
      </c>
      <c r="K41" s="208">
        <v>4</v>
      </c>
      <c r="L41" s="208">
        <v>4</v>
      </c>
      <c r="M41" s="208">
        <v>4</v>
      </c>
      <c r="N41" s="208">
        <v>4</v>
      </c>
      <c r="O41" s="204">
        <f t="shared" si="10"/>
        <v>4.25</v>
      </c>
      <c r="Q41" s="198" t="s">
        <v>8</v>
      </c>
      <c r="R41" s="204">
        <f t="shared" si="11"/>
        <v>51</v>
      </c>
      <c r="S41" s="230" t="str">
        <f t="shared" si="13"/>
        <v>CFG - FTS-12</v>
      </c>
      <c r="U41" s="198" t="s">
        <v>635</v>
      </c>
    </row>
    <row r="42" spans="1:21">
      <c r="A42" s="198">
        <f t="shared" si="1"/>
        <v>42</v>
      </c>
      <c r="B42" s="212" t="s">
        <v>313</v>
      </c>
      <c r="C42" s="208">
        <v>0</v>
      </c>
      <c r="D42" s="208">
        <v>0</v>
      </c>
      <c r="E42" s="208">
        <v>0</v>
      </c>
      <c r="F42" s="208">
        <v>0</v>
      </c>
      <c r="G42" s="208">
        <v>0</v>
      </c>
      <c r="H42" s="208">
        <v>0</v>
      </c>
      <c r="I42" s="208">
        <v>0</v>
      </c>
      <c r="J42" s="208"/>
      <c r="K42" s="208"/>
      <c r="L42" s="208"/>
      <c r="M42" s="208"/>
      <c r="N42" s="208"/>
      <c r="O42" s="204">
        <f t="shared" si="10"/>
        <v>0</v>
      </c>
      <c r="Q42" s="198" t="s">
        <v>8</v>
      </c>
      <c r="R42" s="204">
        <f t="shared" si="11"/>
        <v>0</v>
      </c>
      <c r="S42" s="230" t="str">
        <f t="shared" si="13"/>
        <v>CFG - FTS-13</v>
      </c>
      <c r="U42" s="198" t="s">
        <v>635</v>
      </c>
    </row>
    <row r="43" spans="1:21">
      <c r="A43" s="198">
        <f t="shared" si="1"/>
        <v>43</v>
      </c>
      <c r="B43" s="212" t="s">
        <v>99</v>
      </c>
      <c r="C43" s="208">
        <v>924</v>
      </c>
      <c r="D43" s="208">
        <v>914</v>
      </c>
      <c r="E43" s="208">
        <v>911</v>
      </c>
      <c r="F43" s="208">
        <v>918</v>
      </c>
      <c r="G43" s="208">
        <v>905</v>
      </c>
      <c r="H43" s="208">
        <v>900</v>
      </c>
      <c r="I43" s="208">
        <v>903</v>
      </c>
      <c r="J43" s="208">
        <v>894</v>
      </c>
      <c r="K43" s="208">
        <v>894</v>
      </c>
      <c r="L43" s="208">
        <v>884</v>
      </c>
      <c r="M43" s="208">
        <v>890</v>
      </c>
      <c r="N43" s="208">
        <v>891</v>
      </c>
      <c r="O43" s="204">
        <f t="shared" si="10"/>
        <v>902.33333333333337</v>
      </c>
      <c r="Q43" s="198" t="s">
        <v>7</v>
      </c>
      <c r="R43" s="204">
        <f t="shared" si="11"/>
        <v>10828</v>
      </c>
      <c r="S43" s="230" t="str">
        <f t="shared" si="13"/>
        <v>FPU - FPU - GS - 1</v>
      </c>
      <c r="U43" s="198" t="s">
        <v>635</v>
      </c>
    </row>
    <row r="44" spans="1:21">
      <c r="A44" s="198">
        <f t="shared" si="1"/>
        <v>44</v>
      </c>
      <c r="B44" s="212" t="s">
        <v>138</v>
      </c>
      <c r="C44" s="208">
        <v>342</v>
      </c>
      <c r="D44" s="208">
        <v>357</v>
      </c>
      <c r="E44" s="208">
        <v>357</v>
      </c>
      <c r="F44" s="208">
        <v>345</v>
      </c>
      <c r="G44" s="208">
        <v>348</v>
      </c>
      <c r="H44" s="208">
        <v>365</v>
      </c>
      <c r="I44" s="208">
        <v>367</v>
      </c>
      <c r="J44" s="208">
        <v>364</v>
      </c>
      <c r="K44" s="208">
        <v>367</v>
      </c>
      <c r="L44" s="208">
        <v>359</v>
      </c>
      <c r="M44" s="208">
        <v>361</v>
      </c>
      <c r="N44" s="208">
        <v>369</v>
      </c>
      <c r="O44" s="204">
        <f t="shared" si="10"/>
        <v>358.41666666666669</v>
      </c>
      <c r="Q44" s="198" t="s">
        <v>7</v>
      </c>
      <c r="R44" s="204">
        <f t="shared" si="11"/>
        <v>4301</v>
      </c>
      <c r="S44" s="230" t="str">
        <f t="shared" si="13"/>
        <v>FPU - FPU - GSTS - 1</v>
      </c>
      <c r="T44" s="204"/>
      <c r="U44" s="198" t="s">
        <v>635</v>
      </c>
    </row>
    <row r="45" spans="1:21">
      <c r="A45" s="198">
        <f t="shared" si="1"/>
        <v>45</v>
      </c>
      <c r="B45" s="212" t="s">
        <v>140</v>
      </c>
      <c r="C45" s="208">
        <v>2048</v>
      </c>
      <c r="D45" s="208">
        <v>2044</v>
      </c>
      <c r="E45" s="208">
        <v>2056</v>
      </c>
      <c r="F45" s="208">
        <v>2059</v>
      </c>
      <c r="G45" s="208">
        <v>2066</v>
      </c>
      <c r="H45" s="208">
        <v>2052</v>
      </c>
      <c r="I45" s="208">
        <v>2053</v>
      </c>
      <c r="J45" s="208">
        <v>2062</v>
      </c>
      <c r="K45" s="208">
        <v>2065</v>
      </c>
      <c r="L45" s="208">
        <v>2023</v>
      </c>
      <c r="M45" s="208">
        <v>2032</v>
      </c>
      <c r="N45" s="208">
        <v>2033</v>
      </c>
      <c r="O45" s="204">
        <f t="shared" si="10"/>
        <v>2049.4166666666665</v>
      </c>
      <c r="Q45" s="198" t="s">
        <v>7</v>
      </c>
      <c r="R45" s="204">
        <f t="shared" si="11"/>
        <v>24593</v>
      </c>
      <c r="S45" s="230" t="str">
        <f t="shared" si="13"/>
        <v>FPU - FPU - GS - 2</v>
      </c>
      <c r="T45" s="232"/>
      <c r="U45" s="198" t="s">
        <v>635</v>
      </c>
    </row>
    <row r="46" spans="1:21">
      <c r="A46" s="198">
        <f t="shared" si="1"/>
        <v>46</v>
      </c>
      <c r="B46" s="212" t="s">
        <v>141</v>
      </c>
      <c r="C46" s="208">
        <v>656</v>
      </c>
      <c r="D46" s="208">
        <v>656</v>
      </c>
      <c r="E46" s="208">
        <v>666</v>
      </c>
      <c r="F46" s="208">
        <v>681</v>
      </c>
      <c r="G46" s="208">
        <v>685</v>
      </c>
      <c r="H46" s="208">
        <v>686</v>
      </c>
      <c r="I46" s="208">
        <v>687</v>
      </c>
      <c r="J46" s="208">
        <v>690</v>
      </c>
      <c r="K46" s="208">
        <v>740</v>
      </c>
      <c r="L46" s="208">
        <v>753</v>
      </c>
      <c r="M46" s="208">
        <v>771</v>
      </c>
      <c r="N46" s="208">
        <v>774</v>
      </c>
      <c r="O46" s="204">
        <f t="shared" si="10"/>
        <v>703.75</v>
      </c>
      <c r="Q46" s="198" t="s">
        <v>7</v>
      </c>
      <c r="R46" s="204">
        <f t="shared" si="11"/>
        <v>8445</v>
      </c>
      <c r="S46" s="230" t="str">
        <f t="shared" si="13"/>
        <v>FPU - FPU - GSTS - 2</v>
      </c>
      <c r="U46" s="198" t="s">
        <v>635</v>
      </c>
    </row>
    <row r="47" spans="1:21">
      <c r="A47" s="198">
        <f t="shared" si="1"/>
        <v>47</v>
      </c>
      <c r="B47" s="212" t="s">
        <v>142</v>
      </c>
      <c r="C47" s="208">
        <v>209</v>
      </c>
      <c r="D47" s="208">
        <v>209</v>
      </c>
      <c r="E47" s="208">
        <v>212</v>
      </c>
      <c r="F47" s="208">
        <v>212</v>
      </c>
      <c r="G47" s="208">
        <v>215</v>
      </c>
      <c r="H47" s="208">
        <v>215</v>
      </c>
      <c r="I47" s="208">
        <v>220</v>
      </c>
      <c r="J47" s="208">
        <v>220</v>
      </c>
      <c r="K47" s="208">
        <v>223</v>
      </c>
      <c r="L47" s="208">
        <v>237</v>
      </c>
      <c r="M47" s="208">
        <v>231</v>
      </c>
      <c r="N47" s="208">
        <v>229</v>
      </c>
      <c r="O47" s="204">
        <f t="shared" si="10"/>
        <v>219.33333333333334</v>
      </c>
      <c r="Q47" s="198" t="s">
        <v>7</v>
      </c>
      <c r="R47" s="204">
        <f t="shared" si="11"/>
        <v>2632</v>
      </c>
      <c r="S47" s="230" t="str">
        <f t="shared" si="13"/>
        <v>FPU - FPU - CS - GS</v>
      </c>
      <c r="U47" s="198" t="s">
        <v>635</v>
      </c>
    </row>
    <row r="48" spans="1:21">
      <c r="A48" s="198">
        <f t="shared" si="1"/>
        <v>48</v>
      </c>
      <c r="B48" s="212" t="s">
        <v>143</v>
      </c>
      <c r="C48" s="208">
        <v>676</v>
      </c>
      <c r="D48" s="208">
        <v>677</v>
      </c>
      <c r="E48" s="208">
        <v>675</v>
      </c>
      <c r="F48" s="208">
        <v>676</v>
      </c>
      <c r="G48" s="208">
        <v>673</v>
      </c>
      <c r="H48" s="208">
        <v>668</v>
      </c>
      <c r="I48" s="208">
        <v>652</v>
      </c>
      <c r="J48" s="208">
        <v>665</v>
      </c>
      <c r="K48" s="208">
        <v>665</v>
      </c>
      <c r="L48" s="208">
        <v>669</v>
      </c>
      <c r="M48" s="208">
        <v>685</v>
      </c>
      <c r="N48" s="208">
        <v>672</v>
      </c>
      <c r="O48" s="204">
        <f t="shared" si="10"/>
        <v>671.08333333333337</v>
      </c>
      <c r="Q48" s="198" t="s">
        <v>7</v>
      </c>
      <c r="R48" s="204">
        <f t="shared" si="11"/>
        <v>8053</v>
      </c>
      <c r="S48" s="230" t="str">
        <f t="shared" si="13"/>
        <v>FPU - FPU - LVS</v>
      </c>
      <c r="U48" s="198" t="s">
        <v>635</v>
      </c>
    </row>
    <row r="49" spans="1:21">
      <c r="A49" s="198">
        <f t="shared" si="1"/>
        <v>49</v>
      </c>
      <c r="B49" s="212" t="s">
        <v>145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  <c r="K49" s="208">
        <v>0</v>
      </c>
      <c r="L49" s="208"/>
      <c r="M49" s="208">
        <v>0</v>
      </c>
      <c r="N49" s="208">
        <v>0</v>
      </c>
      <c r="O49" s="204">
        <f t="shared" si="10"/>
        <v>0</v>
      </c>
      <c r="Q49" s="198" t="s">
        <v>7</v>
      </c>
      <c r="R49" s="204">
        <f t="shared" si="11"/>
        <v>0</v>
      </c>
      <c r="S49" s="230" t="str">
        <f t="shared" si="13"/>
        <v>FPU - FPU - LVTS &lt;50k</v>
      </c>
      <c r="U49" s="198" t="s">
        <v>635</v>
      </c>
    </row>
    <row r="50" spans="1:21">
      <c r="A50" s="198">
        <f t="shared" si="1"/>
        <v>50</v>
      </c>
      <c r="B50" s="212" t="s">
        <v>146</v>
      </c>
      <c r="C50" s="208">
        <v>1195</v>
      </c>
      <c r="D50" s="208">
        <v>1198</v>
      </c>
      <c r="E50" s="208">
        <v>1205</v>
      </c>
      <c r="F50" s="208">
        <v>1209</v>
      </c>
      <c r="G50" s="208">
        <v>1203</v>
      </c>
      <c r="H50" s="208">
        <v>1213</v>
      </c>
      <c r="I50" s="208">
        <v>1219</v>
      </c>
      <c r="J50" s="208">
        <v>1217</v>
      </c>
      <c r="K50" s="208">
        <v>1211</v>
      </c>
      <c r="L50" s="208">
        <v>1203</v>
      </c>
      <c r="M50" s="208">
        <v>1205</v>
      </c>
      <c r="N50" s="208">
        <v>1219</v>
      </c>
      <c r="O50" s="204">
        <f t="shared" si="10"/>
        <v>1208.0833333333333</v>
      </c>
      <c r="Q50" s="198" t="s">
        <v>7</v>
      </c>
      <c r="R50" s="204">
        <f t="shared" si="11"/>
        <v>14497</v>
      </c>
      <c r="S50" s="230" t="str">
        <f t="shared" si="13"/>
        <v>FPU - FPU - LVTS &gt;50k</v>
      </c>
      <c r="U50" s="198" t="s">
        <v>635</v>
      </c>
    </row>
    <row r="51" spans="1:21">
      <c r="A51" s="198">
        <f t="shared" si="1"/>
        <v>51</v>
      </c>
      <c r="B51" s="212" t="s">
        <v>148</v>
      </c>
      <c r="C51" s="208">
        <v>0</v>
      </c>
      <c r="D51" s="208">
        <v>0</v>
      </c>
      <c r="E51" s="208">
        <v>0</v>
      </c>
      <c r="F51" s="208"/>
      <c r="G51" s="208">
        <v>0</v>
      </c>
      <c r="H51" s="208"/>
      <c r="I51" s="208">
        <v>0</v>
      </c>
      <c r="J51" s="208">
        <v>0</v>
      </c>
      <c r="K51" s="208">
        <v>0</v>
      </c>
      <c r="L51" s="208"/>
      <c r="M51" s="208">
        <v>0</v>
      </c>
      <c r="N51" s="208">
        <v>0</v>
      </c>
      <c r="O51" s="204">
        <f t="shared" si="10"/>
        <v>0</v>
      </c>
      <c r="Q51" s="198" t="s">
        <v>7</v>
      </c>
      <c r="R51" s="204">
        <f t="shared" si="11"/>
        <v>0</v>
      </c>
      <c r="S51" s="230" t="str">
        <f t="shared" si="13"/>
        <v>FPU - FPU - IS</v>
      </c>
      <c r="U51" s="198" t="s">
        <v>635</v>
      </c>
    </row>
    <row r="52" spans="1:21">
      <c r="A52" s="198">
        <f t="shared" si="1"/>
        <v>52</v>
      </c>
      <c r="B52" s="212" t="s">
        <v>149</v>
      </c>
      <c r="C52" s="208">
        <v>17</v>
      </c>
      <c r="D52" s="208">
        <v>17</v>
      </c>
      <c r="E52" s="208">
        <v>17</v>
      </c>
      <c r="F52" s="208">
        <v>17</v>
      </c>
      <c r="G52" s="208">
        <v>17</v>
      </c>
      <c r="H52" s="208">
        <v>17</v>
      </c>
      <c r="I52" s="208">
        <v>17</v>
      </c>
      <c r="J52" s="208">
        <v>17</v>
      </c>
      <c r="K52" s="208">
        <v>18</v>
      </c>
      <c r="L52" s="208">
        <v>18</v>
      </c>
      <c r="M52" s="208">
        <v>18</v>
      </c>
      <c r="N52" s="208">
        <v>17</v>
      </c>
      <c r="O52" s="204">
        <f t="shared" si="10"/>
        <v>17.25</v>
      </c>
      <c r="Q52" s="198" t="s">
        <v>7</v>
      </c>
      <c r="R52" s="204">
        <f t="shared" si="11"/>
        <v>207</v>
      </c>
      <c r="S52" s="230" t="str">
        <f t="shared" si="13"/>
        <v>FPU - FPU - ITS</v>
      </c>
      <c r="U52" s="198" t="s">
        <v>635</v>
      </c>
    </row>
    <row r="53" spans="1:21">
      <c r="A53" s="198">
        <f t="shared" si="1"/>
        <v>53</v>
      </c>
      <c r="B53" s="212" t="s">
        <v>151</v>
      </c>
      <c r="C53" s="208">
        <v>53</v>
      </c>
      <c r="D53" s="208">
        <v>51</v>
      </c>
      <c r="E53" s="208">
        <v>51</v>
      </c>
      <c r="F53" s="208">
        <v>52</v>
      </c>
      <c r="G53" s="208">
        <v>50</v>
      </c>
      <c r="H53" s="208">
        <v>50</v>
      </c>
      <c r="I53" s="208">
        <v>50</v>
      </c>
      <c r="J53" s="208">
        <v>50</v>
      </c>
      <c r="K53" s="208">
        <v>49</v>
      </c>
      <c r="L53" s="208">
        <v>48</v>
      </c>
      <c r="M53" s="208">
        <v>44</v>
      </c>
      <c r="N53" s="208">
        <v>40</v>
      </c>
      <c r="O53" s="204">
        <f t="shared" si="10"/>
        <v>49</v>
      </c>
      <c r="Q53" s="198" t="s">
        <v>7</v>
      </c>
      <c r="R53" s="204">
        <f t="shared" si="11"/>
        <v>588</v>
      </c>
      <c r="S53" s="230" t="str">
        <f t="shared" si="13"/>
        <v>FPU - FPU - GLS</v>
      </c>
      <c r="U53" s="198" t="s">
        <v>635</v>
      </c>
    </row>
    <row r="54" spans="1:21">
      <c r="A54" s="198">
        <f t="shared" si="1"/>
        <v>54</v>
      </c>
      <c r="B54" s="212" t="s">
        <v>153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/>
      <c r="M54" s="208">
        <v>0</v>
      </c>
      <c r="N54" s="208">
        <v>0</v>
      </c>
      <c r="O54" s="204">
        <f t="shared" si="10"/>
        <v>0</v>
      </c>
      <c r="Q54" s="198" t="s">
        <v>7</v>
      </c>
      <c r="R54" s="204">
        <f t="shared" si="11"/>
        <v>0</v>
      </c>
      <c r="S54" s="230" t="str">
        <f t="shared" si="13"/>
        <v>FPU - FPU-NGVS</v>
      </c>
      <c r="U54" s="198" t="s">
        <v>635</v>
      </c>
    </row>
    <row r="55" spans="1:21">
      <c r="A55" s="198">
        <f t="shared" si="1"/>
        <v>55</v>
      </c>
      <c r="B55" s="212" t="s">
        <v>154</v>
      </c>
      <c r="C55" s="208">
        <v>2</v>
      </c>
      <c r="D55" s="208">
        <v>2</v>
      </c>
      <c r="E55" s="208">
        <v>2</v>
      </c>
      <c r="F55" s="208">
        <v>2</v>
      </c>
      <c r="G55" s="208">
        <v>2</v>
      </c>
      <c r="H55" s="208">
        <v>2</v>
      </c>
      <c r="I55" s="208">
        <v>2</v>
      </c>
      <c r="J55" s="208">
        <v>2</v>
      </c>
      <c r="K55" s="208">
        <v>2</v>
      </c>
      <c r="L55" s="208">
        <v>2</v>
      </c>
      <c r="M55" s="208">
        <v>2</v>
      </c>
      <c r="N55" s="208">
        <v>2</v>
      </c>
      <c r="O55" s="204">
        <f t="shared" si="10"/>
        <v>2</v>
      </c>
      <c r="Q55" s="198" t="s">
        <v>7</v>
      </c>
      <c r="R55" s="204">
        <f t="shared" si="11"/>
        <v>24</v>
      </c>
      <c r="S55" s="230" t="str">
        <f t="shared" si="13"/>
        <v>FPU - FPU- NGVTS</v>
      </c>
      <c r="U55" s="198" t="s">
        <v>635</v>
      </c>
    </row>
    <row r="56" spans="1:21">
      <c r="A56" s="198">
        <f t="shared" si="1"/>
        <v>56</v>
      </c>
      <c r="B56" s="212" t="s">
        <v>155</v>
      </c>
      <c r="C56" s="208">
        <v>4</v>
      </c>
      <c r="D56" s="208">
        <v>4</v>
      </c>
      <c r="E56" s="208">
        <v>4</v>
      </c>
      <c r="F56" s="208">
        <v>4</v>
      </c>
      <c r="G56" s="208">
        <v>4</v>
      </c>
      <c r="H56" s="208">
        <v>4</v>
      </c>
      <c r="I56" s="208">
        <v>4</v>
      </c>
      <c r="J56" s="208">
        <v>4</v>
      </c>
      <c r="K56" s="208">
        <v>4</v>
      </c>
      <c r="L56" s="208">
        <v>4</v>
      </c>
      <c r="M56" s="208">
        <v>4</v>
      </c>
      <c r="N56" s="208">
        <v>4</v>
      </c>
      <c r="O56" s="204">
        <f t="shared" si="10"/>
        <v>4</v>
      </c>
      <c r="Q56" s="198" t="s">
        <v>5</v>
      </c>
      <c r="R56" s="204">
        <f t="shared" si="11"/>
        <v>48</v>
      </c>
      <c r="S56" s="230" t="str">
        <f t="shared" si="13"/>
        <v>FT - FT-Comm PA</v>
      </c>
      <c r="U56" s="198" t="s">
        <v>635</v>
      </c>
    </row>
    <row r="57" spans="1:21">
      <c r="A57" s="198">
        <f t="shared" si="1"/>
        <v>57</v>
      </c>
      <c r="B57" s="212" t="s">
        <v>157</v>
      </c>
      <c r="C57" s="208">
        <v>15</v>
      </c>
      <c r="D57" s="208">
        <v>14</v>
      </c>
      <c r="E57" s="208">
        <v>17</v>
      </c>
      <c r="F57" s="208">
        <v>17</v>
      </c>
      <c r="G57" s="208">
        <v>17</v>
      </c>
      <c r="H57" s="208">
        <v>16</v>
      </c>
      <c r="I57" s="208">
        <v>16</v>
      </c>
      <c r="J57" s="208">
        <v>16</v>
      </c>
      <c r="K57" s="208">
        <v>16</v>
      </c>
      <c r="L57" s="208">
        <v>16</v>
      </c>
      <c r="M57" s="208">
        <v>16</v>
      </c>
      <c r="N57" s="208">
        <v>16</v>
      </c>
      <c r="O57" s="204">
        <f t="shared" si="10"/>
        <v>16</v>
      </c>
      <c r="Q57" s="198" t="s">
        <v>5</v>
      </c>
      <c r="R57" s="204">
        <f t="shared" si="11"/>
        <v>192</v>
      </c>
      <c r="S57" s="230" t="str">
        <f t="shared" si="13"/>
        <v>FT - FT-Comm Small</v>
      </c>
      <c r="U57" s="198" t="s">
        <v>635</v>
      </c>
    </row>
    <row r="58" spans="1:21">
      <c r="A58" s="198">
        <f t="shared" si="1"/>
        <v>58</v>
      </c>
      <c r="B58" s="212" t="s">
        <v>159</v>
      </c>
      <c r="C58" s="208">
        <v>7</v>
      </c>
      <c r="D58" s="208">
        <v>7</v>
      </c>
      <c r="E58" s="208">
        <v>7</v>
      </c>
      <c r="F58" s="208">
        <v>7</v>
      </c>
      <c r="G58" s="208">
        <v>7</v>
      </c>
      <c r="H58" s="208">
        <v>7</v>
      </c>
      <c r="I58" s="208">
        <v>7</v>
      </c>
      <c r="J58" s="208">
        <v>7</v>
      </c>
      <c r="K58" s="208">
        <v>7</v>
      </c>
      <c r="L58" s="208">
        <v>7</v>
      </c>
      <c r="M58" s="208">
        <v>7</v>
      </c>
      <c r="N58" s="208">
        <v>7</v>
      </c>
      <c r="O58" s="204">
        <f t="shared" si="10"/>
        <v>7</v>
      </c>
      <c r="Q58" s="198" t="s">
        <v>5</v>
      </c>
      <c r="R58" s="204">
        <f t="shared" si="11"/>
        <v>84</v>
      </c>
      <c r="S58" s="230" t="str">
        <f t="shared" si="13"/>
        <v>FT - FT-Transportation</v>
      </c>
      <c r="U58" s="198" t="s">
        <v>635</v>
      </c>
    </row>
    <row r="59" spans="1:21">
      <c r="A59" s="198">
        <f t="shared" si="1"/>
        <v>59</v>
      </c>
      <c r="B59" s="207" t="s">
        <v>95</v>
      </c>
      <c r="C59" s="208">
        <v>23</v>
      </c>
      <c r="D59" s="208">
        <v>23</v>
      </c>
      <c r="E59" s="208">
        <v>23</v>
      </c>
      <c r="F59" s="208">
        <v>24</v>
      </c>
      <c r="G59" s="208">
        <v>23</v>
      </c>
      <c r="H59" s="208">
        <v>23</v>
      </c>
      <c r="I59" s="208">
        <v>23</v>
      </c>
      <c r="J59" s="208">
        <v>23</v>
      </c>
      <c r="K59" s="208">
        <v>23</v>
      </c>
      <c r="L59" s="208">
        <v>23</v>
      </c>
      <c r="M59" s="208">
        <v>23</v>
      </c>
      <c r="N59" s="208">
        <v>23</v>
      </c>
      <c r="O59" s="204">
        <f t="shared" si="10"/>
        <v>23.083333333333332</v>
      </c>
      <c r="Q59" s="198" t="s">
        <v>4</v>
      </c>
      <c r="R59" s="204">
        <f t="shared" si="11"/>
        <v>277</v>
      </c>
      <c r="S59" s="230" t="str">
        <f t="shared" si="13"/>
        <v>IGC - IGC - TS2</v>
      </c>
      <c r="U59" s="198" t="s">
        <v>635</v>
      </c>
    </row>
    <row r="60" spans="1:21">
      <c r="A60" s="198">
        <f t="shared" si="1"/>
        <v>60</v>
      </c>
      <c r="B60" s="207" t="s">
        <v>96</v>
      </c>
      <c r="C60" s="208">
        <v>1</v>
      </c>
      <c r="D60" s="208">
        <v>1</v>
      </c>
      <c r="E60" s="208">
        <v>1</v>
      </c>
      <c r="F60" s="208">
        <v>1</v>
      </c>
      <c r="G60" s="208">
        <v>1</v>
      </c>
      <c r="H60" s="208">
        <v>1</v>
      </c>
      <c r="I60" s="208">
        <v>1</v>
      </c>
      <c r="J60" s="208">
        <v>1</v>
      </c>
      <c r="K60" s="208">
        <v>1</v>
      </c>
      <c r="L60" s="208">
        <v>1</v>
      </c>
      <c r="M60" s="208">
        <v>1</v>
      </c>
      <c r="N60" s="208">
        <v>1</v>
      </c>
      <c r="O60" s="204">
        <f t="shared" si="10"/>
        <v>1</v>
      </c>
      <c r="Q60" s="198" t="s">
        <v>4</v>
      </c>
      <c r="R60" s="204">
        <f t="shared" si="11"/>
        <v>12</v>
      </c>
      <c r="S60" s="230" t="str">
        <f t="shared" si="13"/>
        <v>IGC - IGC - TS3</v>
      </c>
      <c r="U60" s="198" t="s">
        <v>635</v>
      </c>
    </row>
    <row r="61" spans="1:21">
      <c r="A61" s="198">
        <f t="shared" si="1"/>
        <v>61</v>
      </c>
      <c r="B61" s="218" t="s">
        <v>97</v>
      </c>
      <c r="C61" s="208">
        <v>2</v>
      </c>
      <c r="D61" s="208">
        <v>2</v>
      </c>
      <c r="E61" s="208">
        <v>2</v>
      </c>
      <c r="F61" s="208">
        <v>2</v>
      </c>
      <c r="G61" s="208">
        <v>2</v>
      </c>
      <c r="H61" s="208">
        <v>2</v>
      </c>
      <c r="I61" s="208">
        <v>2</v>
      </c>
      <c r="J61" s="208">
        <v>2</v>
      </c>
      <c r="K61" s="208">
        <v>2</v>
      </c>
      <c r="L61" s="208">
        <v>2</v>
      </c>
      <c r="M61" s="208">
        <v>2</v>
      </c>
      <c r="N61" s="208">
        <v>2</v>
      </c>
      <c r="O61" s="216">
        <f t="shared" si="10"/>
        <v>2</v>
      </c>
      <c r="Q61" s="198" t="s">
        <v>4</v>
      </c>
      <c r="R61" s="204">
        <f t="shared" si="11"/>
        <v>24</v>
      </c>
      <c r="S61" s="230" t="str">
        <f t="shared" si="13"/>
        <v>IGC - IGC - TS4</v>
      </c>
      <c r="U61" s="198" t="s">
        <v>635</v>
      </c>
    </row>
    <row r="62" spans="1:21">
      <c r="A62" s="198">
        <f t="shared" si="1"/>
        <v>62</v>
      </c>
      <c r="B62" s="219" t="s">
        <v>164</v>
      </c>
      <c r="C62" s="214">
        <f t="shared" ref="C62:M62" si="14">SUM(C26:C61)</f>
        <v>7610</v>
      </c>
      <c r="D62" s="214">
        <f t="shared" si="14"/>
        <v>7616</v>
      </c>
      <c r="E62" s="214">
        <f t="shared" si="14"/>
        <v>7648</v>
      </c>
      <c r="F62" s="214">
        <f t="shared" si="14"/>
        <v>7678</v>
      </c>
      <c r="G62" s="214">
        <f t="shared" si="14"/>
        <v>7674</v>
      </c>
      <c r="H62" s="214">
        <f t="shared" si="14"/>
        <v>7673</v>
      </c>
      <c r="I62" s="214">
        <f t="shared" si="14"/>
        <v>7663</v>
      </c>
      <c r="J62" s="214">
        <f t="shared" si="14"/>
        <v>7674</v>
      </c>
      <c r="K62" s="214">
        <f t="shared" si="14"/>
        <v>7730</v>
      </c>
      <c r="L62" s="214">
        <f t="shared" si="14"/>
        <v>7696</v>
      </c>
      <c r="M62" s="214">
        <f t="shared" si="14"/>
        <v>7747</v>
      </c>
      <c r="N62" s="214">
        <f>SUM(N26:N61)</f>
        <v>7827</v>
      </c>
      <c r="O62" s="204">
        <f t="shared" si="10"/>
        <v>7686.333333333333</v>
      </c>
      <c r="R62" s="204">
        <f t="shared" si="11"/>
        <v>92236</v>
      </c>
    </row>
    <row r="63" spans="1:21">
      <c r="A63" s="198">
        <f t="shared" si="1"/>
        <v>63</v>
      </c>
      <c r="B63" s="217" t="s">
        <v>165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R63" s="198"/>
    </row>
    <row r="64" spans="1:21">
      <c r="A64" s="198">
        <f t="shared" si="1"/>
        <v>64</v>
      </c>
      <c r="B64" s="207" t="s">
        <v>100</v>
      </c>
      <c r="C64" s="208">
        <v>0</v>
      </c>
      <c r="D64" s="208">
        <v>0</v>
      </c>
      <c r="E64" s="208">
        <v>0</v>
      </c>
      <c r="F64" s="208"/>
      <c r="G64" s="208">
        <v>0</v>
      </c>
      <c r="H64" s="208">
        <v>0</v>
      </c>
      <c r="I64" s="208">
        <v>0</v>
      </c>
      <c r="J64" s="208"/>
      <c r="K64" s="208"/>
      <c r="L64" s="208"/>
      <c r="M64" s="208"/>
      <c r="N64" s="208"/>
      <c r="O64" s="204">
        <f t="shared" ref="O64:O71" si="15">AVERAGE(C64:N64)</f>
        <v>0</v>
      </c>
      <c r="Q64" s="198" t="s">
        <v>8</v>
      </c>
      <c r="R64" s="204">
        <f t="shared" ref="R64:R71" si="16">+SUM(C64:N64)</f>
        <v>0</v>
      </c>
      <c r="S64" s="198" t="str">
        <f>CONCATENATE(Q64," - ",B64," - ",T64)</f>
        <v>CFG - FTS-A - Fixed NR</v>
      </c>
      <c r="T64" s="231" t="s">
        <v>166</v>
      </c>
      <c r="U64" s="198" t="s">
        <v>635</v>
      </c>
    </row>
    <row r="65" spans="1:21">
      <c r="A65" s="198">
        <f t="shared" si="1"/>
        <v>65</v>
      </c>
      <c r="B65" s="207" t="s">
        <v>101</v>
      </c>
      <c r="C65" s="208">
        <v>1</v>
      </c>
      <c r="D65" s="208">
        <v>1</v>
      </c>
      <c r="E65" s="208">
        <v>1</v>
      </c>
      <c r="F65" s="208">
        <v>1</v>
      </c>
      <c r="G65" s="208">
        <v>1</v>
      </c>
      <c r="H65" s="208">
        <v>1</v>
      </c>
      <c r="I65" s="208">
        <v>1</v>
      </c>
      <c r="J65" s="208">
        <v>1</v>
      </c>
      <c r="K65" s="208">
        <v>1</v>
      </c>
      <c r="L65" s="208">
        <v>1</v>
      </c>
      <c r="M65" s="208">
        <v>1</v>
      </c>
      <c r="N65" s="208">
        <v>1</v>
      </c>
      <c r="O65" s="204">
        <f t="shared" si="15"/>
        <v>1</v>
      </c>
      <c r="Q65" s="198" t="s">
        <v>8</v>
      </c>
      <c r="R65" s="204">
        <f t="shared" si="16"/>
        <v>12</v>
      </c>
      <c r="S65" s="198" t="str">
        <f t="shared" ref="S65:S70" si="17">CONCATENATE(Q65," - ",B65," - ",T65)</f>
        <v>CFG - FTS-B - Fixed NR</v>
      </c>
      <c r="T65" s="231" t="s">
        <v>166</v>
      </c>
      <c r="U65" s="198" t="s">
        <v>635</v>
      </c>
    </row>
    <row r="66" spans="1:21">
      <c r="A66" s="198">
        <f t="shared" si="1"/>
        <v>66</v>
      </c>
      <c r="B66" s="207" t="s">
        <v>102</v>
      </c>
      <c r="C66" s="208">
        <v>22</v>
      </c>
      <c r="D66" s="208">
        <v>22</v>
      </c>
      <c r="E66" s="208">
        <v>22</v>
      </c>
      <c r="F66" s="208">
        <v>22</v>
      </c>
      <c r="G66" s="208">
        <v>23</v>
      </c>
      <c r="H66" s="208">
        <v>24</v>
      </c>
      <c r="I66" s="208">
        <v>27</v>
      </c>
      <c r="J66" s="208">
        <v>27</v>
      </c>
      <c r="K66" s="208">
        <v>28</v>
      </c>
      <c r="L66" s="208">
        <v>32</v>
      </c>
      <c r="M66" s="208">
        <v>32</v>
      </c>
      <c r="N66" s="208">
        <v>33</v>
      </c>
      <c r="O66" s="204">
        <f t="shared" si="15"/>
        <v>26.166666666666668</v>
      </c>
      <c r="Q66" s="198" t="s">
        <v>8</v>
      </c>
      <c r="R66" s="204">
        <f t="shared" si="16"/>
        <v>314</v>
      </c>
      <c r="S66" s="198" t="str">
        <f t="shared" si="17"/>
        <v>CFG - FTS-1 - Fixed NR</v>
      </c>
      <c r="T66" s="231" t="s">
        <v>166</v>
      </c>
      <c r="U66" s="198" t="s">
        <v>635</v>
      </c>
    </row>
    <row r="67" spans="1:21">
      <c r="A67" s="198">
        <f t="shared" ref="A67:A130" si="18">+A66+1</f>
        <v>67</v>
      </c>
      <c r="B67" s="212" t="s">
        <v>103</v>
      </c>
      <c r="C67" s="208">
        <v>4</v>
      </c>
      <c r="D67" s="208">
        <v>4</v>
      </c>
      <c r="E67" s="208">
        <v>4</v>
      </c>
      <c r="F67" s="208">
        <v>4</v>
      </c>
      <c r="G67" s="208">
        <v>4</v>
      </c>
      <c r="H67" s="208">
        <v>4</v>
      </c>
      <c r="I67" s="208">
        <v>4</v>
      </c>
      <c r="J67" s="208">
        <v>4</v>
      </c>
      <c r="K67" s="208">
        <v>5</v>
      </c>
      <c r="L67" s="208">
        <v>5</v>
      </c>
      <c r="M67" s="208">
        <v>5</v>
      </c>
      <c r="N67" s="208">
        <v>5</v>
      </c>
      <c r="O67" s="204">
        <f t="shared" si="15"/>
        <v>4.333333333333333</v>
      </c>
      <c r="Q67" s="198" t="s">
        <v>8</v>
      </c>
      <c r="R67" s="204">
        <f t="shared" si="16"/>
        <v>52</v>
      </c>
      <c r="S67" s="198" t="str">
        <f t="shared" si="17"/>
        <v>CFG - FTS-2 - Fixed NR</v>
      </c>
      <c r="T67" s="231" t="s">
        <v>166</v>
      </c>
      <c r="U67" s="198" t="s">
        <v>635</v>
      </c>
    </row>
    <row r="68" spans="1:21">
      <c r="A68" s="198">
        <f t="shared" si="18"/>
        <v>68</v>
      </c>
      <c r="B68" s="212" t="s">
        <v>104</v>
      </c>
      <c r="C68" s="208">
        <v>10</v>
      </c>
      <c r="D68" s="208">
        <v>10</v>
      </c>
      <c r="E68" s="208">
        <v>10</v>
      </c>
      <c r="F68" s="208">
        <v>11</v>
      </c>
      <c r="G68" s="208">
        <v>11</v>
      </c>
      <c r="H68" s="208">
        <v>11</v>
      </c>
      <c r="I68" s="208">
        <v>11</v>
      </c>
      <c r="J68" s="208">
        <v>11</v>
      </c>
      <c r="K68" s="208">
        <v>11</v>
      </c>
      <c r="L68" s="208">
        <v>11</v>
      </c>
      <c r="M68" s="208">
        <v>11</v>
      </c>
      <c r="N68" s="208">
        <v>11</v>
      </c>
      <c r="O68" s="204">
        <f t="shared" si="15"/>
        <v>10.75</v>
      </c>
      <c r="Q68" s="198" t="s">
        <v>8</v>
      </c>
      <c r="R68" s="204">
        <f t="shared" si="16"/>
        <v>129</v>
      </c>
      <c r="S68" s="198" t="str">
        <f t="shared" si="17"/>
        <v>CFG - FTS-2.1 - Fixed NR</v>
      </c>
      <c r="T68" s="231" t="s">
        <v>166</v>
      </c>
      <c r="U68" s="198" t="s">
        <v>635</v>
      </c>
    </row>
    <row r="69" spans="1:21">
      <c r="A69" s="198">
        <f t="shared" si="18"/>
        <v>69</v>
      </c>
      <c r="B69" s="212" t="s">
        <v>105</v>
      </c>
      <c r="C69" s="208">
        <v>16</v>
      </c>
      <c r="D69" s="208">
        <v>16</v>
      </c>
      <c r="E69" s="208">
        <v>16</v>
      </c>
      <c r="F69" s="208">
        <v>17</v>
      </c>
      <c r="G69" s="208">
        <v>18</v>
      </c>
      <c r="H69" s="208">
        <v>17</v>
      </c>
      <c r="I69" s="208">
        <v>17</v>
      </c>
      <c r="J69" s="208">
        <v>17</v>
      </c>
      <c r="K69" s="208">
        <v>17</v>
      </c>
      <c r="L69" s="208">
        <v>17</v>
      </c>
      <c r="M69" s="208">
        <v>17</v>
      </c>
      <c r="N69" s="208">
        <v>17</v>
      </c>
      <c r="O69" s="204">
        <f t="shared" si="15"/>
        <v>16.833333333333332</v>
      </c>
      <c r="Q69" s="198" t="s">
        <v>8</v>
      </c>
      <c r="R69" s="204">
        <f t="shared" si="16"/>
        <v>202</v>
      </c>
      <c r="S69" s="198" t="str">
        <f t="shared" si="17"/>
        <v>CFG - FTS-3 - Fixed NR</v>
      </c>
      <c r="T69" s="231" t="s">
        <v>166</v>
      </c>
      <c r="U69" s="198" t="s">
        <v>635</v>
      </c>
    </row>
    <row r="70" spans="1:21">
      <c r="A70" s="198">
        <f t="shared" si="18"/>
        <v>70</v>
      </c>
      <c r="B70" s="218" t="s">
        <v>106</v>
      </c>
      <c r="C70" s="208">
        <v>9</v>
      </c>
      <c r="D70" s="208">
        <v>9</v>
      </c>
      <c r="E70" s="208">
        <v>9</v>
      </c>
      <c r="F70" s="208">
        <v>7</v>
      </c>
      <c r="G70" s="208">
        <v>7</v>
      </c>
      <c r="H70" s="208">
        <v>7</v>
      </c>
      <c r="I70" s="208">
        <v>7</v>
      </c>
      <c r="J70" s="208">
        <v>7</v>
      </c>
      <c r="K70" s="208">
        <v>7</v>
      </c>
      <c r="L70" s="208">
        <v>7</v>
      </c>
      <c r="M70" s="208">
        <v>7</v>
      </c>
      <c r="N70" s="208">
        <v>7</v>
      </c>
      <c r="O70" s="204">
        <f t="shared" si="15"/>
        <v>7.5</v>
      </c>
      <c r="Q70" s="198" t="s">
        <v>8</v>
      </c>
      <c r="R70" s="204">
        <f t="shared" si="16"/>
        <v>90</v>
      </c>
      <c r="S70" s="198" t="str">
        <f t="shared" si="17"/>
        <v>CFG - FTS-3.1 - Fixed NR</v>
      </c>
      <c r="T70" s="231" t="s">
        <v>166</v>
      </c>
      <c r="U70" s="198" t="s">
        <v>635</v>
      </c>
    </row>
    <row r="71" spans="1:21">
      <c r="A71" s="198">
        <f t="shared" si="18"/>
        <v>71</v>
      </c>
      <c r="B71" s="219" t="s">
        <v>167</v>
      </c>
      <c r="C71" s="214">
        <f t="shared" ref="C71:N71" si="19">SUM(C64:C70)</f>
        <v>62</v>
      </c>
      <c r="D71" s="214">
        <f t="shared" si="19"/>
        <v>62</v>
      </c>
      <c r="E71" s="214">
        <f t="shared" si="19"/>
        <v>62</v>
      </c>
      <c r="F71" s="214">
        <f t="shared" si="19"/>
        <v>62</v>
      </c>
      <c r="G71" s="214">
        <f t="shared" si="19"/>
        <v>64</v>
      </c>
      <c r="H71" s="214">
        <f t="shared" si="19"/>
        <v>64</v>
      </c>
      <c r="I71" s="214">
        <f t="shared" si="19"/>
        <v>67</v>
      </c>
      <c r="J71" s="214">
        <f t="shared" si="19"/>
        <v>67</v>
      </c>
      <c r="K71" s="214">
        <f t="shared" si="19"/>
        <v>69</v>
      </c>
      <c r="L71" s="214">
        <f t="shared" si="19"/>
        <v>73</v>
      </c>
      <c r="M71" s="214">
        <f t="shared" si="19"/>
        <v>73</v>
      </c>
      <c r="N71" s="214">
        <f t="shared" si="19"/>
        <v>74</v>
      </c>
      <c r="O71" s="214">
        <f t="shared" si="15"/>
        <v>66.583333333333329</v>
      </c>
      <c r="R71" s="204">
        <f t="shared" si="16"/>
        <v>799</v>
      </c>
    </row>
    <row r="72" spans="1:21">
      <c r="A72" s="198">
        <f t="shared" si="18"/>
        <v>72</v>
      </c>
      <c r="B72" s="217" t="s">
        <v>168</v>
      </c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R72" s="198"/>
    </row>
    <row r="73" spans="1:21">
      <c r="A73" s="198">
        <f t="shared" si="18"/>
        <v>73</v>
      </c>
      <c r="B73" s="196" t="s">
        <v>169</v>
      </c>
      <c r="C73" s="208">
        <v>2</v>
      </c>
      <c r="D73" s="208">
        <v>2</v>
      </c>
      <c r="E73" s="208">
        <v>2</v>
      </c>
      <c r="F73" s="208">
        <v>2</v>
      </c>
      <c r="G73" s="208">
        <v>2</v>
      </c>
      <c r="H73" s="208">
        <v>2</v>
      </c>
      <c r="I73" s="208">
        <v>2</v>
      </c>
      <c r="J73" s="208">
        <v>2</v>
      </c>
      <c r="K73" s="208">
        <v>2</v>
      </c>
      <c r="L73" s="208">
        <v>2</v>
      </c>
      <c r="M73" s="208">
        <v>2</v>
      </c>
      <c r="N73" s="208">
        <v>2</v>
      </c>
      <c r="O73" s="204">
        <f t="shared" ref="O73:O87" si="20">AVERAGE(C73:N73)</f>
        <v>2</v>
      </c>
      <c r="Q73" s="198" t="s">
        <v>8</v>
      </c>
      <c r="R73" s="204">
        <f t="shared" ref="R73:R87" si="21">+SUM(C73:N73)</f>
        <v>24</v>
      </c>
    </row>
    <row r="74" spans="1:21">
      <c r="A74" s="198">
        <f t="shared" si="18"/>
        <v>74</v>
      </c>
      <c r="B74" s="196" t="s">
        <v>171</v>
      </c>
      <c r="C74" s="208">
        <v>1</v>
      </c>
      <c r="D74" s="208">
        <v>1</v>
      </c>
      <c r="E74" s="208">
        <v>1</v>
      </c>
      <c r="F74" s="208">
        <v>1</v>
      </c>
      <c r="G74" s="208">
        <v>1</v>
      </c>
      <c r="H74" s="208">
        <v>1</v>
      </c>
      <c r="I74" s="208">
        <v>1</v>
      </c>
      <c r="J74" s="208">
        <v>1</v>
      </c>
      <c r="K74" s="208">
        <v>1</v>
      </c>
      <c r="L74" s="208">
        <v>1</v>
      </c>
      <c r="M74" s="208">
        <v>1</v>
      </c>
      <c r="N74" s="208">
        <v>1</v>
      </c>
      <c r="O74" s="204">
        <f t="shared" si="20"/>
        <v>1</v>
      </c>
      <c r="Q74" s="198" t="s">
        <v>8</v>
      </c>
      <c r="R74" s="204">
        <f t="shared" si="21"/>
        <v>12</v>
      </c>
    </row>
    <row r="75" spans="1:21">
      <c r="A75" s="198">
        <f t="shared" si="18"/>
        <v>75</v>
      </c>
      <c r="B75" s="196" t="s">
        <v>172</v>
      </c>
      <c r="C75" s="208">
        <v>1</v>
      </c>
      <c r="D75" s="208">
        <v>1</v>
      </c>
      <c r="E75" s="208">
        <v>1</v>
      </c>
      <c r="F75" s="208">
        <v>1</v>
      </c>
      <c r="G75" s="208">
        <v>1</v>
      </c>
      <c r="H75" s="208">
        <v>1</v>
      </c>
      <c r="I75" s="208">
        <v>1</v>
      </c>
      <c r="J75" s="208">
        <v>1</v>
      </c>
      <c r="K75" s="208">
        <v>1</v>
      </c>
      <c r="L75" s="208">
        <v>1</v>
      </c>
      <c r="M75" s="208">
        <v>1</v>
      </c>
      <c r="N75" s="208">
        <v>1</v>
      </c>
      <c r="O75" s="204">
        <f t="shared" si="20"/>
        <v>1</v>
      </c>
      <c r="Q75" s="198" t="s">
        <v>8</v>
      </c>
      <c r="R75" s="204">
        <f t="shared" si="21"/>
        <v>12</v>
      </c>
    </row>
    <row r="76" spans="1:21">
      <c r="A76" s="198">
        <f t="shared" si="18"/>
        <v>76</v>
      </c>
      <c r="B76" s="196" t="s">
        <v>173</v>
      </c>
      <c r="C76" s="208">
        <v>1</v>
      </c>
      <c r="D76" s="208">
        <v>1</v>
      </c>
      <c r="E76" s="208">
        <v>1</v>
      </c>
      <c r="F76" s="208">
        <v>1</v>
      </c>
      <c r="G76" s="208">
        <v>1</v>
      </c>
      <c r="H76" s="208">
        <v>1</v>
      </c>
      <c r="I76" s="208">
        <v>1</v>
      </c>
      <c r="J76" s="208">
        <v>1</v>
      </c>
      <c r="K76" s="208">
        <v>1</v>
      </c>
      <c r="L76" s="208">
        <v>1</v>
      </c>
      <c r="M76" s="208">
        <v>1</v>
      </c>
      <c r="N76" s="208">
        <v>1</v>
      </c>
      <c r="O76" s="204">
        <f t="shared" si="20"/>
        <v>1</v>
      </c>
      <c r="Q76" s="198" t="s">
        <v>8</v>
      </c>
      <c r="R76" s="204">
        <f t="shared" si="21"/>
        <v>12</v>
      </c>
    </row>
    <row r="77" spans="1:21">
      <c r="A77" s="198">
        <f t="shared" si="18"/>
        <v>77</v>
      </c>
      <c r="B77" s="196" t="s">
        <v>174</v>
      </c>
      <c r="C77" s="208">
        <v>1</v>
      </c>
      <c r="D77" s="208">
        <v>1</v>
      </c>
      <c r="E77" s="208">
        <v>1</v>
      </c>
      <c r="F77" s="208">
        <v>1</v>
      </c>
      <c r="G77" s="208">
        <v>1</v>
      </c>
      <c r="H77" s="208">
        <v>1</v>
      </c>
      <c r="I77" s="208">
        <v>1</v>
      </c>
      <c r="J77" s="208">
        <v>1</v>
      </c>
      <c r="K77" s="208">
        <v>1</v>
      </c>
      <c r="L77" s="208">
        <v>1</v>
      </c>
      <c r="M77" s="208">
        <v>1</v>
      </c>
      <c r="N77" s="208">
        <v>1</v>
      </c>
      <c r="O77" s="204">
        <f t="shared" si="20"/>
        <v>1</v>
      </c>
      <c r="Q77" s="198" t="s">
        <v>8</v>
      </c>
      <c r="R77" s="204">
        <f t="shared" si="21"/>
        <v>12</v>
      </c>
    </row>
    <row r="78" spans="1:21">
      <c r="A78" s="198">
        <f t="shared" si="18"/>
        <v>78</v>
      </c>
      <c r="B78" s="196" t="s">
        <v>175</v>
      </c>
      <c r="C78" s="208">
        <v>1</v>
      </c>
      <c r="D78" s="208">
        <v>1</v>
      </c>
      <c r="E78" s="208">
        <v>1</v>
      </c>
      <c r="F78" s="208">
        <v>1</v>
      </c>
      <c r="G78" s="208">
        <v>1</v>
      </c>
      <c r="H78" s="208">
        <v>1</v>
      </c>
      <c r="I78" s="208">
        <v>1</v>
      </c>
      <c r="J78" s="208">
        <v>1</v>
      </c>
      <c r="K78" s="208">
        <v>1</v>
      </c>
      <c r="L78" s="208">
        <v>1</v>
      </c>
      <c r="M78" s="208">
        <v>1</v>
      </c>
      <c r="N78" s="208">
        <v>1</v>
      </c>
      <c r="O78" s="204">
        <f t="shared" si="20"/>
        <v>1</v>
      </c>
      <c r="R78" s="204">
        <f t="shared" si="21"/>
        <v>12</v>
      </c>
    </row>
    <row r="79" spans="1:21" ht="10.5" customHeight="1">
      <c r="A79" s="198">
        <f t="shared" si="18"/>
        <v>79</v>
      </c>
      <c r="B79" s="196" t="s">
        <v>176</v>
      </c>
      <c r="C79" s="208">
        <v>1</v>
      </c>
      <c r="D79" s="208">
        <v>1</v>
      </c>
      <c r="E79" s="208">
        <v>1</v>
      </c>
      <c r="F79" s="208">
        <v>1</v>
      </c>
      <c r="G79" s="208">
        <v>1</v>
      </c>
      <c r="H79" s="208">
        <v>1</v>
      </c>
      <c r="I79" s="208">
        <v>1</v>
      </c>
      <c r="J79" s="208">
        <v>1</v>
      </c>
      <c r="K79" s="208">
        <v>1</v>
      </c>
      <c r="L79" s="208">
        <v>1</v>
      </c>
      <c r="M79" s="208">
        <v>1</v>
      </c>
      <c r="N79" s="208">
        <v>1</v>
      </c>
      <c r="O79" s="204">
        <f t="shared" si="20"/>
        <v>1</v>
      </c>
      <c r="Q79" s="198" t="s">
        <v>8</v>
      </c>
      <c r="R79" s="204">
        <f t="shared" si="21"/>
        <v>12</v>
      </c>
    </row>
    <row r="80" spans="1:21">
      <c r="A80" s="198">
        <f t="shared" si="18"/>
        <v>80</v>
      </c>
      <c r="B80" s="196" t="s">
        <v>177</v>
      </c>
      <c r="C80" s="208">
        <v>1</v>
      </c>
      <c r="D80" s="208">
        <v>1</v>
      </c>
      <c r="E80" s="208">
        <v>1</v>
      </c>
      <c r="F80" s="208">
        <v>1</v>
      </c>
      <c r="G80" s="208">
        <v>1</v>
      </c>
      <c r="H80" s="208">
        <v>1</v>
      </c>
      <c r="I80" s="208">
        <v>1</v>
      </c>
      <c r="J80" s="208">
        <v>1</v>
      </c>
      <c r="K80" s="208">
        <v>1</v>
      </c>
      <c r="L80" s="208">
        <v>1</v>
      </c>
      <c r="M80" s="208">
        <v>1</v>
      </c>
      <c r="N80" s="208">
        <v>1</v>
      </c>
      <c r="O80" s="204">
        <f t="shared" si="20"/>
        <v>1</v>
      </c>
      <c r="Q80" s="198" t="s">
        <v>7</v>
      </c>
      <c r="R80" s="204">
        <f t="shared" si="21"/>
        <v>12</v>
      </c>
    </row>
    <row r="81" spans="1:18">
      <c r="A81" s="198">
        <f t="shared" si="18"/>
        <v>81</v>
      </c>
      <c r="B81" s="196" t="s">
        <v>179</v>
      </c>
      <c r="C81" s="208">
        <v>1</v>
      </c>
      <c r="D81" s="208">
        <v>1</v>
      </c>
      <c r="E81" s="208">
        <v>1</v>
      </c>
      <c r="F81" s="208">
        <v>1</v>
      </c>
      <c r="G81" s="208">
        <v>1</v>
      </c>
      <c r="H81" s="208">
        <v>1</v>
      </c>
      <c r="I81" s="208">
        <v>1</v>
      </c>
      <c r="J81" s="208">
        <v>1</v>
      </c>
      <c r="K81" s="208">
        <v>1</v>
      </c>
      <c r="L81" s="208">
        <v>1</v>
      </c>
      <c r="M81" s="208">
        <v>1</v>
      </c>
      <c r="N81" s="208">
        <v>1</v>
      </c>
      <c r="O81" s="204">
        <f t="shared" si="20"/>
        <v>1</v>
      </c>
      <c r="Q81" s="198" t="s">
        <v>8</v>
      </c>
      <c r="R81" s="204">
        <f t="shared" si="21"/>
        <v>12</v>
      </c>
    </row>
    <row r="82" spans="1:18">
      <c r="A82" s="198">
        <f t="shared" si="18"/>
        <v>82</v>
      </c>
      <c r="B82" s="196" t="s">
        <v>180</v>
      </c>
      <c r="C82" s="208">
        <v>0</v>
      </c>
      <c r="D82" s="208">
        <v>0</v>
      </c>
      <c r="E82" s="208">
        <v>0</v>
      </c>
      <c r="F82" s="208">
        <v>0</v>
      </c>
      <c r="G82" s="208">
        <v>1</v>
      </c>
      <c r="H82" s="208">
        <v>1</v>
      </c>
      <c r="I82" s="208">
        <v>1</v>
      </c>
      <c r="J82" s="208">
        <v>1</v>
      </c>
      <c r="K82" s="208">
        <v>1</v>
      </c>
      <c r="L82" s="208">
        <v>1</v>
      </c>
      <c r="M82" s="208">
        <v>1</v>
      </c>
      <c r="N82" s="208">
        <v>1</v>
      </c>
      <c r="O82" s="204">
        <f t="shared" si="20"/>
        <v>0.66666666666666663</v>
      </c>
      <c r="Q82" s="198" t="s">
        <v>8</v>
      </c>
      <c r="R82" s="204">
        <f t="shared" si="21"/>
        <v>8</v>
      </c>
    </row>
    <row r="83" spans="1:18">
      <c r="A83" s="198">
        <f t="shared" si="18"/>
        <v>83</v>
      </c>
      <c r="B83" s="196" t="s">
        <v>181</v>
      </c>
      <c r="C83" s="208">
        <v>0</v>
      </c>
      <c r="D83" s="208">
        <v>0</v>
      </c>
      <c r="E83" s="208">
        <v>0</v>
      </c>
      <c r="F83" s="208">
        <v>0</v>
      </c>
      <c r="G83" s="208">
        <v>1</v>
      </c>
      <c r="H83" s="208">
        <v>1</v>
      </c>
      <c r="I83" s="208">
        <v>1</v>
      </c>
      <c r="J83" s="208">
        <v>1</v>
      </c>
      <c r="K83" s="208">
        <v>1</v>
      </c>
      <c r="L83" s="208">
        <v>1</v>
      </c>
      <c r="M83" s="208">
        <v>1</v>
      </c>
      <c r="N83" s="208">
        <v>1</v>
      </c>
      <c r="O83" s="204">
        <f t="shared" si="20"/>
        <v>0.66666666666666663</v>
      </c>
      <c r="Q83" s="198" t="s">
        <v>8</v>
      </c>
      <c r="R83" s="204">
        <f t="shared" si="21"/>
        <v>8</v>
      </c>
    </row>
    <row r="84" spans="1:18">
      <c r="A84" s="198">
        <f t="shared" si="18"/>
        <v>84</v>
      </c>
      <c r="B84" s="196" t="s">
        <v>183</v>
      </c>
      <c r="C84" s="208">
        <v>0</v>
      </c>
      <c r="D84" s="208">
        <v>0</v>
      </c>
      <c r="E84" s="208">
        <v>0</v>
      </c>
      <c r="F84" s="208">
        <v>0</v>
      </c>
      <c r="G84" s="208">
        <v>1</v>
      </c>
      <c r="H84" s="208">
        <v>1</v>
      </c>
      <c r="I84" s="208">
        <v>1</v>
      </c>
      <c r="J84" s="208">
        <v>1</v>
      </c>
      <c r="K84" s="208">
        <v>1</v>
      </c>
      <c r="L84" s="208">
        <v>1</v>
      </c>
      <c r="M84" s="208">
        <v>1</v>
      </c>
      <c r="N84" s="208">
        <v>1</v>
      </c>
      <c r="O84" s="204">
        <f t="shared" si="20"/>
        <v>0.66666666666666663</v>
      </c>
      <c r="Q84" s="198" t="s">
        <v>7</v>
      </c>
      <c r="R84" s="204">
        <f t="shared" si="21"/>
        <v>8</v>
      </c>
    </row>
    <row r="85" spans="1:18">
      <c r="A85" s="198">
        <f t="shared" si="18"/>
        <v>85</v>
      </c>
      <c r="B85" s="196" t="s">
        <v>184</v>
      </c>
      <c r="C85" s="208">
        <v>0</v>
      </c>
      <c r="D85" s="208">
        <v>0</v>
      </c>
      <c r="E85" s="208">
        <v>0</v>
      </c>
      <c r="F85" s="208">
        <v>0</v>
      </c>
      <c r="G85" s="208">
        <v>1</v>
      </c>
      <c r="H85" s="208">
        <v>1</v>
      </c>
      <c r="I85" s="208">
        <v>1</v>
      </c>
      <c r="J85" s="208">
        <v>1</v>
      </c>
      <c r="K85" s="208">
        <v>1</v>
      </c>
      <c r="L85" s="208">
        <v>1</v>
      </c>
      <c r="M85" s="208">
        <v>1</v>
      </c>
      <c r="N85" s="208">
        <v>1</v>
      </c>
      <c r="O85" s="204">
        <f t="shared" si="20"/>
        <v>0.66666666666666663</v>
      </c>
      <c r="Q85" s="198" t="s">
        <v>7</v>
      </c>
      <c r="R85" s="204">
        <f t="shared" si="21"/>
        <v>8</v>
      </c>
    </row>
    <row r="86" spans="1:18">
      <c r="A86" s="198">
        <f t="shared" si="18"/>
        <v>86</v>
      </c>
      <c r="B86" s="220" t="s">
        <v>185</v>
      </c>
      <c r="C86" s="208">
        <v>1</v>
      </c>
      <c r="D86" s="208">
        <v>1</v>
      </c>
      <c r="E86" s="208">
        <v>1</v>
      </c>
      <c r="F86" s="208">
        <v>1</v>
      </c>
      <c r="G86" s="208">
        <v>1</v>
      </c>
      <c r="H86" s="208">
        <v>1</v>
      </c>
      <c r="I86" s="208">
        <v>1</v>
      </c>
      <c r="J86" s="208">
        <v>1</v>
      </c>
      <c r="K86" s="208">
        <v>1</v>
      </c>
      <c r="L86" s="208">
        <v>1</v>
      </c>
      <c r="M86" s="208">
        <v>1</v>
      </c>
      <c r="N86" s="208">
        <v>1</v>
      </c>
      <c r="O86" s="216">
        <f t="shared" si="20"/>
        <v>1</v>
      </c>
      <c r="Q86" s="198" t="s">
        <v>8</v>
      </c>
      <c r="R86" s="204">
        <f t="shared" si="21"/>
        <v>12</v>
      </c>
    </row>
    <row r="87" spans="1:18">
      <c r="A87" s="198">
        <f t="shared" si="18"/>
        <v>87</v>
      </c>
      <c r="B87" s="219" t="s">
        <v>186</v>
      </c>
      <c r="C87" s="214">
        <f>SUM(C73:C86)</f>
        <v>11</v>
      </c>
      <c r="D87" s="214">
        <f t="shared" ref="D87:N87" si="22">SUM(D73:D86)</f>
        <v>11</v>
      </c>
      <c r="E87" s="214">
        <f t="shared" si="22"/>
        <v>11</v>
      </c>
      <c r="F87" s="214">
        <f t="shared" si="22"/>
        <v>11</v>
      </c>
      <c r="G87" s="214">
        <f t="shared" si="22"/>
        <v>15</v>
      </c>
      <c r="H87" s="214">
        <f t="shared" si="22"/>
        <v>15</v>
      </c>
      <c r="I87" s="214">
        <f t="shared" si="22"/>
        <v>15</v>
      </c>
      <c r="J87" s="214">
        <f t="shared" si="22"/>
        <v>15</v>
      </c>
      <c r="K87" s="214">
        <f t="shared" si="22"/>
        <v>15</v>
      </c>
      <c r="L87" s="214">
        <f t="shared" si="22"/>
        <v>15</v>
      </c>
      <c r="M87" s="214">
        <f t="shared" si="22"/>
        <v>15</v>
      </c>
      <c r="N87" s="214">
        <f t="shared" si="22"/>
        <v>15</v>
      </c>
      <c r="O87" s="204">
        <f t="shared" si="20"/>
        <v>13.666666666666666</v>
      </c>
      <c r="R87" s="204">
        <f t="shared" si="21"/>
        <v>164</v>
      </c>
    </row>
    <row r="88" spans="1:18">
      <c r="A88" s="198">
        <f t="shared" si="18"/>
        <v>88</v>
      </c>
      <c r="B88" s="217" t="s">
        <v>187</v>
      </c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R88" s="198"/>
    </row>
    <row r="89" spans="1:18">
      <c r="A89" s="198">
        <f t="shared" si="18"/>
        <v>89</v>
      </c>
      <c r="B89" s="220" t="s">
        <v>179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4"/>
      <c r="Q89" s="198" t="s">
        <v>8</v>
      </c>
      <c r="R89" s="204">
        <f>+SUM(C89:N89)</f>
        <v>0</v>
      </c>
    </row>
    <row r="90" spans="1:18">
      <c r="A90" s="198">
        <f t="shared" si="18"/>
        <v>90</v>
      </c>
      <c r="B90" s="196" t="s">
        <v>188</v>
      </c>
      <c r="C90" s="208">
        <v>1</v>
      </c>
      <c r="D90" s="208">
        <v>1</v>
      </c>
      <c r="E90" s="208">
        <v>1</v>
      </c>
      <c r="F90" s="208">
        <v>1</v>
      </c>
      <c r="G90" s="208">
        <v>1</v>
      </c>
      <c r="H90" s="208">
        <v>1</v>
      </c>
      <c r="I90" s="208">
        <v>1</v>
      </c>
      <c r="J90" s="208">
        <v>1</v>
      </c>
      <c r="K90" s="208">
        <v>1</v>
      </c>
      <c r="L90" s="208">
        <v>1</v>
      </c>
      <c r="M90" s="208">
        <v>1</v>
      </c>
      <c r="N90" s="208">
        <v>1</v>
      </c>
      <c r="O90" s="204">
        <f>AVERAGE(C90:N90)</f>
        <v>1</v>
      </c>
      <c r="Q90" s="198" t="s">
        <v>8</v>
      </c>
      <c r="R90" s="204">
        <f>+SUM(C90:N90)</f>
        <v>12</v>
      </c>
    </row>
    <row r="91" spans="1:18">
      <c r="A91" s="198">
        <f t="shared" si="18"/>
        <v>91</v>
      </c>
      <c r="B91" s="196" t="s">
        <v>189</v>
      </c>
      <c r="C91" s="208">
        <v>1</v>
      </c>
      <c r="D91" s="208">
        <v>1</v>
      </c>
      <c r="E91" s="208">
        <v>1</v>
      </c>
      <c r="F91" s="208">
        <v>1</v>
      </c>
      <c r="G91" s="208">
        <v>1</v>
      </c>
      <c r="H91" s="208">
        <v>1</v>
      </c>
      <c r="I91" s="208">
        <v>1</v>
      </c>
      <c r="J91" s="208">
        <v>1</v>
      </c>
      <c r="K91" s="208">
        <v>1</v>
      </c>
      <c r="L91" s="208">
        <v>1</v>
      </c>
      <c r="M91" s="208">
        <v>1</v>
      </c>
      <c r="N91" s="208">
        <v>1</v>
      </c>
      <c r="O91" s="204">
        <f>AVERAGE(C91:N91)</f>
        <v>1</v>
      </c>
      <c r="Q91" s="198" t="s">
        <v>7</v>
      </c>
      <c r="R91" s="204">
        <f>+SUM(C91:N91)</f>
        <v>12</v>
      </c>
    </row>
    <row r="92" spans="1:18">
      <c r="A92" s="198">
        <f t="shared" si="18"/>
        <v>92</v>
      </c>
      <c r="B92" s="196" t="s">
        <v>217</v>
      </c>
      <c r="C92" s="208">
        <v>1</v>
      </c>
      <c r="D92" s="208">
        <v>1</v>
      </c>
      <c r="E92" s="208">
        <v>1</v>
      </c>
      <c r="F92" s="208">
        <v>1</v>
      </c>
      <c r="G92" s="208">
        <v>1</v>
      </c>
      <c r="H92" s="208">
        <v>1</v>
      </c>
      <c r="I92" s="208">
        <v>1</v>
      </c>
      <c r="J92" s="208">
        <v>1</v>
      </c>
      <c r="K92" s="208">
        <v>1</v>
      </c>
      <c r="L92" s="208">
        <v>1</v>
      </c>
      <c r="M92" s="208">
        <v>1</v>
      </c>
      <c r="N92" s="208">
        <v>1</v>
      </c>
      <c r="O92" s="204">
        <f>AVERAGE(C92:N92)</f>
        <v>1</v>
      </c>
      <c r="Q92" s="198" t="s">
        <v>7</v>
      </c>
      <c r="R92" s="204">
        <f>+SUM(C92:N92)</f>
        <v>12</v>
      </c>
    </row>
    <row r="93" spans="1:18">
      <c r="A93" s="198">
        <f t="shared" si="18"/>
        <v>93</v>
      </c>
      <c r="B93" s="219" t="s">
        <v>191</v>
      </c>
      <c r="C93" s="214">
        <f>SUM(C89:C92)</f>
        <v>3</v>
      </c>
      <c r="D93" s="214">
        <f t="shared" ref="D93:O93" si="23">SUM(D89:D92)</f>
        <v>3</v>
      </c>
      <c r="E93" s="214">
        <f t="shared" si="23"/>
        <v>3</v>
      </c>
      <c r="F93" s="214">
        <f t="shared" si="23"/>
        <v>3</v>
      </c>
      <c r="G93" s="214">
        <f t="shared" si="23"/>
        <v>3</v>
      </c>
      <c r="H93" s="214">
        <f t="shared" si="23"/>
        <v>3</v>
      </c>
      <c r="I93" s="214">
        <f t="shared" si="23"/>
        <v>3</v>
      </c>
      <c r="J93" s="214">
        <f t="shared" si="23"/>
        <v>3</v>
      </c>
      <c r="K93" s="214">
        <f t="shared" si="23"/>
        <v>3</v>
      </c>
      <c r="L93" s="214">
        <f t="shared" si="23"/>
        <v>3</v>
      </c>
      <c r="M93" s="214">
        <f t="shared" si="23"/>
        <v>3</v>
      </c>
      <c r="N93" s="214">
        <f t="shared" si="23"/>
        <v>3</v>
      </c>
      <c r="O93" s="214">
        <f t="shared" si="23"/>
        <v>3</v>
      </c>
      <c r="R93" s="204">
        <f>+SUM(C93:N93)</f>
        <v>36</v>
      </c>
    </row>
    <row r="94" spans="1:18">
      <c r="A94" s="198">
        <f t="shared" si="18"/>
        <v>94</v>
      </c>
      <c r="B94" s="217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</row>
    <row r="95" spans="1:18">
      <c r="A95" s="198">
        <f t="shared" si="18"/>
        <v>95</v>
      </c>
      <c r="B95" s="196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4">
        <v>0</v>
      </c>
      <c r="Q95" s="198" t="s">
        <v>8</v>
      </c>
    </row>
    <row r="96" spans="1:18">
      <c r="A96" s="198">
        <f t="shared" si="18"/>
        <v>96</v>
      </c>
      <c r="B96" s="197" t="s">
        <v>172</v>
      </c>
      <c r="C96" s="208">
        <v>0</v>
      </c>
      <c r="D96" s="208">
        <v>0</v>
      </c>
      <c r="E96" s="208">
        <v>0</v>
      </c>
      <c r="F96" s="208">
        <v>0</v>
      </c>
      <c r="G96" s="208">
        <v>0</v>
      </c>
      <c r="H96" s="208">
        <v>0</v>
      </c>
      <c r="I96" s="208">
        <v>0</v>
      </c>
      <c r="J96" s="208">
        <v>0</v>
      </c>
      <c r="K96" s="208">
        <v>0</v>
      </c>
      <c r="L96" s="208">
        <v>0</v>
      </c>
      <c r="M96" s="208">
        <v>0</v>
      </c>
      <c r="N96" s="208"/>
      <c r="O96" s="204">
        <f>AVERAGE(C96:N96)</f>
        <v>0</v>
      </c>
      <c r="Q96" s="198" t="s">
        <v>8</v>
      </c>
      <c r="R96" s="204">
        <f>+SUM(C96:N96)</f>
        <v>0</v>
      </c>
    </row>
    <row r="97" spans="1:18">
      <c r="A97" s="198">
        <f t="shared" si="18"/>
        <v>97</v>
      </c>
      <c r="B97" s="219" t="s">
        <v>193</v>
      </c>
      <c r="C97" s="214">
        <f t="shared" ref="C97:N97" si="24">SUM(C95:C96)</f>
        <v>0</v>
      </c>
      <c r="D97" s="214">
        <f t="shared" si="24"/>
        <v>0</v>
      </c>
      <c r="E97" s="214">
        <f t="shared" si="24"/>
        <v>0</v>
      </c>
      <c r="F97" s="214">
        <f t="shared" si="24"/>
        <v>0</v>
      </c>
      <c r="G97" s="214">
        <f t="shared" si="24"/>
        <v>0</v>
      </c>
      <c r="H97" s="214">
        <f t="shared" si="24"/>
        <v>0</v>
      </c>
      <c r="I97" s="214">
        <f t="shared" si="24"/>
        <v>0</v>
      </c>
      <c r="J97" s="214">
        <f t="shared" si="24"/>
        <v>0</v>
      </c>
      <c r="K97" s="214">
        <f t="shared" si="24"/>
        <v>0</v>
      </c>
      <c r="L97" s="214">
        <f t="shared" si="24"/>
        <v>0</v>
      </c>
      <c r="M97" s="214">
        <f t="shared" si="24"/>
        <v>0</v>
      </c>
      <c r="N97" s="214">
        <f t="shared" si="24"/>
        <v>0</v>
      </c>
      <c r="O97" s="214">
        <f>AVERAGE(C97:N97)</f>
        <v>0</v>
      </c>
      <c r="R97" s="204">
        <f>+SUM(C97:N97)</f>
        <v>0</v>
      </c>
    </row>
    <row r="98" spans="1:18">
      <c r="A98" s="198">
        <f t="shared" si="18"/>
        <v>98</v>
      </c>
      <c r="B98" s="219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R98" s="198"/>
    </row>
    <row r="99" spans="1:18">
      <c r="A99" s="198">
        <f t="shared" si="18"/>
        <v>99</v>
      </c>
      <c r="B99" s="221" t="s">
        <v>194</v>
      </c>
      <c r="C99" s="222">
        <f t="shared" ref="C99:O99" si="25">+C15+C24+C62+C71+C87+C93+C97</f>
        <v>79010</v>
      </c>
      <c r="D99" s="222">
        <f t="shared" si="25"/>
        <v>79105</v>
      </c>
      <c r="E99" s="222">
        <f t="shared" si="25"/>
        <v>79497</v>
      </c>
      <c r="F99" s="222">
        <f t="shared" si="25"/>
        <v>79682</v>
      </c>
      <c r="G99" s="222">
        <f t="shared" si="25"/>
        <v>79659</v>
      </c>
      <c r="H99" s="222">
        <f t="shared" si="25"/>
        <v>79837</v>
      </c>
      <c r="I99" s="222">
        <f t="shared" si="25"/>
        <v>79836</v>
      </c>
      <c r="J99" s="222">
        <f t="shared" si="25"/>
        <v>80009</v>
      </c>
      <c r="K99" s="222">
        <f t="shared" si="25"/>
        <v>80218</v>
      </c>
      <c r="L99" s="222">
        <f>+L15+L24+L62+L71+L87+L93+L97</f>
        <v>80258</v>
      </c>
      <c r="M99" s="222">
        <f t="shared" si="25"/>
        <v>80785</v>
      </c>
      <c r="N99" s="222">
        <f t="shared" si="25"/>
        <v>81155</v>
      </c>
      <c r="O99" s="223">
        <f t="shared" si="25"/>
        <v>79920.916666666657</v>
      </c>
      <c r="R99" s="198"/>
    </row>
    <row r="100" spans="1:18">
      <c r="A100" s="198">
        <f t="shared" si="18"/>
        <v>100</v>
      </c>
      <c r="B100" s="224" t="s">
        <v>195</v>
      </c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R100" s="198"/>
    </row>
    <row r="101" spans="1:18">
      <c r="A101" s="198">
        <f t="shared" si="18"/>
        <v>101</v>
      </c>
      <c r="B101" s="196" t="s">
        <v>197</v>
      </c>
      <c r="C101" s="208">
        <v>1</v>
      </c>
      <c r="D101" s="208">
        <v>1</v>
      </c>
      <c r="E101" s="208">
        <v>1</v>
      </c>
      <c r="F101" s="208">
        <v>1</v>
      </c>
      <c r="G101" s="208">
        <v>1</v>
      </c>
      <c r="H101" s="208">
        <v>1</v>
      </c>
      <c r="I101" s="208">
        <v>1</v>
      </c>
      <c r="J101" s="208">
        <v>1</v>
      </c>
      <c r="K101" s="208">
        <v>1</v>
      </c>
      <c r="L101" s="208">
        <v>1</v>
      </c>
      <c r="M101" s="208">
        <v>1</v>
      </c>
      <c r="N101" s="208">
        <v>1</v>
      </c>
      <c r="O101" s="204">
        <f>AVERAGE(C101:N101)</f>
        <v>1</v>
      </c>
      <c r="Q101" s="198" t="s">
        <v>8</v>
      </c>
      <c r="R101" s="204">
        <f>+SUM(C101:N101)</f>
        <v>12</v>
      </c>
    </row>
    <row r="102" spans="1:18">
      <c r="A102" s="198">
        <f t="shared" si="18"/>
        <v>102</v>
      </c>
      <c r="B102" s="197" t="s">
        <v>198</v>
      </c>
      <c r="C102" s="208">
        <v>1</v>
      </c>
      <c r="D102" s="208">
        <v>1</v>
      </c>
      <c r="E102" s="208">
        <v>1</v>
      </c>
      <c r="F102" s="208">
        <v>1</v>
      </c>
      <c r="G102" s="208">
        <v>1</v>
      </c>
      <c r="H102" s="208">
        <v>1</v>
      </c>
      <c r="I102" s="208">
        <v>1</v>
      </c>
      <c r="J102" s="208">
        <v>1</v>
      </c>
      <c r="K102" s="208">
        <v>1</v>
      </c>
      <c r="L102" s="208">
        <v>1</v>
      </c>
      <c r="M102" s="208">
        <v>1</v>
      </c>
      <c r="N102" s="208">
        <v>1</v>
      </c>
      <c r="O102" s="216">
        <f>AVERAGE(C102:N102)</f>
        <v>1</v>
      </c>
      <c r="Q102" s="198" t="s">
        <v>8</v>
      </c>
      <c r="R102" s="204">
        <f>+SUM(C102:N102)</f>
        <v>12</v>
      </c>
    </row>
    <row r="103" spans="1:18">
      <c r="A103" s="198">
        <f t="shared" si="18"/>
        <v>103</v>
      </c>
      <c r="B103" s="219" t="s">
        <v>199</v>
      </c>
      <c r="C103" s="214">
        <f t="shared" ref="C103:N103" si="26">SUM(C101:C102)</f>
        <v>2</v>
      </c>
      <c r="D103" s="214">
        <f t="shared" si="26"/>
        <v>2</v>
      </c>
      <c r="E103" s="214">
        <f t="shared" si="26"/>
        <v>2</v>
      </c>
      <c r="F103" s="214">
        <f t="shared" si="26"/>
        <v>2</v>
      </c>
      <c r="G103" s="214">
        <f t="shared" si="26"/>
        <v>2</v>
      </c>
      <c r="H103" s="214">
        <f t="shared" si="26"/>
        <v>2</v>
      </c>
      <c r="I103" s="214">
        <f>SUM(I101:I102)</f>
        <v>2</v>
      </c>
      <c r="J103" s="214">
        <f t="shared" si="26"/>
        <v>2</v>
      </c>
      <c r="K103" s="214">
        <f t="shared" si="26"/>
        <v>2</v>
      </c>
      <c r="L103" s="214">
        <f t="shared" si="26"/>
        <v>2</v>
      </c>
      <c r="M103" s="214">
        <f t="shared" si="26"/>
        <v>2</v>
      </c>
      <c r="N103" s="214">
        <f t="shared" si="26"/>
        <v>2</v>
      </c>
      <c r="O103" s="204">
        <f>AVERAGE(C103:N103)</f>
        <v>2</v>
      </c>
      <c r="R103" s="204">
        <f>+SUM(C103:N103)</f>
        <v>24</v>
      </c>
    </row>
    <row r="104" spans="1:18">
      <c r="A104" s="198">
        <f t="shared" si="18"/>
        <v>104</v>
      </c>
      <c r="B104" s="217" t="s">
        <v>200</v>
      </c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R104" s="198"/>
    </row>
    <row r="105" spans="1:18">
      <c r="A105" s="198">
        <f t="shared" si="18"/>
        <v>105</v>
      </c>
      <c r="B105" s="196" t="s">
        <v>201</v>
      </c>
      <c r="C105" s="208">
        <v>1</v>
      </c>
      <c r="D105" s="208">
        <v>1</v>
      </c>
      <c r="E105" s="208">
        <v>1</v>
      </c>
      <c r="F105" s="208">
        <v>0</v>
      </c>
      <c r="G105" s="208">
        <v>0</v>
      </c>
      <c r="H105" s="208">
        <v>0</v>
      </c>
      <c r="I105" s="208">
        <v>0</v>
      </c>
      <c r="J105" s="208">
        <v>0</v>
      </c>
      <c r="K105" s="208">
        <v>0</v>
      </c>
      <c r="L105" s="208">
        <v>0</v>
      </c>
      <c r="M105" s="208">
        <v>0</v>
      </c>
      <c r="N105" s="208">
        <v>0</v>
      </c>
      <c r="O105" s="204">
        <f>AVERAGE(C105:N105)</f>
        <v>0.25</v>
      </c>
      <c r="Q105" s="198" t="s">
        <v>218</v>
      </c>
      <c r="R105" s="204">
        <f>+SUM(C105:N105)</f>
        <v>3</v>
      </c>
    </row>
    <row r="106" spans="1:18">
      <c r="A106" s="198">
        <f t="shared" si="18"/>
        <v>106</v>
      </c>
      <c r="B106" s="196" t="s">
        <v>202</v>
      </c>
      <c r="C106" s="208">
        <v>1</v>
      </c>
      <c r="D106" s="208">
        <v>1</v>
      </c>
      <c r="E106" s="208">
        <v>1</v>
      </c>
      <c r="F106" s="208">
        <v>1</v>
      </c>
      <c r="G106" s="208">
        <v>1</v>
      </c>
      <c r="H106" s="208">
        <v>1</v>
      </c>
      <c r="I106" s="208">
        <v>1</v>
      </c>
      <c r="J106" s="208">
        <v>1</v>
      </c>
      <c r="K106" s="208">
        <v>1</v>
      </c>
      <c r="L106" s="208">
        <v>1</v>
      </c>
      <c r="M106" s="208">
        <v>1</v>
      </c>
      <c r="N106" s="208">
        <v>1</v>
      </c>
      <c r="O106" s="204">
        <f>AVERAGE(C106:N106)</f>
        <v>1</v>
      </c>
      <c r="Q106" s="198" t="s">
        <v>8</v>
      </c>
      <c r="R106" s="204">
        <f>+SUM(C106:N106)</f>
        <v>12</v>
      </c>
    </row>
    <row r="107" spans="1:18">
      <c r="A107" s="198">
        <f t="shared" si="18"/>
        <v>107</v>
      </c>
      <c r="B107" s="197" t="s">
        <v>203</v>
      </c>
      <c r="C107" s="208">
        <v>1</v>
      </c>
      <c r="D107" s="208">
        <v>1</v>
      </c>
      <c r="E107" s="208">
        <v>1</v>
      </c>
      <c r="F107" s="208">
        <v>1</v>
      </c>
      <c r="G107" s="208">
        <v>1</v>
      </c>
      <c r="H107" s="208">
        <v>1</v>
      </c>
      <c r="I107" s="208">
        <v>1</v>
      </c>
      <c r="J107" s="208">
        <v>1</v>
      </c>
      <c r="K107" s="208">
        <v>1</v>
      </c>
      <c r="L107" s="208">
        <v>1</v>
      </c>
      <c r="M107" s="208">
        <v>1</v>
      </c>
      <c r="N107" s="208">
        <v>1</v>
      </c>
      <c r="O107" s="216">
        <f>AVERAGE(C107:N107)</f>
        <v>1</v>
      </c>
      <c r="Q107" s="198" t="s">
        <v>8</v>
      </c>
      <c r="R107" s="204">
        <f>+SUM(C107:N107)</f>
        <v>12</v>
      </c>
    </row>
    <row r="108" spans="1:18">
      <c r="A108" s="198">
        <f t="shared" si="18"/>
        <v>108</v>
      </c>
      <c r="B108" s="219" t="s">
        <v>204</v>
      </c>
      <c r="C108" s="214">
        <f>SUM(C105:C107)</f>
        <v>3</v>
      </c>
      <c r="D108" s="214">
        <f t="shared" ref="D108:N108" si="27">SUM(D105:D107)</f>
        <v>3</v>
      </c>
      <c r="E108" s="214">
        <f t="shared" si="27"/>
        <v>3</v>
      </c>
      <c r="F108" s="214">
        <f t="shared" si="27"/>
        <v>2</v>
      </c>
      <c r="G108" s="214">
        <f t="shared" si="27"/>
        <v>2</v>
      </c>
      <c r="H108" s="214">
        <f t="shared" si="27"/>
        <v>2</v>
      </c>
      <c r="I108" s="214">
        <f t="shared" si="27"/>
        <v>2</v>
      </c>
      <c r="J108" s="214">
        <f t="shared" si="27"/>
        <v>2</v>
      </c>
      <c r="K108" s="214">
        <f t="shared" si="27"/>
        <v>2</v>
      </c>
      <c r="L108" s="214">
        <f t="shared" si="27"/>
        <v>2</v>
      </c>
      <c r="M108" s="214">
        <f t="shared" si="27"/>
        <v>2</v>
      </c>
      <c r="N108" s="214">
        <f t="shared" si="27"/>
        <v>2</v>
      </c>
      <c r="O108" s="204">
        <f>AVERAGE(C108:N108)</f>
        <v>2.25</v>
      </c>
      <c r="R108" s="204">
        <f>+SUM(C108:N108)</f>
        <v>27</v>
      </c>
    </row>
    <row r="109" spans="1:18">
      <c r="A109" s="198">
        <f t="shared" si="18"/>
        <v>109</v>
      </c>
      <c r="B109" s="219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</row>
    <row r="110" spans="1:18">
      <c r="A110" s="198">
        <f t="shared" si="18"/>
        <v>110</v>
      </c>
      <c r="B110" s="221" t="s">
        <v>205</v>
      </c>
      <c r="C110" s="222">
        <f t="shared" ref="C110:O110" si="28">+C103+C108</f>
        <v>5</v>
      </c>
      <c r="D110" s="222">
        <f t="shared" si="28"/>
        <v>5</v>
      </c>
      <c r="E110" s="222">
        <f t="shared" si="28"/>
        <v>5</v>
      </c>
      <c r="F110" s="222">
        <f t="shared" si="28"/>
        <v>4</v>
      </c>
      <c r="G110" s="222">
        <f t="shared" si="28"/>
        <v>4</v>
      </c>
      <c r="H110" s="222">
        <f t="shared" si="28"/>
        <v>4</v>
      </c>
      <c r="I110" s="222">
        <f t="shared" si="28"/>
        <v>4</v>
      </c>
      <c r="J110" s="222">
        <f t="shared" si="28"/>
        <v>4</v>
      </c>
      <c r="K110" s="222">
        <f t="shared" si="28"/>
        <v>4</v>
      </c>
      <c r="L110" s="222">
        <f t="shared" si="28"/>
        <v>4</v>
      </c>
      <c r="M110" s="222">
        <f t="shared" si="28"/>
        <v>4</v>
      </c>
      <c r="N110" s="222">
        <f t="shared" si="28"/>
        <v>4</v>
      </c>
      <c r="O110" s="223">
        <f t="shared" si="28"/>
        <v>4.25</v>
      </c>
      <c r="R110" s="204">
        <f>+SUM(C110:N110)</f>
        <v>51</v>
      </c>
    </row>
    <row r="111" spans="1:18">
      <c r="A111" s="198">
        <f t="shared" si="18"/>
        <v>111</v>
      </c>
      <c r="B111" s="225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</row>
    <row r="112" spans="1:18">
      <c r="A112" s="198">
        <f t="shared" si="18"/>
        <v>112</v>
      </c>
      <c r="B112" s="227" t="s">
        <v>219</v>
      </c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</row>
    <row r="113" spans="1:18">
      <c r="A113" s="198">
        <f t="shared" si="18"/>
        <v>113</v>
      </c>
      <c r="B113" s="228" t="s">
        <v>138</v>
      </c>
      <c r="C113" s="208">
        <v>169</v>
      </c>
      <c r="D113" s="208">
        <v>174</v>
      </c>
      <c r="E113" s="208">
        <v>174</v>
      </c>
      <c r="F113" s="208">
        <v>170</v>
      </c>
      <c r="G113" s="208">
        <v>171</v>
      </c>
      <c r="H113" s="208">
        <v>179</v>
      </c>
      <c r="I113" s="208">
        <v>179</v>
      </c>
      <c r="J113" s="208">
        <v>178</v>
      </c>
      <c r="K113" s="208">
        <v>179</v>
      </c>
      <c r="L113" s="208">
        <v>177</v>
      </c>
      <c r="M113" s="208">
        <v>178</v>
      </c>
      <c r="N113" s="208">
        <v>181</v>
      </c>
      <c r="O113" s="204">
        <f t="shared" ref="O113:O118" si="29">AVERAGE(C113:N113)</f>
        <v>175.75</v>
      </c>
      <c r="R113" s="204">
        <f t="shared" ref="R113:R119" si="30">+SUM(C113:N113)</f>
        <v>2109</v>
      </c>
    </row>
    <row r="114" spans="1:18">
      <c r="A114" s="198">
        <f t="shared" si="18"/>
        <v>114</v>
      </c>
      <c r="B114" s="228" t="s">
        <v>141</v>
      </c>
      <c r="C114" s="208">
        <v>844</v>
      </c>
      <c r="D114" s="208">
        <v>843</v>
      </c>
      <c r="E114" s="208">
        <v>859</v>
      </c>
      <c r="F114" s="208">
        <v>842</v>
      </c>
      <c r="G114" s="208">
        <v>849</v>
      </c>
      <c r="H114" s="208">
        <v>883</v>
      </c>
      <c r="I114" s="208">
        <v>862</v>
      </c>
      <c r="J114" s="208">
        <v>884</v>
      </c>
      <c r="K114" s="208">
        <v>910</v>
      </c>
      <c r="L114" s="208">
        <v>918</v>
      </c>
      <c r="M114" s="208">
        <v>935</v>
      </c>
      <c r="N114" s="208">
        <v>944</v>
      </c>
      <c r="O114" s="204">
        <f t="shared" si="29"/>
        <v>881.08333333333337</v>
      </c>
      <c r="R114" s="204">
        <f t="shared" si="30"/>
        <v>10573</v>
      </c>
    </row>
    <row r="115" spans="1:18">
      <c r="A115" s="198">
        <f t="shared" si="18"/>
        <v>115</v>
      </c>
      <c r="B115" s="228" t="s">
        <v>145</v>
      </c>
      <c r="C115" s="208">
        <v>1130</v>
      </c>
      <c r="D115" s="208">
        <v>1134</v>
      </c>
      <c r="E115" s="208">
        <v>1149</v>
      </c>
      <c r="F115" s="208">
        <v>1150</v>
      </c>
      <c r="G115" s="208">
        <v>1147</v>
      </c>
      <c r="H115" s="208">
        <v>1151</v>
      </c>
      <c r="I115" s="208">
        <v>1160</v>
      </c>
      <c r="J115" s="208">
        <v>1195</v>
      </c>
      <c r="K115" s="208">
        <v>1151</v>
      </c>
      <c r="L115" s="208">
        <v>1145</v>
      </c>
      <c r="M115" s="208">
        <v>1143</v>
      </c>
      <c r="N115" s="208">
        <v>1164</v>
      </c>
      <c r="O115" s="204">
        <f t="shared" si="29"/>
        <v>1151.5833333333333</v>
      </c>
      <c r="R115" s="204">
        <f t="shared" si="30"/>
        <v>13819</v>
      </c>
    </row>
    <row r="116" spans="1:18">
      <c r="A116" s="198">
        <f t="shared" si="18"/>
        <v>116</v>
      </c>
      <c r="B116" s="228" t="s">
        <v>146</v>
      </c>
      <c r="C116" s="208">
        <f>1189-C115</f>
        <v>59</v>
      </c>
      <c r="D116" s="208">
        <f>1185-D115</f>
        <v>51</v>
      </c>
      <c r="E116" s="208">
        <v>56</v>
      </c>
      <c r="F116" s="208">
        <v>53</v>
      </c>
      <c r="G116" s="208">
        <v>51</v>
      </c>
      <c r="H116" s="208">
        <f>1214-H115</f>
        <v>63</v>
      </c>
      <c r="I116" s="208">
        <v>53</v>
      </c>
      <c r="J116" s="208">
        <v>50</v>
      </c>
      <c r="K116" s="208">
        <v>52</v>
      </c>
      <c r="L116" s="208">
        <v>53</v>
      </c>
      <c r="M116" s="208">
        <v>61</v>
      </c>
      <c r="N116" s="208">
        <v>54</v>
      </c>
      <c r="O116" s="204">
        <f t="shared" si="29"/>
        <v>54.666666666666664</v>
      </c>
      <c r="R116" s="204">
        <f t="shared" si="30"/>
        <v>656</v>
      </c>
    </row>
    <row r="117" spans="1:18">
      <c r="A117" s="198">
        <f t="shared" si="18"/>
        <v>117</v>
      </c>
      <c r="B117" s="228" t="s">
        <v>149</v>
      </c>
      <c r="C117" s="208">
        <v>17</v>
      </c>
      <c r="D117" s="208">
        <v>17</v>
      </c>
      <c r="E117" s="208">
        <v>17</v>
      </c>
      <c r="F117" s="208">
        <v>17</v>
      </c>
      <c r="G117" s="208">
        <v>19</v>
      </c>
      <c r="H117" s="208">
        <v>17</v>
      </c>
      <c r="I117" s="208">
        <v>17</v>
      </c>
      <c r="J117" s="208">
        <v>17</v>
      </c>
      <c r="K117" s="208">
        <v>17</v>
      </c>
      <c r="L117" s="208">
        <v>17</v>
      </c>
      <c r="M117" s="208">
        <v>17</v>
      </c>
      <c r="N117" s="208">
        <v>18</v>
      </c>
      <c r="O117" s="204">
        <f t="shared" si="29"/>
        <v>17.25</v>
      </c>
      <c r="R117" s="204">
        <f t="shared" si="30"/>
        <v>207</v>
      </c>
    </row>
    <row r="118" spans="1:18">
      <c r="A118" s="198">
        <f t="shared" si="18"/>
        <v>118</v>
      </c>
      <c r="B118" s="228" t="s">
        <v>220</v>
      </c>
      <c r="C118" s="208">
        <v>7</v>
      </c>
      <c r="D118" s="208">
        <v>7</v>
      </c>
      <c r="E118" s="208">
        <v>7</v>
      </c>
      <c r="F118" s="208">
        <v>7</v>
      </c>
      <c r="G118" s="208">
        <v>7</v>
      </c>
      <c r="H118" s="208">
        <v>7</v>
      </c>
      <c r="I118" s="208">
        <v>7</v>
      </c>
      <c r="J118" s="208">
        <v>7</v>
      </c>
      <c r="K118" s="208">
        <v>7</v>
      </c>
      <c r="L118" s="208">
        <v>7</v>
      </c>
      <c r="M118" s="208">
        <v>7</v>
      </c>
      <c r="N118" s="208">
        <v>8</v>
      </c>
      <c r="O118" s="204">
        <f t="shared" si="29"/>
        <v>7.083333333333333</v>
      </c>
      <c r="R118" s="204">
        <f t="shared" si="30"/>
        <v>85</v>
      </c>
    </row>
    <row r="119" spans="1:18">
      <c r="A119" s="198">
        <f t="shared" si="18"/>
        <v>119</v>
      </c>
      <c r="B119" s="229" t="s">
        <v>221</v>
      </c>
      <c r="C119" s="226">
        <f t="shared" ref="C119:O119" si="31">+SUM(C113:C118)</f>
        <v>2226</v>
      </c>
      <c r="D119" s="226">
        <f t="shared" si="31"/>
        <v>2226</v>
      </c>
      <c r="E119" s="226">
        <f t="shared" si="31"/>
        <v>2262</v>
      </c>
      <c r="F119" s="226">
        <f t="shared" si="31"/>
        <v>2239</v>
      </c>
      <c r="G119" s="226">
        <f t="shared" si="31"/>
        <v>2244</v>
      </c>
      <c r="H119" s="226">
        <f t="shared" si="31"/>
        <v>2300</v>
      </c>
      <c r="I119" s="226">
        <f t="shared" si="31"/>
        <v>2278</v>
      </c>
      <c r="J119" s="226">
        <f t="shared" si="31"/>
        <v>2331</v>
      </c>
      <c r="K119" s="226">
        <f t="shared" si="31"/>
        <v>2316</v>
      </c>
      <c r="L119" s="226">
        <f t="shared" si="31"/>
        <v>2317</v>
      </c>
      <c r="M119" s="226">
        <f t="shared" si="31"/>
        <v>2341</v>
      </c>
      <c r="N119" s="226">
        <f t="shared" si="31"/>
        <v>2369</v>
      </c>
      <c r="O119" s="226">
        <f t="shared" si="31"/>
        <v>2287.416666666667</v>
      </c>
      <c r="R119" s="204">
        <f t="shared" si="30"/>
        <v>27449</v>
      </c>
    </row>
    <row r="120" spans="1:18">
      <c r="A120" s="198">
        <f t="shared" si="18"/>
        <v>120</v>
      </c>
      <c r="B120" s="229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</row>
    <row r="121" spans="1:18">
      <c r="A121" s="198">
        <f t="shared" si="18"/>
        <v>121</v>
      </c>
      <c r="B121" s="227" t="s">
        <v>222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</row>
    <row r="122" spans="1:18">
      <c r="A122" s="198">
        <f t="shared" si="18"/>
        <v>122</v>
      </c>
      <c r="B122" s="228" t="s">
        <v>146</v>
      </c>
      <c r="C122" s="208">
        <v>38</v>
      </c>
      <c r="D122" s="208">
        <v>38</v>
      </c>
      <c r="E122" s="208">
        <v>38</v>
      </c>
      <c r="F122" s="208">
        <v>38</v>
      </c>
      <c r="G122" s="208">
        <v>38</v>
      </c>
      <c r="H122" s="208">
        <v>38</v>
      </c>
      <c r="I122" s="208">
        <v>38</v>
      </c>
      <c r="J122" s="208">
        <v>38</v>
      </c>
      <c r="K122" s="208">
        <v>38</v>
      </c>
      <c r="L122" s="208">
        <v>28</v>
      </c>
      <c r="M122" s="208">
        <v>38</v>
      </c>
      <c r="N122" s="208">
        <v>38</v>
      </c>
      <c r="O122" s="204">
        <f>AVERAGE(C122:N122)</f>
        <v>37.166666666666664</v>
      </c>
      <c r="R122" s="204">
        <f>+SUM(C122:N122)</f>
        <v>446</v>
      </c>
    </row>
    <row r="123" spans="1:18">
      <c r="A123" s="198">
        <f t="shared" si="18"/>
        <v>123</v>
      </c>
      <c r="B123" s="228" t="s">
        <v>149</v>
      </c>
      <c r="C123" s="208">
        <v>17</v>
      </c>
      <c r="D123" s="208">
        <v>17</v>
      </c>
      <c r="E123" s="208">
        <v>17</v>
      </c>
      <c r="F123" s="208">
        <v>17</v>
      </c>
      <c r="G123" s="208">
        <v>17</v>
      </c>
      <c r="H123" s="208">
        <v>17</v>
      </c>
      <c r="I123" s="208">
        <v>17</v>
      </c>
      <c r="J123" s="208">
        <v>17</v>
      </c>
      <c r="K123" s="208">
        <v>18</v>
      </c>
      <c r="L123" s="208">
        <v>18</v>
      </c>
      <c r="M123" s="208">
        <v>17</v>
      </c>
      <c r="N123" s="208">
        <v>17</v>
      </c>
      <c r="O123" s="204">
        <f>AVERAGE(C123:N123)</f>
        <v>17.166666666666668</v>
      </c>
      <c r="R123" s="204">
        <f>+SUM(C123:N123)</f>
        <v>206</v>
      </c>
    </row>
    <row r="124" spans="1:18">
      <c r="A124" s="198">
        <f t="shared" si="18"/>
        <v>124</v>
      </c>
      <c r="B124" s="229" t="s">
        <v>223</v>
      </c>
      <c r="C124" s="204">
        <f t="shared" ref="C124:O124" si="32">+SUM(C122:C123)</f>
        <v>55</v>
      </c>
      <c r="D124" s="204">
        <f t="shared" si="32"/>
        <v>55</v>
      </c>
      <c r="E124" s="204">
        <f t="shared" si="32"/>
        <v>55</v>
      </c>
      <c r="F124" s="204">
        <f t="shared" si="32"/>
        <v>55</v>
      </c>
      <c r="G124" s="204">
        <f t="shared" si="32"/>
        <v>55</v>
      </c>
      <c r="H124" s="204">
        <f t="shared" si="32"/>
        <v>55</v>
      </c>
      <c r="I124" s="204">
        <f t="shared" si="32"/>
        <v>55</v>
      </c>
      <c r="J124" s="204">
        <f t="shared" si="32"/>
        <v>55</v>
      </c>
      <c r="K124" s="204">
        <f t="shared" si="32"/>
        <v>56</v>
      </c>
      <c r="L124" s="204">
        <f t="shared" si="32"/>
        <v>46</v>
      </c>
      <c r="M124" s="204">
        <f t="shared" si="32"/>
        <v>55</v>
      </c>
      <c r="N124" s="204">
        <f t="shared" si="32"/>
        <v>55</v>
      </c>
      <c r="O124" s="204">
        <f t="shared" si="32"/>
        <v>54.333333333333329</v>
      </c>
      <c r="R124" s="204">
        <f>+SUM(C124:N124)</f>
        <v>652</v>
      </c>
    </row>
    <row r="125" spans="1:18">
      <c r="A125" s="198">
        <f t="shared" si="18"/>
        <v>125</v>
      </c>
      <c r="B125" s="229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</row>
    <row r="126" spans="1:18">
      <c r="A126" s="198">
        <f t="shared" si="18"/>
        <v>126</v>
      </c>
      <c r="B126" s="221" t="s">
        <v>206</v>
      </c>
      <c r="C126" s="222">
        <f t="shared" ref="C126:O126" si="33">+C99+C110</f>
        <v>79015</v>
      </c>
      <c r="D126" s="222">
        <f t="shared" si="33"/>
        <v>79110</v>
      </c>
      <c r="E126" s="222">
        <f t="shared" si="33"/>
        <v>79502</v>
      </c>
      <c r="F126" s="222">
        <f t="shared" si="33"/>
        <v>79686</v>
      </c>
      <c r="G126" s="222">
        <f t="shared" si="33"/>
        <v>79663</v>
      </c>
      <c r="H126" s="222">
        <f t="shared" si="33"/>
        <v>79841</v>
      </c>
      <c r="I126" s="222">
        <f t="shared" si="33"/>
        <v>79840</v>
      </c>
      <c r="J126" s="222">
        <f t="shared" si="33"/>
        <v>80013</v>
      </c>
      <c r="K126" s="222">
        <f t="shared" si="33"/>
        <v>80222</v>
      </c>
      <c r="L126" s="222">
        <f>+L99+L110</f>
        <v>80262</v>
      </c>
      <c r="M126" s="222">
        <f t="shared" si="33"/>
        <v>80789</v>
      </c>
      <c r="N126" s="222">
        <f t="shared" si="33"/>
        <v>81159</v>
      </c>
      <c r="O126" s="223">
        <f t="shared" si="33"/>
        <v>79925.166666666657</v>
      </c>
      <c r="R126" s="204">
        <f>+SUM(C126:N126)</f>
        <v>959102</v>
      </c>
    </row>
    <row r="127" spans="1:18">
      <c r="A127" s="198">
        <f t="shared" si="18"/>
        <v>127</v>
      </c>
      <c r="B127" s="206" t="s">
        <v>123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</row>
    <row r="128" spans="1:18">
      <c r="A128" s="198">
        <f t="shared" si="18"/>
        <v>128</v>
      </c>
      <c r="B128" s="207" t="s">
        <v>100</v>
      </c>
      <c r="C128" s="204">
        <f t="shared" ref="C128:C138" si="34">+C4</f>
        <v>1215</v>
      </c>
      <c r="D128" s="204">
        <f t="shared" ref="D128:D138" si="35">AVERAGE(C4:D4)</f>
        <v>1220</v>
      </c>
      <c r="E128" s="204">
        <f t="shared" ref="E128:E138" si="36">AVERAGE(C4:E4)</f>
        <v>1222.6666666666667</v>
      </c>
      <c r="F128" s="204">
        <f t="shared" ref="F128:F138" si="37">AVERAGE(C4:F4)</f>
        <v>1210.75</v>
      </c>
      <c r="G128" s="204">
        <f t="shared" ref="G128:G138" si="38">AVERAGE(C4:G4)</f>
        <v>1201</v>
      </c>
      <c r="H128" s="204">
        <f t="shared" ref="H128:H138" si="39">AVERAGE(C4:H4)</f>
        <v>1191.5</v>
      </c>
      <c r="I128" s="204">
        <f t="shared" ref="I128:I138" si="40">AVERAGE(C4:I4)</f>
        <v>1185.4285714285713</v>
      </c>
      <c r="J128" s="204">
        <f t="shared" ref="J128:J138" si="41">AVERAGE(C4:J4)</f>
        <v>1181</v>
      </c>
      <c r="K128" s="204">
        <f t="shared" ref="K128:K138" si="42">AVERAGE(C4:K4)</f>
        <v>1177</v>
      </c>
      <c r="L128" s="204">
        <f t="shared" ref="L128:L138" si="43">AVERAGE(C4:L4)</f>
        <v>1173.8</v>
      </c>
      <c r="M128" s="204">
        <f t="shared" ref="M128:M138" si="44">AVERAGE(C4:M4)</f>
        <v>1171.1818181818182</v>
      </c>
      <c r="N128" s="204">
        <f t="shared" ref="N128:N138" si="45">AVERAGE(C4:N4)</f>
        <v>1170.0833333333333</v>
      </c>
      <c r="O128" s="204">
        <f t="shared" ref="O128:O137" si="46">SUM(C128:N128)</f>
        <v>14319.41038961039</v>
      </c>
    </row>
    <row r="129" spans="1:18">
      <c r="A129" s="198">
        <f t="shared" si="18"/>
        <v>129</v>
      </c>
      <c r="B129" s="207" t="s">
        <v>101</v>
      </c>
      <c r="C129" s="204">
        <f t="shared" si="34"/>
        <v>2264</v>
      </c>
      <c r="D129" s="204">
        <f t="shared" si="35"/>
        <v>2270.5</v>
      </c>
      <c r="E129" s="204">
        <f t="shared" si="36"/>
        <v>2271</v>
      </c>
      <c r="F129" s="204">
        <f t="shared" si="37"/>
        <v>2275.25</v>
      </c>
      <c r="G129" s="204">
        <f t="shared" si="38"/>
        <v>2274.8000000000002</v>
      </c>
      <c r="H129" s="204">
        <f t="shared" si="39"/>
        <v>2272.6666666666665</v>
      </c>
      <c r="I129" s="204">
        <f t="shared" si="40"/>
        <v>2272.2857142857142</v>
      </c>
      <c r="J129" s="204">
        <f t="shared" si="41"/>
        <v>2270.875</v>
      </c>
      <c r="K129" s="204">
        <f t="shared" si="42"/>
        <v>2269.7777777777778</v>
      </c>
      <c r="L129" s="204">
        <f t="shared" si="43"/>
        <v>2267.6999999999998</v>
      </c>
      <c r="M129" s="204">
        <f t="shared" si="44"/>
        <v>2267.4545454545455</v>
      </c>
      <c r="N129" s="204">
        <f t="shared" si="45"/>
        <v>2267.5</v>
      </c>
      <c r="O129" s="204">
        <f t="shared" si="46"/>
        <v>27243.8097041847</v>
      </c>
    </row>
    <row r="130" spans="1:18">
      <c r="A130" s="198">
        <f t="shared" si="18"/>
        <v>130</v>
      </c>
      <c r="B130" s="207" t="s">
        <v>102</v>
      </c>
      <c r="C130" s="204">
        <f t="shared" si="34"/>
        <v>11148</v>
      </c>
      <c r="D130" s="204">
        <f t="shared" si="35"/>
        <v>11178.5</v>
      </c>
      <c r="E130" s="204">
        <f t="shared" si="36"/>
        <v>11219.666666666666</v>
      </c>
      <c r="F130" s="204">
        <f t="shared" si="37"/>
        <v>11267.25</v>
      </c>
      <c r="G130" s="204">
        <f t="shared" si="38"/>
        <v>11301.4</v>
      </c>
      <c r="H130" s="204">
        <f t="shared" si="39"/>
        <v>11331.666666666666</v>
      </c>
      <c r="I130" s="204">
        <f t="shared" si="40"/>
        <v>11358.857142857143</v>
      </c>
      <c r="J130" s="204">
        <f t="shared" si="41"/>
        <v>11383.375</v>
      </c>
      <c r="K130" s="204">
        <f t="shared" si="42"/>
        <v>11410.333333333334</v>
      </c>
      <c r="L130" s="204">
        <f t="shared" si="43"/>
        <v>11436.5</v>
      </c>
      <c r="M130" s="204">
        <f t="shared" si="44"/>
        <v>11469.545454545454</v>
      </c>
      <c r="N130" s="204">
        <f t="shared" si="45"/>
        <v>11504.333333333334</v>
      </c>
      <c r="O130" s="204">
        <f t="shared" si="46"/>
        <v>136009.42759740259</v>
      </c>
    </row>
    <row r="131" spans="1:18">
      <c r="A131" s="198">
        <f t="shared" ref="A131:A194" si="47">+A130+1</f>
        <v>131</v>
      </c>
      <c r="B131" s="207" t="s">
        <v>103</v>
      </c>
      <c r="C131" s="204">
        <f t="shared" si="34"/>
        <v>689</v>
      </c>
      <c r="D131" s="204">
        <f t="shared" si="35"/>
        <v>688.5</v>
      </c>
      <c r="E131" s="204">
        <f t="shared" si="36"/>
        <v>688.66666666666663</v>
      </c>
      <c r="F131" s="204">
        <f t="shared" si="37"/>
        <v>698.5</v>
      </c>
      <c r="G131" s="204">
        <f t="shared" si="38"/>
        <v>703</v>
      </c>
      <c r="H131" s="204">
        <f t="shared" si="39"/>
        <v>706</v>
      </c>
      <c r="I131" s="204">
        <f t="shared" si="40"/>
        <v>709.14285714285711</v>
      </c>
      <c r="J131" s="204">
        <f t="shared" si="41"/>
        <v>710.125</v>
      </c>
      <c r="K131" s="204">
        <f t="shared" si="42"/>
        <v>711.33333333333337</v>
      </c>
      <c r="L131" s="204">
        <f t="shared" si="43"/>
        <v>712.1</v>
      </c>
      <c r="M131" s="204">
        <f t="shared" si="44"/>
        <v>713.36363636363637</v>
      </c>
      <c r="N131" s="204">
        <f t="shared" si="45"/>
        <v>714.25</v>
      </c>
      <c r="O131" s="204">
        <f t="shared" si="46"/>
        <v>8443.9814935064933</v>
      </c>
    </row>
    <row r="132" spans="1:18">
      <c r="A132" s="198">
        <f t="shared" si="47"/>
        <v>132</v>
      </c>
      <c r="B132" s="207" t="s">
        <v>104</v>
      </c>
      <c r="C132" s="204">
        <f t="shared" si="34"/>
        <v>516</v>
      </c>
      <c r="D132" s="204">
        <f t="shared" si="35"/>
        <v>515.5</v>
      </c>
      <c r="E132" s="204">
        <f t="shared" si="36"/>
        <v>514.33333333333337</v>
      </c>
      <c r="F132" s="204">
        <f t="shared" si="37"/>
        <v>507.75</v>
      </c>
      <c r="G132" s="204">
        <f t="shared" si="38"/>
        <v>502.4</v>
      </c>
      <c r="H132" s="204">
        <f t="shared" si="39"/>
        <v>499</v>
      </c>
      <c r="I132" s="204">
        <f t="shared" si="40"/>
        <v>497</v>
      </c>
      <c r="J132" s="204">
        <f t="shared" si="41"/>
        <v>495.125</v>
      </c>
      <c r="K132" s="204">
        <f t="shared" si="42"/>
        <v>493.88888888888891</v>
      </c>
      <c r="L132" s="204">
        <f t="shared" si="43"/>
        <v>492.8</v>
      </c>
      <c r="M132" s="204">
        <f t="shared" si="44"/>
        <v>492</v>
      </c>
      <c r="N132" s="204">
        <f t="shared" si="45"/>
        <v>491.33333333333331</v>
      </c>
      <c r="O132" s="204">
        <f t="shared" si="46"/>
        <v>6017.1305555555555</v>
      </c>
    </row>
    <row r="133" spans="1:18">
      <c r="A133" s="198">
        <f t="shared" si="47"/>
        <v>133</v>
      </c>
      <c r="B133" s="212" t="s">
        <v>105</v>
      </c>
      <c r="C133" s="204">
        <f t="shared" si="34"/>
        <v>13</v>
      </c>
      <c r="D133" s="204">
        <f t="shared" si="35"/>
        <v>13</v>
      </c>
      <c r="E133" s="204">
        <f t="shared" si="36"/>
        <v>13</v>
      </c>
      <c r="F133" s="204">
        <f t="shared" si="37"/>
        <v>13.75</v>
      </c>
      <c r="G133" s="204">
        <f t="shared" si="38"/>
        <v>14.2</v>
      </c>
      <c r="H133" s="204">
        <f t="shared" si="39"/>
        <v>14.5</v>
      </c>
      <c r="I133" s="204">
        <f t="shared" si="40"/>
        <v>14.714285714285714</v>
      </c>
      <c r="J133" s="204">
        <f t="shared" si="41"/>
        <v>14.875</v>
      </c>
      <c r="K133" s="204">
        <f t="shared" si="42"/>
        <v>15</v>
      </c>
      <c r="L133" s="204">
        <f t="shared" si="43"/>
        <v>15.1</v>
      </c>
      <c r="M133" s="204">
        <f t="shared" si="44"/>
        <v>15.181818181818182</v>
      </c>
      <c r="N133" s="204">
        <f t="shared" si="45"/>
        <v>15.25</v>
      </c>
      <c r="O133" s="204">
        <f t="shared" si="46"/>
        <v>171.57110389610389</v>
      </c>
    </row>
    <row r="134" spans="1:18">
      <c r="A134" s="198">
        <f t="shared" si="47"/>
        <v>134</v>
      </c>
      <c r="B134" s="212" t="s">
        <v>106</v>
      </c>
      <c r="C134" s="204">
        <f t="shared" si="34"/>
        <v>0</v>
      </c>
      <c r="D134" s="204">
        <f t="shared" si="35"/>
        <v>0</v>
      </c>
      <c r="E134" s="204">
        <f t="shared" si="36"/>
        <v>0</v>
      </c>
      <c r="F134" s="204">
        <f t="shared" si="37"/>
        <v>0</v>
      </c>
      <c r="G134" s="204">
        <f t="shared" si="38"/>
        <v>0</v>
      </c>
      <c r="H134" s="204">
        <f t="shared" si="39"/>
        <v>0</v>
      </c>
      <c r="I134" s="204">
        <f t="shared" si="40"/>
        <v>0</v>
      </c>
      <c r="J134" s="204">
        <f t="shared" si="41"/>
        <v>0</v>
      </c>
      <c r="K134" s="204">
        <f t="shared" si="42"/>
        <v>0</v>
      </c>
      <c r="L134" s="204">
        <f t="shared" si="43"/>
        <v>0</v>
      </c>
      <c r="M134" s="204">
        <f t="shared" si="44"/>
        <v>0</v>
      </c>
      <c r="N134" s="204">
        <f t="shared" si="45"/>
        <v>0</v>
      </c>
      <c r="O134" s="204">
        <f t="shared" si="46"/>
        <v>0</v>
      </c>
    </row>
    <row r="135" spans="1:18">
      <c r="A135" s="198">
        <f t="shared" si="47"/>
        <v>135</v>
      </c>
      <c r="B135" s="212" t="s">
        <v>126</v>
      </c>
      <c r="C135" s="204">
        <f t="shared" si="34"/>
        <v>53499</v>
      </c>
      <c r="D135" s="204">
        <f t="shared" si="35"/>
        <v>53504.5</v>
      </c>
      <c r="E135" s="204">
        <f t="shared" si="36"/>
        <v>53591.333333333336</v>
      </c>
      <c r="F135" s="204">
        <f t="shared" si="37"/>
        <v>53653</v>
      </c>
      <c r="G135" s="204">
        <f t="shared" si="38"/>
        <v>53691.8</v>
      </c>
      <c r="H135" s="204">
        <f t="shared" si="39"/>
        <v>53745</v>
      </c>
      <c r="I135" s="204">
        <f t="shared" si="40"/>
        <v>53774.285714285717</v>
      </c>
      <c r="J135" s="204">
        <f t="shared" si="41"/>
        <v>53814.75</v>
      </c>
      <c r="K135" s="204">
        <f t="shared" si="42"/>
        <v>53853</v>
      </c>
      <c r="L135" s="204">
        <f t="shared" si="43"/>
        <v>53886.400000000001</v>
      </c>
      <c r="M135" s="204">
        <f t="shared" si="44"/>
        <v>53942.181818181816</v>
      </c>
      <c r="N135" s="204">
        <f t="shared" si="45"/>
        <v>54003.75</v>
      </c>
      <c r="O135" s="204">
        <f t="shared" si="46"/>
        <v>644959.00086580089</v>
      </c>
    </row>
    <row r="136" spans="1:18">
      <c r="A136" s="198">
        <f t="shared" si="47"/>
        <v>136</v>
      </c>
      <c r="B136" s="212" t="s">
        <v>128</v>
      </c>
      <c r="C136" s="204">
        <f t="shared" si="34"/>
        <v>434</v>
      </c>
      <c r="D136" s="204">
        <f t="shared" si="35"/>
        <v>432.5</v>
      </c>
      <c r="E136" s="204">
        <f t="shared" si="36"/>
        <v>435</v>
      </c>
      <c r="F136" s="204">
        <f t="shared" si="37"/>
        <v>437.25</v>
      </c>
      <c r="G136" s="204">
        <f t="shared" si="38"/>
        <v>438</v>
      </c>
      <c r="H136" s="204">
        <f t="shared" si="39"/>
        <v>439.66666666666669</v>
      </c>
      <c r="I136" s="204">
        <f t="shared" si="40"/>
        <v>441.57142857142856</v>
      </c>
      <c r="J136" s="204">
        <f t="shared" si="41"/>
        <v>443.75</v>
      </c>
      <c r="K136" s="204">
        <f t="shared" si="42"/>
        <v>447.55555555555554</v>
      </c>
      <c r="L136" s="204">
        <f t="shared" si="43"/>
        <v>451.8</v>
      </c>
      <c r="M136" s="204">
        <f t="shared" si="44"/>
        <v>455.72727272727275</v>
      </c>
      <c r="N136" s="204">
        <f t="shared" si="45"/>
        <v>459.83333333333331</v>
      </c>
      <c r="O136" s="204">
        <f t="shared" si="46"/>
        <v>5316.6542568542563</v>
      </c>
    </row>
    <row r="137" spans="1:18">
      <c r="A137" s="198">
        <f t="shared" si="47"/>
        <v>137</v>
      </c>
      <c r="B137" s="212" t="s">
        <v>98</v>
      </c>
      <c r="C137" s="204">
        <f t="shared" si="34"/>
        <v>582</v>
      </c>
      <c r="D137" s="204">
        <f t="shared" si="35"/>
        <v>581.5</v>
      </c>
      <c r="E137" s="204">
        <f t="shared" si="36"/>
        <v>582.33333333333337</v>
      </c>
      <c r="F137" s="204">
        <f t="shared" si="37"/>
        <v>581</v>
      </c>
      <c r="G137" s="204">
        <f t="shared" si="38"/>
        <v>577.79999999999995</v>
      </c>
      <c r="H137" s="204">
        <f t="shared" si="39"/>
        <v>575</v>
      </c>
      <c r="I137" s="204">
        <f t="shared" si="40"/>
        <v>573</v>
      </c>
      <c r="J137" s="204">
        <f t="shared" si="41"/>
        <v>571</v>
      </c>
      <c r="K137" s="204">
        <f t="shared" si="42"/>
        <v>569.77777777777783</v>
      </c>
      <c r="L137" s="204">
        <f t="shared" si="43"/>
        <v>568.6</v>
      </c>
      <c r="M137" s="204">
        <f t="shared" si="44"/>
        <v>567.81818181818187</v>
      </c>
      <c r="N137" s="204">
        <f t="shared" si="45"/>
        <v>567.16666666666663</v>
      </c>
      <c r="O137" s="204">
        <f t="shared" si="46"/>
        <v>6896.9959595959599</v>
      </c>
    </row>
    <row r="138" spans="1:18">
      <c r="A138" s="198">
        <f t="shared" si="47"/>
        <v>138</v>
      </c>
      <c r="B138" s="212" t="s">
        <v>93</v>
      </c>
      <c r="C138" s="216">
        <f t="shared" si="34"/>
        <v>671</v>
      </c>
      <c r="D138" s="216">
        <f t="shared" si="35"/>
        <v>671</v>
      </c>
      <c r="E138" s="216">
        <f t="shared" si="36"/>
        <v>671.66666666666663</v>
      </c>
      <c r="F138" s="216">
        <f t="shared" si="37"/>
        <v>671.25</v>
      </c>
      <c r="G138" s="216">
        <f t="shared" si="38"/>
        <v>671.2</v>
      </c>
      <c r="H138" s="216">
        <f t="shared" si="39"/>
        <v>670.5</v>
      </c>
      <c r="I138" s="216">
        <f t="shared" si="40"/>
        <v>670.28571428571433</v>
      </c>
      <c r="J138" s="216">
        <f t="shared" si="41"/>
        <v>670.625</v>
      </c>
      <c r="K138" s="216">
        <f t="shared" si="42"/>
        <v>670.66666666666663</v>
      </c>
      <c r="L138" s="216">
        <f t="shared" si="43"/>
        <v>670.4</v>
      </c>
      <c r="M138" s="216">
        <f t="shared" si="44"/>
        <v>670.5454545454545</v>
      </c>
      <c r="N138" s="216">
        <f t="shared" si="45"/>
        <v>670.33333333333337</v>
      </c>
      <c r="O138" s="216">
        <f>SUM(C138:N138)</f>
        <v>8049.4728354978351</v>
      </c>
    </row>
    <row r="139" spans="1:18">
      <c r="A139" s="198">
        <f t="shared" si="47"/>
        <v>139</v>
      </c>
      <c r="B139" s="213" t="s">
        <v>131</v>
      </c>
      <c r="C139" s="204">
        <f t="shared" ref="C139:O139" si="48">SUM(C128:C138)</f>
        <v>71031</v>
      </c>
      <c r="D139" s="204">
        <f t="shared" si="48"/>
        <v>71075.5</v>
      </c>
      <c r="E139" s="204">
        <f t="shared" si="48"/>
        <v>71209.666666666672</v>
      </c>
      <c r="F139" s="204">
        <f t="shared" si="48"/>
        <v>71315.75</v>
      </c>
      <c r="G139" s="204">
        <f t="shared" si="48"/>
        <v>71375.600000000006</v>
      </c>
      <c r="H139" s="204">
        <f t="shared" si="48"/>
        <v>71445.5</v>
      </c>
      <c r="I139" s="204">
        <f t="shared" si="48"/>
        <v>71496.571428571435</v>
      </c>
      <c r="J139" s="204">
        <f t="shared" si="48"/>
        <v>71555.5</v>
      </c>
      <c r="K139" s="204">
        <f t="shared" si="48"/>
        <v>71618.333333333343</v>
      </c>
      <c r="L139" s="204">
        <f t="shared" si="48"/>
        <v>71675.199999999997</v>
      </c>
      <c r="M139" s="204">
        <f t="shared" si="48"/>
        <v>71765</v>
      </c>
      <c r="N139" s="204">
        <f t="shared" si="48"/>
        <v>71863.833333333328</v>
      </c>
      <c r="O139" s="204">
        <f t="shared" si="48"/>
        <v>857427.45476190478</v>
      </c>
    </row>
    <row r="140" spans="1:18">
      <c r="A140" s="198">
        <f t="shared" si="47"/>
        <v>140</v>
      </c>
      <c r="B140" s="206" t="s">
        <v>132</v>
      </c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R140" s="198"/>
    </row>
    <row r="141" spans="1:18">
      <c r="A141" s="198">
        <f t="shared" si="47"/>
        <v>141</v>
      </c>
      <c r="B141" s="207" t="s">
        <v>100</v>
      </c>
      <c r="C141" s="204">
        <f t="shared" ref="C141:C147" si="49">+C17</f>
        <v>34</v>
      </c>
      <c r="D141" s="204">
        <f t="shared" ref="D141:D147" si="50">AVERAGE(C17:D17)</f>
        <v>34.5</v>
      </c>
      <c r="E141" s="204">
        <f t="shared" ref="E141:E147" si="51">AVERAGE(C17:E17)</f>
        <v>34.666666666666664</v>
      </c>
      <c r="F141" s="204">
        <f t="shared" ref="F141:F147" si="52">AVERAGE(C17:F17)</f>
        <v>34.25</v>
      </c>
      <c r="G141" s="204">
        <f t="shared" ref="G141:G147" si="53">AVERAGE(C17:G17)</f>
        <v>33.200000000000003</v>
      </c>
      <c r="H141" s="204">
        <f t="shared" ref="H141:H147" si="54">AVERAGE(C17:H17)</f>
        <v>32.5</v>
      </c>
      <c r="I141" s="204">
        <f t="shared" ref="I141:I147" si="55">AVERAGE(C17:I17)</f>
        <v>32.142857142857146</v>
      </c>
      <c r="J141" s="204">
        <f t="shared" ref="J141:J147" si="56">AVERAGE(C17:J17)</f>
        <v>31.75</v>
      </c>
      <c r="K141" s="204">
        <f t="shared" ref="K141:K147" si="57">AVERAGE(C17:K17)</f>
        <v>31.333333333333332</v>
      </c>
      <c r="L141" s="204">
        <f t="shared" ref="L141:L147" si="58">AVERAGE(C17:L17)</f>
        <v>31.3</v>
      </c>
      <c r="M141" s="204">
        <f t="shared" ref="M141:M147" si="59">AVERAGE(C17:M17)</f>
        <v>31.363636363636363</v>
      </c>
      <c r="N141" s="204">
        <f t="shared" ref="N141:N147" si="60">AVERAGE(C17:N17)</f>
        <v>31.5</v>
      </c>
      <c r="O141" s="204">
        <f t="shared" ref="O141:O147" si="61">SUM(C141:N141)</f>
        <v>392.50649350649348</v>
      </c>
      <c r="R141" s="198"/>
    </row>
    <row r="142" spans="1:18">
      <c r="A142" s="198">
        <f t="shared" si="47"/>
        <v>142</v>
      </c>
      <c r="B142" s="207" t="s">
        <v>101</v>
      </c>
      <c r="C142" s="204">
        <f t="shared" si="49"/>
        <v>66</v>
      </c>
      <c r="D142" s="204">
        <f t="shared" si="50"/>
        <v>65.5</v>
      </c>
      <c r="E142" s="204">
        <f t="shared" si="51"/>
        <v>65.666666666666671</v>
      </c>
      <c r="F142" s="204">
        <f t="shared" si="52"/>
        <v>65.5</v>
      </c>
      <c r="G142" s="204">
        <f t="shared" si="53"/>
        <v>64.8</v>
      </c>
      <c r="H142" s="204">
        <f t="shared" si="54"/>
        <v>64.5</v>
      </c>
      <c r="I142" s="204">
        <f t="shared" si="55"/>
        <v>63.714285714285715</v>
      </c>
      <c r="J142" s="204">
        <f t="shared" si="56"/>
        <v>63.25</v>
      </c>
      <c r="K142" s="204">
        <f t="shared" si="57"/>
        <v>62.888888888888886</v>
      </c>
      <c r="L142" s="204">
        <f t="shared" si="58"/>
        <v>62.7</v>
      </c>
      <c r="M142" s="204">
        <f t="shared" si="59"/>
        <v>62.363636363636367</v>
      </c>
      <c r="N142" s="204">
        <f t="shared" si="60"/>
        <v>62.083333333333336</v>
      </c>
      <c r="O142" s="204">
        <f t="shared" si="61"/>
        <v>768.96681096681118</v>
      </c>
      <c r="R142" s="198"/>
    </row>
    <row r="143" spans="1:18">
      <c r="A143" s="198">
        <f t="shared" si="47"/>
        <v>143</v>
      </c>
      <c r="B143" s="207" t="s">
        <v>102</v>
      </c>
      <c r="C143" s="204">
        <f t="shared" si="49"/>
        <v>168</v>
      </c>
      <c r="D143" s="204">
        <f t="shared" si="50"/>
        <v>168.5</v>
      </c>
      <c r="E143" s="204">
        <f t="shared" si="51"/>
        <v>169</v>
      </c>
      <c r="F143" s="204">
        <f t="shared" si="52"/>
        <v>168.5</v>
      </c>
      <c r="G143" s="204">
        <f t="shared" si="53"/>
        <v>168.4</v>
      </c>
      <c r="H143" s="204">
        <f t="shared" si="54"/>
        <v>168.16666666666666</v>
      </c>
      <c r="I143" s="204">
        <f t="shared" si="55"/>
        <v>168.14285714285714</v>
      </c>
      <c r="J143" s="204">
        <f t="shared" si="56"/>
        <v>167.75</v>
      </c>
      <c r="K143" s="204">
        <f t="shared" si="57"/>
        <v>167.33333333333334</v>
      </c>
      <c r="L143" s="204">
        <f t="shared" si="58"/>
        <v>166.9</v>
      </c>
      <c r="M143" s="204">
        <f t="shared" si="59"/>
        <v>166.63636363636363</v>
      </c>
      <c r="N143" s="204">
        <f t="shared" si="60"/>
        <v>166.41666666666666</v>
      </c>
      <c r="O143" s="204">
        <f t="shared" si="61"/>
        <v>2013.7458874458873</v>
      </c>
      <c r="R143" s="198"/>
    </row>
    <row r="144" spans="1:18">
      <c r="A144" s="198">
        <f t="shared" si="47"/>
        <v>144</v>
      </c>
      <c r="B144" s="207" t="s">
        <v>103</v>
      </c>
      <c r="C144" s="204">
        <f t="shared" si="49"/>
        <v>17</v>
      </c>
      <c r="D144" s="204">
        <f t="shared" si="50"/>
        <v>16.5</v>
      </c>
      <c r="E144" s="204">
        <f t="shared" si="51"/>
        <v>16.333333333333332</v>
      </c>
      <c r="F144" s="204">
        <f t="shared" si="52"/>
        <v>17.25</v>
      </c>
      <c r="G144" s="204">
        <f t="shared" si="53"/>
        <v>17.8</v>
      </c>
      <c r="H144" s="204">
        <f t="shared" si="54"/>
        <v>18</v>
      </c>
      <c r="I144" s="204">
        <f t="shared" si="55"/>
        <v>18.142857142857142</v>
      </c>
      <c r="J144" s="204">
        <f t="shared" si="56"/>
        <v>18.25</v>
      </c>
      <c r="K144" s="204">
        <f t="shared" si="57"/>
        <v>18.333333333333332</v>
      </c>
      <c r="L144" s="204">
        <f t="shared" si="58"/>
        <v>18.399999999999999</v>
      </c>
      <c r="M144" s="204">
        <f t="shared" si="59"/>
        <v>18.545454545454547</v>
      </c>
      <c r="N144" s="204">
        <f t="shared" si="60"/>
        <v>18.666666666666668</v>
      </c>
      <c r="O144" s="204">
        <f t="shared" si="61"/>
        <v>213.221645021645</v>
      </c>
      <c r="R144" s="198"/>
    </row>
    <row r="145" spans="1:18">
      <c r="A145" s="198">
        <f t="shared" si="47"/>
        <v>145</v>
      </c>
      <c r="B145" s="207" t="s">
        <v>104</v>
      </c>
      <c r="C145" s="204">
        <f t="shared" si="49"/>
        <v>8</v>
      </c>
      <c r="D145" s="204">
        <f t="shared" si="50"/>
        <v>8</v>
      </c>
      <c r="E145" s="204">
        <f t="shared" si="51"/>
        <v>8</v>
      </c>
      <c r="F145" s="204">
        <f t="shared" si="52"/>
        <v>8.25</v>
      </c>
      <c r="G145" s="204">
        <f t="shared" si="53"/>
        <v>8.4</v>
      </c>
      <c r="H145" s="204">
        <f t="shared" si="54"/>
        <v>8.5</v>
      </c>
      <c r="I145" s="204">
        <f t="shared" si="55"/>
        <v>8.5714285714285712</v>
      </c>
      <c r="J145" s="204">
        <f t="shared" si="56"/>
        <v>8.625</v>
      </c>
      <c r="K145" s="204">
        <f t="shared" si="57"/>
        <v>8.6666666666666661</v>
      </c>
      <c r="L145" s="204">
        <f t="shared" si="58"/>
        <v>8.8000000000000007</v>
      </c>
      <c r="M145" s="204">
        <f t="shared" si="59"/>
        <v>8.8181818181818183</v>
      </c>
      <c r="N145" s="204">
        <f t="shared" si="60"/>
        <v>8.8333333333333339</v>
      </c>
      <c r="O145" s="204">
        <f t="shared" si="61"/>
        <v>101.46461038961037</v>
      </c>
      <c r="R145" s="198"/>
    </row>
    <row r="146" spans="1:18">
      <c r="A146" s="198">
        <f t="shared" si="47"/>
        <v>146</v>
      </c>
      <c r="B146" s="212" t="s">
        <v>105</v>
      </c>
      <c r="C146" s="204">
        <f t="shared" si="49"/>
        <v>0</v>
      </c>
      <c r="D146" s="204">
        <f t="shared" si="50"/>
        <v>0</v>
      </c>
      <c r="E146" s="204">
        <f t="shared" si="51"/>
        <v>0</v>
      </c>
      <c r="F146" s="204">
        <f t="shared" si="52"/>
        <v>0</v>
      </c>
      <c r="G146" s="204">
        <f t="shared" si="53"/>
        <v>0</v>
      </c>
      <c r="H146" s="204">
        <f t="shared" si="54"/>
        <v>0</v>
      </c>
      <c r="I146" s="204">
        <f t="shared" si="55"/>
        <v>0</v>
      </c>
      <c r="J146" s="204">
        <f t="shared" si="56"/>
        <v>0</v>
      </c>
      <c r="K146" s="204">
        <f t="shared" si="57"/>
        <v>0</v>
      </c>
      <c r="L146" s="204">
        <f t="shared" si="58"/>
        <v>0</v>
      </c>
      <c r="M146" s="204">
        <f t="shared" si="59"/>
        <v>0</v>
      </c>
      <c r="N146" s="204">
        <f t="shared" si="60"/>
        <v>0</v>
      </c>
      <c r="O146" s="204">
        <f t="shared" si="61"/>
        <v>0</v>
      </c>
      <c r="R146" s="198"/>
    </row>
    <row r="147" spans="1:18">
      <c r="A147" s="198">
        <f t="shared" si="47"/>
        <v>147</v>
      </c>
      <c r="B147" s="212" t="s">
        <v>106</v>
      </c>
      <c r="C147" s="216">
        <f t="shared" si="49"/>
        <v>0</v>
      </c>
      <c r="D147" s="216">
        <f t="shared" si="50"/>
        <v>0</v>
      </c>
      <c r="E147" s="216">
        <f t="shared" si="51"/>
        <v>0</v>
      </c>
      <c r="F147" s="216">
        <f t="shared" si="52"/>
        <v>0</v>
      </c>
      <c r="G147" s="216">
        <f t="shared" si="53"/>
        <v>0</v>
      </c>
      <c r="H147" s="216">
        <f t="shared" si="54"/>
        <v>0</v>
      </c>
      <c r="I147" s="216">
        <f t="shared" si="55"/>
        <v>0</v>
      </c>
      <c r="J147" s="216">
        <f t="shared" si="56"/>
        <v>0</v>
      </c>
      <c r="K147" s="216">
        <f t="shared" si="57"/>
        <v>0</v>
      </c>
      <c r="L147" s="216">
        <f t="shared" si="58"/>
        <v>0</v>
      </c>
      <c r="M147" s="216">
        <f t="shared" si="59"/>
        <v>0</v>
      </c>
      <c r="N147" s="216">
        <f t="shared" si="60"/>
        <v>0</v>
      </c>
      <c r="O147" s="216">
        <f t="shared" si="61"/>
        <v>0</v>
      </c>
      <c r="R147" s="198"/>
    </row>
    <row r="148" spans="1:18">
      <c r="A148" s="198">
        <f t="shared" si="47"/>
        <v>148</v>
      </c>
      <c r="B148" s="213" t="s">
        <v>134</v>
      </c>
      <c r="C148" s="204">
        <f t="shared" ref="C148:O148" si="62">SUM(C141:C147)</f>
        <v>293</v>
      </c>
      <c r="D148" s="204">
        <f t="shared" si="62"/>
        <v>293</v>
      </c>
      <c r="E148" s="204">
        <f t="shared" si="62"/>
        <v>293.66666666666669</v>
      </c>
      <c r="F148" s="204">
        <f t="shared" si="62"/>
        <v>293.75</v>
      </c>
      <c r="G148" s="204">
        <f t="shared" si="62"/>
        <v>292.59999999999997</v>
      </c>
      <c r="H148" s="204">
        <f t="shared" si="62"/>
        <v>291.66666666666663</v>
      </c>
      <c r="I148" s="204">
        <f t="shared" si="62"/>
        <v>290.71428571428572</v>
      </c>
      <c r="J148" s="204">
        <f t="shared" si="62"/>
        <v>289.625</v>
      </c>
      <c r="K148" s="204">
        <f t="shared" si="62"/>
        <v>288.55555555555554</v>
      </c>
      <c r="L148" s="204">
        <f t="shared" si="62"/>
        <v>288.09999999999997</v>
      </c>
      <c r="M148" s="204">
        <f t="shared" si="62"/>
        <v>287.72727272727275</v>
      </c>
      <c r="N148" s="204">
        <f t="shared" si="62"/>
        <v>287.5</v>
      </c>
      <c r="O148" s="204">
        <f t="shared" si="62"/>
        <v>3489.9054473304473</v>
      </c>
      <c r="R148" s="198"/>
    </row>
    <row r="149" spans="1:18">
      <c r="A149" s="198">
        <f t="shared" si="47"/>
        <v>149</v>
      </c>
      <c r="B149" s="217" t="s">
        <v>135</v>
      </c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R149" s="198"/>
    </row>
    <row r="150" spans="1:18">
      <c r="A150" s="198">
        <f t="shared" si="47"/>
        <v>150</v>
      </c>
      <c r="B150" s="207" t="s">
        <v>100</v>
      </c>
      <c r="C150" s="204">
        <f t="shared" ref="C150:C185" si="63">+C26</f>
        <v>13</v>
      </c>
      <c r="D150" s="204">
        <f t="shared" ref="D150:D185" si="64">AVERAGE(C26:D26)</f>
        <v>12.5</v>
      </c>
      <c r="E150" s="204">
        <f t="shared" ref="E150:E185" si="65">AVERAGE(C26:E26)</f>
        <v>12.333333333333334</v>
      </c>
      <c r="F150" s="204">
        <f t="shared" ref="F150:F185" si="66">AVERAGE(C26:F26)</f>
        <v>12.25</v>
      </c>
      <c r="G150" s="204">
        <f t="shared" ref="G150:G185" si="67">AVERAGE(C26:G26)</f>
        <v>12.2</v>
      </c>
      <c r="H150" s="204">
        <f t="shared" ref="H150:H185" si="68">AVERAGE(C26:H26)</f>
        <v>12.166666666666666</v>
      </c>
      <c r="I150" s="204">
        <f t="shared" ref="I150:I185" si="69">AVERAGE(C26:I26)</f>
        <v>12.142857142857142</v>
      </c>
      <c r="J150" s="204">
        <f t="shared" ref="J150:J185" si="70">AVERAGE(C26:J26)</f>
        <v>12.125</v>
      </c>
      <c r="K150" s="204">
        <f t="shared" ref="K150:K185" si="71">AVERAGE(C26:K26)</f>
        <v>12.111111111111111</v>
      </c>
      <c r="L150" s="204">
        <f t="shared" ref="L150:L185" si="72">AVERAGE(C26:L26)</f>
        <v>12.1</v>
      </c>
      <c r="M150" s="204">
        <f t="shared" ref="M150:M185" si="73">AVERAGE(C26:M26)</f>
        <v>12.090909090909092</v>
      </c>
      <c r="N150" s="204">
        <f t="shared" ref="N150:N185" si="74">AVERAGE(C26:N26)</f>
        <v>12.083333333333334</v>
      </c>
      <c r="O150" s="204">
        <f t="shared" ref="O150:O182" si="75">SUM(C150:N150)</f>
        <v>147.10321067821067</v>
      </c>
      <c r="R150" s="198"/>
    </row>
    <row r="151" spans="1:18">
      <c r="A151" s="198">
        <f t="shared" si="47"/>
        <v>151</v>
      </c>
      <c r="B151" s="207" t="s">
        <v>101</v>
      </c>
      <c r="C151" s="204">
        <f t="shared" si="63"/>
        <v>8</v>
      </c>
      <c r="D151" s="204">
        <f t="shared" si="64"/>
        <v>8</v>
      </c>
      <c r="E151" s="204">
        <f t="shared" si="65"/>
        <v>8</v>
      </c>
      <c r="F151" s="204">
        <f t="shared" si="66"/>
        <v>8</v>
      </c>
      <c r="G151" s="204">
        <f t="shared" si="67"/>
        <v>8</v>
      </c>
      <c r="H151" s="204">
        <f t="shared" si="68"/>
        <v>7.833333333333333</v>
      </c>
      <c r="I151" s="204">
        <f t="shared" si="69"/>
        <v>7.7142857142857144</v>
      </c>
      <c r="J151" s="204">
        <f t="shared" si="70"/>
        <v>7.625</v>
      </c>
      <c r="K151" s="204">
        <f t="shared" si="71"/>
        <v>7.5555555555555554</v>
      </c>
      <c r="L151" s="204">
        <f t="shared" si="72"/>
        <v>7.5</v>
      </c>
      <c r="M151" s="204">
        <f t="shared" si="73"/>
        <v>7.4545454545454541</v>
      </c>
      <c r="N151" s="204">
        <f t="shared" si="74"/>
        <v>7.416666666666667</v>
      </c>
      <c r="O151" s="204">
        <f t="shared" si="75"/>
        <v>93.099386724386733</v>
      </c>
      <c r="R151" s="198"/>
    </row>
    <row r="152" spans="1:18">
      <c r="A152" s="198">
        <f t="shared" si="47"/>
        <v>152</v>
      </c>
      <c r="B152" s="207" t="s">
        <v>102</v>
      </c>
      <c r="C152" s="204">
        <f t="shared" si="63"/>
        <v>242</v>
      </c>
      <c r="D152" s="204">
        <f t="shared" si="64"/>
        <v>241.5</v>
      </c>
      <c r="E152" s="204">
        <f t="shared" si="65"/>
        <v>241</v>
      </c>
      <c r="F152" s="204">
        <f t="shared" si="66"/>
        <v>240</v>
      </c>
      <c r="G152" s="204">
        <f t="shared" si="67"/>
        <v>239.2</v>
      </c>
      <c r="H152" s="204">
        <f t="shared" si="68"/>
        <v>238.5</v>
      </c>
      <c r="I152" s="204">
        <f t="shared" si="69"/>
        <v>237.57142857142858</v>
      </c>
      <c r="J152" s="204">
        <f t="shared" si="70"/>
        <v>236.75</v>
      </c>
      <c r="K152" s="204">
        <f t="shared" si="71"/>
        <v>236</v>
      </c>
      <c r="L152" s="204">
        <f t="shared" si="72"/>
        <v>235.4</v>
      </c>
      <c r="M152" s="204">
        <f t="shared" si="73"/>
        <v>234.90909090909091</v>
      </c>
      <c r="N152" s="204">
        <f t="shared" si="74"/>
        <v>235.75</v>
      </c>
      <c r="O152" s="204">
        <f t="shared" si="75"/>
        <v>2858.5805194805198</v>
      </c>
      <c r="R152" s="198"/>
    </row>
    <row r="153" spans="1:18">
      <c r="A153" s="198">
        <f t="shared" si="47"/>
        <v>153</v>
      </c>
      <c r="B153" s="207" t="s">
        <v>103</v>
      </c>
      <c r="C153" s="204">
        <f t="shared" si="63"/>
        <v>92</v>
      </c>
      <c r="D153" s="204">
        <f t="shared" si="64"/>
        <v>92</v>
      </c>
      <c r="E153" s="204">
        <f t="shared" si="65"/>
        <v>91.666666666666671</v>
      </c>
      <c r="F153" s="204">
        <f t="shared" si="66"/>
        <v>92</v>
      </c>
      <c r="G153" s="204">
        <f t="shared" si="67"/>
        <v>92.4</v>
      </c>
      <c r="H153" s="204">
        <f t="shared" si="68"/>
        <v>92.833333333333329</v>
      </c>
      <c r="I153" s="204">
        <f t="shared" si="69"/>
        <v>92.714285714285708</v>
      </c>
      <c r="J153" s="204">
        <f t="shared" si="70"/>
        <v>92.625</v>
      </c>
      <c r="K153" s="204">
        <f t="shared" si="71"/>
        <v>92.555555555555557</v>
      </c>
      <c r="L153" s="204">
        <f t="shared" si="72"/>
        <v>92.5</v>
      </c>
      <c r="M153" s="204">
        <f t="shared" si="73"/>
        <v>92.454545454545453</v>
      </c>
      <c r="N153" s="204">
        <f t="shared" si="74"/>
        <v>92.833333333333329</v>
      </c>
      <c r="O153" s="204">
        <f t="shared" si="75"/>
        <v>1108.5827200577201</v>
      </c>
      <c r="R153" s="198"/>
    </row>
    <row r="154" spans="1:18">
      <c r="A154" s="198">
        <f t="shared" si="47"/>
        <v>154</v>
      </c>
      <c r="B154" s="207" t="s">
        <v>104</v>
      </c>
      <c r="C154" s="204">
        <f t="shared" si="63"/>
        <v>201</v>
      </c>
      <c r="D154" s="204">
        <f t="shared" si="64"/>
        <v>201</v>
      </c>
      <c r="E154" s="204">
        <f t="shared" si="65"/>
        <v>201</v>
      </c>
      <c r="F154" s="204">
        <f t="shared" si="66"/>
        <v>199.25</v>
      </c>
      <c r="G154" s="204">
        <f t="shared" si="67"/>
        <v>198.8</v>
      </c>
      <c r="H154" s="204">
        <f t="shared" si="68"/>
        <v>198.16666666666666</v>
      </c>
      <c r="I154" s="204">
        <f t="shared" si="69"/>
        <v>197.57142857142858</v>
      </c>
      <c r="J154" s="204">
        <f t="shared" si="70"/>
        <v>197.5</v>
      </c>
      <c r="K154" s="204">
        <f t="shared" si="71"/>
        <v>197.44444444444446</v>
      </c>
      <c r="L154" s="204">
        <f t="shared" si="72"/>
        <v>197.2</v>
      </c>
      <c r="M154" s="204">
        <f t="shared" si="73"/>
        <v>197.18181818181819</v>
      </c>
      <c r="N154" s="204">
        <f t="shared" si="74"/>
        <v>198.75</v>
      </c>
      <c r="O154" s="204">
        <f t="shared" si="75"/>
        <v>2384.8643578643582</v>
      </c>
      <c r="R154" s="198"/>
    </row>
    <row r="155" spans="1:18">
      <c r="A155" s="198">
        <f t="shared" si="47"/>
        <v>155</v>
      </c>
      <c r="B155" s="212" t="s">
        <v>105</v>
      </c>
      <c r="C155" s="204">
        <f t="shared" si="63"/>
        <v>246</v>
      </c>
      <c r="D155" s="204">
        <f t="shared" si="64"/>
        <v>246.5</v>
      </c>
      <c r="E155" s="204">
        <f t="shared" si="65"/>
        <v>247.33333333333334</v>
      </c>
      <c r="F155" s="204">
        <f t="shared" si="66"/>
        <v>249.25</v>
      </c>
      <c r="G155" s="204">
        <f t="shared" si="67"/>
        <v>250.8</v>
      </c>
      <c r="H155" s="204">
        <f t="shared" si="68"/>
        <v>251.83333333333334</v>
      </c>
      <c r="I155" s="204">
        <f t="shared" si="69"/>
        <v>252.14285714285714</v>
      </c>
      <c r="J155" s="204">
        <f t="shared" si="70"/>
        <v>252.25</v>
      </c>
      <c r="K155" s="204">
        <f t="shared" si="71"/>
        <v>252.88888888888889</v>
      </c>
      <c r="L155" s="204">
        <f t="shared" si="72"/>
        <v>253.8</v>
      </c>
      <c r="M155" s="204">
        <f t="shared" si="73"/>
        <v>254.81818181818181</v>
      </c>
      <c r="N155" s="204">
        <f t="shared" si="74"/>
        <v>257.91666666666669</v>
      </c>
      <c r="O155" s="204">
        <f t="shared" si="75"/>
        <v>3015.5332611832614</v>
      </c>
      <c r="R155" s="198"/>
    </row>
    <row r="156" spans="1:18">
      <c r="A156" s="198">
        <f t="shared" si="47"/>
        <v>156</v>
      </c>
      <c r="B156" s="212" t="s">
        <v>106</v>
      </c>
      <c r="C156" s="204">
        <f t="shared" si="63"/>
        <v>324</v>
      </c>
      <c r="D156" s="204">
        <f t="shared" si="64"/>
        <v>325.5</v>
      </c>
      <c r="E156" s="204">
        <f t="shared" si="65"/>
        <v>325.33333333333331</v>
      </c>
      <c r="F156" s="204">
        <f t="shared" si="66"/>
        <v>327.75</v>
      </c>
      <c r="G156" s="204">
        <f t="shared" si="67"/>
        <v>329</v>
      </c>
      <c r="H156" s="204">
        <f t="shared" si="68"/>
        <v>329.16666666666669</v>
      </c>
      <c r="I156" s="204">
        <f t="shared" si="69"/>
        <v>329.14285714285717</v>
      </c>
      <c r="J156" s="204">
        <f t="shared" si="70"/>
        <v>328.875</v>
      </c>
      <c r="K156" s="204">
        <f t="shared" si="71"/>
        <v>328.44444444444446</v>
      </c>
      <c r="L156" s="204">
        <f t="shared" si="72"/>
        <v>328.4</v>
      </c>
      <c r="M156" s="204">
        <f t="shared" si="73"/>
        <v>328.63636363636363</v>
      </c>
      <c r="N156" s="204">
        <f t="shared" si="74"/>
        <v>329.16666666666669</v>
      </c>
      <c r="O156" s="204">
        <f t="shared" si="75"/>
        <v>3933.4153318903318</v>
      </c>
      <c r="R156" s="198"/>
    </row>
    <row r="157" spans="1:18">
      <c r="A157" s="198">
        <f t="shared" si="47"/>
        <v>157</v>
      </c>
      <c r="B157" s="212" t="s">
        <v>107</v>
      </c>
      <c r="C157" s="204">
        <f t="shared" si="63"/>
        <v>197</v>
      </c>
      <c r="D157" s="204">
        <f t="shared" si="64"/>
        <v>197</v>
      </c>
      <c r="E157" s="204">
        <f t="shared" si="65"/>
        <v>198</v>
      </c>
      <c r="F157" s="204">
        <f t="shared" si="66"/>
        <v>199.5</v>
      </c>
      <c r="G157" s="204">
        <f t="shared" si="67"/>
        <v>200.4</v>
      </c>
      <c r="H157" s="204">
        <f t="shared" si="68"/>
        <v>201.16666666666666</v>
      </c>
      <c r="I157" s="204">
        <f t="shared" si="69"/>
        <v>201.71428571428572</v>
      </c>
      <c r="J157" s="204">
        <f t="shared" si="70"/>
        <v>202.125</v>
      </c>
      <c r="K157" s="204">
        <f t="shared" si="71"/>
        <v>202.55555555555554</v>
      </c>
      <c r="L157" s="204">
        <f t="shared" si="72"/>
        <v>202.7</v>
      </c>
      <c r="M157" s="204">
        <f t="shared" si="73"/>
        <v>202.90909090909091</v>
      </c>
      <c r="N157" s="204">
        <f t="shared" si="74"/>
        <v>203.33333333333334</v>
      </c>
      <c r="O157" s="204">
        <f t="shared" si="75"/>
        <v>2408.4039321789323</v>
      </c>
      <c r="R157" s="198"/>
    </row>
    <row r="158" spans="1:18">
      <c r="A158" s="198">
        <f t="shared" si="47"/>
        <v>158</v>
      </c>
      <c r="B158" s="212" t="s">
        <v>111</v>
      </c>
      <c r="C158" s="204">
        <f t="shared" si="63"/>
        <v>35</v>
      </c>
      <c r="D158" s="204">
        <f t="shared" si="64"/>
        <v>36</v>
      </c>
      <c r="E158" s="204">
        <f t="shared" si="65"/>
        <v>36.333333333333336</v>
      </c>
      <c r="F158" s="204">
        <f t="shared" si="66"/>
        <v>35.5</v>
      </c>
      <c r="G158" s="204">
        <f t="shared" si="67"/>
        <v>35</v>
      </c>
      <c r="H158" s="204">
        <f t="shared" si="68"/>
        <v>34.666666666666664</v>
      </c>
      <c r="I158" s="204">
        <f t="shared" si="69"/>
        <v>34.428571428571431</v>
      </c>
      <c r="J158" s="204">
        <f t="shared" si="70"/>
        <v>34.375</v>
      </c>
      <c r="K158" s="204">
        <f t="shared" si="71"/>
        <v>34.333333333333336</v>
      </c>
      <c r="L158" s="204">
        <f t="shared" si="72"/>
        <v>34.299999999999997</v>
      </c>
      <c r="M158" s="204">
        <f t="shared" si="73"/>
        <v>34.272727272727273</v>
      </c>
      <c r="N158" s="204">
        <f t="shared" si="74"/>
        <v>34.25</v>
      </c>
      <c r="O158" s="204">
        <f t="shared" si="75"/>
        <v>418.45963203463202</v>
      </c>
      <c r="R158" s="198"/>
    </row>
    <row r="159" spans="1:18">
      <c r="A159" s="198">
        <f t="shared" si="47"/>
        <v>159</v>
      </c>
      <c r="B159" s="212" t="s">
        <v>112</v>
      </c>
      <c r="C159" s="204">
        <f t="shared" si="63"/>
        <v>23</v>
      </c>
      <c r="D159" s="204">
        <f t="shared" si="64"/>
        <v>23.5</v>
      </c>
      <c r="E159" s="204">
        <f t="shared" si="65"/>
        <v>24</v>
      </c>
      <c r="F159" s="204">
        <f t="shared" si="66"/>
        <v>24.5</v>
      </c>
      <c r="G159" s="204">
        <f t="shared" si="67"/>
        <v>24.8</v>
      </c>
      <c r="H159" s="204">
        <f t="shared" si="68"/>
        <v>25</v>
      </c>
      <c r="I159" s="204">
        <f t="shared" si="69"/>
        <v>25.142857142857142</v>
      </c>
      <c r="J159" s="204">
        <f t="shared" si="70"/>
        <v>25.25</v>
      </c>
      <c r="K159" s="204">
        <f t="shared" si="71"/>
        <v>25.333333333333332</v>
      </c>
      <c r="L159" s="204">
        <f t="shared" si="72"/>
        <v>25.5</v>
      </c>
      <c r="M159" s="204">
        <f t="shared" si="73"/>
        <v>25.636363636363637</v>
      </c>
      <c r="N159" s="204">
        <f t="shared" si="74"/>
        <v>25.666666666666668</v>
      </c>
      <c r="O159" s="204">
        <f t="shared" si="75"/>
        <v>297.3292207792208</v>
      </c>
      <c r="R159" s="198"/>
    </row>
    <row r="160" spans="1:18">
      <c r="A160" s="198">
        <f t="shared" si="47"/>
        <v>160</v>
      </c>
      <c r="B160" s="212" t="s">
        <v>113</v>
      </c>
      <c r="C160" s="204">
        <f t="shared" si="63"/>
        <v>23</v>
      </c>
      <c r="D160" s="204">
        <f t="shared" si="64"/>
        <v>22.5</v>
      </c>
      <c r="E160" s="204">
        <f t="shared" si="65"/>
        <v>22.333333333333332</v>
      </c>
      <c r="F160" s="204">
        <f t="shared" si="66"/>
        <v>22</v>
      </c>
      <c r="G160" s="204">
        <f t="shared" si="67"/>
        <v>21.8</v>
      </c>
      <c r="H160" s="204">
        <f t="shared" si="68"/>
        <v>22</v>
      </c>
      <c r="I160" s="204">
        <f t="shared" si="69"/>
        <v>22</v>
      </c>
      <c r="J160" s="204">
        <f t="shared" si="70"/>
        <v>22</v>
      </c>
      <c r="K160" s="204">
        <f t="shared" si="71"/>
        <v>22</v>
      </c>
      <c r="L160" s="204">
        <f t="shared" si="72"/>
        <v>22</v>
      </c>
      <c r="M160" s="204">
        <f t="shared" si="73"/>
        <v>22</v>
      </c>
      <c r="N160" s="204">
        <f t="shared" si="74"/>
        <v>22</v>
      </c>
      <c r="O160" s="204">
        <f t="shared" si="75"/>
        <v>265.63333333333333</v>
      </c>
      <c r="R160" s="198"/>
    </row>
    <row r="161" spans="1:18">
      <c r="A161" s="198">
        <f t="shared" si="47"/>
        <v>161</v>
      </c>
      <c r="B161" s="212" t="s">
        <v>114</v>
      </c>
      <c r="C161" s="204">
        <f t="shared" si="63"/>
        <v>16</v>
      </c>
      <c r="D161" s="204">
        <f t="shared" si="64"/>
        <v>16</v>
      </c>
      <c r="E161" s="204">
        <f t="shared" si="65"/>
        <v>16</v>
      </c>
      <c r="F161" s="204">
        <f t="shared" si="66"/>
        <v>16.5</v>
      </c>
      <c r="G161" s="204">
        <f t="shared" si="67"/>
        <v>16.8</v>
      </c>
      <c r="H161" s="204">
        <f t="shared" si="68"/>
        <v>17</v>
      </c>
      <c r="I161" s="204">
        <f t="shared" si="69"/>
        <v>17.142857142857142</v>
      </c>
      <c r="J161" s="204">
        <f t="shared" si="70"/>
        <v>17.25</v>
      </c>
      <c r="K161" s="204">
        <f t="shared" si="71"/>
        <v>17.333333333333332</v>
      </c>
      <c r="L161" s="204">
        <f t="shared" si="72"/>
        <v>17.399999999999999</v>
      </c>
      <c r="M161" s="204">
        <f t="shared" si="73"/>
        <v>17.363636363636363</v>
      </c>
      <c r="N161" s="204">
        <f t="shared" si="74"/>
        <v>17.416666666666668</v>
      </c>
      <c r="O161" s="204">
        <f t="shared" si="75"/>
        <v>202.2064935064935</v>
      </c>
      <c r="R161" s="198"/>
    </row>
    <row r="162" spans="1:18">
      <c r="A162" s="198">
        <f t="shared" si="47"/>
        <v>162</v>
      </c>
      <c r="B162" s="212" t="s">
        <v>115</v>
      </c>
      <c r="C162" s="204">
        <f t="shared" si="63"/>
        <v>8</v>
      </c>
      <c r="D162" s="204">
        <f t="shared" si="64"/>
        <v>8</v>
      </c>
      <c r="E162" s="204">
        <f t="shared" si="65"/>
        <v>8</v>
      </c>
      <c r="F162" s="204">
        <f t="shared" si="66"/>
        <v>7.75</v>
      </c>
      <c r="G162" s="204">
        <f t="shared" si="67"/>
        <v>7.6</v>
      </c>
      <c r="H162" s="204">
        <f t="shared" si="68"/>
        <v>7.5</v>
      </c>
      <c r="I162" s="204">
        <f t="shared" si="69"/>
        <v>7.4285714285714288</v>
      </c>
      <c r="J162" s="204">
        <f t="shared" si="70"/>
        <v>7.375</v>
      </c>
      <c r="K162" s="204">
        <f t="shared" si="71"/>
        <v>7.333333333333333</v>
      </c>
      <c r="L162" s="204">
        <f t="shared" si="72"/>
        <v>7.3</v>
      </c>
      <c r="M162" s="204">
        <f t="shared" si="73"/>
        <v>7.2727272727272725</v>
      </c>
      <c r="N162" s="204">
        <f t="shared" si="74"/>
        <v>7.25</v>
      </c>
      <c r="O162" s="204">
        <f t="shared" si="75"/>
        <v>90.809632034632031</v>
      </c>
      <c r="R162" s="198"/>
    </row>
    <row r="163" spans="1:18">
      <c r="A163" s="198">
        <f t="shared" si="47"/>
        <v>163</v>
      </c>
      <c r="B163" s="212" t="s">
        <v>116</v>
      </c>
      <c r="C163" s="204">
        <f t="shared" si="63"/>
        <v>2</v>
      </c>
      <c r="D163" s="204">
        <f t="shared" si="64"/>
        <v>2</v>
      </c>
      <c r="E163" s="204">
        <f t="shared" si="65"/>
        <v>2</v>
      </c>
      <c r="F163" s="204">
        <f t="shared" si="66"/>
        <v>2.25</v>
      </c>
      <c r="G163" s="204">
        <f t="shared" si="67"/>
        <v>2.4</v>
      </c>
      <c r="H163" s="204">
        <f t="shared" si="68"/>
        <v>2.5</v>
      </c>
      <c r="I163" s="204">
        <f t="shared" si="69"/>
        <v>2.5714285714285716</v>
      </c>
      <c r="J163" s="204">
        <f t="shared" si="70"/>
        <v>2.625</v>
      </c>
      <c r="K163" s="204">
        <f t="shared" si="71"/>
        <v>2.6666666666666665</v>
      </c>
      <c r="L163" s="204">
        <f t="shared" si="72"/>
        <v>2.7</v>
      </c>
      <c r="M163" s="204">
        <f t="shared" si="73"/>
        <v>2.7272727272727271</v>
      </c>
      <c r="N163" s="204">
        <f t="shared" si="74"/>
        <v>2.75</v>
      </c>
      <c r="O163" s="204">
        <f t="shared" si="75"/>
        <v>29.190367965367965</v>
      </c>
      <c r="R163" s="198"/>
    </row>
    <row r="164" spans="1:18">
      <c r="A164" s="198">
        <f t="shared" si="47"/>
        <v>164</v>
      </c>
      <c r="B164" s="212" t="s">
        <v>117</v>
      </c>
      <c r="C164" s="204">
        <f t="shared" si="63"/>
        <v>1</v>
      </c>
      <c r="D164" s="204">
        <f t="shared" si="64"/>
        <v>1</v>
      </c>
      <c r="E164" s="204">
        <f t="shared" si="65"/>
        <v>1</v>
      </c>
      <c r="F164" s="204">
        <f t="shared" si="66"/>
        <v>1.25</v>
      </c>
      <c r="G164" s="204">
        <f t="shared" si="67"/>
        <v>1.4</v>
      </c>
      <c r="H164" s="204">
        <f t="shared" si="68"/>
        <v>1.5</v>
      </c>
      <c r="I164" s="204">
        <f t="shared" si="69"/>
        <v>1.5714285714285714</v>
      </c>
      <c r="J164" s="204">
        <f t="shared" si="70"/>
        <v>1.625</v>
      </c>
      <c r="K164" s="204">
        <f t="shared" si="71"/>
        <v>1.6666666666666667</v>
      </c>
      <c r="L164" s="204">
        <f t="shared" si="72"/>
        <v>1.7</v>
      </c>
      <c r="M164" s="204">
        <f t="shared" si="73"/>
        <v>1.7272727272727273</v>
      </c>
      <c r="N164" s="204">
        <f t="shared" si="74"/>
        <v>1.75</v>
      </c>
      <c r="O164" s="204">
        <f t="shared" si="75"/>
        <v>17.190367965367962</v>
      </c>
      <c r="R164" s="198"/>
    </row>
    <row r="165" spans="1:18">
      <c r="A165" s="198">
        <f t="shared" si="47"/>
        <v>165</v>
      </c>
      <c r="B165" s="212" t="s">
        <v>118</v>
      </c>
      <c r="C165" s="204">
        <f t="shared" si="63"/>
        <v>5</v>
      </c>
      <c r="D165" s="204">
        <f t="shared" si="64"/>
        <v>5</v>
      </c>
      <c r="E165" s="204">
        <f t="shared" si="65"/>
        <v>5</v>
      </c>
      <c r="F165" s="204">
        <f t="shared" si="66"/>
        <v>4.75</v>
      </c>
      <c r="G165" s="204">
        <f t="shared" si="67"/>
        <v>4.5999999999999996</v>
      </c>
      <c r="H165" s="204">
        <f t="shared" si="68"/>
        <v>4.5</v>
      </c>
      <c r="I165" s="204">
        <f t="shared" si="69"/>
        <v>4.4285714285714288</v>
      </c>
      <c r="J165" s="204">
        <f t="shared" si="70"/>
        <v>4.375</v>
      </c>
      <c r="K165" s="204">
        <f t="shared" si="71"/>
        <v>4.333333333333333</v>
      </c>
      <c r="L165" s="204">
        <f t="shared" si="72"/>
        <v>4.3</v>
      </c>
      <c r="M165" s="204">
        <f t="shared" si="73"/>
        <v>4.2727272727272725</v>
      </c>
      <c r="N165" s="204">
        <f t="shared" si="74"/>
        <v>4.25</v>
      </c>
      <c r="O165" s="204">
        <f t="shared" si="75"/>
        <v>54.809632034632038</v>
      </c>
      <c r="R165" s="198"/>
    </row>
    <row r="166" spans="1:18">
      <c r="A166" s="198">
        <f t="shared" si="47"/>
        <v>166</v>
      </c>
      <c r="B166" s="212" t="s">
        <v>313</v>
      </c>
      <c r="C166" s="204">
        <f t="shared" si="63"/>
        <v>0</v>
      </c>
      <c r="D166" s="204">
        <f t="shared" si="64"/>
        <v>0</v>
      </c>
      <c r="E166" s="204">
        <f t="shared" si="65"/>
        <v>0</v>
      </c>
      <c r="F166" s="204">
        <f t="shared" si="66"/>
        <v>0</v>
      </c>
      <c r="G166" s="204">
        <f t="shared" si="67"/>
        <v>0</v>
      </c>
      <c r="H166" s="204">
        <f t="shared" si="68"/>
        <v>0</v>
      </c>
      <c r="I166" s="204">
        <f t="shared" si="69"/>
        <v>0</v>
      </c>
      <c r="J166" s="204">
        <f t="shared" si="70"/>
        <v>0</v>
      </c>
      <c r="K166" s="204">
        <f t="shared" si="71"/>
        <v>0</v>
      </c>
      <c r="L166" s="204">
        <f t="shared" si="72"/>
        <v>0</v>
      </c>
      <c r="M166" s="204">
        <f t="shared" si="73"/>
        <v>0</v>
      </c>
      <c r="N166" s="204">
        <f t="shared" si="74"/>
        <v>0</v>
      </c>
      <c r="O166" s="204">
        <f t="shared" si="75"/>
        <v>0</v>
      </c>
      <c r="R166" s="198"/>
    </row>
    <row r="167" spans="1:18">
      <c r="A167" s="198">
        <f t="shared" si="47"/>
        <v>167</v>
      </c>
      <c r="B167" s="212" t="s">
        <v>99</v>
      </c>
      <c r="C167" s="204">
        <f t="shared" si="63"/>
        <v>924</v>
      </c>
      <c r="D167" s="204">
        <f t="shared" si="64"/>
        <v>919</v>
      </c>
      <c r="E167" s="204">
        <f t="shared" si="65"/>
        <v>916.33333333333337</v>
      </c>
      <c r="F167" s="204">
        <f t="shared" si="66"/>
        <v>916.75</v>
      </c>
      <c r="G167" s="204">
        <f t="shared" si="67"/>
        <v>914.4</v>
      </c>
      <c r="H167" s="204">
        <f t="shared" si="68"/>
        <v>912</v>
      </c>
      <c r="I167" s="204">
        <f t="shared" si="69"/>
        <v>910.71428571428567</v>
      </c>
      <c r="J167" s="204">
        <f t="shared" si="70"/>
        <v>908.625</v>
      </c>
      <c r="K167" s="204">
        <f t="shared" si="71"/>
        <v>907</v>
      </c>
      <c r="L167" s="204">
        <f t="shared" si="72"/>
        <v>904.7</v>
      </c>
      <c r="M167" s="204">
        <f t="shared" si="73"/>
        <v>903.36363636363637</v>
      </c>
      <c r="N167" s="204">
        <f t="shared" si="74"/>
        <v>902.33333333333337</v>
      </c>
      <c r="O167" s="204">
        <f t="shared" si="75"/>
        <v>10939.219588744591</v>
      </c>
      <c r="R167" s="198"/>
    </row>
    <row r="168" spans="1:18">
      <c r="A168" s="198">
        <f t="shared" si="47"/>
        <v>168</v>
      </c>
      <c r="B168" s="212" t="s">
        <v>138</v>
      </c>
      <c r="C168" s="204">
        <f t="shared" si="63"/>
        <v>342</v>
      </c>
      <c r="D168" s="204">
        <f t="shared" si="64"/>
        <v>349.5</v>
      </c>
      <c r="E168" s="204">
        <f t="shared" si="65"/>
        <v>352</v>
      </c>
      <c r="F168" s="204">
        <f t="shared" si="66"/>
        <v>350.25</v>
      </c>
      <c r="G168" s="204">
        <f t="shared" si="67"/>
        <v>349.8</v>
      </c>
      <c r="H168" s="204">
        <f t="shared" si="68"/>
        <v>352.33333333333331</v>
      </c>
      <c r="I168" s="204">
        <f t="shared" si="69"/>
        <v>354.42857142857144</v>
      </c>
      <c r="J168" s="204">
        <f t="shared" si="70"/>
        <v>355.625</v>
      </c>
      <c r="K168" s="204">
        <f t="shared" si="71"/>
        <v>356.88888888888891</v>
      </c>
      <c r="L168" s="204">
        <f t="shared" si="72"/>
        <v>357.1</v>
      </c>
      <c r="M168" s="204">
        <f t="shared" si="73"/>
        <v>357.45454545454544</v>
      </c>
      <c r="N168" s="204">
        <f t="shared" si="74"/>
        <v>358.41666666666669</v>
      </c>
      <c r="O168" s="204">
        <f t="shared" si="75"/>
        <v>4235.7970057720058</v>
      </c>
      <c r="R168" s="198"/>
    </row>
    <row r="169" spans="1:18">
      <c r="A169" s="198">
        <f t="shared" si="47"/>
        <v>169</v>
      </c>
      <c r="B169" s="212" t="s">
        <v>140</v>
      </c>
      <c r="C169" s="204">
        <f t="shared" si="63"/>
        <v>2048</v>
      </c>
      <c r="D169" s="204">
        <f t="shared" si="64"/>
        <v>2046</v>
      </c>
      <c r="E169" s="204">
        <f t="shared" si="65"/>
        <v>2049.3333333333335</v>
      </c>
      <c r="F169" s="204">
        <f t="shared" si="66"/>
        <v>2051.75</v>
      </c>
      <c r="G169" s="204">
        <f t="shared" si="67"/>
        <v>2054.6</v>
      </c>
      <c r="H169" s="204">
        <f t="shared" si="68"/>
        <v>2054.1666666666665</v>
      </c>
      <c r="I169" s="204">
        <f t="shared" si="69"/>
        <v>2054</v>
      </c>
      <c r="J169" s="204">
        <f t="shared" si="70"/>
        <v>2055</v>
      </c>
      <c r="K169" s="204">
        <f t="shared" si="71"/>
        <v>2056.1111111111113</v>
      </c>
      <c r="L169" s="204">
        <f t="shared" si="72"/>
        <v>2052.8000000000002</v>
      </c>
      <c r="M169" s="204">
        <f t="shared" si="73"/>
        <v>2050.909090909091</v>
      </c>
      <c r="N169" s="204">
        <f t="shared" si="74"/>
        <v>2049.4166666666665</v>
      </c>
      <c r="O169" s="204">
        <f t="shared" si="75"/>
        <v>24622.086868686867</v>
      </c>
      <c r="R169" s="198"/>
    </row>
    <row r="170" spans="1:18">
      <c r="A170" s="198">
        <f t="shared" si="47"/>
        <v>170</v>
      </c>
      <c r="B170" s="212" t="s">
        <v>141</v>
      </c>
      <c r="C170" s="204">
        <f t="shared" si="63"/>
        <v>656</v>
      </c>
      <c r="D170" s="204">
        <f t="shared" si="64"/>
        <v>656</v>
      </c>
      <c r="E170" s="204">
        <f t="shared" si="65"/>
        <v>659.33333333333337</v>
      </c>
      <c r="F170" s="204">
        <f t="shared" si="66"/>
        <v>664.75</v>
      </c>
      <c r="G170" s="204">
        <f t="shared" si="67"/>
        <v>668.8</v>
      </c>
      <c r="H170" s="204">
        <f t="shared" si="68"/>
        <v>671.66666666666663</v>
      </c>
      <c r="I170" s="204">
        <f t="shared" si="69"/>
        <v>673.85714285714289</v>
      </c>
      <c r="J170" s="204">
        <f t="shared" si="70"/>
        <v>675.875</v>
      </c>
      <c r="K170" s="204">
        <f t="shared" si="71"/>
        <v>683</v>
      </c>
      <c r="L170" s="204">
        <f t="shared" si="72"/>
        <v>690</v>
      </c>
      <c r="M170" s="204">
        <f t="shared" si="73"/>
        <v>697.36363636363637</v>
      </c>
      <c r="N170" s="204">
        <f t="shared" si="74"/>
        <v>703.75</v>
      </c>
      <c r="O170" s="204">
        <f t="shared" si="75"/>
        <v>8100.3957792207784</v>
      </c>
      <c r="R170" s="198"/>
    </row>
    <row r="171" spans="1:18">
      <c r="A171" s="198">
        <f t="shared" si="47"/>
        <v>171</v>
      </c>
      <c r="B171" s="212" t="s">
        <v>142</v>
      </c>
      <c r="C171" s="204">
        <f t="shared" si="63"/>
        <v>209</v>
      </c>
      <c r="D171" s="204">
        <f t="shared" si="64"/>
        <v>209</v>
      </c>
      <c r="E171" s="204">
        <f t="shared" si="65"/>
        <v>210</v>
      </c>
      <c r="F171" s="204">
        <f t="shared" si="66"/>
        <v>210.5</v>
      </c>
      <c r="G171" s="204">
        <f t="shared" si="67"/>
        <v>211.4</v>
      </c>
      <c r="H171" s="204">
        <f t="shared" si="68"/>
        <v>212</v>
      </c>
      <c r="I171" s="204">
        <f t="shared" si="69"/>
        <v>213.14285714285714</v>
      </c>
      <c r="J171" s="204">
        <f t="shared" si="70"/>
        <v>214</v>
      </c>
      <c r="K171" s="204">
        <f t="shared" si="71"/>
        <v>215</v>
      </c>
      <c r="L171" s="204">
        <f t="shared" si="72"/>
        <v>217.2</v>
      </c>
      <c r="M171" s="204">
        <f t="shared" si="73"/>
        <v>218.45454545454547</v>
      </c>
      <c r="N171" s="204">
        <f t="shared" si="74"/>
        <v>219.33333333333334</v>
      </c>
      <c r="O171" s="204">
        <f t="shared" si="75"/>
        <v>2559.0307359307362</v>
      </c>
      <c r="R171" s="198"/>
    </row>
    <row r="172" spans="1:18">
      <c r="A172" s="198">
        <f t="shared" si="47"/>
        <v>172</v>
      </c>
      <c r="B172" s="212" t="s">
        <v>143</v>
      </c>
      <c r="C172" s="204">
        <f t="shared" si="63"/>
        <v>676</v>
      </c>
      <c r="D172" s="204">
        <f t="shared" si="64"/>
        <v>676.5</v>
      </c>
      <c r="E172" s="204">
        <f t="shared" si="65"/>
        <v>676</v>
      </c>
      <c r="F172" s="204">
        <f t="shared" si="66"/>
        <v>676</v>
      </c>
      <c r="G172" s="204">
        <f t="shared" si="67"/>
        <v>675.4</v>
      </c>
      <c r="H172" s="204">
        <f t="shared" si="68"/>
        <v>674.16666666666663</v>
      </c>
      <c r="I172" s="204">
        <f t="shared" si="69"/>
        <v>671</v>
      </c>
      <c r="J172" s="204">
        <f t="shared" si="70"/>
        <v>670.25</v>
      </c>
      <c r="K172" s="204">
        <f t="shared" si="71"/>
        <v>669.66666666666663</v>
      </c>
      <c r="L172" s="204">
        <f t="shared" si="72"/>
        <v>669.6</v>
      </c>
      <c r="M172" s="204">
        <f t="shared" si="73"/>
        <v>671</v>
      </c>
      <c r="N172" s="204">
        <f t="shared" si="74"/>
        <v>671.08333333333337</v>
      </c>
      <c r="O172" s="204">
        <f t="shared" si="75"/>
        <v>8076.666666666667</v>
      </c>
      <c r="R172" s="198"/>
    </row>
    <row r="173" spans="1:18">
      <c r="A173" s="198">
        <f t="shared" si="47"/>
        <v>173</v>
      </c>
      <c r="B173" s="212" t="s">
        <v>145</v>
      </c>
      <c r="C173" s="204">
        <f t="shared" si="63"/>
        <v>0</v>
      </c>
      <c r="D173" s="204">
        <f t="shared" si="64"/>
        <v>0</v>
      </c>
      <c r="E173" s="204">
        <f t="shared" si="65"/>
        <v>0</v>
      </c>
      <c r="F173" s="204">
        <f t="shared" si="66"/>
        <v>0</v>
      </c>
      <c r="G173" s="204">
        <f t="shared" si="67"/>
        <v>0</v>
      </c>
      <c r="H173" s="204">
        <f t="shared" si="68"/>
        <v>0</v>
      </c>
      <c r="I173" s="204">
        <f t="shared" si="69"/>
        <v>0</v>
      </c>
      <c r="J173" s="204">
        <f t="shared" si="70"/>
        <v>0</v>
      </c>
      <c r="K173" s="204">
        <f t="shared" si="71"/>
        <v>0</v>
      </c>
      <c r="L173" s="204">
        <f t="shared" si="72"/>
        <v>0</v>
      </c>
      <c r="M173" s="204">
        <f t="shared" si="73"/>
        <v>0</v>
      </c>
      <c r="N173" s="204">
        <f t="shared" si="74"/>
        <v>0</v>
      </c>
      <c r="O173" s="204">
        <f t="shared" si="75"/>
        <v>0</v>
      </c>
      <c r="R173" s="198"/>
    </row>
    <row r="174" spans="1:18">
      <c r="A174" s="198">
        <f t="shared" si="47"/>
        <v>174</v>
      </c>
      <c r="B174" s="212" t="s">
        <v>146</v>
      </c>
      <c r="C174" s="204">
        <f t="shared" si="63"/>
        <v>1195</v>
      </c>
      <c r="D174" s="204">
        <f t="shared" si="64"/>
        <v>1196.5</v>
      </c>
      <c r="E174" s="204">
        <f t="shared" si="65"/>
        <v>1199.3333333333333</v>
      </c>
      <c r="F174" s="204">
        <f t="shared" si="66"/>
        <v>1201.75</v>
      </c>
      <c r="G174" s="204">
        <f t="shared" si="67"/>
        <v>1202</v>
      </c>
      <c r="H174" s="204">
        <f t="shared" si="68"/>
        <v>1203.8333333333333</v>
      </c>
      <c r="I174" s="204">
        <f t="shared" si="69"/>
        <v>1206</v>
      </c>
      <c r="J174" s="204">
        <f t="shared" si="70"/>
        <v>1207.375</v>
      </c>
      <c r="K174" s="204">
        <f t="shared" si="71"/>
        <v>1207.7777777777778</v>
      </c>
      <c r="L174" s="204">
        <f t="shared" si="72"/>
        <v>1207.3</v>
      </c>
      <c r="M174" s="204">
        <f t="shared" si="73"/>
        <v>1207.090909090909</v>
      </c>
      <c r="N174" s="204">
        <f t="shared" si="74"/>
        <v>1208.0833333333333</v>
      </c>
      <c r="O174" s="204">
        <f t="shared" si="75"/>
        <v>14442.043686868687</v>
      </c>
      <c r="R174" s="198"/>
    </row>
    <row r="175" spans="1:18">
      <c r="A175" s="198">
        <f t="shared" si="47"/>
        <v>175</v>
      </c>
      <c r="B175" s="212" t="s">
        <v>148</v>
      </c>
      <c r="C175" s="204">
        <f t="shared" si="63"/>
        <v>0</v>
      </c>
      <c r="D175" s="204">
        <f t="shared" si="64"/>
        <v>0</v>
      </c>
      <c r="E175" s="204">
        <f t="shared" si="65"/>
        <v>0</v>
      </c>
      <c r="F175" s="204">
        <f t="shared" si="66"/>
        <v>0</v>
      </c>
      <c r="G175" s="204">
        <f t="shared" si="67"/>
        <v>0</v>
      </c>
      <c r="H175" s="204">
        <f t="shared" si="68"/>
        <v>0</v>
      </c>
      <c r="I175" s="204">
        <f t="shared" si="69"/>
        <v>0</v>
      </c>
      <c r="J175" s="204">
        <f t="shared" si="70"/>
        <v>0</v>
      </c>
      <c r="K175" s="204">
        <f t="shared" si="71"/>
        <v>0</v>
      </c>
      <c r="L175" s="204">
        <f t="shared" si="72"/>
        <v>0</v>
      </c>
      <c r="M175" s="204">
        <f t="shared" si="73"/>
        <v>0</v>
      </c>
      <c r="N175" s="204">
        <f t="shared" si="74"/>
        <v>0</v>
      </c>
      <c r="O175" s="204">
        <f t="shared" si="75"/>
        <v>0</v>
      </c>
      <c r="R175" s="198"/>
    </row>
    <row r="176" spans="1:18">
      <c r="A176" s="198">
        <f t="shared" si="47"/>
        <v>176</v>
      </c>
      <c r="B176" s="212" t="s">
        <v>149</v>
      </c>
      <c r="C176" s="204">
        <f t="shared" si="63"/>
        <v>17</v>
      </c>
      <c r="D176" s="204">
        <f t="shared" si="64"/>
        <v>17</v>
      </c>
      <c r="E176" s="204">
        <f t="shared" si="65"/>
        <v>17</v>
      </c>
      <c r="F176" s="204">
        <f t="shared" si="66"/>
        <v>17</v>
      </c>
      <c r="G176" s="204">
        <f t="shared" si="67"/>
        <v>17</v>
      </c>
      <c r="H176" s="204">
        <f t="shared" si="68"/>
        <v>17</v>
      </c>
      <c r="I176" s="204">
        <f t="shared" si="69"/>
        <v>17</v>
      </c>
      <c r="J176" s="204">
        <f t="shared" si="70"/>
        <v>17</v>
      </c>
      <c r="K176" s="204">
        <f t="shared" si="71"/>
        <v>17.111111111111111</v>
      </c>
      <c r="L176" s="204">
        <f t="shared" si="72"/>
        <v>17.2</v>
      </c>
      <c r="M176" s="204">
        <f t="shared" si="73"/>
        <v>17.272727272727273</v>
      </c>
      <c r="N176" s="204">
        <f t="shared" si="74"/>
        <v>17.25</v>
      </c>
      <c r="O176" s="204">
        <f t="shared" si="75"/>
        <v>204.83383838383838</v>
      </c>
      <c r="R176" s="198"/>
    </row>
    <row r="177" spans="1:18">
      <c r="A177" s="198">
        <f t="shared" si="47"/>
        <v>177</v>
      </c>
      <c r="B177" s="212" t="s">
        <v>151</v>
      </c>
      <c r="C177" s="204">
        <f t="shared" si="63"/>
        <v>53</v>
      </c>
      <c r="D177" s="204">
        <f t="shared" si="64"/>
        <v>52</v>
      </c>
      <c r="E177" s="204">
        <f t="shared" si="65"/>
        <v>51.666666666666664</v>
      </c>
      <c r="F177" s="204">
        <f t="shared" si="66"/>
        <v>51.75</v>
      </c>
      <c r="G177" s="204">
        <f t="shared" si="67"/>
        <v>51.4</v>
      </c>
      <c r="H177" s="204">
        <f t="shared" si="68"/>
        <v>51.166666666666664</v>
      </c>
      <c r="I177" s="204">
        <f t="shared" si="69"/>
        <v>51</v>
      </c>
      <c r="J177" s="204">
        <f t="shared" si="70"/>
        <v>50.875</v>
      </c>
      <c r="K177" s="204">
        <f t="shared" si="71"/>
        <v>50.666666666666664</v>
      </c>
      <c r="L177" s="204">
        <f t="shared" si="72"/>
        <v>50.4</v>
      </c>
      <c r="M177" s="204">
        <f t="shared" si="73"/>
        <v>49.81818181818182</v>
      </c>
      <c r="N177" s="204">
        <f t="shared" si="74"/>
        <v>49</v>
      </c>
      <c r="O177" s="204">
        <f t="shared" si="75"/>
        <v>612.74318181818194</v>
      </c>
      <c r="R177" s="198"/>
    </row>
    <row r="178" spans="1:18">
      <c r="A178" s="198">
        <f t="shared" si="47"/>
        <v>178</v>
      </c>
      <c r="B178" s="212" t="s">
        <v>153</v>
      </c>
      <c r="C178" s="204">
        <f t="shared" si="63"/>
        <v>0</v>
      </c>
      <c r="D178" s="204">
        <f t="shared" si="64"/>
        <v>0</v>
      </c>
      <c r="E178" s="204">
        <f t="shared" si="65"/>
        <v>0</v>
      </c>
      <c r="F178" s="204">
        <f t="shared" si="66"/>
        <v>0</v>
      </c>
      <c r="G178" s="204">
        <f t="shared" si="67"/>
        <v>0</v>
      </c>
      <c r="H178" s="204">
        <f t="shared" si="68"/>
        <v>0</v>
      </c>
      <c r="I178" s="204">
        <f t="shared" si="69"/>
        <v>0</v>
      </c>
      <c r="J178" s="204">
        <f t="shared" si="70"/>
        <v>0</v>
      </c>
      <c r="K178" s="204">
        <f t="shared" si="71"/>
        <v>0</v>
      </c>
      <c r="L178" s="204">
        <f t="shared" si="72"/>
        <v>0</v>
      </c>
      <c r="M178" s="204">
        <f t="shared" si="73"/>
        <v>0</v>
      </c>
      <c r="N178" s="204">
        <f t="shared" si="74"/>
        <v>0</v>
      </c>
      <c r="O178" s="204">
        <f>SUM(C178:N178)</f>
        <v>0</v>
      </c>
      <c r="R178" s="198"/>
    </row>
    <row r="179" spans="1:18">
      <c r="A179" s="198">
        <f t="shared" si="47"/>
        <v>179</v>
      </c>
      <c r="B179" s="212" t="s">
        <v>207</v>
      </c>
      <c r="C179" s="204">
        <f t="shared" si="63"/>
        <v>2</v>
      </c>
      <c r="D179" s="204">
        <f t="shared" si="64"/>
        <v>2</v>
      </c>
      <c r="E179" s="204">
        <f t="shared" si="65"/>
        <v>2</v>
      </c>
      <c r="F179" s="204">
        <f t="shared" si="66"/>
        <v>2</v>
      </c>
      <c r="G179" s="204">
        <f t="shared" si="67"/>
        <v>2</v>
      </c>
      <c r="H179" s="204">
        <f t="shared" si="68"/>
        <v>2</v>
      </c>
      <c r="I179" s="204">
        <f t="shared" si="69"/>
        <v>2</v>
      </c>
      <c r="J179" s="204">
        <f t="shared" si="70"/>
        <v>2</v>
      </c>
      <c r="K179" s="204">
        <f t="shared" si="71"/>
        <v>2</v>
      </c>
      <c r="L179" s="204">
        <f t="shared" si="72"/>
        <v>2</v>
      </c>
      <c r="M179" s="204">
        <f t="shared" si="73"/>
        <v>2</v>
      </c>
      <c r="N179" s="204">
        <f t="shared" si="74"/>
        <v>2</v>
      </c>
      <c r="O179" s="204">
        <f>SUM(C179:N179)</f>
        <v>24</v>
      </c>
      <c r="R179" s="198"/>
    </row>
    <row r="180" spans="1:18">
      <c r="A180" s="198">
        <f t="shared" si="47"/>
        <v>180</v>
      </c>
      <c r="B180" s="212" t="s">
        <v>155</v>
      </c>
      <c r="C180" s="204">
        <f t="shared" si="63"/>
        <v>4</v>
      </c>
      <c r="D180" s="204">
        <f t="shared" si="64"/>
        <v>4</v>
      </c>
      <c r="E180" s="204">
        <f t="shared" si="65"/>
        <v>4</v>
      </c>
      <c r="F180" s="204">
        <f t="shared" si="66"/>
        <v>4</v>
      </c>
      <c r="G180" s="204">
        <f t="shared" si="67"/>
        <v>4</v>
      </c>
      <c r="H180" s="204">
        <f t="shared" si="68"/>
        <v>4</v>
      </c>
      <c r="I180" s="204">
        <f t="shared" si="69"/>
        <v>4</v>
      </c>
      <c r="J180" s="204">
        <f t="shared" si="70"/>
        <v>4</v>
      </c>
      <c r="K180" s="204">
        <f t="shared" si="71"/>
        <v>4</v>
      </c>
      <c r="L180" s="204">
        <f t="shared" si="72"/>
        <v>4</v>
      </c>
      <c r="M180" s="204">
        <f t="shared" si="73"/>
        <v>4</v>
      </c>
      <c r="N180" s="204">
        <f t="shared" si="74"/>
        <v>4</v>
      </c>
      <c r="O180" s="204">
        <f t="shared" si="75"/>
        <v>48</v>
      </c>
      <c r="R180" s="198"/>
    </row>
    <row r="181" spans="1:18">
      <c r="A181" s="198">
        <f t="shared" si="47"/>
        <v>181</v>
      </c>
      <c r="B181" s="212" t="s">
        <v>157</v>
      </c>
      <c r="C181" s="204">
        <f t="shared" si="63"/>
        <v>15</v>
      </c>
      <c r="D181" s="204">
        <f t="shared" si="64"/>
        <v>14.5</v>
      </c>
      <c r="E181" s="204">
        <f t="shared" si="65"/>
        <v>15.333333333333334</v>
      </c>
      <c r="F181" s="204">
        <f t="shared" si="66"/>
        <v>15.75</v>
      </c>
      <c r="G181" s="204">
        <f t="shared" si="67"/>
        <v>16</v>
      </c>
      <c r="H181" s="204">
        <f t="shared" si="68"/>
        <v>16</v>
      </c>
      <c r="I181" s="204">
        <f t="shared" si="69"/>
        <v>16</v>
      </c>
      <c r="J181" s="204">
        <f t="shared" si="70"/>
        <v>16</v>
      </c>
      <c r="K181" s="204">
        <f t="shared" si="71"/>
        <v>16</v>
      </c>
      <c r="L181" s="204">
        <f t="shared" si="72"/>
        <v>16</v>
      </c>
      <c r="M181" s="204">
        <f t="shared" si="73"/>
        <v>16</v>
      </c>
      <c r="N181" s="204">
        <f t="shared" si="74"/>
        <v>16</v>
      </c>
      <c r="O181" s="204">
        <f t="shared" si="75"/>
        <v>188.58333333333334</v>
      </c>
      <c r="R181" s="198"/>
    </row>
    <row r="182" spans="1:18">
      <c r="A182" s="198">
        <f t="shared" si="47"/>
        <v>182</v>
      </c>
      <c r="B182" s="212" t="s">
        <v>159</v>
      </c>
      <c r="C182" s="204">
        <f t="shared" si="63"/>
        <v>7</v>
      </c>
      <c r="D182" s="204">
        <f t="shared" si="64"/>
        <v>7</v>
      </c>
      <c r="E182" s="204">
        <f t="shared" si="65"/>
        <v>7</v>
      </c>
      <c r="F182" s="204">
        <f t="shared" si="66"/>
        <v>7</v>
      </c>
      <c r="G182" s="204">
        <f t="shared" si="67"/>
        <v>7</v>
      </c>
      <c r="H182" s="204">
        <f t="shared" si="68"/>
        <v>7</v>
      </c>
      <c r="I182" s="204">
        <f t="shared" si="69"/>
        <v>7</v>
      </c>
      <c r="J182" s="204">
        <f t="shared" si="70"/>
        <v>7</v>
      </c>
      <c r="K182" s="204">
        <f t="shared" si="71"/>
        <v>7</v>
      </c>
      <c r="L182" s="204">
        <f t="shared" si="72"/>
        <v>7</v>
      </c>
      <c r="M182" s="204">
        <f t="shared" si="73"/>
        <v>7</v>
      </c>
      <c r="N182" s="204">
        <f t="shared" si="74"/>
        <v>7</v>
      </c>
      <c r="O182" s="204">
        <f t="shared" si="75"/>
        <v>84</v>
      </c>
      <c r="R182" s="198"/>
    </row>
    <row r="183" spans="1:18">
      <c r="A183" s="198">
        <f t="shared" si="47"/>
        <v>183</v>
      </c>
      <c r="B183" s="207" t="s">
        <v>95</v>
      </c>
      <c r="C183" s="204">
        <f t="shared" si="63"/>
        <v>23</v>
      </c>
      <c r="D183" s="204">
        <f t="shared" si="64"/>
        <v>23</v>
      </c>
      <c r="E183" s="204">
        <f t="shared" si="65"/>
        <v>23</v>
      </c>
      <c r="F183" s="204">
        <f t="shared" si="66"/>
        <v>23.25</v>
      </c>
      <c r="G183" s="204">
        <f t="shared" si="67"/>
        <v>23.2</v>
      </c>
      <c r="H183" s="204">
        <f t="shared" si="68"/>
        <v>23.166666666666668</v>
      </c>
      <c r="I183" s="204">
        <f t="shared" si="69"/>
        <v>23.142857142857142</v>
      </c>
      <c r="J183" s="204">
        <f t="shared" si="70"/>
        <v>23.125</v>
      </c>
      <c r="K183" s="204">
        <f t="shared" si="71"/>
        <v>23.111111111111111</v>
      </c>
      <c r="L183" s="204">
        <f t="shared" si="72"/>
        <v>23.1</v>
      </c>
      <c r="M183" s="204">
        <f t="shared" si="73"/>
        <v>23.09090909090909</v>
      </c>
      <c r="N183" s="204">
        <f t="shared" si="74"/>
        <v>23.083333333333332</v>
      </c>
      <c r="O183" s="204">
        <f>SUM(C183:N183)</f>
        <v>277.26987734487733</v>
      </c>
      <c r="R183" s="198"/>
    </row>
    <row r="184" spans="1:18">
      <c r="A184" s="198">
        <f t="shared" si="47"/>
        <v>184</v>
      </c>
      <c r="B184" s="207" t="s">
        <v>96</v>
      </c>
      <c r="C184" s="204">
        <f t="shared" si="63"/>
        <v>1</v>
      </c>
      <c r="D184" s="204">
        <f t="shared" si="64"/>
        <v>1</v>
      </c>
      <c r="E184" s="204">
        <f t="shared" si="65"/>
        <v>1</v>
      </c>
      <c r="F184" s="204">
        <f t="shared" si="66"/>
        <v>1</v>
      </c>
      <c r="G184" s="204">
        <f t="shared" si="67"/>
        <v>1</v>
      </c>
      <c r="H184" s="204">
        <f t="shared" si="68"/>
        <v>1</v>
      </c>
      <c r="I184" s="204">
        <f t="shared" si="69"/>
        <v>1</v>
      </c>
      <c r="J184" s="204">
        <f t="shared" si="70"/>
        <v>1</v>
      </c>
      <c r="K184" s="204">
        <f t="shared" si="71"/>
        <v>1</v>
      </c>
      <c r="L184" s="204">
        <f t="shared" si="72"/>
        <v>1</v>
      </c>
      <c r="M184" s="204">
        <f t="shared" si="73"/>
        <v>1</v>
      </c>
      <c r="N184" s="204">
        <f t="shared" si="74"/>
        <v>1</v>
      </c>
      <c r="O184" s="204">
        <f>SUM(C184:N184)</f>
        <v>12</v>
      </c>
      <c r="R184" s="198"/>
    </row>
    <row r="185" spans="1:18">
      <c r="A185" s="198">
        <f t="shared" si="47"/>
        <v>185</v>
      </c>
      <c r="B185" s="218" t="s">
        <v>97</v>
      </c>
      <c r="C185" s="216">
        <f t="shared" si="63"/>
        <v>2</v>
      </c>
      <c r="D185" s="216">
        <f t="shared" si="64"/>
        <v>2</v>
      </c>
      <c r="E185" s="216">
        <f t="shared" si="65"/>
        <v>2</v>
      </c>
      <c r="F185" s="216">
        <f t="shared" si="66"/>
        <v>2</v>
      </c>
      <c r="G185" s="216">
        <f t="shared" si="67"/>
        <v>2</v>
      </c>
      <c r="H185" s="216">
        <f t="shared" si="68"/>
        <v>2</v>
      </c>
      <c r="I185" s="216">
        <f t="shared" si="69"/>
        <v>2</v>
      </c>
      <c r="J185" s="216">
        <f t="shared" si="70"/>
        <v>2</v>
      </c>
      <c r="K185" s="216">
        <f t="shared" si="71"/>
        <v>2</v>
      </c>
      <c r="L185" s="216">
        <f t="shared" si="72"/>
        <v>2</v>
      </c>
      <c r="M185" s="216">
        <f t="shared" si="73"/>
        <v>2</v>
      </c>
      <c r="N185" s="216">
        <f t="shared" si="74"/>
        <v>2</v>
      </c>
      <c r="O185" s="216">
        <f>SUM(C185:N185)</f>
        <v>24</v>
      </c>
      <c r="R185" s="198"/>
    </row>
    <row r="186" spans="1:18">
      <c r="A186" s="198">
        <f t="shared" si="47"/>
        <v>186</v>
      </c>
      <c r="B186" s="219" t="s">
        <v>164</v>
      </c>
      <c r="C186" s="204">
        <f t="shared" ref="C186:O186" si="76">SUM(C150:C185)</f>
        <v>7610</v>
      </c>
      <c r="D186" s="204">
        <f t="shared" si="76"/>
        <v>7613</v>
      </c>
      <c r="E186" s="204">
        <f t="shared" si="76"/>
        <v>7624.6666666666661</v>
      </c>
      <c r="F186" s="204">
        <f t="shared" si="76"/>
        <v>7638</v>
      </c>
      <c r="G186" s="204">
        <f t="shared" si="76"/>
        <v>7645.1999999999989</v>
      </c>
      <c r="H186" s="204">
        <f t="shared" si="76"/>
        <v>7649.8333333333348</v>
      </c>
      <c r="I186" s="204">
        <f t="shared" si="76"/>
        <v>7651.7142857142853</v>
      </c>
      <c r="J186" s="204">
        <f t="shared" si="76"/>
        <v>7654.5</v>
      </c>
      <c r="K186" s="204">
        <f t="shared" si="76"/>
        <v>7662.8888888888896</v>
      </c>
      <c r="L186" s="204">
        <f t="shared" si="76"/>
        <v>7666.2</v>
      </c>
      <c r="M186" s="204">
        <f t="shared" si="76"/>
        <v>7673.545454545454</v>
      </c>
      <c r="N186" s="204">
        <f t="shared" si="76"/>
        <v>7686.3333333333321</v>
      </c>
      <c r="O186" s="204">
        <f t="shared" si="76"/>
        <v>91775.881962481959</v>
      </c>
      <c r="R186" s="198"/>
    </row>
    <row r="187" spans="1:18">
      <c r="A187" s="198">
        <f t="shared" si="47"/>
        <v>187</v>
      </c>
      <c r="B187" s="217" t="s">
        <v>165</v>
      </c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R187" s="198"/>
    </row>
    <row r="188" spans="1:18">
      <c r="A188" s="198">
        <f t="shared" si="47"/>
        <v>188</v>
      </c>
      <c r="B188" s="207" t="s">
        <v>100</v>
      </c>
      <c r="C188" s="204">
        <f t="shared" ref="C188:C194" si="77">+C64</f>
        <v>0</v>
      </c>
      <c r="D188" s="204">
        <f t="shared" ref="D188:D194" si="78">AVERAGE(C64:D64)</f>
        <v>0</v>
      </c>
      <c r="E188" s="204">
        <f t="shared" ref="E188:E194" si="79">AVERAGE(C64:E64)</f>
        <v>0</v>
      </c>
      <c r="F188" s="204">
        <f t="shared" ref="F188:F194" si="80">AVERAGE(C64:F64)</f>
        <v>0</v>
      </c>
      <c r="G188" s="204">
        <f t="shared" ref="G188:G194" si="81">AVERAGE(C64:G64)</f>
        <v>0</v>
      </c>
      <c r="H188" s="204">
        <f t="shared" ref="H188:H194" si="82">AVERAGE(C64:H64)</f>
        <v>0</v>
      </c>
      <c r="I188" s="204">
        <f t="shared" ref="I188:I194" si="83">AVERAGE(C64:I64)</f>
        <v>0</v>
      </c>
      <c r="J188" s="204">
        <f t="shared" ref="J188:J194" si="84">AVERAGE(C64:J64)</f>
        <v>0</v>
      </c>
      <c r="K188" s="204">
        <f t="shared" ref="K188:K194" si="85">AVERAGE(C64:K64)</f>
        <v>0</v>
      </c>
      <c r="L188" s="204">
        <f t="shared" ref="L188:L194" si="86">AVERAGE(C64:L64)</f>
        <v>0</v>
      </c>
      <c r="M188" s="204">
        <f t="shared" ref="M188:M194" si="87">AVERAGE(C64:M64)</f>
        <v>0</v>
      </c>
      <c r="N188" s="204">
        <f t="shared" ref="N188:N194" si="88">AVERAGE(C64:N64)</f>
        <v>0</v>
      </c>
      <c r="O188" s="204">
        <f t="shared" ref="O188:O194" si="89">SUM(C188:N188)</f>
        <v>0</v>
      </c>
      <c r="R188" s="198"/>
    </row>
    <row r="189" spans="1:18">
      <c r="A189" s="198">
        <f t="shared" si="47"/>
        <v>189</v>
      </c>
      <c r="B189" s="207" t="s">
        <v>101</v>
      </c>
      <c r="C189" s="204">
        <f t="shared" si="77"/>
        <v>1</v>
      </c>
      <c r="D189" s="204">
        <f t="shared" si="78"/>
        <v>1</v>
      </c>
      <c r="E189" s="204">
        <f t="shared" si="79"/>
        <v>1</v>
      </c>
      <c r="F189" s="204">
        <f t="shared" si="80"/>
        <v>1</v>
      </c>
      <c r="G189" s="204">
        <f t="shared" si="81"/>
        <v>1</v>
      </c>
      <c r="H189" s="204">
        <f t="shared" si="82"/>
        <v>1</v>
      </c>
      <c r="I189" s="204">
        <f t="shared" si="83"/>
        <v>1</v>
      </c>
      <c r="J189" s="204">
        <f t="shared" si="84"/>
        <v>1</v>
      </c>
      <c r="K189" s="204">
        <f t="shared" si="85"/>
        <v>1</v>
      </c>
      <c r="L189" s="204">
        <f t="shared" si="86"/>
        <v>1</v>
      </c>
      <c r="M189" s="204">
        <f t="shared" si="87"/>
        <v>1</v>
      </c>
      <c r="N189" s="204">
        <f t="shared" si="88"/>
        <v>1</v>
      </c>
      <c r="O189" s="204">
        <f t="shared" si="89"/>
        <v>12</v>
      </c>
      <c r="R189" s="198"/>
    </row>
    <row r="190" spans="1:18">
      <c r="A190" s="198">
        <f t="shared" si="47"/>
        <v>190</v>
      </c>
      <c r="B190" s="207" t="s">
        <v>102</v>
      </c>
      <c r="C190" s="204">
        <f t="shared" si="77"/>
        <v>22</v>
      </c>
      <c r="D190" s="204">
        <f t="shared" si="78"/>
        <v>22</v>
      </c>
      <c r="E190" s="204">
        <f t="shared" si="79"/>
        <v>22</v>
      </c>
      <c r="F190" s="204">
        <f t="shared" si="80"/>
        <v>22</v>
      </c>
      <c r="G190" s="204">
        <f t="shared" si="81"/>
        <v>22.2</v>
      </c>
      <c r="H190" s="204">
        <f t="shared" si="82"/>
        <v>22.5</v>
      </c>
      <c r="I190" s="204">
        <f t="shared" si="83"/>
        <v>23.142857142857142</v>
      </c>
      <c r="J190" s="204">
        <f t="shared" si="84"/>
        <v>23.625</v>
      </c>
      <c r="K190" s="204">
        <f t="shared" si="85"/>
        <v>24.111111111111111</v>
      </c>
      <c r="L190" s="204">
        <f t="shared" si="86"/>
        <v>24.9</v>
      </c>
      <c r="M190" s="204">
        <f t="shared" si="87"/>
        <v>25.545454545454547</v>
      </c>
      <c r="N190" s="204">
        <f t="shared" si="88"/>
        <v>26.166666666666668</v>
      </c>
      <c r="O190" s="204">
        <f t="shared" si="89"/>
        <v>280.19108946608947</v>
      </c>
      <c r="R190" s="198"/>
    </row>
    <row r="191" spans="1:18">
      <c r="A191" s="198">
        <f t="shared" si="47"/>
        <v>191</v>
      </c>
      <c r="B191" s="207" t="s">
        <v>103</v>
      </c>
      <c r="C191" s="204">
        <f t="shared" si="77"/>
        <v>4</v>
      </c>
      <c r="D191" s="204">
        <f t="shared" si="78"/>
        <v>4</v>
      </c>
      <c r="E191" s="204">
        <f t="shared" si="79"/>
        <v>4</v>
      </c>
      <c r="F191" s="204">
        <f t="shared" si="80"/>
        <v>4</v>
      </c>
      <c r="G191" s="204">
        <f t="shared" si="81"/>
        <v>4</v>
      </c>
      <c r="H191" s="204">
        <f t="shared" si="82"/>
        <v>4</v>
      </c>
      <c r="I191" s="204">
        <f t="shared" si="83"/>
        <v>4</v>
      </c>
      <c r="J191" s="204">
        <f t="shared" si="84"/>
        <v>4</v>
      </c>
      <c r="K191" s="204">
        <f t="shared" si="85"/>
        <v>4.1111111111111107</v>
      </c>
      <c r="L191" s="204">
        <f t="shared" si="86"/>
        <v>4.2</v>
      </c>
      <c r="M191" s="204">
        <f t="shared" si="87"/>
        <v>4.2727272727272725</v>
      </c>
      <c r="N191" s="204">
        <f t="shared" si="88"/>
        <v>4.333333333333333</v>
      </c>
      <c r="O191" s="204">
        <f t="shared" si="89"/>
        <v>48.917171717171726</v>
      </c>
      <c r="R191" s="198"/>
    </row>
    <row r="192" spans="1:18">
      <c r="A192" s="198">
        <f t="shared" si="47"/>
        <v>192</v>
      </c>
      <c r="B192" s="207" t="s">
        <v>104</v>
      </c>
      <c r="C192" s="204">
        <f t="shared" si="77"/>
        <v>10</v>
      </c>
      <c r="D192" s="204">
        <f t="shared" si="78"/>
        <v>10</v>
      </c>
      <c r="E192" s="204">
        <f t="shared" si="79"/>
        <v>10</v>
      </c>
      <c r="F192" s="204">
        <f t="shared" si="80"/>
        <v>10.25</v>
      </c>
      <c r="G192" s="204">
        <f t="shared" si="81"/>
        <v>10.4</v>
      </c>
      <c r="H192" s="204">
        <f t="shared" si="82"/>
        <v>10.5</v>
      </c>
      <c r="I192" s="204">
        <f t="shared" si="83"/>
        <v>10.571428571428571</v>
      </c>
      <c r="J192" s="204">
        <f t="shared" si="84"/>
        <v>10.625</v>
      </c>
      <c r="K192" s="204">
        <f t="shared" si="85"/>
        <v>10.666666666666666</v>
      </c>
      <c r="L192" s="204">
        <f t="shared" si="86"/>
        <v>10.7</v>
      </c>
      <c r="M192" s="204">
        <f t="shared" si="87"/>
        <v>10.727272727272727</v>
      </c>
      <c r="N192" s="204">
        <f t="shared" si="88"/>
        <v>10.75</v>
      </c>
      <c r="O192" s="204">
        <f t="shared" si="89"/>
        <v>125.19036796536798</v>
      </c>
      <c r="R192" s="198"/>
    </row>
    <row r="193" spans="1:18">
      <c r="A193" s="198">
        <f t="shared" si="47"/>
        <v>193</v>
      </c>
      <c r="B193" s="212" t="s">
        <v>105</v>
      </c>
      <c r="C193" s="204">
        <f t="shared" si="77"/>
        <v>16</v>
      </c>
      <c r="D193" s="204">
        <f t="shared" si="78"/>
        <v>16</v>
      </c>
      <c r="E193" s="204">
        <f t="shared" si="79"/>
        <v>16</v>
      </c>
      <c r="F193" s="204">
        <f t="shared" si="80"/>
        <v>16.25</v>
      </c>
      <c r="G193" s="204">
        <f t="shared" si="81"/>
        <v>16.600000000000001</v>
      </c>
      <c r="H193" s="204">
        <f t="shared" si="82"/>
        <v>16.666666666666668</v>
      </c>
      <c r="I193" s="204">
        <f t="shared" si="83"/>
        <v>16.714285714285715</v>
      </c>
      <c r="J193" s="204">
        <f t="shared" si="84"/>
        <v>16.75</v>
      </c>
      <c r="K193" s="204">
        <f t="shared" si="85"/>
        <v>16.777777777777779</v>
      </c>
      <c r="L193" s="204">
        <f t="shared" si="86"/>
        <v>16.8</v>
      </c>
      <c r="M193" s="204">
        <f t="shared" si="87"/>
        <v>16.818181818181817</v>
      </c>
      <c r="N193" s="204">
        <f t="shared" si="88"/>
        <v>16.833333333333332</v>
      </c>
      <c r="O193" s="204">
        <f t="shared" si="89"/>
        <v>198.21024531024531</v>
      </c>
      <c r="R193" s="198"/>
    </row>
    <row r="194" spans="1:18">
      <c r="A194" s="198">
        <f t="shared" si="47"/>
        <v>194</v>
      </c>
      <c r="B194" s="218" t="s">
        <v>106</v>
      </c>
      <c r="C194" s="216">
        <f t="shared" si="77"/>
        <v>9</v>
      </c>
      <c r="D194" s="216">
        <f t="shared" si="78"/>
        <v>9</v>
      </c>
      <c r="E194" s="216">
        <f t="shared" si="79"/>
        <v>9</v>
      </c>
      <c r="F194" s="216">
        <f t="shared" si="80"/>
        <v>8.5</v>
      </c>
      <c r="G194" s="216">
        <f t="shared" si="81"/>
        <v>8.1999999999999993</v>
      </c>
      <c r="H194" s="216">
        <f t="shared" si="82"/>
        <v>8</v>
      </c>
      <c r="I194" s="216">
        <f t="shared" si="83"/>
        <v>7.8571428571428568</v>
      </c>
      <c r="J194" s="216">
        <f t="shared" si="84"/>
        <v>7.75</v>
      </c>
      <c r="K194" s="216">
        <f t="shared" si="85"/>
        <v>7.666666666666667</v>
      </c>
      <c r="L194" s="216">
        <f t="shared" si="86"/>
        <v>7.6</v>
      </c>
      <c r="M194" s="216">
        <f t="shared" si="87"/>
        <v>7.5454545454545459</v>
      </c>
      <c r="N194" s="216">
        <f t="shared" si="88"/>
        <v>7.5</v>
      </c>
      <c r="O194" s="216">
        <f t="shared" si="89"/>
        <v>97.619264069264062</v>
      </c>
      <c r="R194" s="198"/>
    </row>
    <row r="195" spans="1:18">
      <c r="A195" s="198">
        <f t="shared" ref="A195:A244" si="90">+A194+1</f>
        <v>195</v>
      </c>
      <c r="B195" s="219" t="s">
        <v>167</v>
      </c>
      <c r="C195" s="204">
        <f t="shared" ref="C195:O195" si="91">SUM(C188:C194)</f>
        <v>62</v>
      </c>
      <c r="D195" s="204">
        <f t="shared" si="91"/>
        <v>62</v>
      </c>
      <c r="E195" s="204">
        <f t="shared" si="91"/>
        <v>62</v>
      </c>
      <c r="F195" s="204">
        <f t="shared" si="91"/>
        <v>62</v>
      </c>
      <c r="G195" s="204">
        <f t="shared" si="91"/>
        <v>62.400000000000006</v>
      </c>
      <c r="H195" s="204">
        <f t="shared" si="91"/>
        <v>62.666666666666671</v>
      </c>
      <c r="I195" s="204">
        <f t="shared" si="91"/>
        <v>63.285714285714285</v>
      </c>
      <c r="J195" s="204">
        <f t="shared" si="91"/>
        <v>63.75</v>
      </c>
      <c r="K195" s="204">
        <f t="shared" si="91"/>
        <v>64.333333333333329</v>
      </c>
      <c r="L195" s="204">
        <f t="shared" si="91"/>
        <v>65.199999999999989</v>
      </c>
      <c r="M195" s="204">
        <f t="shared" si="91"/>
        <v>65.909090909090907</v>
      </c>
      <c r="N195" s="204">
        <f t="shared" si="91"/>
        <v>66.583333333333329</v>
      </c>
      <c r="O195" s="204">
        <f t="shared" si="91"/>
        <v>762.12813852813861</v>
      </c>
      <c r="R195" s="198"/>
    </row>
    <row r="196" spans="1:18">
      <c r="A196" s="198">
        <f t="shared" si="90"/>
        <v>196</v>
      </c>
      <c r="B196" s="217" t="s">
        <v>168</v>
      </c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R196" s="198"/>
    </row>
    <row r="197" spans="1:18">
      <c r="A197" s="198">
        <f t="shared" si="90"/>
        <v>197</v>
      </c>
      <c r="B197" s="196" t="s">
        <v>169</v>
      </c>
      <c r="C197" s="204">
        <f t="shared" ref="C197:C204" si="92">+C73</f>
        <v>2</v>
      </c>
      <c r="D197" s="204">
        <f>AVERAGE(C73:D73)</f>
        <v>2</v>
      </c>
      <c r="E197" s="204">
        <f>AVERAGE(C73:E73)</f>
        <v>2</v>
      </c>
      <c r="F197" s="204">
        <f>AVERAGE(C73:F73)</f>
        <v>2</v>
      </c>
      <c r="G197" s="204">
        <f>AVERAGE(C73:G73)</f>
        <v>2</v>
      </c>
      <c r="H197" s="204">
        <f>AVERAGE(C73:H73)</f>
        <v>2</v>
      </c>
      <c r="I197" s="204">
        <f>AVERAGE(C73:I73)</f>
        <v>2</v>
      </c>
      <c r="J197" s="204">
        <f>AVERAGE(C73:J73)</f>
        <v>2</v>
      </c>
      <c r="K197" s="204">
        <f>AVERAGE(C73:K73)</f>
        <v>2</v>
      </c>
      <c r="L197" s="204">
        <f>AVERAGE(C73:L73)</f>
        <v>2</v>
      </c>
      <c r="M197" s="204">
        <f>AVERAGE(C73:M73)</f>
        <v>2</v>
      </c>
      <c r="N197" s="204">
        <f>AVERAGE(C73:N73)</f>
        <v>2</v>
      </c>
      <c r="O197" s="204">
        <f t="shared" ref="O197:O205" si="93">SUM(C197:N197)</f>
        <v>24</v>
      </c>
      <c r="R197" s="198"/>
    </row>
    <row r="198" spans="1:18">
      <c r="A198" s="198">
        <f t="shared" si="90"/>
        <v>198</v>
      </c>
      <c r="B198" s="196" t="s">
        <v>171</v>
      </c>
      <c r="C198" s="204">
        <f t="shared" si="92"/>
        <v>1</v>
      </c>
      <c r="D198" s="204">
        <f>AVERAGE(C74:D74)</f>
        <v>1</v>
      </c>
      <c r="E198" s="204">
        <f>AVERAGE(C74:E74)</f>
        <v>1</v>
      </c>
      <c r="F198" s="204">
        <f>AVERAGE(C74:F74)</f>
        <v>1</v>
      </c>
      <c r="G198" s="204">
        <f>AVERAGE(C74:G74)</f>
        <v>1</v>
      </c>
      <c r="H198" s="204">
        <f>AVERAGE(C74:H74)</f>
        <v>1</v>
      </c>
      <c r="I198" s="204">
        <f>AVERAGE(C74:I74)</f>
        <v>1</v>
      </c>
      <c r="J198" s="204">
        <f>AVERAGE(C74:J74)</f>
        <v>1</v>
      </c>
      <c r="K198" s="204">
        <f>AVERAGE(C74:K74)</f>
        <v>1</v>
      </c>
      <c r="L198" s="204">
        <f>AVERAGE(C74:L74)</f>
        <v>1</v>
      </c>
      <c r="M198" s="204">
        <f>AVERAGE(C74:M74)</f>
        <v>1</v>
      </c>
      <c r="N198" s="204">
        <f>AVERAGE(C74:N74)</f>
        <v>1</v>
      </c>
      <c r="O198" s="204">
        <f t="shared" si="93"/>
        <v>12</v>
      </c>
      <c r="R198" s="198"/>
    </row>
    <row r="199" spans="1:18">
      <c r="A199" s="198">
        <f t="shared" si="90"/>
        <v>199</v>
      </c>
      <c r="B199" s="196" t="s">
        <v>172</v>
      </c>
      <c r="C199" s="204">
        <f t="shared" si="92"/>
        <v>1</v>
      </c>
      <c r="D199" s="204">
        <f>AVERAGE(C75:D75)</f>
        <v>1</v>
      </c>
      <c r="E199" s="204">
        <f>AVERAGE(C75:E75)</f>
        <v>1</v>
      </c>
      <c r="F199" s="204">
        <f>AVERAGE(C75:F75)</f>
        <v>1</v>
      </c>
      <c r="G199" s="204">
        <f>AVERAGE(C75:G75)</f>
        <v>1</v>
      </c>
      <c r="H199" s="204">
        <f>AVERAGE(C75:H75)</f>
        <v>1</v>
      </c>
      <c r="I199" s="204">
        <f>AVERAGE(C75:I75)</f>
        <v>1</v>
      </c>
      <c r="J199" s="204">
        <f>AVERAGE(C75:J75)</f>
        <v>1</v>
      </c>
      <c r="K199" s="204">
        <f>AVERAGE(C75:K75)</f>
        <v>1</v>
      </c>
      <c r="L199" s="204">
        <f>AVERAGE(C75:L75)</f>
        <v>1</v>
      </c>
      <c r="M199" s="204">
        <f>AVERAGE(C75:M75)</f>
        <v>1</v>
      </c>
      <c r="N199" s="204">
        <f>AVERAGE(C75:N75)</f>
        <v>1</v>
      </c>
      <c r="O199" s="204">
        <f t="shared" si="93"/>
        <v>12</v>
      </c>
      <c r="R199" s="198"/>
    </row>
    <row r="200" spans="1:18">
      <c r="A200" s="198">
        <f t="shared" si="90"/>
        <v>200</v>
      </c>
      <c r="B200" s="196" t="s">
        <v>173</v>
      </c>
      <c r="C200" s="204">
        <f t="shared" si="92"/>
        <v>1</v>
      </c>
      <c r="D200" s="204">
        <f>AVERAGE(C76:D76)</f>
        <v>1</v>
      </c>
      <c r="E200" s="204">
        <f>AVERAGE(C76:E76)</f>
        <v>1</v>
      </c>
      <c r="F200" s="204">
        <f>AVERAGE(C76:F76)</f>
        <v>1</v>
      </c>
      <c r="G200" s="204">
        <f>AVERAGE(C76:G76)</f>
        <v>1</v>
      </c>
      <c r="H200" s="204">
        <f>AVERAGE(C76:H76)</f>
        <v>1</v>
      </c>
      <c r="I200" s="204">
        <f>AVERAGE(C76:I76)</f>
        <v>1</v>
      </c>
      <c r="J200" s="204">
        <f>AVERAGE(C76:J76)</f>
        <v>1</v>
      </c>
      <c r="K200" s="204">
        <f>AVERAGE(C76:K76)</f>
        <v>1</v>
      </c>
      <c r="L200" s="204">
        <f>AVERAGE(C76:L76)</f>
        <v>1</v>
      </c>
      <c r="M200" s="204">
        <f>AVERAGE(C76:M76)</f>
        <v>1</v>
      </c>
      <c r="N200" s="204">
        <f>AVERAGE(C76:N76)</f>
        <v>1</v>
      </c>
      <c r="O200" s="204">
        <f t="shared" si="93"/>
        <v>12</v>
      </c>
      <c r="R200" s="198"/>
    </row>
    <row r="201" spans="1:18">
      <c r="A201" s="198">
        <f t="shared" si="90"/>
        <v>201</v>
      </c>
      <c r="B201" s="196" t="s">
        <v>174</v>
      </c>
      <c r="C201" s="204">
        <f t="shared" si="92"/>
        <v>1</v>
      </c>
      <c r="D201" s="204">
        <f>AVERAGE(C77:D77)</f>
        <v>1</v>
      </c>
      <c r="E201" s="204">
        <f>AVERAGE(C77:E77)</f>
        <v>1</v>
      </c>
      <c r="F201" s="204">
        <f>AVERAGE(C77:F77)</f>
        <v>1</v>
      </c>
      <c r="G201" s="204">
        <f>AVERAGE(C77:G77)</f>
        <v>1</v>
      </c>
      <c r="H201" s="204">
        <f>AVERAGE(C77:H77)</f>
        <v>1</v>
      </c>
      <c r="I201" s="204">
        <f>AVERAGE(C77:I77)</f>
        <v>1</v>
      </c>
      <c r="J201" s="204">
        <f>AVERAGE(C77:J77)</f>
        <v>1</v>
      </c>
      <c r="K201" s="204">
        <f>AVERAGE(C77:K77)</f>
        <v>1</v>
      </c>
      <c r="L201" s="204">
        <f>AVERAGE(C77:L77)</f>
        <v>1</v>
      </c>
      <c r="M201" s="204">
        <f>AVERAGE(C77:M77)</f>
        <v>1</v>
      </c>
      <c r="N201" s="204">
        <f>AVERAGE(C77:N77)</f>
        <v>1</v>
      </c>
      <c r="O201" s="204">
        <f t="shared" si="93"/>
        <v>12</v>
      </c>
      <c r="R201" s="198"/>
    </row>
    <row r="202" spans="1:18">
      <c r="A202" s="198">
        <f t="shared" si="90"/>
        <v>202</v>
      </c>
      <c r="B202" s="196" t="s">
        <v>175</v>
      </c>
      <c r="C202" s="204">
        <f t="shared" si="92"/>
        <v>1</v>
      </c>
      <c r="D202" s="204">
        <f>IFERROR(AVERAGE($C$78:D78),0)</f>
        <v>1</v>
      </c>
      <c r="E202" s="204">
        <f>IFERROR(AVERAGE($C$78:E78),0)</f>
        <v>1</v>
      </c>
      <c r="F202" s="204">
        <f>IFERROR(AVERAGE($C$78:F78),0)</f>
        <v>1</v>
      </c>
      <c r="G202" s="204">
        <f>IFERROR(AVERAGE($C$78:G78),0)</f>
        <v>1</v>
      </c>
      <c r="H202" s="204">
        <f>IFERROR(AVERAGE($C$78:H78),0)</f>
        <v>1</v>
      </c>
      <c r="I202" s="204">
        <f>IFERROR(AVERAGE($C$78:I78),0)</f>
        <v>1</v>
      </c>
      <c r="J202" s="204">
        <f>IFERROR(AVERAGE($C$78:J78),0)</f>
        <v>1</v>
      </c>
      <c r="K202" s="204">
        <f>IFERROR(AVERAGE($C$78:K78),0)</f>
        <v>1</v>
      </c>
      <c r="L202" s="204">
        <f>IFERROR(AVERAGE($C$78:L78),0)</f>
        <v>1</v>
      </c>
      <c r="M202" s="204">
        <f>IFERROR(AVERAGE($C$78:M78),0)</f>
        <v>1</v>
      </c>
      <c r="N202" s="204">
        <f>IFERROR(AVERAGE($C$78:N78),0)</f>
        <v>1</v>
      </c>
      <c r="O202" s="204">
        <f>IFERROR(AVERAGE($C$78:O78),0)</f>
        <v>1</v>
      </c>
      <c r="R202" s="198"/>
    </row>
    <row r="203" spans="1:18">
      <c r="A203" s="198">
        <f t="shared" si="90"/>
        <v>203</v>
      </c>
      <c r="B203" s="196" t="s">
        <v>176</v>
      </c>
      <c r="C203" s="204">
        <f t="shared" si="92"/>
        <v>1</v>
      </c>
      <c r="D203" s="204">
        <f>AVERAGE(C79:D79)</f>
        <v>1</v>
      </c>
      <c r="E203" s="204">
        <f>AVERAGE(C79:E79)</f>
        <v>1</v>
      </c>
      <c r="F203" s="204">
        <f>AVERAGE(C79:F79)</f>
        <v>1</v>
      </c>
      <c r="G203" s="204">
        <f>AVERAGE(C79:G79)</f>
        <v>1</v>
      </c>
      <c r="H203" s="204">
        <f>AVERAGE(C79:H79)</f>
        <v>1</v>
      </c>
      <c r="I203" s="204">
        <f>AVERAGE(C79:I79)</f>
        <v>1</v>
      </c>
      <c r="J203" s="204">
        <f>AVERAGE(C79:J79)</f>
        <v>1</v>
      </c>
      <c r="K203" s="204">
        <f>AVERAGE(C79:K79)</f>
        <v>1</v>
      </c>
      <c r="L203" s="204">
        <f>AVERAGE(C79:L79)</f>
        <v>1</v>
      </c>
      <c r="M203" s="204">
        <f>AVERAGE(C79:M79)</f>
        <v>1</v>
      </c>
      <c r="N203" s="204">
        <f>AVERAGE(C79:N79)</f>
        <v>1</v>
      </c>
      <c r="O203" s="204">
        <f t="shared" si="93"/>
        <v>12</v>
      </c>
      <c r="R203" s="198"/>
    </row>
    <row r="204" spans="1:18">
      <c r="A204" s="198">
        <f t="shared" si="90"/>
        <v>204</v>
      </c>
      <c r="B204" s="196" t="s">
        <v>177</v>
      </c>
      <c r="C204" s="204">
        <f t="shared" si="92"/>
        <v>1</v>
      </c>
      <c r="D204" s="204">
        <f>AVERAGE(C80:D80)</f>
        <v>1</v>
      </c>
      <c r="E204" s="204">
        <f>AVERAGE(C80:E80)</f>
        <v>1</v>
      </c>
      <c r="F204" s="204">
        <f>AVERAGE(C80:F80)</f>
        <v>1</v>
      </c>
      <c r="G204" s="204">
        <f>AVERAGE(C80:G80)</f>
        <v>1</v>
      </c>
      <c r="H204" s="204">
        <f>AVERAGE(C80:H80)</f>
        <v>1</v>
      </c>
      <c r="I204" s="204">
        <f>AVERAGE(C80:I80)</f>
        <v>1</v>
      </c>
      <c r="J204" s="204">
        <f>AVERAGE(C80:J80)</f>
        <v>1</v>
      </c>
      <c r="K204" s="204">
        <f>AVERAGE(C80:K80)</f>
        <v>1</v>
      </c>
      <c r="L204" s="204">
        <f>AVERAGE(C80:L80)</f>
        <v>1</v>
      </c>
      <c r="M204" s="204">
        <f>AVERAGE(C80:M80)</f>
        <v>1</v>
      </c>
      <c r="N204" s="204">
        <f>AVERAGE(C80:N80)</f>
        <v>1</v>
      </c>
      <c r="O204" s="204">
        <f t="shared" si="93"/>
        <v>12</v>
      </c>
      <c r="R204" s="198"/>
    </row>
    <row r="205" spans="1:18">
      <c r="A205" s="198">
        <f t="shared" si="90"/>
        <v>205</v>
      </c>
      <c r="B205" s="220" t="s">
        <v>179</v>
      </c>
      <c r="C205" s="216">
        <f>+C86</f>
        <v>1</v>
      </c>
      <c r="D205" s="216">
        <f>AVERAGE(C86:D86)</f>
        <v>1</v>
      </c>
      <c r="E205" s="216">
        <f>AVERAGE(C86:E86)</f>
        <v>1</v>
      </c>
      <c r="F205" s="216">
        <f>AVERAGE(C86:F86)</f>
        <v>1</v>
      </c>
      <c r="G205" s="216">
        <f>AVERAGE(C86:G86)</f>
        <v>1</v>
      </c>
      <c r="H205" s="216">
        <f>AVERAGE(C86:H86)</f>
        <v>1</v>
      </c>
      <c r="I205" s="216">
        <f>AVERAGE(C86:I86)</f>
        <v>1</v>
      </c>
      <c r="J205" s="216">
        <f>AVERAGE(C86:J86)</f>
        <v>1</v>
      </c>
      <c r="K205" s="216">
        <f>AVERAGE(C86:K86)</f>
        <v>1</v>
      </c>
      <c r="L205" s="216">
        <f>AVERAGE(C86:L86)</f>
        <v>1</v>
      </c>
      <c r="M205" s="216">
        <f>AVERAGE(C86:M86)</f>
        <v>1</v>
      </c>
      <c r="N205" s="216">
        <f>AVERAGE(C86:N86)</f>
        <v>1</v>
      </c>
      <c r="O205" s="216">
        <f t="shared" si="93"/>
        <v>12</v>
      </c>
      <c r="R205" s="198"/>
    </row>
    <row r="206" spans="1:18">
      <c r="A206" s="198">
        <f t="shared" si="90"/>
        <v>206</v>
      </c>
      <c r="B206" s="219" t="s">
        <v>186</v>
      </c>
      <c r="C206" s="204">
        <f t="shared" ref="C206:O206" si="94">SUM(C197:C205)</f>
        <v>10</v>
      </c>
      <c r="D206" s="204">
        <f t="shared" si="94"/>
        <v>10</v>
      </c>
      <c r="E206" s="204">
        <f t="shared" si="94"/>
        <v>10</v>
      </c>
      <c r="F206" s="204">
        <f t="shared" si="94"/>
        <v>10</v>
      </c>
      <c r="G206" s="204">
        <f t="shared" si="94"/>
        <v>10</v>
      </c>
      <c r="H206" s="204">
        <f t="shared" si="94"/>
        <v>10</v>
      </c>
      <c r="I206" s="204">
        <f t="shared" si="94"/>
        <v>10</v>
      </c>
      <c r="J206" s="204">
        <f t="shared" si="94"/>
        <v>10</v>
      </c>
      <c r="K206" s="204">
        <f t="shared" si="94"/>
        <v>10</v>
      </c>
      <c r="L206" s="204">
        <f t="shared" si="94"/>
        <v>10</v>
      </c>
      <c r="M206" s="204">
        <f t="shared" si="94"/>
        <v>10</v>
      </c>
      <c r="N206" s="204">
        <f t="shared" si="94"/>
        <v>10</v>
      </c>
      <c r="O206" s="204">
        <f t="shared" si="94"/>
        <v>109</v>
      </c>
      <c r="R206" s="198"/>
    </row>
    <row r="207" spans="1:18">
      <c r="A207" s="198">
        <f t="shared" si="90"/>
        <v>207</v>
      </c>
      <c r="B207" s="217" t="s">
        <v>187</v>
      </c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R207" s="198"/>
    </row>
    <row r="208" spans="1:18">
      <c r="A208" s="198">
        <f t="shared" si="90"/>
        <v>208</v>
      </c>
      <c r="B208" s="220" t="s">
        <v>179</v>
      </c>
      <c r="C208" s="204">
        <v>0</v>
      </c>
      <c r="D208" s="204">
        <v>0</v>
      </c>
      <c r="E208" s="204">
        <v>0</v>
      </c>
      <c r="F208" s="204">
        <v>0</v>
      </c>
      <c r="G208" s="204">
        <v>0</v>
      </c>
      <c r="H208" s="204">
        <v>0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f>SUM(C208:N208)</f>
        <v>0</v>
      </c>
      <c r="R208" s="198"/>
    </row>
    <row r="209" spans="1:18">
      <c r="A209" s="198">
        <f t="shared" si="90"/>
        <v>209</v>
      </c>
      <c r="B209" s="196" t="s">
        <v>188</v>
      </c>
      <c r="C209" s="204">
        <f>+C90</f>
        <v>1</v>
      </c>
      <c r="D209" s="204">
        <f>AVERAGE(C90:D90)</f>
        <v>1</v>
      </c>
      <c r="E209" s="204">
        <f>AVERAGE(C90:E90)</f>
        <v>1</v>
      </c>
      <c r="F209" s="204">
        <f>AVERAGE(C90:F90)</f>
        <v>1</v>
      </c>
      <c r="G209" s="204">
        <f>AVERAGE(C90:G90)</f>
        <v>1</v>
      </c>
      <c r="H209" s="204">
        <f>AVERAGE(C90:H90)</f>
        <v>1</v>
      </c>
      <c r="I209" s="204">
        <f>AVERAGE(C90:I90)</f>
        <v>1</v>
      </c>
      <c r="J209" s="204">
        <f>AVERAGE(C90:J90)</f>
        <v>1</v>
      </c>
      <c r="K209" s="204">
        <f>AVERAGE(C90:K90)</f>
        <v>1</v>
      </c>
      <c r="L209" s="204">
        <f>AVERAGE(C90:L90)</f>
        <v>1</v>
      </c>
      <c r="M209" s="204">
        <f>AVERAGE(C90:M90)</f>
        <v>1</v>
      </c>
      <c r="N209" s="204">
        <f>AVERAGE(C90:N90)</f>
        <v>1</v>
      </c>
      <c r="O209" s="204">
        <f>SUM(C209:N209)</f>
        <v>12</v>
      </c>
      <c r="R209" s="198"/>
    </row>
    <row r="210" spans="1:18">
      <c r="A210" s="198">
        <f t="shared" si="90"/>
        <v>210</v>
      </c>
      <c r="B210" s="196" t="s">
        <v>189</v>
      </c>
      <c r="C210" s="204">
        <f>+C91</f>
        <v>1</v>
      </c>
      <c r="D210" s="204">
        <f>AVERAGE(C91:D91)</f>
        <v>1</v>
      </c>
      <c r="E210" s="204">
        <f>AVERAGE(C91:E91)</f>
        <v>1</v>
      </c>
      <c r="F210" s="204">
        <f>AVERAGE(C91:F91)</f>
        <v>1</v>
      </c>
      <c r="G210" s="204">
        <f>AVERAGE(C91:G91)</f>
        <v>1</v>
      </c>
      <c r="H210" s="204">
        <f>AVERAGE(C91:H91)</f>
        <v>1</v>
      </c>
      <c r="I210" s="204">
        <f>AVERAGE(C91:I91)</f>
        <v>1</v>
      </c>
      <c r="J210" s="204">
        <f>AVERAGE(C91:J91)</f>
        <v>1</v>
      </c>
      <c r="K210" s="204">
        <f>AVERAGE(C91:K91)</f>
        <v>1</v>
      </c>
      <c r="L210" s="204">
        <f>AVERAGE(C91:L91)</f>
        <v>1</v>
      </c>
      <c r="M210" s="204">
        <f>AVERAGE(C91:M91)</f>
        <v>1</v>
      </c>
      <c r="N210" s="204">
        <f>AVERAGE(C91:N91)</f>
        <v>1</v>
      </c>
      <c r="O210" s="204">
        <f>SUM(C210:N210)</f>
        <v>12</v>
      </c>
      <c r="R210" s="198"/>
    </row>
    <row r="211" spans="1:18">
      <c r="A211" s="198">
        <f t="shared" si="90"/>
        <v>211</v>
      </c>
      <c r="B211" s="219" t="s">
        <v>191</v>
      </c>
      <c r="C211" s="214">
        <f t="shared" ref="C211:N211" si="95">SUM(C208:C209)</f>
        <v>1</v>
      </c>
      <c r="D211" s="214">
        <f t="shared" si="95"/>
        <v>1</v>
      </c>
      <c r="E211" s="214">
        <f t="shared" si="95"/>
        <v>1</v>
      </c>
      <c r="F211" s="214">
        <f t="shared" si="95"/>
        <v>1</v>
      </c>
      <c r="G211" s="214">
        <f t="shared" si="95"/>
        <v>1</v>
      </c>
      <c r="H211" s="214">
        <f t="shared" si="95"/>
        <v>1</v>
      </c>
      <c r="I211" s="214">
        <f t="shared" si="95"/>
        <v>1</v>
      </c>
      <c r="J211" s="214">
        <f t="shared" si="95"/>
        <v>1</v>
      </c>
      <c r="K211" s="214">
        <f t="shared" si="95"/>
        <v>1</v>
      </c>
      <c r="L211" s="214">
        <f t="shared" si="95"/>
        <v>1</v>
      </c>
      <c r="M211" s="214">
        <f t="shared" si="95"/>
        <v>1</v>
      </c>
      <c r="N211" s="214">
        <f t="shared" si="95"/>
        <v>1</v>
      </c>
      <c r="O211" s="214">
        <f>SUM(C211:N211)</f>
        <v>12</v>
      </c>
      <c r="R211" s="198"/>
    </row>
    <row r="212" spans="1:18">
      <c r="A212" s="198">
        <f t="shared" si="90"/>
        <v>212</v>
      </c>
      <c r="B212" s="217" t="s">
        <v>192</v>
      </c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R212" s="198"/>
    </row>
    <row r="213" spans="1:18">
      <c r="A213" s="198">
        <f t="shared" si="90"/>
        <v>213</v>
      </c>
      <c r="B213" s="196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R213" s="198"/>
    </row>
    <row r="214" spans="1:18">
      <c r="A214" s="198">
        <f t="shared" si="90"/>
        <v>214</v>
      </c>
      <c r="B214" s="196" t="s">
        <v>172</v>
      </c>
      <c r="C214" s="216">
        <f>+C96</f>
        <v>0</v>
      </c>
      <c r="D214" s="216">
        <f>AVERAGE(C96:D96)</f>
        <v>0</v>
      </c>
      <c r="E214" s="216">
        <f>AVERAGE(C96:E96)</f>
        <v>0</v>
      </c>
      <c r="F214" s="216">
        <f>AVERAGE(C96:F96)</f>
        <v>0</v>
      </c>
      <c r="G214" s="216">
        <f>AVERAGE(C96:G96)</f>
        <v>0</v>
      </c>
      <c r="H214" s="216">
        <f>AVERAGE(C96:H96)</f>
        <v>0</v>
      </c>
      <c r="I214" s="216">
        <f>AVERAGE(C96:I96)</f>
        <v>0</v>
      </c>
      <c r="J214" s="216">
        <f>AVERAGE(C96:J96)</f>
        <v>0</v>
      </c>
      <c r="K214" s="216">
        <f>AVERAGE(C96:K96)</f>
        <v>0</v>
      </c>
      <c r="L214" s="216">
        <f>AVERAGE(C96:L96)</f>
        <v>0</v>
      </c>
      <c r="M214" s="216">
        <f>AVERAGE(C96:M96)</f>
        <v>0</v>
      </c>
      <c r="N214" s="216">
        <f>AVERAGE(C96:N96)</f>
        <v>0</v>
      </c>
      <c r="O214" s="216">
        <f>SUM(C214:N214)</f>
        <v>0</v>
      </c>
      <c r="R214" s="198"/>
    </row>
    <row r="215" spans="1:18">
      <c r="A215" s="198">
        <f t="shared" si="90"/>
        <v>215</v>
      </c>
      <c r="B215" s="219" t="s">
        <v>193</v>
      </c>
      <c r="C215" s="204">
        <f t="shared" ref="C215:O215" si="96">SUM(C213:C214)</f>
        <v>0</v>
      </c>
      <c r="D215" s="204">
        <f t="shared" si="96"/>
        <v>0</v>
      </c>
      <c r="E215" s="204">
        <f t="shared" si="96"/>
        <v>0</v>
      </c>
      <c r="F215" s="204">
        <f t="shared" si="96"/>
        <v>0</v>
      </c>
      <c r="G215" s="204">
        <f t="shared" si="96"/>
        <v>0</v>
      </c>
      <c r="H215" s="204">
        <f t="shared" si="96"/>
        <v>0</v>
      </c>
      <c r="I215" s="204">
        <f t="shared" si="96"/>
        <v>0</v>
      </c>
      <c r="J215" s="204">
        <f t="shared" si="96"/>
        <v>0</v>
      </c>
      <c r="K215" s="204">
        <f t="shared" si="96"/>
        <v>0</v>
      </c>
      <c r="L215" s="204">
        <f t="shared" si="96"/>
        <v>0</v>
      </c>
      <c r="M215" s="204">
        <f t="shared" si="96"/>
        <v>0</v>
      </c>
      <c r="N215" s="204">
        <f t="shared" si="96"/>
        <v>0</v>
      </c>
      <c r="O215" s="204">
        <f t="shared" si="96"/>
        <v>0</v>
      </c>
      <c r="R215" s="198"/>
    </row>
    <row r="216" spans="1:18">
      <c r="A216" s="198">
        <f t="shared" si="90"/>
        <v>216</v>
      </c>
      <c r="B216" s="219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R216" s="198"/>
    </row>
    <row r="217" spans="1:18">
      <c r="A217" s="198">
        <f t="shared" si="90"/>
        <v>217</v>
      </c>
      <c r="B217" s="221" t="s">
        <v>194</v>
      </c>
      <c r="C217" s="222">
        <f t="shared" ref="C217:O217" si="97">+C139+C148+C186+C195+C206+C211+C215</f>
        <v>79007</v>
      </c>
      <c r="D217" s="222">
        <f t="shared" si="97"/>
        <v>79054.5</v>
      </c>
      <c r="E217" s="222">
        <f t="shared" si="97"/>
        <v>79201.000000000015</v>
      </c>
      <c r="F217" s="222">
        <f t="shared" si="97"/>
        <v>79320.5</v>
      </c>
      <c r="G217" s="222">
        <f t="shared" si="97"/>
        <v>79386.8</v>
      </c>
      <c r="H217" s="222">
        <f t="shared" si="97"/>
        <v>79460.666666666672</v>
      </c>
      <c r="I217" s="222">
        <f t="shared" si="97"/>
        <v>79513.285714285725</v>
      </c>
      <c r="J217" s="222">
        <f t="shared" si="97"/>
        <v>79574.375</v>
      </c>
      <c r="K217" s="222">
        <f t="shared" si="97"/>
        <v>79645.111111111124</v>
      </c>
      <c r="L217" s="222">
        <f t="shared" si="97"/>
        <v>79705.7</v>
      </c>
      <c r="M217" s="222">
        <f t="shared" si="97"/>
        <v>79803.181818181823</v>
      </c>
      <c r="N217" s="222">
        <f t="shared" si="97"/>
        <v>79915.249999999985</v>
      </c>
      <c r="O217" s="223">
        <f t="shared" si="97"/>
        <v>953576.37031024531</v>
      </c>
      <c r="R217" s="198"/>
    </row>
    <row r="218" spans="1:18">
      <c r="A218" s="198">
        <f t="shared" si="90"/>
        <v>218</v>
      </c>
      <c r="B218" s="224" t="s">
        <v>195</v>
      </c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R218" s="198"/>
    </row>
    <row r="219" spans="1:18">
      <c r="A219" s="198">
        <f t="shared" si="90"/>
        <v>219</v>
      </c>
      <c r="B219" s="196" t="s">
        <v>197</v>
      </c>
      <c r="C219" s="204">
        <f>+C101</f>
        <v>1</v>
      </c>
      <c r="D219" s="204">
        <f>AVERAGE(C101:D101)</f>
        <v>1</v>
      </c>
      <c r="E219" s="204">
        <f>AVERAGE(C101:E101)</f>
        <v>1</v>
      </c>
      <c r="F219" s="204">
        <f>AVERAGE(C101:F101)</f>
        <v>1</v>
      </c>
      <c r="G219" s="204">
        <f>AVERAGE(C101:G101)</f>
        <v>1</v>
      </c>
      <c r="H219" s="204">
        <f>AVERAGE(C101:H101)</f>
        <v>1</v>
      </c>
      <c r="I219" s="204">
        <f>AVERAGE(C101:I101)</f>
        <v>1</v>
      </c>
      <c r="J219" s="204">
        <f>AVERAGE(C101:J101)</f>
        <v>1</v>
      </c>
      <c r="K219" s="204">
        <f>AVERAGE(C101:K101)</f>
        <v>1</v>
      </c>
      <c r="L219" s="204">
        <f>AVERAGE(C101:L101)</f>
        <v>1</v>
      </c>
      <c r="M219" s="204">
        <f>AVERAGE(C101:M101)</f>
        <v>1</v>
      </c>
      <c r="N219" s="204">
        <f>AVERAGE(C101:N101)</f>
        <v>1</v>
      </c>
      <c r="O219" s="204">
        <f>SUM(C219:N219)</f>
        <v>12</v>
      </c>
      <c r="R219" s="198"/>
    </row>
    <row r="220" spans="1:18">
      <c r="A220" s="198">
        <f t="shared" si="90"/>
        <v>220</v>
      </c>
      <c r="B220" s="197" t="s">
        <v>198</v>
      </c>
      <c r="C220" s="216">
        <f>+C102</f>
        <v>1</v>
      </c>
      <c r="D220" s="216">
        <f>AVERAGE(C102:D102)</f>
        <v>1</v>
      </c>
      <c r="E220" s="216">
        <f>AVERAGE(C102:E102)</f>
        <v>1</v>
      </c>
      <c r="F220" s="216">
        <f>AVERAGE(C102:F102)</f>
        <v>1</v>
      </c>
      <c r="G220" s="216">
        <f>AVERAGE(C102:G102)</f>
        <v>1</v>
      </c>
      <c r="H220" s="216">
        <f>AVERAGE(C102:H102)</f>
        <v>1</v>
      </c>
      <c r="I220" s="216">
        <f>AVERAGE(C102:I102)</f>
        <v>1</v>
      </c>
      <c r="J220" s="216">
        <f>AVERAGE(C102:J102)</f>
        <v>1</v>
      </c>
      <c r="K220" s="216">
        <f>AVERAGE(C102:K102)</f>
        <v>1</v>
      </c>
      <c r="L220" s="216">
        <f>AVERAGE(C102:L102)</f>
        <v>1</v>
      </c>
      <c r="M220" s="216">
        <f>AVERAGE(C102:M102)</f>
        <v>1</v>
      </c>
      <c r="N220" s="216">
        <f>AVERAGE(C102:N102)</f>
        <v>1</v>
      </c>
      <c r="O220" s="216">
        <f>SUM(C220:N220)</f>
        <v>12</v>
      </c>
      <c r="R220" s="198"/>
    </row>
    <row r="221" spans="1:18">
      <c r="A221" s="198">
        <f t="shared" si="90"/>
        <v>221</v>
      </c>
      <c r="B221" s="219" t="s">
        <v>199</v>
      </c>
      <c r="C221" s="204">
        <f t="shared" ref="C221:N221" si="98">SUM(C219:C220)</f>
        <v>2</v>
      </c>
      <c r="D221" s="204">
        <f t="shared" si="98"/>
        <v>2</v>
      </c>
      <c r="E221" s="204">
        <f t="shared" si="98"/>
        <v>2</v>
      </c>
      <c r="F221" s="204">
        <f t="shared" si="98"/>
        <v>2</v>
      </c>
      <c r="G221" s="204">
        <f t="shared" si="98"/>
        <v>2</v>
      </c>
      <c r="H221" s="204">
        <f t="shared" si="98"/>
        <v>2</v>
      </c>
      <c r="I221" s="204">
        <f t="shared" si="98"/>
        <v>2</v>
      </c>
      <c r="J221" s="204">
        <f t="shared" si="98"/>
        <v>2</v>
      </c>
      <c r="K221" s="204">
        <f t="shared" si="98"/>
        <v>2</v>
      </c>
      <c r="L221" s="204">
        <f t="shared" si="98"/>
        <v>2</v>
      </c>
      <c r="M221" s="204">
        <f t="shared" si="98"/>
        <v>2</v>
      </c>
      <c r="N221" s="204">
        <f t="shared" si="98"/>
        <v>2</v>
      </c>
      <c r="O221" s="204">
        <f>SUM(C221:N221)</f>
        <v>24</v>
      </c>
      <c r="R221" s="198"/>
    </row>
    <row r="222" spans="1:18">
      <c r="A222" s="198">
        <f t="shared" si="90"/>
        <v>222</v>
      </c>
      <c r="B222" s="217" t="s">
        <v>200</v>
      </c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R222" s="198"/>
    </row>
    <row r="223" spans="1:18">
      <c r="A223" s="198">
        <f t="shared" si="90"/>
        <v>223</v>
      </c>
      <c r="B223" s="196" t="s">
        <v>202</v>
      </c>
      <c r="C223" s="204">
        <f>+C106</f>
        <v>1</v>
      </c>
      <c r="D223" s="204">
        <f>AVERAGE(C106:D106)</f>
        <v>1</v>
      </c>
      <c r="E223" s="204">
        <f>AVERAGE(C106:E106)</f>
        <v>1</v>
      </c>
      <c r="F223" s="204">
        <f>AVERAGE(C106:F106)</f>
        <v>1</v>
      </c>
      <c r="G223" s="204">
        <f>AVERAGE(C106:G106)</f>
        <v>1</v>
      </c>
      <c r="H223" s="204">
        <f>AVERAGE(C106:H106)</f>
        <v>1</v>
      </c>
      <c r="I223" s="204">
        <f>AVERAGE(C106:I106)</f>
        <v>1</v>
      </c>
      <c r="J223" s="204">
        <f>AVERAGE(C106:J106)</f>
        <v>1</v>
      </c>
      <c r="K223" s="204">
        <f>AVERAGE(C106:K106)</f>
        <v>1</v>
      </c>
      <c r="L223" s="204">
        <f>AVERAGE(C106:L106)</f>
        <v>1</v>
      </c>
      <c r="M223" s="204">
        <f>AVERAGE(C106:M106)</f>
        <v>1</v>
      </c>
      <c r="N223" s="204">
        <f>AVERAGE(C106:N106)</f>
        <v>1</v>
      </c>
      <c r="O223" s="204">
        <f>SUM(C223:N223)</f>
        <v>12</v>
      </c>
      <c r="R223" s="198"/>
    </row>
    <row r="224" spans="1:18">
      <c r="A224" s="198">
        <f t="shared" si="90"/>
        <v>224</v>
      </c>
      <c r="B224" s="197" t="s">
        <v>203</v>
      </c>
      <c r="C224" s="216">
        <f>+C107</f>
        <v>1</v>
      </c>
      <c r="D224" s="216">
        <f>AVERAGE(C107:D107)</f>
        <v>1</v>
      </c>
      <c r="E224" s="216">
        <f>AVERAGE(C107:E107)</f>
        <v>1</v>
      </c>
      <c r="F224" s="216">
        <f>AVERAGE(C107:F107)</f>
        <v>1</v>
      </c>
      <c r="G224" s="216">
        <f>AVERAGE(C107:G107)</f>
        <v>1</v>
      </c>
      <c r="H224" s="216">
        <f>AVERAGE(C107:H107)</f>
        <v>1</v>
      </c>
      <c r="I224" s="216">
        <f>AVERAGE(C107:I107)</f>
        <v>1</v>
      </c>
      <c r="J224" s="216">
        <f>AVERAGE(C107:J107)</f>
        <v>1</v>
      </c>
      <c r="K224" s="216">
        <f>AVERAGE(C107:K107)</f>
        <v>1</v>
      </c>
      <c r="L224" s="216">
        <f>AVERAGE(C107:L107)</f>
        <v>1</v>
      </c>
      <c r="M224" s="216">
        <f>AVERAGE(C107:M107)</f>
        <v>1</v>
      </c>
      <c r="N224" s="216">
        <f>AVERAGE(C107:N107)</f>
        <v>1</v>
      </c>
      <c r="O224" s="216">
        <f>SUM(C224:N224)</f>
        <v>12</v>
      </c>
    </row>
    <row r="225" spans="1:15">
      <c r="A225" s="198">
        <f t="shared" si="90"/>
        <v>225</v>
      </c>
      <c r="B225" s="219" t="s">
        <v>204</v>
      </c>
      <c r="C225" s="204">
        <f t="shared" ref="C225:N225" si="99">SUM(C223:C224)</f>
        <v>2</v>
      </c>
      <c r="D225" s="204">
        <f t="shared" si="99"/>
        <v>2</v>
      </c>
      <c r="E225" s="204">
        <f t="shared" si="99"/>
        <v>2</v>
      </c>
      <c r="F225" s="204">
        <f t="shared" si="99"/>
        <v>2</v>
      </c>
      <c r="G225" s="204">
        <f t="shared" si="99"/>
        <v>2</v>
      </c>
      <c r="H225" s="204">
        <f t="shared" si="99"/>
        <v>2</v>
      </c>
      <c r="I225" s="204">
        <f t="shared" si="99"/>
        <v>2</v>
      </c>
      <c r="J225" s="204">
        <f t="shared" si="99"/>
        <v>2</v>
      </c>
      <c r="K225" s="204">
        <f t="shared" si="99"/>
        <v>2</v>
      </c>
      <c r="L225" s="204">
        <f t="shared" si="99"/>
        <v>2</v>
      </c>
      <c r="M225" s="204">
        <f t="shared" si="99"/>
        <v>2</v>
      </c>
      <c r="N225" s="204">
        <f t="shared" si="99"/>
        <v>2</v>
      </c>
      <c r="O225" s="204">
        <f>SUM(C225:N225)</f>
        <v>24</v>
      </c>
    </row>
    <row r="226" spans="1:15">
      <c r="A226" s="198">
        <f t="shared" si="90"/>
        <v>226</v>
      </c>
      <c r="B226" s="219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</row>
    <row r="227" spans="1:15">
      <c r="A227" s="198">
        <f t="shared" si="90"/>
        <v>227</v>
      </c>
      <c r="B227" s="221" t="s">
        <v>205</v>
      </c>
      <c r="C227" s="222">
        <f t="shared" ref="C227:O227" si="100">+C221+C225</f>
        <v>4</v>
      </c>
      <c r="D227" s="222">
        <f t="shared" si="100"/>
        <v>4</v>
      </c>
      <c r="E227" s="222">
        <f t="shared" si="100"/>
        <v>4</v>
      </c>
      <c r="F227" s="222">
        <f t="shared" si="100"/>
        <v>4</v>
      </c>
      <c r="G227" s="222">
        <f t="shared" si="100"/>
        <v>4</v>
      </c>
      <c r="H227" s="222">
        <f t="shared" si="100"/>
        <v>4</v>
      </c>
      <c r="I227" s="222">
        <f t="shared" si="100"/>
        <v>4</v>
      </c>
      <c r="J227" s="222">
        <f t="shared" si="100"/>
        <v>4</v>
      </c>
      <c r="K227" s="222">
        <f t="shared" si="100"/>
        <v>4</v>
      </c>
      <c r="L227" s="222">
        <f t="shared" si="100"/>
        <v>4</v>
      </c>
      <c r="M227" s="222">
        <f t="shared" si="100"/>
        <v>4</v>
      </c>
      <c r="N227" s="222">
        <f t="shared" si="100"/>
        <v>4</v>
      </c>
      <c r="O227" s="223">
        <f t="shared" si="100"/>
        <v>48</v>
      </c>
    </row>
    <row r="228" spans="1:15">
      <c r="A228" s="198">
        <f t="shared" si="90"/>
        <v>228</v>
      </c>
      <c r="B228" s="219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</row>
    <row r="229" spans="1:15">
      <c r="A229" s="198">
        <f t="shared" si="90"/>
        <v>229</v>
      </c>
      <c r="B229" s="221" t="s">
        <v>206</v>
      </c>
      <c r="C229" s="222">
        <f t="shared" ref="C229:O229" si="101">+C217+C227</f>
        <v>79011</v>
      </c>
      <c r="D229" s="222">
        <f t="shared" si="101"/>
        <v>79058.5</v>
      </c>
      <c r="E229" s="222">
        <f t="shared" si="101"/>
        <v>79205.000000000015</v>
      </c>
      <c r="F229" s="222">
        <f t="shared" si="101"/>
        <v>79324.5</v>
      </c>
      <c r="G229" s="222">
        <f t="shared" si="101"/>
        <v>79390.8</v>
      </c>
      <c r="H229" s="222">
        <f t="shared" si="101"/>
        <v>79464.666666666672</v>
      </c>
      <c r="I229" s="222">
        <f t="shared" si="101"/>
        <v>79517.285714285725</v>
      </c>
      <c r="J229" s="222">
        <f t="shared" si="101"/>
        <v>79578.375</v>
      </c>
      <c r="K229" s="222">
        <f t="shared" si="101"/>
        <v>79649.111111111124</v>
      </c>
      <c r="L229" s="222">
        <f t="shared" si="101"/>
        <v>79709.7</v>
      </c>
      <c r="M229" s="222">
        <f t="shared" si="101"/>
        <v>79807.181818181823</v>
      </c>
      <c r="N229" s="222">
        <f t="shared" si="101"/>
        <v>79919.249999999985</v>
      </c>
      <c r="O229" s="223">
        <f t="shared" si="101"/>
        <v>953624.37031024531</v>
      </c>
    </row>
    <row r="230" spans="1:15">
      <c r="A230" s="198">
        <f t="shared" si="90"/>
        <v>230</v>
      </c>
    </row>
    <row r="231" spans="1:15">
      <c r="A231" s="198">
        <f t="shared" si="90"/>
        <v>231</v>
      </c>
      <c r="B231" s="227" t="s">
        <v>219</v>
      </c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</row>
    <row r="232" spans="1:15">
      <c r="A232" s="198">
        <f t="shared" si="90"/>
        <v>232</v>
      </c>
      <c r="B232" s="228" t="s">
        <v>138</v>
      </c>
      <c r="C232" s="204">
        <f t="shared" ref="C232:C237" si="102">+C113</f>
        <v>169</v>
      </c>
      <c r="D232" s="204">
        <f>AVERAGE($C113:D113)</f>
        <v>171.5</v>
      </c>
      <c r="E232" s="204">
        <f>AVERAGE($C113:E113)</f>
        <v>172.33333333333334</v>
      </c>
      <c r="F232" s="204">
        <f>AVERAGE($C113:F113)</f>
        <v>171.75</v>
      </c>
      <c r="G232" s="204">
        <f>AVERAGE($C113:G113)</f>
        <v>171.6</v>
      </c>
      <c r="H232" s="204">
        <f>AVERAGE($C113:H113)</f>
        <v>172.83333333333334</v>
      </c>
      <c r="I232" s="204">
        <f>AVERAGE($C113:I113)</f>
        <v>173.71428571428572</v>
      </c>
      <c r="J232" s="204">
        <f>AVERAGE($C113:J113)</f>
        <v>174.25</v>
      </c>
      <c r="K232" s="204">
        <f>AVERAGE($C113:K113)</f>
        <v>174.77777777777777</v>
      </c>
      <c r="L232" s="204">
        <f>AVERAGE($C113:L113)</f>
        <v>175</v>
      </c>
      <c r="M232" s="204">
        <f>AVERAGE($C113:M113)</f>
        <v>175.27272727272728</v>
      </c>
      <c r="N232" s="204">
        <f>AVERAGE($C113:N113)</f>
        <v>175.75</v>
      </c>
      <c r="O232" s="204">
        <f t="shared" ref="O232:O237" si="103">AVERAGE(C232:N232)</f>
        <v>173.14845478595478</v>
      </c>
    </row>
    <row r="233" spans="1:15">
      <c r="A233" s="198">
        <f t="shared" si="90"/>
        <v>233</v>
      </c>
      <c r="B233" s="228" t="s">
        <v>141</v>
      </c>
      <c r="C233" s="204">
        <f t="shared" si="102"/>
        <v>844</v>
      </c>
      <c r="D233" s="204">
        <f>AVERAGE($C114:D114)</f>
        <v>843.5</v>
      </c>
      <c r="E233" s="204">
        <f>AVERAGE($C114:E114)</f>
        <v>848.66666666666663</v>
      </c>
      <c r="F233" s="204">
        <f>AVERAGE($C114:F114)</f>
        <v>847</v>
      </c>
      <c r="G233" s="204">
        <f>AVERAGE($C114:G114)</f>
        <v>847.4</v>
      </c>
      <c r="H233" s="204">
        <f>AVERAGE($C114:H114)</f>
        <v>853.33333333333337</v>
      </c>
      <c r="I233" s="204">
        <f>AVERAGE($C114:I114)</f>
        <v>854.57142857142856</v>
      </c>
      <c r="J233" s="204">
        <f>AVERAGE($C114:J114)</f>
        <v>858.25</v>
      </c>
      <c r="K233" s="204">
        <f>AVERAGE($C114:K114)</f>
        <v>864</v>
      </c>
      <c r="L233" s="204">
        <f>AVERAGE($C114:L114)</f>
        <v>869.4</v>
      </c>
      <c r="M233" s="204">
        <f>AVERAGE($C114:M114)</f>
        <v>875.36363636363637</v>
      </c>
      <c r="N233" s="204">
        <f>AVERAGE($C114:N114)</f>
        <v>881.08333333333337</v>
      </c>
      <c r="O233" s="204">
        <f t="shared" si="103"/>
        <v>857.21403318903322</v>
      </c>
    </row>
    <row r="234" spans="1:15">
      <c r="A234" s="198">
        <f t="shared" si="90"/>
        <v>234</v>
      </c>
      <c r="B234" s="228" t="s">
        <v>145</v>
      </c>
      <c r="C234" s="204">
        <f t="shared" si="102"/>
        <v>1130</v>
      </c>
      <c r="D234" s="204">
        <f>AVERAGE($C115:D115)</f>
        <v>1132</v>
      </c>
      <c r="E234" s="204">
        <f>AVERAGE($C115:E115)</f>
        <v>1137.6666666666667</v>
      </c>
      <c r="F234" s="204">
        <f>AVERAGE($C115:F115)</f>
        <v>1140.75</v>
      </c>
      <c r="G234" s="204">
        <f>AVERAGE($C115:G115)</f>
        <v>1142</v>
      </c>
      <c r="H234" s="204">
        <f>AVERAGE($C115:H115)</f>
        <v>1143.5</v>
      </c>
      <c r="I234" s="204">
        <f>AVERAGE($C115:I115)</f>
        <v>1145.8571428571429</v>
      </c>
      <c r="J234" s="204">
        <f>AVERAGE($C115:J115)</f>
        <v>1152</v>
      </c>
      <c r="K234" s="204">
        <f>AVERAGE($C115:K115)</f>
        <v>1151.8888888888889</v>
      </c>
      <c r="L234" s="204">
        <f>AVERAGE($C115:L115)</f>
        <v>1151.2</v>
      </c>
      <c r="M234" s="204">
        <f>AVERAGE($C115:M115)</f>
        <v>1150.4545454545455</v>
      </c>
      <c r="N234" s="204">
        <f>AVERAGE($C115:N115)</f>
        <v>1151.5833333333333</v>
      </c>
      <c r="O234" s="204">
        <f t="shared" si="103"/>
        <v>1144.0750481000482</v>
      </c>
    </row>
    <row r="235" spans="1:15">
      <c r="A235" s="198">
        <f t="shared" si="90"/>
        <v>235</v>
      </c>
      <c r="B235" s="228" t="s">
        <v>146</v>
      </c>
      <c r="C235" s="204">
        <f t="shared" si="102"/>
        <v>59</v>
      </c>
      <c r="D235" s="204">
        <f>AVERAGE($C116:D116)</f>
        <v>55</v>
      </c>
      <c r="E235" s="204">
        <f>AVERAGE($C116:E116)</f>
        <v>55.333333333333336</v>
      </c>
      <c r="F235" s="204">
        <f>AVERAGE($C116:F116)</f>
        <v>54.75</v>
      </c>
      <c r="G235" s="204">
        <f>AVERAGE($C116:G116)</f>
        <v>54</v>
      </c>
      <c r="H235" s="204">
        <f>AVERAGE($C116:H116)</f>
        <v>55.5</v>
      </c>
      <c r="I235" s="204">
        <f>AVERAGE($C116:I116)</f>
        <v>55.142857142857146</v>
      </c>
      <c r="J235" s="204">
        <f>AVERAGE($C116:J116)</f>
        <v>54.5</v>
      </c>
      <c r="K235" s="204">
        <f>AVERAGE($C116:K116)</f>
        <v>54.222222222222221</v>
      </c>
      <c r="L235" s="204">
        <f>AVERAGE($C116:L116)</f>
        <v>54.1</v>
      </c>
      <c r="M235" s="204">
        <f>AVERAGE($C116:M116)</f>
        <v>54.727272727272727</v>
      </c>
      <c r="N235" s="204">
        <f>AVERAGE($C116:N116)</f>
        <v>54.666666666666664</v>
      </c>
      <c r="O235" s="204">
        <f t="shared" si="103"/>
        <v>55.078529341029345</v>
      </c>
    </row>
    <row r="236" spans="1:15">
      <c r="A236" s="198">
        <f t="shared" si="90"/>
        <v>236</v>
      </c>
      <c r="B236" s="228" t="s">
        <v>149</v>
      </c>
      <c r="C236" s="204">
        <f t="shared" si="102"/>
        <v>17</v>
      </c>
      <c r="D236" s="204">
        <f>AVERAGE($C117:D117)</f>
        <v>17</v>
      </c>
      <c r="E236" s="204">
        <f>AVERAGE($C117:E117)</f>
        <v>17</v>
      </c>
      <c r="F236" s="204">
        <f>AVERAGE($C117:F117)</f>
        <v>17</v>
      </c>
      <c r="G236" s="204">
        <f>AVERAGE($C117:G117)</f>
        <v>17.399999999999999</v>
      </c>
      <c r="H236" s="204">
        <f>AVERAGE($C117:H117)</f>
        <v>17.333333333333332</v>
      </c>
      <c r="I236" s="204">
        <f>AVERAGE($C117:I117)</f>
        <v>17.285714285714285</v>
      </c>
      <c r="J236" s="204">
        <f>AVERAGE($C117:J117)</f>
        <v>17.25</v>
      </c>
      <c r="K236" s="204">
        <f>AVERAGE($C117:K117)</f>
        <v>17.222222222222221</v>
      </c>
      <c r="L236" s="204">
        <f>AVERAGE($C117:L117)</f>
        <v>17.2</v>
      </c>
      <c r="M236" s="204">
        <f>AVERAGE($C117:M117)</f>
        <v>17.181818181818183</v>
      </c>
      <c r="N236" s="204">
        <f>AVERAGE($C117:N117)</f>
        <v>17.25</v>
      </c>
      <c r="O236" s="204">
        <f t="shared" si="103"/>
        <v>17.176924001924004</v>
      </c>
    </row>
    <row r="237" spans="1:15">
      <c r="A237" s="198">
        <f t="shared" si="90"/>
        <v>237</v>
      </c>
      <c r="B237" s="228" t="s">
        <v>220</v>
      </c>
      <c r="C237" s="204">
        <f t="shared" si="102"/>
        <v>7</v>
      </c>
      <c r="D237" s="204">
        <f>AVERAGE($C118:D118)</f>
        <v>7</v>
      </c>
      <c r="E237" s="204">
        <f>AVERAGE($C118:E118)</f>
        <v>7</v>
      </c>
      <c r="F237" s="204">
        <f>AVERAGE($C118:F118)</f>
        <v>7</v>
      </c>
      <c r="G237" s="204">
        <f>AVERAGE($C118:G118)</f>
        <v>7</v>
      </c>
      <c r="H237" s="204">
        <f>AVERAGE($C118:H118)</f>
        <v>7</v>
      </c>
      <c r="I237" s="204">
        <f>AVERAGE($C118:I118)</f>
        <v>7</v>
      </c>
      <c r="J237" s="204">
        <f>AVERAGE($C118:J118)</f>
        <v>7</v>
      </c>
      <c r="K237" s="204">
        <f>AVERAGE($C118:K118)</f>
        <v>7</v>
      </c>
      <c r="L237" s="204">
        <f>AVERAGE($C118:L118)</f>
        <v>7</v>
      </c>
      <c r="M237" s="204">
        <f>AVERAGE($C118:M118)</f>
        <v>7</v>
      </c>
      <c r="N237" s="204">
        <f>AVERAGE($C118:N118)</f>
        <v>7.083333333333333</v>
      </c>
      <c r="O237" s="204">
        <f t="shared" si="103"/>
        <v>7.0069444444444438</v>
      </c>
    </row>
    <row r="238" spans="1:15">
      <c r="A238" s="198">
        <f t="shared" si="90"/>
        <v>238</v>
      </c>
      <c r="B238" s="229" t="s">
        <v>221</v>
      </c>
      <c r="C238" s="226">
        <f t="shared" ref="C238:O238" si="104">+SUM(C232:C237)</f>
        <v>2226</v>
      </c>
      <c r="D238" s="226">
        <f t="shared" si="104"/>
        <v>2226</v>
      </c>
      <c r="E238" s="226">
        <f t="shared" si="104"/>
        <v>2238.0000000000005</v>
      </c>
      <c r="F238" s="226">
        <f t="shared" si="104"/>
        <v>2238.25</v>
      </c>
      <c r="G238" s="226">
        <f t="shared" si="104"/>
        <v>2239.4</v>
      </c>
      <c r="H238" s="226">
        <f t="shared" si="104"/>
        <v>2249.5000000000005</v>
      </c>
      <c r="I238" s="226">
        <f t="shared" si="104"/>
        <v>2253.5714285714284</v>
      </c>
      <c r="J238" s="226">
        <f t="shared" si="104"/>
        <v>2263.25</v>
      </c>
      <c r="K238" s="226">
        <f t="shared" si="104"/>
        <v>2269.1111111111113</v>
      </c>
      <c r="L238" s="226">
        <f t="shared" si="104"/>
        <v>2273.9</v>
      </c>
      <c r="M238" s="226">
        <f t="shared" si="104"/>
        <v>2279.9999999999995</v>
      </c>
      <c r="N238" s="226">
        <f t="shared" si="104"/>
        <v>2287.416666666667</v>
      </c>
      <c r="O238" s="226">
        <f t="shared" si="104"/>
        <v>2253.6999338624341</v>
      </c>
    </row>
    <row r="239" spans="1:15">
      <c r="A239" s="198">
        <f t="shared" si="90"/>
        <v>239</v>
      </c>
      <c r="B239" s="229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</row>
    <row r="240" spans="1:15">
      <c r="A240" s="198">
        <f t="shared" si="90"/>
        <v>240</v>
      </c>
      <c r="B240" s="227" t="s">
        <v>222</v>
      </c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</row>
    <row r="241" spans="1:21">
      <c r="A241" s="198">
        <f t="shared" si="90"/>
        <v>241</v>
      </c>
      <c r="B241" s="228" t="s">
        <v>146</v>
      </c>
      <c r="C241" s="204">
        <f>+C122</f>
        <v>38</v>
      </c>
      <c r="D241" s="204">
        <f>AVERAGE($C122:D122)</f>
        <v>38</v>
      </c>
      <c r="E241" s="204">
        <f>AVERAGE($C122:E122)</f>
        <v>38</v>
      </c>
      <c r="F241" s="204">
        <f>AVERAGE($C122:F122)</f>
        <v>38</v>
      </c>
      <c r="G241" s="204">
        <f>AVERAGE($C122:G122)</f>
        <v>38</v>
      </c>
      <c r="H241" s="204">
        <f>AVERAGE($C122:H122)</f>
        <v>38</v>
      </c>
      <c r="I241" s="204">
        <f>AVERAGE($C122:I122)</f>
        <v>38</v>
      </c>
      <c r="J241" s="204">
        <f>AVERAGE($C122:J122)</f>
        <v>38</v>
      </c>
      <c r="K241" s="204">
        <f>AVERAGE($C122:K122)</f>
        <v>38</v>
      </c>
      <c r="L241" s="204">
        <f>AVERAGE($C122:L122)</f>
        <v>37</v>
      </c>
      <c r="M241" s="204">
        <f>AVERAGE($C122:M122)</f>
        <v>37.090909090909093</v>
      </c>
      <c r="N241" s="204">
        <f>AVERAGE($C122:N122)</f>
        <v>37.166666666666664</v>
      </c>
      <c r="O241" s="204">
        <f>AVERAGE(C241:N241)</f>
        <v>37.771464646464651</v>
      </c>
    </row>
    <row r="242" spans="1:21">
      <c r="A242" s="198">
        <f t="shared" si="90"/>
        <v>242</v>
      </c>
      <c r="B242" s="228" t="s">
        <v>149</v>
      </c>
      <c r="C242" s="204">
        <f>+C123</f>
        <v>17</v>
      </c>
      <c r="D242" s="204">
        <f>AVERAGE($C123:D123)</f>
        <v>17</v>
      </c>
      <c r="E242" s="204">
        <f>AVERAGE($C123:E123)</f>
        <v>17</v>
      </c>
      <c r="F242" s="204">
        <f>AVERAGE($C123:F123)</f>
        <v>17</v>
      </c>
      <c r="G242" s="204">
        <f>AVERAGE($C123:G123)</f>
        <v>17</v>
      </c>
      <c r="H242" s="204">
        <f>AVERAGE($C123:H123)</f>
        <v>17</v>
      </c>
      <c r="I242" s="204">
        <f>AVERAGE($C123:I123)</f>
        <v>17</v>
      </c>
      <c r="J242" s="204">
        <f>AVERAGE($C123:J123)</f>
        <v>17</v>
      </c>
      <c r="K242" s="204">
        <f>AVERAGE($C123:K123)</f>
        <v>17.111111111111111</v>
      </c>
      <c r="L242" s="204">
        <f>AVERAGE($C123:L123)</f>
        <v>17.2</v>
      </c>
      <c r="M242" s="204">
        <f>AVERAGE($C123:M123)</f>
        <v>17.181818181818183</v>
      </c>
      <c r="N242" s="204">
        <f>AVERAGE($C123:N123)</f>
        <v>17.166666666666668</v>
      </c>
      <c r="O242" s="204">
        <f>AVERAGE(C242:N242)</f>
        <v>17.05496632996633</v>
      </c>
    </row>
    <row r="243" spans="1:21">
      <c r="A243" s="198">
        <f t="shared" si="90"/>
        <v>243</v>
      </c>
      <c r="B243" s="229" t="s">
        <v>223</v>
      </c>
      <c r="C243" s="204">
        <f t="shared" ref="C243:O243" si="105">+SUM(C241:C242)</f>
        <v>55</v>
      </c>
      <c r="D243" s="204">
        <f t="shared" si="105"/>
        <v>55</v>
      </c>
      <c r="E243" s="204">
        <f t="shared" si="105"/>
        <v>55</v>
      </c>
      <c r="F243" s="204">
        <f t="shared" si="105"/>
        <v>55</v>
      </c>
      <c r="G243" s="204">
        <f t="shared" si="105"/>
        <v>55</v>
      </c>
      <c r="H243" s="204">
        <f t="shared" si="105"/>
        <v>55</v>
      </c>
      <c r="I243" s="204">
        <f t="shared" si="105"/>
        <v>55</v>
      </c>
      <c r="J243" s="204">
        <f t="shared" si="105"/>
        <v>55</v>
      </c>
      <c r="K243" s="204">
        <f t="shared" si="105"/>
        <v>55.111111111111114</v>
      </c>
      <c r="L243" s="204">
        <f t="shared" si="105"/>
        <v>54.2</v>
      </c>
      <c r="M243" s="204">
        <f t="shared" si="105"/>
        <v>54.27272727272728</v>
      </c>
      <c r="N243" s="204">
        <f t="shared" si="105"/>
        <v>54.333333333333329</v>
      </c>
      <c r="O243" s="204">
        <f t="shared" si="105"/>
        <v>54.826430976430984</v>
      </c>
    </row>
    <row r="244" spans="1:21">
      <c r="A244" s="198">
        <f t="shared" si="90"/>
        <v>244</v>
      </c>
      <c r="B244" s="229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</row>
    <row r="249" spans="1:21">
      <c r="A249" s="198" t="s">
        <v>208</v>
      </c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</row>
    <row r="250" spans="1:21">
      <c r="A250" s="198" t="s">
        <v>715</v>
      </c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</row>
    <row r="251" spans="1:21">
      <c r="A251" s="198" t="s">
        <v>716</v>
      </c>
      <c r="C251" s="209">
        <f t="shared" ref="C251:N251" si="106">C126-C250+C249</f>
        <v>79015</v>
      </c>
      <c r="D251" s="209">
        <f t="shared" si="106"/>
        <v>79110</v>
      </c>
      <c r="E251" s="209">
        <f t="shared" si="106"/>
        <v>79502</v>
      </c>
      <c r="F251" s="209">
        <f t="shared" si="106"/>
        <v>79686</v>
      </c>
      <c r="G251" s="209">
        <f t="shared" si="106"/>
        <v>79663</v>
      </c>
      <c r="H251" s="209">
        <f t="shared" si="106"/>
        <v>79841</v>
      </c>
      <c r="I251" s="209">
        <f t="shared" si="106"/>
        <v>79840</v>
      </c>
      <c r="J251" s="209">
        <f t="shared" si="106"/>
        <v>80013</v>
      </c>
      <c r="K251" s="209">
        <f t="shared" si="106"/>
        <v>80222</v>
      </c>
      <c r="L251" s="209">
        <f t="shared" si="106"/>
        <v>80262</v>
      </c>
      <c r="M251" s="209">
        <f t="shared" si="106"/>
        <v>80789</v>
      </c>
      <c r="N251" s="209">
        <f t="shared" si="106"/>
        <v>81159</v>
      </c>
    </row>
    <row r="255" spans="1:21" ht="12.75">
      <c r="A255" s="264"/>
      <c r="B255" s="265" t="s">
        <v>285</v>
      </c>
      <c r="C255" s="261">
        <v>15</v>
      </c>
      <c r="D255" s="261">
        <v>15</v>
      </c>
      <c r="E255" s="261">
        <v>17</v>
      </c>
      <c r="F255" s="261">
        <v>17</v>
      </c>
      <c r="G255" s="261">
        <v>17</v>
      </c>
      <c r="H255" s="261">
        <v>16</v>
      </c>
      <c r="I255" s="261">
        <v>16</v>
      </c>
      <c r="J255" s="261">
        <v>16</v>
      </c>
      <c r="K255" s="261">
        <v>16</v>
      </c>
      <c r="L255" s="261">
        <v>16</v>
      </c>
      <c r="M255" s="261">
        <v>16</v>
      </c>
      <c r="N255" s="261">
        <v>16</v>
      </c>
      <c r="O255" s="261">
        <f>SUM(C255:N255)</f>
        <v>193</v>
      </c>
      <c r="P255" s="264"/>
      <c r="Q255" s="264" t="s">
        <v>5</v>
      </c>
      <c r="R255" s="266">
        <f>O255</f>
        <v>193</v>
      </c>
      <c r="S255" s="261" t="s">
        <v>285</v>
      </c>
      <c r="T255" s="267"/>
      <c r="U255" s="264" t="s">
        <v>635</v>
      </c>
    </row>
    <row r="256" spans="1:21" ht="12.75">
      <c r="A256" s="264"/>
      <c r="B256" s="265" t="s">
        <v>286</v>
      </c>
      <c r="C256" s="261">
        <v>3</v>
      </c>
      <c r="D256" s="261">
        <v>3</v>
      </c>
      <c r="E256" s="261">
        <v>3</v>
      </c>
      <c r="F256" s="261">
        <v>3</v>
      </c>
      <c r="G256" s="261">
        <v>3</v>
      </c>
      <c r="H256" s="261">
        <v>3</v>
      </c>
      <c r="I256" s="261">
        <v>3</v>
      </c>
      <c r="J256" s="261">
        <v>3</v>
      </c>
      <c r="K256" s="261">
        <v>3</v>
      </c>
      <c r="L256" s="261">
        <v>3</v>
      </c>
      <c r="M256" s="261">
        <v>3</v>
      </c>
      <c r="N256" s="261">
        <v>3</v>
      </c>
      <c r="O256" s="261">
        <f>SUM(C256:N256)</f>
        <v>36</v>
      </c>
      <c r="P256" s="264"/>
      <c r="Q256" s="264" t="s">
        <v>5</v>
      </c>
      <c r="R256" s="266">
        <f>O256</f>
        <v>36</v>
      </c>
      <c r="S256" s="261" t="s">
        <v>286</v>
      </c>
      <c r="T256" s="267"/>
      <c r="U256" s="264" t="s">
        <v>635</v>
      </c>
    </row>
    <row r="257" spans="1:21" ht="12.75">
      <c r="A257" s="264"/>
      <c r="B257" s="265" t="s">
        <v>289</v>
      </c>
      <c r="C257" s="261">
        <v>4</v>
      </c>
      <c r="D257" s="261">
        <v>4</v>
      </c>
      <c r="E257" s="261">
        <v>4</v>
      </c>
      <c r="F257" s="261">
        <v>4</v>
      </c>
      <c r="G257" s="261">
        <v>4</v>
      </c>
      <c r="H257" s="261">
        <v>4</v>
      </c>
      <c r="I257" s="261">
        <v>4</v>
      </c>
      <c r="J257" s="261">
        <v>4</v>
      </c>
      <c r="K257" s="261">
        <v>4</v>
      </c>
      <c r="L257" s="261">
        <v>4</v>
      </c>
      <c r="M257" s="261">
        <v>4</v>
      </c>
      <c r="N257" s="261">
        <v>4</v>
      </c>
      <c r="O257" s="261">
        <f>SUM(C257:N257)</f>
        <v>48</v>
      </c>
      <c r="P257" s="264"/>
      <c r="Q257" s="264" t="s">
        <v>5</v>
      </c>
      <c r="R257" s="266">
        <f>O257</f>
        <v>48</v>
      </c>
      <c r="S257" s="261" t="s">
        <v>285</v>
      </c>
      <c r="T257" s="267"/>
      <c r="U257" s="264" t="s">
        <v>635</v>
      </c>
    </row>
    <row r="258" spans="1:21" ht="12.75">
      <c r="A258" s="264"/>
      <c r="B258" s="265" t="s">
        <v>290</v>
      </c>
      <c r="C258" s="261">
        <v>4</v>
      </c>
      <c r="D258" s="261">
        <v>4</v>
      </c>
      <c r="E258" s="261">
        <v>4</v>
      </c>
      <c r="F258" s="261">
        <v>4</v>
      </c>
      <c r="G258" s="261">
        <v>4</v>
      </c>
      <c r="H258" s="261">
        <v>4</v>
      </c>
      <c r="I258" s="261">
        <v>4</v>
      </c>
      <c r="J258" s="261">
        <v>4</v>
      </c>
      <c r="K258" s="261">
        <v>4</v>
      </c>
      <c r="L258" s="261">
        <v>4</v>
      </c>
      <c r="M258" s="261">
        <v>4</v>
      </c>
      <c r="N258" s="261">
        <v>4</v>
      </c>
      <c r="O258" s="261">
        <f>SUM(C258:N258)</f>
        <v>48</v>
      </c>
      <c r="P258" s="264"/>
      <c r="Q258" s="264" t="s">
        <v>5</v>
      </c>
      <c r="R258" s="266">
        <f>O258</f>
        <v>48</v>
      </c>
      <c r="S258" s="261" t="s">
        <v>286</v>
      </c>
      <c r="T258" s="267"/>
      <c r="U258" s="264" t="s">
        <v>635</v>
      </c>
    </row>
  </sheetData>
  <pageMargins left="0.75" right="0.5" top="0.75" bottom="0.75" header="1" footer="0"/>
  <pageSetup scale="53" fitToHeight="2" orientation="portrait" r:id="rId1"/>
  <headerFooter alignWithMargins="0"/>
  <rowBreaks count="1" manualBreakCount="1">
    <brk id="12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1D4E-474F-4407-AD26-B7D6B737E443}">
  <sheetPr>
    <tabColor theme="0" tint="-0.34998626667073579"/>
  </sheetPr>
  <dimension ref="A1:X252"/>
  <sheetViews>
    <sheetView workbookViewId="0"/>
  </sheetViews>
  <sheetFormatPr defaultColWidth="10" defaultRowHeight="11.25"/>
  <cols>
    <col min="1" max="1" width="3.85546875" style="198" customWidth="1"/>
    <col min="2" max="2" width="42.85546875" style="198" bestFit="1" customWidth="1"/>
    <col min="3" max="8" width="10" style="198" bestFit="1" customWidth="1"/>
    <col min="9" max="14" width="10.85546875" style="198" bestFit="1" customWidth="1"/>
    <col min="15" max="15" width="12.140625" style="198" bestFit="1" customWidth="1"/>
    <col min="16" max="16" width="10" style="198" customWidth="1"/>
    <col min="17" max="17" width="5" style="198" bestFit="1" customWidth="1"/>
    <col min="18" max="18" width="18.28515625" style="198" customWidth="1"/>
    <col min="19" max="19" width="10" style="198"/>
    <col min="20" max="20" width="22.28515625" style="198" customWidth="1"/>
    <col min="21" max="22" width="10" style="198"/>
    <col min="23" max="23" width="15.42578125" style="198" customWidth="1"/>
    <col min="24" max="24" width="14.140625" style="198" bestFit="1" customWidth="1"/>
    <col min="25" max="16384" width="10" style="198"/>
  </cols>
  <sheetData>
    <row r="1" spans="1:24" ht="12" thickBot="1">
      <c r="B1" s="199" t="s">
        <v>120</v>
      </c>
      <c r="C1" s="253">
        <v>1</v>
      </c>
      <c r="D1" s="253">
        <v>2</v>
      </c>
      <c r="E1" s="253">
        <v>3</v>
      </c>
      <c r="F1" s="253">
        <v>4</v>
      </c>
      <c r="G1" s="253">
        <v>5</v>
      </c>
      <c r="H1" s="253">
        <v>6</v>
      </c>
      <c r="I1" s="253">
        <v>7</v>
      </c>
      <c r="J1" s="253">
        <v>8</v>
      </c>
      <c r="K1" s="253">
        <v>9</v>
      </c>
      <c r="L1" s="253">
        <v>10</v>
      </c>
      <c r="M1" s="253">
        <v>11</v>
      </c>
      <c r="N1" s="253">
        <v>12</v>
      </c>
      <c r="O1" s="200" t="s">
        <v>121</v>
      </c>
      <c r="R1" s="198" t="s">
        <v>2</v>
      </c>
      <c r="U1" s="198" t="s">
        <v>717</v>
      </c>
      <c r="V1" s="198" t="s">
        <v>719</v>
      </c>
      <c r="W1" s="442" t="s">
        <v>335</v>
      </c>
      <c r="X1" s="198" t="s">
        <v>726</v>
      </c>
    </row>
    <row r="2" spans="1:24" ht="12" thickBot="1">
      <c r="A2" s="198">
        <v>2</v>
      </c>
      <c r="B2" s="202" t="s">
        <v>122</v>
      </c>
      <c r="C2" s="203">
        <f>C14+C59+C60+C61</f>
        <v>20923.240000000016</v>
      </c>
      <c r="D2" s="203">
        <f t="shared" ref="D2:I2" si="0">D14+D59+D60+D61</f>
        <v>16990.639999999996</v>
      </c>
      <c r="E2" s="203">
        <f t="shared" si="0"/>
        <v>17508.78999999999</v>
      </c>
      <c r="F2" s="203">
        <f t="shared" si="0"/>
        <v>111117.93</v>
      </c>
      <c r="G2" s="203">
        <f t="shared" si="0"/>
        <v>128264.4</v>
      </c>
      <c r="H2" s="203">
        <f t="shared" si="0"/>
        <v>15990.27</v>
      </c>
      <c r="I2" s="203">
        <f t="shared" si="0"/>
        <v>16074.820000000014</v>
      </c>
      <c r="J2" s="203">
        <f>J14+J59+J60+J61</f>
        <v>15384.379999999986</v>
      </c>
      <c r="K2" s="203">
        <f>K11+K12</f>
        <v>731557.58000001532</v>
      </c>
      <c r="L2" s="203">
        <v>54637</v>
      </c>
      <c r="M2" s="203">
        <v>54677</v>
      </c>
      <c r="N2" s="203">
        <f>N14+N59+N60+N61</f>
        <v>19388.530000000006</v>
      </c>
      <c r="O2" s="204"/>
      <c r="W2" s="442"/>
    </row>
    <row r="3" spans="1:24">
      <c r="A3" s="198">
        <f t="shared" ref="A3:A66" si="1">+A2+1</f>
        <v>3</v>
      </c>
      <c r="B3" s="206" t="s">
        <v>123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W3" s="442"/>
    </row>
    <row r="4" spans="1:24" ht="12.75">
      <c r="A4" s="198">
        <f t="shared" si="1"/>
        <v>4</v>
      </c>
      <c r="B4" s="207" t="s">
        <v>100</v>
      </c>
      <c r="C4" s="233">
        <v>11134.16</v>
      </c>
      <c r="D4" s="233">
        <v>8740.7399999999197</v>
      </c>
      <c r="E4" s="233">
        <v>8333.1099999999005</v>
      </c>
      <c r="F4" s="233">
        <v>7726.66999999991</v>
      </c>
      <c r="G4" s="233">
        <v>6138.5799999999599</v>
      </c>
      <c r="H4" s="233">
        <v>6469.5099999999602</v>
      </c>
      <c r="I4" s="233">
        <v>5243</v>
      </c>
      <c r="J4" s="233">
        <v>5457.9199999999901</v>
      </c>
      <c r="K4" s="233">
        <v>5710.49999999996</v>
      </c>
      <c r="L4" s="233">
        <v>5126.8599999999597</v>
      </c>
      <c r="M4" s="233">
        <v>7299.1999999999198</v>
      </c>
      <c r="N4" s="233">
        <v>8955.6500000000106</v>
      </c>
      <c r="O4" s="204">
        <f t="shared" ref="O4:O15" si="2">SUM(C4:N4)</f>
        <v>86335.899999999485</v>
      </c>
      <c r="Q4" s="198" t="s">
        <v>8</v>
      </c>
      <c r="R4" s="198" t="str">
        <f>CONCATENATE(Q4," - ",B4, " R")</f>
        <v>CFG - FTS-A R</v>
      </c>
      <c r="T4" s="198" t="s">
        <v>125</v>
      </c>
      <c r="U4" s="209">
        <f>MAX(C4:N4)</f>
        <v>11134.16</v>
      </c>
      <c r="V4" s="209">
        <f>IFERROR(INDEX($C$1:$N$1,MATCH(U4,C4:N4,0)),0)</f>
        <v>1</v>
      </c>
      <c r="W4" s="442" t="s">
        <v>8</v>
      </c>
      <c r="X4" s="441" t="s">
        <v>0</v>
      </c>
    </row>
    <row r="5" spans="1:24" ht="12.75">
      <c r="A5" s="198">
        <f t="shared" si="1"/>
        <v>5</v>
      </c>
      <c r="B5" s="207" t="s">
        <v>101</v>
      </c>
      <c r="C5" s="233">
        <v>43131.09</v>
      </c>
      <c r="D5" s="233">
        <v>27496.0800000001</v>
      </c>
      <c r="E5" s="233">
        <v>25464</v>
      </c>
      <c r="F5" s="233">
        <v>24735.840000000098</v>
      </c>
      <c r="G5" s="233">
        <v>20800.209999999799</v>
      </c>
      <c r="H5" s="233">
        <v>21551.039999999801</v>
      </c>
      <c r="I5" s="233">
        <v>18536</v>
      </c>
      <c r="J5" s="233">
        <v>19034.0799999999</v>
      </c>
      <c r="K5" s="233">
        <v>19422.329999999802</v>
      </c>
      <c r="L5" s="233">
        <v>17737.91</v>
      </c>
      <c r="M5" s="233">
        <v>23695.8400000002</v>
      </c>
      <c r="N5" s="233">
        <v>31206.709999999901</v>
      </c>
      <c r="O5" s="204">
        <f t="shared" si="2"/>
        <v>292811.1299999996</v>
      </c>
      <c r="Q5" s="198" t="s">
        <v>8</v>
      </c>
      <c r="R5" s="198" t="str">
        <f>CONCATENATE(Q5," - ",B5, " R")</f>
        <v>CFG - FTS-B R</v>
      </c>
      <c r="T5" s="198" t="s">
        <v>125</v>
      </c>
      <c r="U5" s="209">
        <f t="shared" ref="U5:U68" si="3">MAX(C5:N5)</f>
        <v>43131.09</v>
      </c>
      <c r="V5" s="209">
        <f t="shared" ref="V5:V68" si="4">IFERROR(INDEX($C$1:$N$1,MATCH(U5,C5:N5,0)),0)</f>
        <v>1</v>
      </c>
      <c r="W5" s="442" t="s">
        <v>8</v>
      </c>
      <c r="X5" s="441" t="s">
        <v>0</v>
      </c>
    </row>
    <row r="6" spans="1:24" ht="12.75">
      <c r="A6" s="198">
        <f t="shared" si="1"/>
        <v>6</v>
      </c>
      <c r="B6" s="207" t="s">
        <v>102</v>
      </c>
      <c r="C6" s="233">
        <v>338452.84999999899</v>
      </c>
      <c r="D6" s="233">
        <v>207294.10999999801</v>
      </c>
      <c r="E6" s="233">
        <v>208908</v>
      </c>
      <c r="F6" s="233">
        <v>191418.94999999899</v>
      </c>
      <c r="G6" s="233">
        <v>140960.830000004</v>
      </c>
      <c r="H6" s="233">
        <v>138210.49000000299</v>
      </c>
      <c r="I6" s="233">
        <v>117169</v>
      </c>
      <c r="J6" s="233">
        <v>116864.11000000199</v>
      </c>
      <c r="K6" s="233">
        <v>117899.130000003</v>
      </c>
      <c r="L6" s="233">
        <v>109853.310000004</v>
      </c>
      <c r="M6" s="233">
        <v>166200.01000000199</v>
      </c>
      <c r="N6" s="233">
        <v>241863.479999998</v>
      </c>
      <c r="O6" s="204">
        <f t="shared" si="2"/>
        <v>2095094.2700000121</v>
      </c>
      <c r="Q6" s="198" t="s">
        <v>8</v>
      </c>
      <c r="R6" s="198" t="str">
        <f>CONCATENATE(Q6," - ",B6," R")</f>
        <v>CFG - FTS-1 R</v>
      </c>
      <c r="T6" s="198" t="s">
        <v>125</v>
      </c>
      <c r="U6" s="209">
        <f t="shared" si="3"/>
        <v>338452.84999999899</v>
      </c>
      <c r="V6" s="209">
        <f t="shared" si="4"/>
        <v>1</v>
      </c>
      <c r="W6" s="442" t="s">
        <v>8</v>
      </c>
      <c r="X6" s="441" t="s">
        <v>0</v>
      </c>
    </row>
    <row r="7" spans="1:24" ht="12.75">
      <c r="A7" s="198">
        <f t="shared" si="1"/>
        <v>7</v>
      </c>
      <c r="B7" s="207" t="s">
        <v>103</v>
      </c>
      <c r="C7" s="233">
        <v>86780.669999999896</v>
      </c>
      <c r="D7" s="233">
        <v>60694.090000000098</v>
      </c>
      <c r="E7" s="233">
        <v>71685</v>
      </c>
      <c r="F7" s="233">
        <v>72176.190000000104</v>
      </c>
      <c r="G7" s="233">
        <v>34387.800000000003</v>
      </c>
      <c r="H7" s="233">
        <v>23911.75</v>
      </c>
      <c r="I7" s="233">
        <v>17738</v>
      </c>
      <c r="J7" s="233">
        <v>16484.03</v>
      </c>
      <c r="K7" s="233">
        <v>15238.51</v>
      </c>
      <c r="L7" s="233">
        <v>18247.22</v>
      </c>
      <c r="M7" s="233">
        <v>44473.53</v>
      </c>
      <c r="N7" s="233">
        <v>61316.56</v>
      </c>
      <c r="O7" s="204">
        <f t="shared" si="2"/>
        <v>523133.35000000015</v>
      </c>
      <c r="Q7" s="198" t="s">
        <v>8</v>
      </c>
      <c r="R7" s="198" t="str">
        <f>CONCATENATE(Q7," - ",B7," R")</f>
        <v>CFG - FTS-2 R</v>
      </c>
      <c r="T7" s="198" t="s">
        <v>125</v>
      </c>
      <c r="U7" s="209">
        <f t="shared" si="3"/>
        <v>86780.669999999896</v>
      </c>
      <c r="V7" s="209">
        <f t="shared" si="4"/>
        <v>1</v>
      </c>
      <c r="W7" s="442" t="s">
        <v>8</v>
      </c>
      <c r="X7" s="441" t="s">
        <v>0</v>
      </c>
    </row>
    <row r="8" spans="1:24" ht="12.75">
      <c r="A8" s="198">
        <f t="shared" si="1"/>
        <v>8</v>
      </c>
      <c r="B8" s="207" t="s">
        <v>104</v>
      </c>
      <c r="C8" s="233">
        <v>105553.07</v>
      </c>
      <c r="D8" s="233">
        <v>73688.44</v>
      </c>
      <c r="E8" s="233">
        <v>88105.15</v>
      </c>
      <c r="F8" s="233">
        <v>80766.690000000104</v>
      </c>
      <c r="G8" s="233">
        <v>37682</v>
      </c>
      <c r="H8" s="233">
        <v>23055.08</v>
      </c>
      <c r="I8" s="233">
        <v>16327</v>
      </c>
      <c r="J8" s="233">
        <v>13901.46</v>
      </c>
      <c r="K8" s="233">
        <v>14362.68</v>
      </c>
      <c r="L8" s="233">
        <v>19010.95</v>
      </c>
      <c r="M8" s="233">
        <v>51023.01</v>
      </c>
      <c r="N8" s="233">
        <v>69697.330000000104</v>
      </c>
      <c r="O8" s="204">
        <f t="shared" si="2"/>
        <v>593172.86000000034</v>
      </c>
      <c r="Q8" s="198" t="s">
        <v>8</v>
      </c>
      <c r="R8" s="198" t="str">
        <f>CONCATENATE(Q8," - ",B8," R")</f>
        <v>CFG - FTS-2.1 R</v>
      </c>
      <c r="T8" s="198" t="s">
        <v>125</v>
      </c>
      <c r="U8" s="209">
        <f t="shared" si="3"/>
        <v>105553.07</v>
      </c>
      <c r="V8" s="209">
        <f t="shared" si="4"/>
        <v>1</v>
      </c>
      <c r="W8" s="442" t="s">
        <v>8</v>
      </c>
      <c r="X8" s="441" t="s">
        <v>0</v>
      </c>
    </row>
    <row r="9" spans="1:24" ht="12.75">
      <c r="A9" s="198">
        <f t="shared" si="1"/>
        <v>9</v>
      </c>
      <c r="B9" s="212" t="s">
        <v>105</v>
      </c>
      <c r="C9" s="233">
        <v>4693.4399999999996</v>
      </c>
      <c r="D9" s="233">
        <v>3724.09</v>
      </c>
      <c r="E9" s="233">
        <v>4899.3100000000004</v>
      </c>
      <c r="F9" s="233">
        <v>4619.28</v>
      </c>
      <c r="G9" s="233">
        <v>2937.46</v>
      </c>
      <c r="H9" s="233">
        <v>1421.24</v>
      </c>
      <c r="I9" s="233">
        <v>687</v>
      </c>
      <c r="J9" s="233">
        <v>430.95</v>
      </c>
      <c r="K9" s="233">
        <v>553.47</v>
      </c>
      <c r="L9" s="233">
        <v>1028.95</v>
      </c>
      <c r="M9" s="233">
        <v>3661.17</v>
      </c>
      <c r="N9" s="233">
        <v>5576.51</v>
      </c>
      <c r="O9" s="204">
        <f t="shared" si="2"/>
        <v>34232.870000000003</v>
      </c>
      <c r="Q9" s="198" t="s">
        <v>8</v>
      </c>
      <c r="R9" s="198" t="str">
        <f>CONCATENATE(Q9," - ",B9, " R")</f>
        <v>CFG - FTS-3 R</v>
      </c>
      <c r="T9" s="198" t="s">
        <v>125</v>
      </c>
      <c r="U9" s="209">
        <f t="shared" si="3"/>
        <v>5576.51</v>
      </c>
      <c r="V9" s="209">
        <f t="shared" si="4"/>
        <v>12</v>
      </c>
      <c r="W9" s="442" t="s">
        <v>8</v>
      </c>
      <c r="X9" s="441" t="s">
        <v>0</v>
      </c>
    </row>
    <row r="10" spans="1:24" ht="12.75">
      <c r="A10" s="198">
        <f t="shared" si="1"/>
        <v>10</v>
      </c>
      <c r="B10" s="212" t="s">
        <v>106</v>
      </c>
      <c r="C10" s="233">
        <v>0</v>
      </c>
      <c r="D10" s="233">
        <v>0</v>
      </c>
      <c r="E10" s="233">
        <v>0</v>
      </c>
      <c r="F10" s="233">
        <v>0</v>
      </c>
      <c r="G10" s="233">
        <v>0</v>
      </c>
      <c r="H10" s="233">
        <v>0</v>
      </c>
      <c r="I10" s="233">
        <v>0</v>
      </c>
      <c r="J10" s="233"/>
      <c r="K10" s="233"/>
      <c r="L10" s="233"/>
      <c r="M10" s="233"/>
      <c r="N10" s="233"/>
      <c r="O10" s="204">
        <f t="shared" si="2"/>
        <v>0</v>
      </c>
      <c r="Q10" s="198" t="s">
        <v>8</v>
      </c>
      <c r="R10" s="198" t="str">
        <f>CONCATENATE(Q10," - ",B10, " R")</f>
        <v>CFG - FTS-3.1 R</v>
      </c>
      <c r="T10" s="198" t="s">
        <v>125</v>
      </c>
      <c r="U10" s="209">
        <f t="shared" si="3"/>
        <v>0</v>
      </c>
      <c r="V10" s="209">
        <f t="shared" si="4"/>
        <v>1</v>
      </c>
      <c r="W10" s="442" t="s">
        <v>8</v>
      </c>
      <c r="X10" s="441" t="s">
        <v>0</v>
      </c>
    </row>
    <row r="11" spans="1:24" ht="12.75">
      <c r="A11" s="198">
        <f t="shared" si="1"/>
        <v>11</v>
      </c>
      <c r="B11" s="212" t="s">
        <v>126</v>
      </c>
      <c r="C11" s="233">
        <v>2192437.1400000174</v>
      </c>
      <c r="D11" s="233">
        <v>1547690.9300000307</v>
      </c>
      <c r="E11" s="233">
        <v>1412359.3300000189</v>
      </c>
      <c r="F11" s="233">
        <v>1375150.7100000137</v>
      </c>
      <c r="G11" s="233">
        <v>990998.20000000857</v>
      </c>
      <c r="H11" s="233">
        <v>869539.72000002908</v>
      </c>
      <c r="I11" s="233">
        <v>701028</v>
      </c>
      <c r="J11" s="233">
        <v>666946.60000002477</v>
      </c>
      <c r="K11" s="233">
        <v>727649.75000001537</v>
      </c>
      <c r="L11" s="233">
        <v>671483.93000002077</v>
      </c>
      <c r="M11" s="233">
        <v>1000463.2400000205</v>
      </c>
      <c r="N11" s="233">
        <v>1541805.6000000525</v>
      </c>
      <c r="O11" s="204">
        <f t="shared" si="2"/>
        <v>13697553.150000252</v>
      </c>
      <c r="Q11" s="198" t="s">
        <v>7</v>
      </c>
      <c r="R11" s="198" t="str">
        <f>CONCATENATE(Q11," - ",B11)</f>
        <v>FPU - FPU - RS</v>
      </c>
      <c r="T11" s="198" t="s">
        <v>127</v>
      </c>
      <c r="U11" s="209">
        <f t="shared" si="3"/>
        <v>2192437.1400000174</v>
      </c>
      <c r="V11" s="209">
        <f t="shared" si="4"/>
        <v>1</v>
      </c>
      <c r="W11" s="442" t="s">
        <v>7</v>
      </c>
      <c r="X11" s="441" t="s">
        <v>0</v>
      </c>
    </row>
    <row r="12" spans="1:24" ht="12.75">
      <c r="A12" s="198">
        <f t="shared" si="1"/>
        <v>12</v>
      </c>
      <c r="B12" s="212" t="s">
        <v>128</v>
      </c>
      <c r="C12" s="233">
        <v>8332.6300000000028</v>
      </c>
      <c r="D12" s="233">
        <v>4741.3099999999977</v>
      </c>
      <c r="E12" s="233">
        <v>5800.3299999999954</v>
      </c>
      <c r="F12" s="233">
        <v>5326.7300000000041</v>
      </c>
      <c r="G12" s="233">
        <v>3586.6100000000006</v>
      </c>
      <c r="H12" s="233">
        <v>3076.3299999999981</v>
      </c>
      <c r="I12" s="233">
        <v>2085.0299999999993</v>
      </c>
      <c r="J12" s="233">
        <v>1899.3399999999974</v>
      </c>
      <c r="K12" s="233">
        <v>3907.8300000000004</v>
      </c>
      <c r="L12" s="233">
        <v>1764.3799999999997</v>
      </c>
      <c r="M12" s="233">
        <v>3903.0700000000015</v>
      </c>
      <c r="N12" s="233">
        <v>7166.9000000000051</v>
      </c>
      <c r="O12" s="204">
        <f t="shared" si="2"/>
        <v>51590.490000000005</v>
      </c>
      <c r="Q12" s="198" t="s">
        <v>7</v>
      </c>
      <c r="R12" s="198" t="str">
        <f>CONCATENATE(Q12," - ",B12)</f>
        <v>FPU - FPU - RS-GS</v>
      </c>
      <c r="T12" s="198" t="s">
        <v>127</v>
      </c>
      <c r="U12" s="209">
        <f t="shared" si="3"/>
        <v>8332.6300000000028</v>
      </c>
      <c r="V12" s="209">
        <f t="shared" si="4"/>
        <v>1</v>
      </c>
      <c r="W12" s="442" t="s">
        <v>7</v>
      </c>
      <c r="X12" s="441" t="s">
        <v>0</v>
      </c>
    </row>
    <row r="13" spans="1:24" ht="12.75">
      <c r="A13" s="198">
        <f t="shared" si="1"/>
        <v>13</v>
      </c>
      <c r="B13" s="212" t="s">
        <v>98</v>
      </c>
      <c r="C13" s="233">
        <v>12574.500000000045</v>
      </c>
      <c r="D13" s="233">
        <v>8347.6699999999728</v>
      </c>
      <c r="E13" s="233">
        <v>5859.0799999999635</v>
      </c>
      <c r="F13" s="233">
        <v>6412.2599999999566</v>
      </c>
      <c r="G13" s="233">
        <v>4744.7999999999956</v>
      </c>
      <c r="H13" s="233">
        <v>5330.6499999999705</v>
      </c>
      <c r="I13" s="233">
        <v>4154.9900000000025</v>
      </c>
      <c r="J13" s="233">
        <v>4439</v>
      </c>
      <c r="K13" s="233">
        <v>4496.979999999995</v>
      </c>
      <c r="L13" s="233">
        <v>3929.1100000000047</v>
      </c>
      <c r="M13" s="233">
        <v>4862.0899999999901</v>
      </c>
      <c r="N13" s="233">
        <v>7307.9499999999725</v>
      </c>
      <c r="O13" s="204">
        <f t="shared" si="2"/>
        <v>72459.079999999885</v>
      </c>
      <c r="Q13" s="198" t="s">
        <v>5</v>
      </c>
      <c r="R13" s="198" t="str">
        <f>CONCATENATE(Q13," - ",B13)</f>
        <v>FT - FT-RS</v>
      </c>
      <c r="T13" s="198" t="s">
        <v>129</v>
      </c>
      <c r="U13" s="209">
        <f t="shared" si="3"/>
        <v>12574.500000000045</v>
      </c>
      <c r="V13" s="209">
        <f t="shared" si="4"/>
        <v>1</v>
      </c>
      <c r="W13" s="442" t="s">
        <v>5</v>
      </c>
      <c r="X13" s="441" t="s">
        <v>0</v>
      </c>
    </row>
    <row r="14" spans="1:24" ht="12.75">
      <c r="A14" s="198">
        <f t="shared" si="1"/>
        <v>14</v>
      </c>
      <c r="B14" s="212" t="s">
        <v>93</v>
      </c>
      <c r="C14" s="233">
        <v>12552.070000000014</v>
      </c>
      <c r="D14" s="233">
        <v>9829.5199999999968</v>
      </c>
      <c r="E14" s="233">
        <v>10092.409999999987</v>
      </c>
      <c r="F14" s="233">
        <v>9695.7999999999884</v>
      </c>
      <c r="G14" s="233">
        <v>10058.989999999993</v>
      </c>
      <c r="H14" s="233">
        <v>8916.84</v>
      </c>
      <c r="I14" s="233">
        <v>8744.8200000000143</v>
      </c>
      <c r="J14" s="233">
        <v>8385.1499999999887</v>
      </c>
      <c r="K14" s="233">
        <v>8389.5200000000114</v>
      </c>
      <c r="L14" s="233">
        <v>8656.9799999999905</v>
      </c>
      <c r="M14" s="233">
        <v>9601.6500000000015</v>
      </c>
      <c r="N14" s="233">
        <v>11316.030000000008</v>
      </c>
      <c r="O14" s="216">
        <f t="shared" si="2"/>
        <v>116239.78000000001</v>
      </c>
      <c r="Q14" s="198" t="s">
        <v>4</v>
      </c>
      <c r="R14" s="198" t="str">
        <f>CONCATENATE(Q14," - ",B14)</f>
        <v>IGC - IGC - TS1</v>
      </c>
      <c r="T14" s="198" t="s">
        <v>130</v>
      </c>
      <c r="U14" s="209">
        <f t="shared" si="3"/>
        <v>12552.070000000014</v>
      </c>
      <c r="V14" s="209">
        <f t="shared" si="4"/>
        <v>1</v>
      </c>
      <c r="W14" s="442" t="s">
        <v>4</v>
      </c>
      <c r="X14" s="441" t="s">
        <v>0</v>
      </c>
    </row>
    <row r="15" spans="1:24">
      <c r="A15" s="198">
        <f t="shared" si="1"/>
        <v>15</v>
      </c>
      <c r="B15" s="213" t="s">
        <v>131</v>
      </c>
      <c r="C15" s="204">
        <f t="shared" ref="C15:N15" si="5">SUM(C4:C14)</f>
        <v>2815641.6200000159</v>
      </c>
      <c r="D15" s="204">
        <f t="shared" si="5"/>
        <v>1952246.9800000289</v>
      </c>
      <c r="E15" s="204">
        <f t="shared" si="5"/>
        <v>1841505.7200000188</v>
      </c>
      <c r="F15" s="204">
        <f t="shared" si="5"/>
        <v>1778029.1200000129</v>
      </c>
      <c r="G15" s="204">
        <f t="shared" si="5"/>
        <v>1252295.4800000126</v>
      </c>
      <c r="H15" s="204">
        <f t="shared" si="5"/>
        <v>1101482.6500000318</v>
      </c>
      <c r="I15" s="204">
        <f t="shared" si="5"/>
        <v>891712.84000000008</v>
      </c>
      <c r="J15" s="204">
        <f t="shared" si="5"/>
        <v>853842.64000002667</v>
      </c>
      <c r="K15" s="204">
        <f t="shared" si="5"/>
        <v>917630.70000001811</v>
      </c>
      <c r="L15" s="204">
        <f t="shared" si="5"/>
        <v>856839.60000002477</v>
      </c>
      <c r="M15" s="204">
        <f t="shared" si="5"/>
        <v>1315182.8100000226</v>
      </c>
      <c r="N15" s="204">
        <f t="shared" si="5"/>
        <v>1986212.7200000505</v>
      </c>
      <c r="O15" s="204">
        <f t="shared" si="2"/>
        <v>17562622.880000263</v>
      </c>
      <c r="U15" s="209">
        <f t="shared" si="3"/>
        <v>2815641.6200000159</v>
      </c>
      <c r="V15" s="209">
        <f t="shared" si="4"/>
        <v>1</v>
      </c>
      <c r="W15" s="442"/>
    </row>
    <row r="16" spans="1:24">
      <c r="A16" s="198">
        <f t="shared" si="1"/>
        <v>16</v>
      </c>
      <c r="B16" s="206" t="s">
        <v>132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U16" s="209">
        <f t="shared" si="3"/>
        <v>0</v>
      </c>
      <c r="V16" s="209">
        <f t="shared" si="4"/>
        <v>0</v>
      </c>
      <c r="W16" s="442"/>
    </row>
    <row r="17" spans="1:23">
      <c r="A17" s="198">
        <f t="shared" si="1"/>
        <v>17</v>
      </c>
      <c r="B17" s="207" t="s">
        <v>100</v>
      </c>
      <c r="C17" s="233">
        <v>364.06</v>
      </c>
      <c r="D17" s="233">
        <v>279.16000000000003</v>
      </c>
      <c r="E17" s="233">
        <v>253.9</v>
      </c>
      <c r="F17" s="234">
        <v>235.22</v>
      </c>
      <c r="G17" s="233">
        <v>164.1</v>
      </c>
      <c r="H17" s="233">
        <v>285.8</v>
      </c>
      <c r="I17" s="233">
        <v>26</v>
      </c>
      <c r="J17" s="233">
        <v>150.58000000000001</v>
      </c>
      <c r="K17" s="233">
        <v>142.19</v>
      </c>
      <c r="L17" s="233">
        <v>149.79</v>
      </c>
      <c r="M17" s="233">
        <v>219.62</v>
      </c>
      <c r="N17" s="233">
        <v>285.70999999999998</v>
      </c>
      <c r="O17" s="204">
        <f t="shared" ref="O17:O24" si="6">SUM(C17:N17)</f>
        <v>2556.1299999999997</v>
      </c>
      <c r="Q17" s="198" t="s">
        <v>8</v>
      </c>
      <c r="R17" s="198" t="str">
        <f>CONCATENATE(Q17," - ",B17," - ",S17)</f>
        <v>CFG - FTS-A - Fixed R</v>
      </c>
      <c r="S17" s="198" t="s">
        <v>133</v>
      </c>
      <c r="T17" s="198" t="s">
        <v>125</v>
      </c>
      <c r="U17" s="209">
        <f t="shared" si="3"/>
        <v>364.06</v>
      </c>
      <c r="V17" s="209">
        <f t="shared" si="4"/>
        <v>1</v>
      </c>
      <c r="W17" s="442" t="s">
        <v>8</v>
      </c>
    </row>
    <row r="18" spans="1:23">
      <c r="A18" s="198">
        <f t="shared" si="1"/>
        <v>18</v>
      </c>
      <c r="B18" s="207" t="s">
        <v>101</v>
      </c>
      <c r="C18" s="233">
        <v>1309.6400000000001</v>
      </c>
      <c r="D18" s="233">
        <v>799.88</v>
      </c>
      <c r="E18" s="233">
        <v>747.44</v>
      </c>
      <c r="F18" s="234">
        <v>723.59</v>
      </c>
      <c r="G18" s="233">
        <v>576.69000000000005</v>
      </c>
      <c r="H18" s="233">
        <v>624.54</v>
      </c>
      <c r="I18" s="233">
        <v>502</v>
      </c>
      <c r="J18" s="233">
        <v>524.66999999999996</v>
      </c>
      <c r="K18" s="233">
        <v>564.34</v>
      </c>
      <c r="L18" s="233">
        <v>502.2</v>
      </c>
      <c r="M18" s="233">
        <v>654.99</v>
      </c>
      <c r="N18" s="233">
        <v>809.5</v>
      </c>
      <c r="O18" s="204">
        <f t="shared" si="6"/>
        <v>8339.48</v>
      </c>
      <c r="Q18" s="198" t="s">
        <v>8</v>
      </c>
      <c r="R18" s="198" t="str">
        <f t="shared" ref="R18:R23" si="7">CONCATENATE(Q18," - ",B18," - ",S18)</f>
        <v>CFG - FTS-B - Fixed R</v>
      </c>
      <c r="S18" s="198" t="s">
        <v>133</v>
      </c>
      <c r="T18" s="198" t="s">
        <v>125</v>
      </c>
      <c r="U18" s="209">
        <f t="shared" si="3"/>
        <v>1309.6400000000001</v>
      </c>
      <c r="V18" s="209">
        <f t="shared" si="4"/>
        <v>1</v>
      </c>
      <c r="W18" s="442" t="s">
        <v>8</v>
      </c>
    </row>
    <row r="19" spans="1:23">
      <c r="A19" s="198">
        <f t="shared" si="1"/>
        <v>19</v>
      </c>
      <c r="B19" s="207" t="s">
        <v>102</v>
      </c>
      <c r="C19" s="233">
        <v>6225.76</v>
      </c>
      <c r="D19" s="233">
        <v>3621</v>
      </c>
      <c r="E19" s="233">
        <v>3340.95</v>
      </c>
      <c r="F19" s="234">
        <v>2850.03</v>
      </c>
      <c r="G19" s="233">
        <v>2203.61</v>
      </c>
      <c r="H19" s="233">
        <v>2136.9899999999998</v>
      </c>
      <c r="I19" s="233">
        <v>1725</v>
      </c>
      <c r="J19" s="233">
        <v>1734.57</v>
      </c>
      <c r="K19" s="233">
        <v>1847.47</v>
      </c>
      <c r="L19" s="233">
        <v>1624.69</v>
      </c>
      <c r="M19" s="233">
        <v>2374.39</v>
      </c>
      <c r="N19" s="233">
        <v>3800.29</v>
      </c>
      <c r="O19" s="204">
        <f t="shared" si="6"/>
        <v>33484.749999999993</v>
      </c>
      <c r="Q19" s="198" t="s">
        <v>8</v>
      </c>
      <c r="R19" s="198" t="str">
        <f t="shared" si="7"/>
        <v>CFG - FTS-1 - Fixed R</v>
      </c>
      <c r="S19" s="198" t="s">
        <v>133</v>
      </c>
      <c r="T19" s="198" t="s">
        <v>125</v>
      </c>
      <c r="U19" s="209">
        <f t="shared" si="3"/>
        <v>6225.76</v>
      </c>
      <c r="V19" s="209">
        <f t="shared" si="4"/>
        <v>1</v>
      </c>
      <c r="W19" s="442" t="s">
        <v>8</v>
      </c>
    </row>
    <row r="20" spans="1:23">
      <c r="A20" s="198">
        <f t="shared" si="1"/>
        <v>20</v>
      </c>
      <c r="B20" s="207" t="s">
        <v>103</v>
      </c>
      <c r="C20" s="233">
        <v>1203.23</v>
      </c>
      <c r="D20" s="233">
        <v>1082.8499999999999</v>
      </c>
      <c r="E20" s="233">
        <v>1215.5899999999999</v>
      </c>
      <c r="F20" s="234">
        <v>1830.24</v>
      </c>
      <c r="G20" s="233">
        <v>667.67</v>
      </c>
      <c r="H20" s="233">
        <v>584.84</v>
      </c>
      <c r="I20" s="233">
        <v>545</v>
      </c>
      <c r="J20" s="233">
        <v>494.94</v>
      </c>
      <c r="K20" s="233">
        <v>337.37</v>
      </c>
      <c r="L20" s="233">
        <v>364.67</v>
      </c>
      <c r="M20" s="233">
        <v>693.8</v>
      </c>
      <c r="N20" s="233">
        <v>1073.8</v>
      </c>
      <c r="O20" s="204">
        <f t="shared" si="6"/>
        <v>10093.999999999998</v>
      </c>
      <c r="Q20" s="198" t="s">
        <v>8</v>
      </c>
      <c r="R20" s="198" t="str">
        <f t="shared" si="7"/>
        <v>CFG - FTS-2 - Fixed R</v>
      </c>
      <c r="S20" s="198" t="s">
        <v>133</v>
      </c>
      <c r="T20" s="198" t="s">
        <v>125</v>
      </c>
      <c r="U20" s="209">
        <f t="shared" si="3"/>
        <v>1830.24</v>
      </c>
      <c r="V20" s="209">
        <f t="shared" si="4"/>
        <v>4</v>
      </c>
      <c r="W20" s="442" t="s">
        <v>8</v>
      </c>
    </row>
    <row r="21" spans="1:23">
      <c r="A21" s="198">
        <f t="shared" si="1"/>
        <v>21</v>
      </c>
      <c r="B21" s="207" t="s">
        <v>104</v>
      </c>
      <c r="C21" s="233">
        <v>2027.18</v>
      </c>
      <c r="D21" s="233">
        <v>1424.07</v>
      </c>
      <c r="E21" s="233">
        <v>1600.19</v>
      </c>
      <c r="F21" s="234">
        <v>1638.73</v>
      </c>
      <c r="G21" s="233">
        <v>1069.22</v>
      </c>
      <c r="H21" s="233">
        <v>409.05</v>
      </c>
      <c r="I21" s="233">
        <v>353</v>
      </c>
      <c r="J21" s="233">
        <v>178.61</v>
      </c>
      <c r="K21" s="233">
        <v>322.64999999999998</v>
      </c>
      <c r="L21" s="233">
        <v>165.27</v>
      </c>
      <c r="M21" s="233">
        <v>949.58</v>
      </c>
      <c r="N21" s="233">
        <v>1268.47</v>
      </c>
      <c r="O21" s="204">
        <f t="shared" si="6"/>
        <v>11406.02</v>
      </c>
      <c r="Q21" s="198" t="s">
        <v>8</v>
      </c>
      <c r="R21" s="198" t="str">
        <f t="shared" si="7"/>
        <v>CFG - FTS-2.1 - Fixed R</v>
      </c>
      <c r="S21" s="198" t="s">
        <v>133</v>
      </c>
      <c r="T21" s="198" t="s">
        <v>125</v>
      </c>
      <c r="U21" s="209">
        <f t="shared" si="3"/>
        <v>2027.18</v>
      </c>
      <c r="V21" s="209">
        <f t="shared" si="4"/>
        <v>1</v>
      </c>
      <c r="W21" s="442" t="s">
        <v>8</v>
      </c>
    </row>
    <row r="22" spans="1:23">
      <c r="A22" s="198">
        <f t="shared" si="1"/>
        <v>22</v>
      </c>
      <c r="B22" s="212" t="s">
        <v>105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04">
        <f t="shared" si="6"/>
        <v>0</v>
      </c>
      <c r="Q22" s="198" t="s">
        <v>8</v>
      </c>
      <c r="R22" s="198" t="str">
        <f t="shared" si="7"/>
        <v>CFG - FTS-3 - Fixed R</v>
      </c>
      <c r="S22" s="198" t="s">
        <v>133</v>
      </c>
      <c r="T22" s="198" t="s">
        <v>125</v>
      </c>
      <c r="U22" s="209">
        <f t="shared" si="3"/>
        <v>0</v>
      </c>
      <c r="V22" s="209">
        <f t="shared" si="4"/>
        <v>0</v>
      </c>
      <c r="W22" s="442" t="s">
        <v>8</v>
      </c>
    </row>
    <row r="23" spans="1:23">
      <c r="A23" s="198">
        <f t="shared" si="1"/>
        <v>23</v>
      </c>
      <c r="B23" s="212" t="s">
        <v>106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16">
        <f t="shared" si="6"/>
        <v>0</v>
      </c>
      <c r="Q23" s="198" t="s">
        <v>8</v>
      </c>
      <c r="R23" s="198" t="str">
        <f t="shared" si="7"/>
        <v>CFG - FTS-3.1 - Fixed R</v>
      </c>
      <c r="S23" s="198" t="s">
        <v>133</v>
      </c>
      <c r="T23" s="198" t="s">
        <v>125</v>
      </c>
      <c r="U23" s="209">
        <f t="shared" si="3"/>
        <v>0</v>
      </c>
      <c r="V23" s="209">
        <f t="shared" si="4"/>
        <v>0</v>
      </c>
      <c r="W23" s="442" t="s">
        <v>8</v>
      </c>
    </row>
    <row r="24" spans="1:23">
      <c r="A24" s="198">
        <f t="shared" si="1"/>
        <v>24</v>
      </c>
      <c r="B24" s="213" t="s">
        <v>134</v>
      </c>
      <c r="C24" s="204">
        <f t="shared" ref="C24:N24" si="8">SUM(C17:C23)</f>
        <v>11129.87</v>
      </c>
      <c r="D24" s="204">
        <f t="shared" si="8"/>
        <v>7206.9599999999991</v>
      </c>
      <c r="E24" s="204">
        <f t="shared" si="8"/>
        <v>7158.07</v>
      </c>
      <c r="F24" s="204">
        <f t="shared" si="8"/>
        <v>7277.8099999999995</v>
      </c>
      <c r="G24" s="204">
        <f t="shared" si="8"/>
        <v>4681.29</v>
      </c>
      <c r="H24" s="204">
        <f t="shared" si="8"/>
        <v>4041.2200000000003</v>
      </c>
      <c r="I24" s="204">
        <f t="shared" si="8"/>
        <v>3151</v>
      </c>
      <c r="J24" s="204">
        <f t="shared" si="8"/>
        <v>3083.37</v>
      </c>
      <c r="K24" s="204">
        <f t="shared" si="8"/>
        <v>3214.02</v>
      </c>
      <c r="L24" s="204">
        <f t="shared" si="8"/>
        <v>2806.6200000000003</v>
      </c>
      <c r="M24" s="204">
        <f t="shared" si="8"/>
        <v>4892.38</v>
      </c>
      <c r="N24" s="204">
        <f t="shared" si="8"/>
        <v>7237.77</v>
      </c>
      <c r="O24" s="204">
        <f t="shared" si="6"/>
        <v>65880.38</v>
      </c>
      <c r="U24" s="209">
        <f t="shared" si="3"/>
        <v>11129.87</v>
      </c>
      <c r="V24" s="209">
        <f t="shared" si="4"/>
        <v>1</v>
      </c>
      <c r="W24" s="442"/>
    </row>
    <row r="25" spans="1:23">
      <c r="A25" s="198">
        <f t="shared" si="1"/>
        <v>25</v>
      </c>
      <c r="B25" s="217" t="s">
        <v>135</v>
      </c>
      <c r="C25" s="235"/>
      <c r="D25" s="235"/>
      <c r="E25" s="236"/>
      <c r="F25" s="236"/>
      <c r="G25" s="236"/>
      <c r="H25" s="236"/>
      <c r="I25" s="237"/>
      <c r="J25" s="237"/>
      <c r="K25" s="237"/>
      <c r="L25" s="236"/>
      <c r="M25" s="237"/>
      <c r="N25" s="237"/>
      <c r="O25" s="204"/>
      <c r="U25" s="209">
        <f t="shared" si="3"/>
        <v>0</v>
      </c>
      <c r="V25" s="209">
        <f t="shared" si="4"/>
        <v>0</v>
      </c>
      <c r="W25" s="442"/>
    </row>
    <row r="26" spans="1:23">
      <c r="A26" s="198">
        <f t="shared" si="1"/>
        <v>26</v>
      </c>
      <c r="B26" s="207" t="s">
        <v>100</v>
      </c>
      <c r="C26" s="233">
        <v>110.08</v>
      </c>
      <c r="D26" s="233">
        <v>36.340000000000003</v>
      </c>
      <c r="E26" s="233">
        <v>41.58</v>
      </c>
      <c r="F26" s="233">
        <v>42.63</v>
      </c>
      <c r="G26" s="233">
        <v>35.29</v>
      </c>
      <c r="H26" s="233">
        <v>121.61</v>
      </c>
      <c r="I26" s="233">
        <v>24</v>
      </c>
      <c r="J26" s="233">
        <v>25.91</v>
      </c>
      <c r="K26" s="233">
        <v>25.95</v>
      </c>
      <c r="L26" s="233">
        <v>27.01</v>
      </c>
      <c r="M26" s="233">
        <v>37.42</v>
      </c>
      <c r="N26" s="233">
        <v>40.630000000000003</v>
      </c>
      <c r="O26" s="204">
        <f t="shared" ref="O26:O62" si="9">SUM(C26:N26)</f>
        <v>568.45000000000005</v>
      </c>
      <c r="P26" s="210"/>
      <c r="Q26" s="198" t="s">
        <v>8</v>
      </c>
      <c r="R26" s="198" t="str">
        <f t="shared" ref="R26:R32" si="10">CONCATENATE(Q26," - ",B26," NR")</f>
        <v>CFG - FTS-A NR</v>
      </c>
      <c r="T26" s="198" t="s">
        <v>136</v>
      </c>
      <c r="U26" s="209">
        <f t="shared" si="3"/>
        <v>121.61</v>
      </c>
      <c r="V26" s="209">
        <f t="shared" si="4"/>
        <v>6</v>
      </c>
      <c r="W26" s="442" t="s">
        <v>8</v>
      </c>
    </row>
    <row r="27" spans="1:23">
      <c r="A27" s="198">
        <f t="shared" si="1"/>
        <v>27</v>
      </c>
      <c r="B27" s="207" t="s">
        <v>101</v>
      </c>
      <c r="C27" s="233">
        <v>160.13</v>
      </c>
      <c r="D27" s="233">
        <v>158.71</v>
      </c>
      <c r="E27" s="233">
        <v>59.74</v>
      </c>
      <c r="F27" s="233">
        <v>72.709999999999994</v>
      </c>
      <c r="G27" s="233">
        <v>53.39</v>
      </c>
      <c r="H27" s="233">
        <v>58.25</v>
      </c>
      <c r="I27" s="233">
        <v>73</v>
      </c>
      <c r="J27" s="233">
        <v>54.96</v>
      </c>
      <c r="K27" s="233">
        <v>53.4</v>
      </c>
      <c r="L27" s="233">
        <v>49.05</v>
      </c>
      <c r="M27" s="233">
        <v>65.03</v>
      </c>
      <c r="N27" s="233">
        <v>96.59</v>
      </c>
      <c r="O27" s="204">
        <f t="shared" si="9"/>
        <v>954.96</v>
      </c>
      <c r="P27" s="210"/>
      <c r="Q27" s="198" t="s">
        <v>8</v>
      </c>
      <c r="R27" s="198" t="str">
        <f t="shared" si="10"/>
        <v>CFG - FTS-B NR</v>
      </c>
      <c r="T27" s="198" t="s">
        <v>136</v>
      </c>
      <c r="U27" s="209">
        <f t="shared" si="3"/>
        <v>160.13</v>
      </c>
      <c r="V27" s="209">
        <f t="shared" si="4"/>
        <v>1</v>
      </c>
      <c r="W27" s="442" t="s">
        <v>8</v>
      </c>
    </row>
    <row r="28" spans="1:23">
      <c r="A28" s="198">
        <f t="shared" si="1"/>
        <v>28</v>
      </c>
      <c r="B28" s="207" t="s">
        <v>102</v>
      </c>
      <c r="C28" s="233">
        <v>8269.15</v>
      </c>
      <c r="D28" s="233">
        <v>6407.33</v>
      </c>
      <c r="E28" s="233">
        <v>10082.290000000001</v>
      </c>
      <c r="F28" s="233">
        <v>4677.84</v>
      </c>
      <c r="G28" s="233">
        <v>5867.21</v>
      </c>
      <c r="H28" s="233">
        <v>4067.85</v>
      </c>
      <c r="I28" s="233">
        <v>4768</v>
      </c>
      <c r="J28" s="233">
        <v>2703.42</v>
      </c>
      <c r="K28" s="233">
        <v>4171.58</v>
      </c>
      <c r="L28" s="233">
        <v>3752.44</v>
      </c>
      <c r="M28" s="233">
        <v>4096.91</v>
      </c>
      <c r="N28" s="233">
        <v>5513.33</v>
      </c>
      <c r="O28" s="204">
        <f t="shared" si="9"/>
        <v>64377.350000000006</v>
      </c>
      <c r="P28" s="210"/>
      <c r="Q28" s="198" t="s">
        <v>8</v>
      </c>
      <c r="R28" s="198" t="str">
        <f t="shared" si="10"/>
        <v>CFG - FTS-1 NR</v>
      </c>
      <c r="T28" s="198" t="s">
        <v>136</v>
      </c>
      <c r="U28" s="209">
        <f t="shared" si="3"/>
        <v>10082.290000000001</v>
      </c>
      <c r="V28" s="209">
        <f t="shared" si="4"/>
        <v>3</v>
      </c>
      <c r="W28" s="442" t="s">
        <v>8</v>
      </c>
    </row>
    <row r="29" spans="1:23">
      <c r="A29" s="198">
        <f t="shared" si="1"/>
        <v>29</v>
      </c>
      <c r="B29" s="207" t="s">
        <v>103</v>
      </c>
      <c r="C29" s="233">
        <v>10762.91</v>
      </c>
      <c r="D29" s="233">
        <v>7886.77</v>
      </c>
      <c r="E29" s="233">
        <v>7444.81</v>
      </c>
      <c r="F29" s="233">
        <v>6735.73</v>
      </c>
      <c r="G29" s="233">
        <v>5650.34</v>
      </c>
      <c r="H29" s="233">
        <v>5240.67</v>
      </c>
      <c r="I29" s="233">
        <v>4780</v>
      </c>
      <c r="J29" s="233">
        <v>5327.85</v>
      </c>
      <c r="K29" s="233">
        <v>5520.16</v>
      </c>
      <c r="L29" s="233">
        <v>4697.79</v>
      </c>
      <c r="M29" s="233">
        <v>9856.0499999999993</v>
      </c>
      <c r="N29" s="233">
        <v>9366.79000000001</v>
      </c>
      <c r="O29" s="204">
        <f t="shared" si="9"/>
        <v>83269.87</v>
      </c>
      <c r="P29" s="210"/>
      <c r="Q29" s="198" t="s">
        <v>8</v>
      </c>
      <c r="R29" s="198" t="str">
        <f t="shared" si="10"/>
        <v>CFG - FTS-2 NR</v>
      </c>
      <c r="T29" s="198" t="s">
        <v>136</v>
      </c>
      <c r="U29" s="209">
        <f t="shared" si="3"/>
        <v>10762.91</v>
      </c>
      <c r="V29" s="209">
        <f t="shared" si="4"/>
        <v>1</v>
      </c>
      <c r="W29" s="442" t="s">
        <v>8</v>
      </c>
    </row>
    <row r="30" spans="1:23">
      <c r="A30" s="198">
        <f t="shared" si="1"/>
        <v>30</v>
      </c>
      <c r="B30" s="207" t="s">
        <v>104</v>
      </c>
      <c r="C30" s="233">
        <v>51814.99</v>
      </c>
      <c r="D30" s="233">
        <v>44807.96</v>
      </c>
      <c r="E30" s="233">
        <v>43319</v>
      </c>
      <c r="F30" s="233">
        <v>32291.19</v>
      </c>
      <c r="G30" s="233">
        <v>28555.68</v>
      </c>
      <c r="H30" s="233">
        <v>26023.95</v>
      </c>
      <c r="I30" s="233">
        <v>22880</v>
      </c>
      <c r="J30" s="233">
        <v>25342.76</v>
      </c>
      <c r="K30" s="233">
        <v>28310.21</v>
      </c>
      <c r="L30" s="233">
        <v>27304.54</v>
      </c>
      <c r="M30" s="233">
        <v>30584.5</v>
      </c>
      <c r="N30" s="233">
        <v>37168.730000000003</v>
      </c>
      <c r="O30" s="204">
        <f t="shared" si="9"/>
        <v>398403.51</v>
      </c>
      <c r="P30" s="210"/>
      <c r="Q30" s="198" t="s">
        <v>8</v>
      </c>
      <c r="R30" s="198" t="str">
        <f t="shared" si="10"/>
        <v>CFG - FTS-2.1 NR</v>
      </c>
      <c r="T30" s="198" t="s">
        <v>136</v>
      </c>
      <c r="U30" s="209">
        <f t="shared" si="3"/>
        <v>51814.99</v>
      </c>
      <c r="V30" s="209">
        <f t="shared" si="4"/>
        <v>1</v>
      </c>
      <c r="W30" s="442" t="s">
        <v>8</v>
      </c>
    </row>
    <row r="31" spans="1:23">
      <c r="A31" s="198">
        <f t="shared" si="1"/>
        <v>31</v>
      </c>
      <c r="B31" s="212" t="s">
        <v>105</v>
      </c>
      <c r="C31" s="233">
        <v>99280.320000000007</v>
      </c>
      <c r="D31" s="233">
        <v>90316.03</v>
      </c>
      <c r="E31" s="233">
        <v>90957</v>
      </c>
      <c r="F31" s="233">
        <v>89052.11</v>
      </c>
      <c r="G31" s="233">
        <v>81373.949999999895</v>
      </c>
      <c r="H31" s="233">
        <v>79861.850000000006</v>
      </c>
      <c r="I31" s="233">
        <v>70777</v>
      </c>
      <c r="J31" s="233">
        <v>74191.89</v>
      </c>
      <c r="K31" s="233">
        <v>81566.8100000001</v>
      </c>
      <c r="L31" s="233">
        <v>75165.940000000104</v>
      </c>
      <c r="M31" s="233">
        <v>90266.48</v>
      </c>
      <c r="N31" s="233">
        <v>92252.51</v>
      </c>
      <c r="O31" s="204">
        <f t="shared" si="9"/>
        <v>1015061.89</v>
      </c>
      <c r="P31" s="210"/>
      <c r="Q31" s="198" t="s">
        <v>8</v>
      </c>
      <c r="R31" s="198" t="str">
        <f t="shared" si="10"/>
        <v>CFG - FTS-3 NR</v>
      </c>
      <c r="T31" s="198" t="s">
        <v>136</v>
      </c>
      <c r="U31" s="209">
        <f t="shared" si="3"/>
        <v>99280.320000000007</v>
      </c>
      <c r="V31" s="209">
        <f t="shared" si="4"/>
        <v>1</v>
      </c>
      <c r="W31" s="442" t="s">
        <v>8</v>
      </c>
    </row>
    <row r="32" spans="1:23">
      <c r="A32" s="198">
        <f t="shared" si="1"/>
        <v>32</v>
      </c>
      <c r="B32" s="212" t="s">
        <v>106</v>
      </c>
      <c r="C32" s="233">
        <v>239113.23</v>
      </c>
      <c r="D32" s="233">
        <v>230737.53</v>
      </c>
      <c r="E32" s="233">
        <v>220997</v>
      </c>
      <c r="F32" s="233">
        <v>222318.81</v>
      </c>
      <c r="G32" s="233">
        <v>192172.7</v>
      </c>
      <c r="H32" s="233">
        <v>195568.84</v>
      </c>
      <c r="I32" s="233">
        <v>174366</v>
      </c>
      <c r="J32" s="233">
        <v>177355.01</v>
      </c>
      <c r="K32" s="233">
        <v>181710.98</v>
      </c>
      <c r="L32" s="233">
        <v>168170.95</v>
      </c>
      <c r="M32" s="233">
        <v>205773.29</v>
      </c>
      <c r="N32" s="233">
        <v>213620.51</v>
      </c>
      <c r="O32" s="204">
        <f t="shared" si="9"/>
        <v>2421904.8499999996</v>
      </c>
      <c r="P32" s="210"/>
      <c r="Q32" s="198" t="s">
        <v>8</v>
      </c>
      <c r="R32" s="198" t="str">
        <f t="shared" si="10"/>
        <v>CFG - FTS-3.1 NR</v>
      </c>
      <c r="T32" s="198" t="s">
        <v>136</v>
      </c>
      <c r="U32" s="209">
        <f t="shared" si="3"/>
        <v>239113.23</v>
      </c>
      <c r="V32" s="209">
        <f t="shared" si="4"/>
        <v>1</v>
      </c>
      <c r="W32" s="442" t="s">
        <v>8</v>
      </c>
    </row>
    <row r="33" spans="1:23">
      <c r="A33" s="198">
        <f t="shared" si="1"/>
        <v>33</v>
      </c>
      <c r="B33" s="212" t="s">
        <v>107</v>
      </c>
      <c r="C33" s="233">
        <v>312702.38</v>
      </c>
      <c r="D33" s="233">
        <v>273962.82</v>
      </c>
      <c r="E33" s="233">
        <v>263414</v>
      </c>
      <c r="F33" s="233">
        <v>304230.08</v>
      </c>
      <c r="G33" s="233">
        <v>224441.28</v>
      </c>
      <c r="H33" s="233">
        <v>243280.79</v>
      </c>
      <c r="I33" s="233">
        <v>208138</v>
      </c>
      <c r="J33" s="233">
        <v>207715.82</v>
      </c>
      <c r="K33" s="233">
        <v>222209.49</v>
      </c>
      <c r="L33" s="233">
        <v>228792.92</v>
      </c>
      <c r="M33" s="233">
        <v>275549.34999999998</v>
      </c>
      <c r="N33" s="233">
        <v>314073.81</v>
      </c>
      <c r="O33" s="204">
        <f t="shared" si="9"/>
        <v>3078510.74</v>
      </c>
      <c r="P33" s="210"/>
      <c r="Q33" s="198" t="s">
        <v>8</v>
      </c>
      <c r="R33" s="198" t="str">
        <f t="shared" ref="R33:R61" si="11">CONCATENATE(Q33," - ",B33)</f>
        <v>CFG - FTS-4</v>
      </c>
      <c r="T33" s="198" t="s">
        <v>136</v>
      </c>
      <c r="U33" s="209">
        <f t="shared" si="3"/>
        <v>314073.81</v>
      </c>
      <c r="V33" s="209">
        <f t="shared" si="4"/>
        <v>12</v>
      </c>
      <c r="W33" s="442" t="s">
        <v>8</v>
      </c>
    </row>
    <row r="34" spans="1:23">
      <c r="A34" s="198">
        <f t="shared" si="1"/>
        <v>34</v>
      </c>
      <c r="B34" s="212" t="s">
        <v>111</v>
      </c>
      <c r="C34" s="233">
        <v>137705.51999999999</v>
      </c>
      <c r="D34" s="233">
        <v>132751.39000000001</v>
      </c>
      <c r="E34" s="233">
        <v>139945</v>
      </c>
      <c r="F34" s="233">
        <v>103326.49</v>
      </c>
      <c r="G34" s="233">
        <v>77039.98</v>
      </c>
      <c r="H34" s="233">
        <v>79442.28</v>
      </c>
      <c r="I34" s="233">
        <v>73279</v>
      </c>
      <c r="J34" s="233">
        <v>78675.86</v>
      </c>
      <c r="K34" s="233">
        <v>77998.880000000005</v>
      </c>
      <c r="L34" s="233">
        <v>74137.08</v>
      </c>
      <c r="M34" s="233">
        <v>92908.49</v>
      </c>
      <c r="N34" s="233">
        <v>99810.32</v>
      </c>
      <c r="O34" s="204">
        <f t="shared" si="9"/>
        <v>1167020.29</v>
      </c>
      <c r="P34" s="210"/>
      <c r="Q34" s="198" t="s">
        <v>8</v>
      </c>
      <c r="R34" s="198" t="str">
        <f t="shared" si="11"/>
        <v>CFG - FTS-5</v>
      </c>
      <c r="T34" s="198" t="s">
        <v>136</v>
      </c>
      <c r="U34" s="209">
        <f t="shared" si="3"/>
        <v>139945</v>
      </c>
      <c r="V34" s="209">
        <f t="shared" si="4"/>
        <v>3</v>
      </c>
      <c r="W34" s="442" t="s">
        <v>8</v>
      </c>
    </row>
    <row r="35" spans="1:23">
      <c r="A35" s="198">
        <f t="shared" si="1"/>
        <v>35</v>
      </c>
      <c r="B35" s="212" t="s">
        <v>112</v>
      </c>
      <c r="C35" s="233">
        <v>153530.07</v>
      </c>
      <c r="D35" s="233">
        <v>127414.65</v>
      </c>
      <c r="E35" s="233">
        <v>137130.13</v>
      </c>
      <c r="F35" s="233">
        <v>128055.02</v>
      </c>
      <c r="G35" s="233">
        <v>125794.97</v>
      </c>
      <c r="H35" s="233">
        <v>113266.45</v>
      </c>
      <c r="I35" s="233">
        <v>102724</v>
      </c>
      <c r="J35" s="233">
        <v>118361.61</v>
      </c>
      <c r="K35" s="233">
        <v>150164.5</v>
      </c>
      <c r="L35" s="233">
        <v>132373.13</v>
      </c>
      <c r="M35" s="233">
        <v>129938.24000000001</v>
      </c>
      <c r="N35" s="233">
        <v>166331.49</v>
      </c>
      <c r="O35" s="204">
        <f t="shared" si="9"/>
        <v>1585084.2599999998</v>
      </c>
      <c r="P35" s="210"/>
      <c r="Q35" s="198" t="s">
        <v>8</v>
      </c>
      <c r="R35" s="198" t="str">
        <f t="shared" si="11"/>
        <v>CFG - FTS-6</v>
      </c>
      <c r="T35" s="198" t="s">
        <v>136</v>
      </c>
      <c r="U35" s="209">
        <f t="shared" si="3"/>
        <v>166331.49</v>
      </c>
      <c r="V35" s="209">
        <f t="shared" si="4"/>
        <v>12</v>
      </c>
      <c r="W35" s="442" t="s">
        <v>8</v>
      </c>
    </row>
    <row r="36" spans="1:23">
      <c r="A36" s="198">
        <f t="shared" si="1"/>
        <v>36</v>
      </c>
      <c r="B36" s="212" t="s">
        <v>113</v>
      </c>
      <c r="C36" s="233">
        <v>404984.27</v>
      </c>
      <c r="D36" s="233">
        <v>282086.61</v>
      </c>
      <c r="E36" s="233">
        <v>300732</v>
      </c>
      <c r="F36" s="233">
        <v>264144.71999999997</v>
      </c>
      <c r="G36" s="233">
        <v>314798.68</v>
      </c>
      <c r="H36" s="233">
        <v>257643.29</v>
      </c>
      <c r="I36" s="233">
        <v>276197.94</v>
      </c>
      <c r="J36" s="233">
        <v>283647.8</v>
      </c>
      <c r="K36" s="233">
        <v>248318.44</v>
      </c>
      <c r="L36" s="233">
        <v>286506.40000000002</v>
      </c>
      <c r="M36" s="233">
        <v>291829.99</v>
      </c>
      <c r="N36" s="233">
        <v>309291.2</v>
      </c>
      <c r="O36" s="204">
        <f t="shared" si="9"/>
        <v>3520181.34</v>
      </c>
      <c r="P36" s="210"/>
      <c r="Q36" s="198" t="s">
        <v>8</v>
      </c>
      <c r="R36" s="198" t="str">
        <f t="shared" si="11"/>
        <v>CFG - FTS-7</v>
      </c>
      <c r="T36" s="198" t="s">
        <v>136</v>
      </c>
      <c r="U36" s="209">
        <f t="shared" si="3"/>
        <v>404984.27</v>
      </c>
      <c r="V36" s="209">
        <f t="shared" si="4"/>
        <v>1</v>
      </c>
      <c r="W36" s="442" t="s">
        <v>8</v>
      </c>
    </row>
    <row r="37" spans="1:23">
      <c r="A37" s="198">
        <f t="shared" si="1"/>
        <v>37</v>
      </c>
      <c r="B37" s="212" t="s">
        <v>114</v>
      </c>
      <c r="C37" s="233">
        <v>520517.1</v>
      </c>
      <c r="D37" s="233">
        <v>437821.75</v>
      </c>
      <c r="E37" s="233">
        <v>478053.73</v>
      </c>
      <c r="F37" s="233">
        <v>393857.96</v>
      </c>
      <c r="G37" s="233">
        <v>397950.9</v>
      </c>
      <c r="H37" s="233">
        <v>356560.36</v>
      </c>
      <c r="I37" s="233">
        <v>393805.1</v>
      </c>
      <c r="J37" s="233">
        <v>371032.57</v>
      </c>
      <c r="K37" s="233">
        <v>342961.02</v>
      </c>
      <c r="L37" s="233">
        <v>410345.03</v>
      </c>
      <c r="M37" s="233">
        <v>415533.58</v>
      </c>
      <c r="N37" s="233">
        <v>430222.78</v>
      </c>
      <c r="O37" s="204">
        <f t="shared" si="9"/>
        <v>4948661.88</v>
      </c>
      <c r="P37" s="210"/>
      <c r="Q37" s="198" t="s">
        <v>8</v>
      </c>
      <c r="R37" s="198" t="str">
        <f t="shared" si="11"/>
        <v>CFG - FTS-8</v>
      </c>
      <c r="T37" s="198" t="s">
        <v>136</v>
      </c>
      <c r="U37" s="209">
        <f t="shared" si="3"/>
        <v>520517.1</v>
      </c>
      <c r="V37" s="209">
        <f t="shared" si="4"/>
        <v>1</v>
      </c>
      <c r="W37" s="442" t="s">
        <v>8</v>
      </c>
    </row>
    <row r="38" spans="1:23">
      <c r="A38" s="198">
        <f t="shared" si="1"/>
        <v>38</v>
      </c>
      <c r="B38" s="212" t="s">
        <v>115</v>
      </c>
      <c r="C38" s="233">
        <v>435274.44</v>
      </c>
      <c r="D38" s="233">
        <v>396190.12</v>
      </c>
      <c r="E38" s="233">
        <v>388307.07</v>
      </c>
      <c r="F38" s="233">
        <v>331188.75</v>
      </c>
      <c r="G38" s="233">
        <v>332202.58</v>
      </c>
      <c r="H38" s="233">
        <v>317426.17</v>
      </c>
      <c r="I38" s="233">
        <v>323248.34000000003</v>
      </c>
      <c r="J38" s="233">
        <v>319126.42</v>
      </c>
      <c r="K38" s="233">
        <v>301858.31</v>
      </c>
      <c r="L38" s="233">
        <v>322159.40000000002</v>
      </c>
      <c r="M38" s="233">
        <v>301851.21999999997</v>
      </c>
      <c r="N38" s="233">
        <v>324525.24</v>
      </c>
      <c r="O38" s="204">
        <f t="shared" si="9"/>
        <v>4093358.0600000005</v>
      </c>
      <c r="P38" s="210"/>
      <c r="Q38" s="198" t="s">
        <v>8</v>
      </c>
      <c r="R38" s="198" t="str">
        <f t="shared" si="11"/>
        <v>CFG - FTS-9</v>
      </c>
      <c r="T38" s="198" t="s">
        <v>136</v>
      </c>
      <c r="U38" s="209">
        <f t="shared" si="3"/>
        <v>435274.44</v>
      </c>
      <c r="V38" s="209">
        <f t="shared" si="4"/>
        <v>1</v>
      </c>
      <c r="W38" s="442" t="s">
        <v>8</v>
      </c>
    </row>
    <row r="39" spans="1:23">
      <c r="A39" s="198">
        <f t="shared" si="1"/>
        <v>39</v>
      </c>
      <c r="B39" s="212" t="s">
        <v>116</v>
      </c>
      <c r="C39" s="233">
        <v>148025.57</v>
      </c>
      <c r="D39" s="233">
        <v>120897.94</v>
      </c>
      <c r="E39" s="233">
        <v>126649.17</v>
      </c>
      <c r="F39" s="233">
        <v>199602.21</v>
      </c>
      <c r="G39" s="233">
        <v>202908.78</v>
      </c>
      <c r="H39" s="233">
        <v>185413.74</v>
      </c>
      <c r="I39" s="233">
        <v>172779.83</v>
      </c>
      <c r="J39" s="233">
        <v>197746.16</v>
      </c>
      <c r="K39" s="233">
        <v>207947.32</v>
      </c>
      <c r="L39" s="233">
        <v>226011.41</v>
      </c>
      <c r="M39" s="233">
        <v>209172.9</v>
      </c>
      <c r="N39" s="233">
        <v>202619.4</v>
      </c>
      <c r="O39" s="204">
        <f t="shared" si="9"/>
        <v>2199774.4299999997</v>
      </c>
      <c r="P39" s="210"/>
      <c r="Q39" s="198" t="s">
        <v>8</v>
      </c>
      <c r="R39" s="198" t="str">
        <f t="shared" si="11"/>
        <v>CFG - FTS-10</v>
      </c>
      <c r="T39" s="198" t="s">
        <v>136</v>
      </c>
      <c r="U39" s="209">
        <f t="shared" si="3"/>
        <v>226011.41</v>
      </c>
      <c r="V39" s="209">
        <f t="shared" si="4"/>
        <v>10</v>
      </c>
      <c r="W39" s="442" t="s">
        <v>8</v>
      </c>
    </row>
    <row r="40" spans="1:23">
      <c r="A40" s="198">
        <f t="shared" si="1"/>
        <v>40</v>
      </c>
      <c r="B40" s="212" t="s">
        <v>117</v>
      </c>
      <c r="C40" s="233">
        <v>134512.60999999999</v>
      </c>
      <c r="D40" s="233">
        <v>63139.93</v>
      </c>
      <c r="E40" s="233">
        <v>66738.17</v>
      </c>
      <c r="F40" s="233">
        <v>261928.22</v>
      </c>
      <c r="G40" s="233">
        <v>266378.57</v>
      </c>
      <c r="H40" s="233">
        <v>310906.57</v>
      </c>
      <c r="I40" s="233">
        <v>313045.7</v>
      </c>
      <c r="J40" s="233">
        <v>389448.2</v>
      </c>
      <c r="K40" s="233">
        <v>415510.03</v>
      </c>
      <c r="L40" s="233">
        <v>401135.03</v>
      </c>
      <c r="M40" s="233">
        <v>383589.4</v>
      </c>
      <c r="N40" s="233">
        <v>345701.32</v>
      </c>
      <c r="O40" s="204">
        <f t="shared" si="9"/>
        <v>3352033.75</v>
      </c>
      <c r="P40" s="210"/>
      <c r="Q40" s="198" t="s">
        <v>8</v>
      </c>
      <c r="R40" s="198" t="str">
        <f t="shared" si="11"/>
        <v>CFG - FTS-11</v>
      </c>
      <c r="T40" s="198" t="s">
        <v>136</v>
      </c>
      <c r="U40" s="209">
        <f t="shared" si="3"/>
        <v>415510.03</v>
      </c>
      <c r="V40" s="209">
        <f t="shared" si="4"/>
        <v>9</v>
      </c>
      <c r="W40" s="442" t="s">
        <v>8</v>
      </c>
    </row>
    <row r="41" spans="1:23">
      <c r="A41" s="198">
        <f t="shared" si="1"/>
        <v>41</v>
      </c>
      <c r="B41" s="212" t="s">
        <v>118</v>
      </c>
      <c r="C41" s="233">
        <v>1728430.84</v>
      </c>
      <c r="D41" s="233">
        <v>1659083.1</v>
      </c>
      <c r="E41" s="233">
        <v>1793047.65</v>
      </c>
      <c r="F41" s="233">
        <v>1573238.42</v>
      </c>
      <c r="G41" s="233">
        <v>1432832.34</v>
      </c>
      <c r="H41" s="233">
        <v>1513442.34</v>
      </c>
      <c r="I41" s="233">
        <v>1563792.13</v>
      </c>
      <c r="J41" s="233">
        <v>1715772.18</v>
      </c>
      <c r="K41" s="233">
        <v>1614940.93</v>
      </c>
      <c r="L41" s="233">
        <v>1538235.3</v>
      </c>
      <c r="M41" s="233">
        <v>1556512.63</v>
      </c>
      <c r="N41" s="233">
        <v>1446931.94</v>
      </c>
      <c r="O41" s="204">
        <f t="shared" si="9"/>
        <v>19136259.800000001</v>
      </c>
      <c r="P41" s="210"/>
      <c r="Q41" s="198" t="s">
        <v>8</v>
      </c>
      <c r="R41" s="198" t="str">
        <f t="shared" si="11"/>
        <v>CFG - FTS-12</v>
      </c>
      <c r="T41" s="198" t="s">
        <v>136</v>
      </c>
      <c r="U41" s="209">
        <f t="shared" si="3"/>
        <v>1793047.65</v>
      </c>
      <c r="V41" s="209">
        <f t="shared" si="4"/>
        <v>3</v>
      </c>
      <c r="W41" s="442" t="s">
        <v>8</v>
      </c>
    </row>
    <row r="42" spans="1:23">
      <c r="A42" s="198">
        <f t="shared" si="1"/>
        <v>42</v>
      </c>
      <c r="B42" s="212" t="s">
        <v>313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04">
        <f t="shared" si="9"/>
        <v>0</v>
      </c>
      <c r="P42" s="210"/>
      <c r="Q42" s="198" t="s">
        <v>8</v>
      </c>
      <c r="R42" s="198" t="str">
        <f t="shared" si="11"/>
        <v>CFG - FTS-13</v>
      </c>
      <c r="T42" s="198" t="s">
        <v>136</v>
      </c>
      <c r="U42" s="209">
        <f t="shared" si="3"/>
        <v>0</v>
      </c>
      <c r="V42" s="209">
        <f t="shared" si="4"/>
        <v>0</v>
      </c>
      <c r="W42" s="442" t="s">
        <v>8</v>
      </c>
    </row>
    <row r="43" spans="1:23">
      <c r="A43" s="198">
        <f t="shared" si="1"/>
        <v>43</v>
      </c>
      <c r="B43" s="212" t="s">
        <v>99</v>
      </c>
      <c r="C43" s="233">
        <v>128898.50000000004</v>
      </c>
      <c r="D43" s="233">
        <v>111216.99</v>
      </c>
      <c r="E43" s="233">
        <v>93276.659999999974</v>
      </c>
      <c r="F43" s="233">
        <v>93501.570000000094</v>
      </c>
      <c r="G43" s="233">
        <v>77461.38999999997</v>
      </c>
      <c r="H43" s="233">
        <v>72621.730000000069</v>
      </c>
      <c r="I43" s="233">
        <v>60343</v>
      </c>
      <c r="J43" s="233">
        <v>62615.850000000013</v>
      </c>
      <c r="K43" s="233">
        <v>59656.630000000048</v>
      </c>
      <c r="L43" s="233">
        <v>58216.840000000084</v>
      </c>
      <c r="M43" s="233">
        <v>78346.930000000008</v>
      </c>
      <c r="N43" s="233">
        <v>104189.94000000012</v>
      </c>
      <c r="O43" s="204">
        <f t="shared" si="9"/>
        <v>1000346.0300000003</v>
      </c>
      <c r="P43" s="210"/>
      <c r="Q43" s="198" t="s">
        <v>7</v>
      </c>
      <c r="R43" s="198" t="str">
        <f t="shared" si="11"/>
        <v>FPU - FPU - GS - 1</v>
      </c>
      <c r="T43" s="198" t="s">
        <v>137</v>
      </c>
      <c r="U43" s="209">
        <f t="shared" si="3"/>
        <v>128898.50000000004</v>
      </c>
      <c r="V43" s="209">
        <f t="shared" si="4"/>
        <v>1</v>
      </c>
      <c r="W43" s="442" t="s">
        <v>7</v>
      </c>
    </row>
    <row r="44" spans="1:23">
      <c r="A44" s="198">
        <f t="shared" si="1"/>
        <v>44</v>
      </c>
      <c r="B44" s="212" t="s">
        <v>138</v>
      </c>
      <c r="C44" s="233">
        <v>74954.740000000005</v>
      </c>
      <c r="D44" s="233">
        <v>71025.020000000019</v>
      </c>
      <c r="E44" s="233">
        <v>60850.890000000043</v>
      </c>
      <c r="F44" s="233">
        <v>61898.69</v>
      </c>
      <c r="G44" s="233">
        <v>53712.069999999985</v>
      </c>
      <c r="H44" s="233">
        <v>54336.659999999989</v>
      </c>
      <c r="I44" s="233">
        <v>45889</v>
      </c>
      <c r="J44" s="233">
        <v>42705.48000000001</v>
      </c>
      <c r="K44" s="233">
        <v>48243.899999999972</v>
      </c>
      <c r="L44" s="233">
        <v>43669.430000000008</v>
      </c>
      <c r="M44" s="233">
        <v>57776.990000000005</v>
      </c>
      <c r="N44" s="233">
        <v>64765.939999999981</v>
      </c>
      <c r="O44" s="204">
        <f t="shared" si="9"/>
        <v>679828.80999999994</v>
      </c>
      <c r="P44" s="210"/>
      <c r="Q44" s="198" t="s">
        <v>7</v>
      </c>
      <c r="R44" s="198" t="str">
        <f t="shared" si="11"/>
        <v>FPU - FPU - GSTS - 1</v>
      </c>
      <c r="T44" s="198" t="s">
        <v>139</v>
      </c>
      <c r="U44" s="209">
        <f t="shared" si="3"/>
        <v>74954.740000000005</v>
      </c>
      <c r="V44" s="209">
        <f t="shared" si="4"/>
        <v>1</v>
      </c>
      <c r="W44" s="442" t="s">
        <v>7</v>
      </c>
    </row>
    <row r="45" spans="1:23">
      <c r="A45" s="198">
        <f t="shared" si="1"/>
        <v>45</v>
      </c>
      <c r="B45" s="212" t="s">
        <v>140</v>
      </c>
      <c r="C45" s="233">
        <v>760638.17999999726</v>
      </c>
      <c r="D45" s="233">
        <v>755631.61000000092</v>
      </c>
      <c r="E45" s="233">
        <v>632285.9800000001</v>
      </c>
      <c r="F45" s="233">
        <v>640585.47999999928</v>
      </c>
      <c r="G45" s="233">
        <v>529112.78999999934</v>
      </c>
      <c r="H45" s="233">
        <v>512476.09000000195</v>
      </c>
      <c r="I45" s="233">
        <v>443876.33999999927</v>
      </c>
      <c r="J45" s="233">
        <v>442949.05000000063</v>
      </c>
      <c r="K45" s="233">
        <v>456222.93000000058</v>
      </c>
      <c r="L45" s="233">
        <v>414799.56999999867</v>
      </c>
      <c r="M45" s="233">
        <v>526088.93999999994</v>
      </c>
      <c r="N45" s="233">
        <v>677644.77000000048</v>
      </c>
      <c r="O45" s="204">
        <f t="shared" si="9"/>
        <v>6792311.7299999977</v>
      </c>
      <c r="P45" s="210"/>
      <c r="Q45" s="198" t="s">
        <v>7</v>
      </c>
      <c r="R45" s="198" t="str">
        <f t="shared" si="11"/>
        <v>FPU - FPU - GS - 2</v>
      </c>
      <c r="T45" s="198" t="s">
        <v>137</v>
      </c>
      <c r="U45" s="209">
        <f t="shared" si="3"/>
        <v>760638.17999999726</v>
      </c>
      <c r="V45" s="209">
        <f t="shared" si="4"/>
        <v>1</v>
      </c>
      <c r="W45" s="442" t="s">
        <v>7</v>
      </c>
    </row>
    <row r="46" spans="1:23">
      <c r="A46" s="198">
        <f t="shared" si="1"/>
        <v>46</v>
      </c>
      <c r="B46" s="212" t="s">
        <v>141</v>
      </c>
      <c r="C46" s="233">
        <v>484984.58000000007</v>
      </c>
      <c r="D46" s="233">
        <v>445421.16000000003</v>
      </c>
      <c r="E46" s="233">
        <v>417362.00999999989</v>
      </c>
      <c r="F46" s="233">
        <v>437617.93999999965</v>
      </c>
      <c r="G46" s="233">
        <v>382148.90999999945</v>
      </c>
      <c r="H46" s="233">
        <v>400184.70000000065</v>
      </c>
      <c r="I46" s="233">
        <v>349086.76000000007</v>
      </c>
      <c r="J46" s="233">
        <v>356401.70000000007</v>
      </c>
      <c r="K46" s="233">
        <v>376932.37000000052</v>
      </c>
      <c r="L46" s="233">
        <v>346152.70000000019</v>
      </c>
      <c r="M46" s="233">
        <v>434486.40000000008</v>
      </c>
      <c r="N46" s="233">
        <v>492601.61000000016</v>
      </c>
      <c r="O46" s="204">
        <f t="shared" si="9"/>
        <v>4923380.8400000017</v>
      </c>
      <c r="P46" s="210"/>
      <c r="Q46" s="198" t="s">
        <v>7</v>
      </c>
      <c r="R46" s="198" t="str">
        <f t="shared" si="11"/>
        <v>FPU - FPU - GSTS - 2</v>
      </c>
      <c r="T46" s="198" t="s">
        <v>139</v>
      </c>
      <c r="U46" s="209">
        <f t="shared" si="3"/>
        <v>492601.61000000016</v>
      </c>
      <c r="V46" s="209">
        <f t="shared" si="4"/>
        <v>12</v>
      </c>
      <c r="W46" s="442" t="s">
        <v>7</v>
      </c>
    </row>
    <row r="47" spans="1:23">
      <c r="A47" s="198">
        <f t="shared" si="1"/>
        <v>47</v>
      </c>
      <c r="B47" s="212" t="s">
        <v>142</v>
      </c>
      <c r="C47" s="233">
        <v>4699.2099999999982</v>
      </c>
      <c r="D47" s="233">
        <v>3163.8800000000006</v>
      </c>
      <c r="E47" s="233">
        <v>2985.3899999999994</v>
      </c>
      <c r="F47" s="233">
        <v>2678.8599999999997</v>
      </c>
      <c r="G47" s="233">
        <v>2102.3300000000004</v>
      </c>
      <c r="H47" s="233">
        <v>2859.4900000000021</v>
      </c>
      <c r="I47" s="233">
        <v>2143</v>
      </c>
      <c r="J47" s="233">
        <v>2656.0699999999993</v>
      </c>
      <c r="K47" s="233">
        <v>2585.0300000000011</v>
      </c>
      <c r="L47" s="233">
        <v>1902.1100000000008</v>
      </c>
      <c r="M47" s="233">
        <v>2793.400000000001</v>
      </c>
      <c r="N47" s="233">
        <v>2954.940000000001</v>
      </c>
      <c r="O47" s="204">
        <f t="shared" si="9"/>
        <v>33523.710000000006</v>
      </c>
      <c r="P47" s="210"/>
      <c r="Q47" s="198" t="s">
        <v>7</v>
      </c>
      <c r="R47" s="198" t="str">
        <f t="shared" si="11"/>
        <v>FPU - FPU - CS - GS</v>
      </c>
      <c r="T47" s="198" t="s">
        <v>137</v>
      </c>
      <c r="U47" s="209">
        <f t="shared" si="3"/>
        <v>4699.2099999999982</v>
      </c>
      <c r="V47" s="209">
        <f t="shared" si="4"/>
        <v>1</v>
      </c>
      <c r="W47" s="442" t="s">
        <v>7</v>
      </c>
    </row>
    <row r="48" spans="1:23">
      <c r="A48" s="198">
        <f t="shared" si="1"/>
        <v>48</v>
      </c>
      <c r="B48" s="212" t="s">
        <v>143</v>
      </c>
      <c r="C48" s="233">
        <v>1037717.9499999991</v>
      </c>
      <c r="D48" s="233">
        <v>885888.1399999992</v>
      </c>
      <c r="E48" s="233">
        <v>856826.71999999881</v>
      </c>
      <c r="F48" s="233">
        <v>854521.22999999975</v>
      </c>
      <c r="G48" s="233">
        <v>750280.54999999993</v>
      </c>
      <c r="H48" s="233">
        <v>708958.36999999988</v>
      </c>
      <c r="I48" s="233">
        <v>579667.33999999985</v>
      </c>
      <c r="J48" s="233">
        <v>596169.6</v>
      </c>
      <c r="K48" s="233">
        <v>595503.02000000107</v>
      </c>
      <c r="L48" s="233">
        <v>562444.40999999957</v>
      </c>
      <c r="M48" s="233">
        <v>785356.88000000059</v>
      </c>
      <c r="N48" s="233">
        <v>887845.7499999993</v>
      </c>
      <c r="O48" s="204">
        <f t="shared" si="9"/>
        <v>9101179.9599999972</v>
      </c>
      <c r="P48" s="210"/>
      <c r="Q48" s="198" t="s">
        <v>7</v>
      </c>
      <c r="R48" s="198" t="str">
        <f t="shared" si="11"/>
        <v>FPU - FPU - LVS</v>
      </c>
      <c r="T48" s="198" t="s">
        <v>144</v>
      </c>
      <c r="U48" s="209">
        <f t="shared" si="3"/>
        <v>1037717.9499999991</v>
      </c>
      <c r="V48" s="209">
        <f t="shared" si="4"/>
        <v>1</v>
      </c>
      <c r="W48" s="442" t="s">
        <v>7</v>
      </c>
    </row>
    <row r="49" spans="1:23">
      <c r="A49" s="198">
        <f t="shared" si="1"/>
        <v>49</v>
      </c>
      <c r="B49" s="212" t="s">
        <v>145</v>
      </c>
      <c r="C49" s="233">
        <v>0</v>
      </c>
      <c r="D49" s="233">
        <v>0</v>
      </c>
      <c r="E49" s="233">
        <v>0</v>
      </c>
      <c r="F49" s="233">
        <v>0</v>
      </c>
      <c r="G49" s="233">
        <v>0</v>
      </c>
      <c r="H49" s="233">
        <v>0</v>
      </c>
      <c r="I49" s="233">
        <v>0</v>
      </c>
      <c r="J49" s="233">
        <v>0</v>
      </c>
      <c r="K49" s="233">
        <v>0</v>
      </c>
      <c r="L49" s="233"/>
      <c r="M49" s="233">
        <v>0</v>
      </c>
      <c r="N49" s="233">
        <v>0</v>
      </c>
      <c r="O49" s="204">
        <f t="shared" si="9"/>
        <v>0</v>
      </c>
      <c r="P49" s="210"/>
      <c r="Q49" s="198" t="s">
        <v>7</v>
      </c>
      <c r="R49" s="198" t="str">
        <f t="shared" si="11"/>
        <v>FPU - FPU - LVTS &lt;50k</v>
      </c>
      <c r="T49" s="198">
        <v>0</v>
      </c>
      <c r="U49" s="209">
        <f t="shared" si="3"/>
        <v>0</v>
      </c>
      <c r="V49" s="209">
        <f t="shared" si="4"/>
        <v>1</v>
      </c>
      <c r="W49" s="442" t="s">
        <v>7</v>
      </c>
    </row>
    <row r="50" spans="1:23">
      <c r="A50" s="198">
        <f t="shared" si="1"/>
        <v>50</v>
      </c>
      <c r="B50" s="212" t="s">
        <v>146</v>
      </c>
      <c r="C50" s="233">
        <v>3074701.2399999998</v>
      </c>
      <c r="D50" s="233">
        <v>2841852.0600000005</v>
      </c>
      <c r="E50" s="233">
        <v>2802097.3599999989</v>
      </c>
      <c r="F50" s="233">
        <v>2852370.3699999987</v>
      </c>
      <c r="G50" s="233">
        <v>2649343.2999999993</v>
      </c>
      <c r="H50" s="233">
        <v>2599670.89</v>
      </c>
      <c r="I50" s="233">
        <v>2442906.6799999988</v>
      </c>
      <c r="J50" s="233">
        <v>2487274.4399999995</v>
      </c>
      <c r="K50" s="233">
        <v>2451861.8400000017</v>
      </c>
      <c r="L50" s="233">
        <v>2420639.5399999982</v>
      </c>
      <c r="M50" s="233">
        <v>2689350.9600000004</v>
      </c>
      <c r="N50" s="233">
        <v>2934689.6499999966</v>
      </c>
      <c r="O50" s="204">
        <f t="shared" si="9"/>
        <v>32246758.329999998</v>
      </c>
      <c r="P50" s="210"/>
      <c r="Q50" s="198" t="s">
        <v>7</v>
      </c>
      <c r="R50" s="198" t="str">
        <f t="shared" si="11"/>
        <v>FPU - FPU - LVTS &gt;50k</v>
      </c>
      <c r="T50" s="198" t="s">
        <v>147</v>
      </c>
      <c r="U50" s="209">
        <f t="shared" si="3"/>
        <v>3074701.2399999998</v>
      </c>
      <c r="V50" s="209">
        <f t="shared" si="4"/>
        <v>1</v>
      </c>
      <c r="W50" s="442" t="s">
        <v>7</v>
      </c>
    </row>
    <row r="51" spans="1:23">
      <c r="A51" s="198">
        <f t="shared" si="1"/>
        <v>51</v>
      </c>
      <c r="B51" s="212" t="s">
        <v>148</v>
      </c>
      <c r="C51" s="233">
        <v>0</v>
      </c>
      <c r="D51" s="233">
        <v>0</v>
      </c>
      <c r="E51" s="233">
        <v>0</v>
      </c>
      <c r="F51" s="233"/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/>
      <c r="M51" s="233">
        <v>0</v>
      </c>
      <c r="N51" s="233">
        <v>0</v>
      </c>
      <c r="O51" s="204">
        <f t="shared" si="9"/>
        <v>0</v>
      </c>
      <c r="P51" s="210"/>
      <c r="Q51" s="198" t="s">
        <v>7</v>
      </c>
      <c r="R51" s="198" t="str">
        <f t="shared" si="11"/>
        <v>FPU - FPU - IS</v>
      </c>
      <c r="T51" s="198">
        <v>0</v>
      </c>
      <c r="U51" s="209">
        <f t="shared" si="3"/>
        <v>0</v>
      </c>
      <c r="V51" s="209">
        <f t="shared" si="4"/>
        <v>1</v>
      </c>
      <c r="W51" s="442" t="s">
        <v>7</v>
      </c>
    </row>
    <row r="52" spans="1:23">
      <c r="A52" s="198">
        <f t="shared" si="1"/>
        <v>52</v>
      </c>
      <c r="B52" s="212" t="s">
        <v>149</v>
      </c>
      <c r="C52" s="233">
        <v>919609.62000000011</v>
      </c>
      <c r="D52" s="233">
        <v>791181.39</v>
      </c>
      <c r="E52" s="233">
        <v>914779.35</v>
      </c>
      <c r="F52" s="233">
        <v>832157.67000000016</v>
      </c>
      <c r="G52" s="233">
        <v>860983.39999999991</v>
      </c>
      <c r="H52" s="233">
        <v>918601.75999999989</v>
      </c>
      <c r="I52" s="233">
        <v>877709.64999999991</v>
      </c>
      <c r="J52" s="233">
        <v>836941.85</v>
      </c>
      <c r="K52" s="233">
        <v>816022.27000000014</v>
      </c>
      <c r="L52" s="233">
        <v>891273.56</v>
      </c>
      <c r="M52" s="233">
        <v>846929.39999999991</v>
      </c>
      <c r="N52" s="233">
        <v>806398.34999999986</v>
      </c>
      <c r="O52" s="204">
        <f t="shared" si="9"/>
        <v>10312588.27</v>
      </c>
      <c r="P52" s="210"/>
      <c r="Q52" s="198" t="s">
        <v>7</v>
      </c>
      <c r="R52" s="198" t="str">
        <f t="shared" si="11"/>
        <v>FPU - FPU - ITS</v>
      </c>
      <c r="T52" s="198" t="s">
        <v>150</v>
      </c>
      <c r="U52" s="209">
        <f t="shared" si="3"/>
        <v>919609.62000000011</v>
      </c>
      <c r="V52" s="209">
        <f t="shared" si="4"/>
        <v>1</v>
      </c>
      <c r="W52" s="442" t="s">
        <v>7</v>
      </c>
    </row>
    <row r="53" spans="1:23">
      <c r="A53" s="198">
        <f t="shared" si="1"/>
        <v>53</v>
      </c>
      <c r="B53" s="212" t="s">
        <v>151</v>
      </c>
      <c r="C53" s="233">
        <v>14809.22</v>
      </c>
      <c r="D53" s="233">
        <v>14258.22</v>
      </c>
      <c r="E53" s="233">
        <v>14258.22</v>
      </c>
      <c r="F53" s="233">
        <v>14247.22</v>
      </c>
      <c r="G53" s="233">
        <v>14224.22</v>
      </c>
      <c r="H53" s="233">
        <v>14224.22</v>
      </c>
      <c r="I53" s="233">
        <v>14224.22</v>
      </c>
      <c r="J53" s="233">
        <v>14224.22</v>
      </c>
      <c r="K53" s="233">
        <v>13306.220000000001</v>
      </c>
      <c r="L53" s="233">
        <v>13306.220000000001</v>
      </c>
      <c r="M53" s="233">
        <v>12595.220000000001</v>
      </c>
      <c r="N53" s="233">
        <v>11878.22</v>
      </c>
      <c r="O53" s="204">
        <f t="shared" si="9"/>
        <v>165555.64000000001</v>
      </c>
      <c r="P53" s="210"/>
      <c r="Q53" s="198" t="s">
        <v>7</v>
      </c>
      <c r="R53" s="198" t="str">
        <f t="shared" si="11"/>
        <v>FPU - FPU - GLS</v>
      </c>
      <c r="T53" s="198" t="s">
        <v>152</v>
      </c>
      <c r="U53" s="209">
        <f t="shared" si="3"/>
        <v>14809.22</v>
      </c>
      <c r="V53" s="209">
        <f t="shared" si="4"/>
        <v>1</v>
      </c>
      <c r="W53" s="442" t="s">
        <v>7</v>
      </c>
    </row>
    <row r="54" spans="1:23">
      <c r="A54" s="198">
        <f t="shared" si="1"/>
        <v>54</v>
      </c>
      <c r="B54" s="212" t="s">
        <v>153</v>
      </c>
      <c r="C54" s="233">
        <v>0</v>
      </c>
      <c r="D54" s="233">
        <v>0</v>
      </c>
      <c r="E54" s="233">
        <v>0</v>
      </c>
      <c r="F54" s="233"/>
      <c r="G54" s="233">
        <v>0</v>
      </c>
      <c r="H54" s="233"/>
      <c r="I54" s="233">
        <v>0</v>
      </c>
      <c r="J54" s="233">
        <v>0</v>
      </c>
      <c r="K54" s="233">
        <v>0</v>
      </c>
      <c r="L54" s="233"/>
      <c r="M54" s="233">
        <v>0</v>
      </c>
      <c r="N54" s="233">
        <v>0</v>
      </c>
      <c r="O54" s="204">
        <f t="shared" si="9"/>
        <v>0</v>
      </c>
      <c r="P54" s="210"/>
      <c r="Q54" s="198" t="s">
        <v>7</v>
      </c>
      <c r="R54" s="198" t="str">
        <f t="shared" si="11"/>
        <v>FPU - FPU-NGVS</v>
      </c>
      <c r="T54" s="198">
        <v>0</v>
      </c>
      <c r="U54" s="209">
        <f t="shared" si="3"/>
        <v>0</v>
      </c>
      <c r="V54" s="209">
        <f t="shared" si="4"/>
        <v>1</v>
      </c>
      <c r="W54" s="442" t="s">
        <v>7</v>
      </c>
    </row>
    <row r="55" spans="1:23">
      <c r="A55" s="198">
        <f t="shared" si="1"/>
        <v>55</v>
      </c>
      <c r="B55" s="212" t="s">
        <v>154</v>
      </c>
      <c r="C55" s="233">
        <v>50059.83</v>
      </c>
      <c r="D55" s="233">
        <v>46190.3</v>
      </c>
      <c r="E55" s="233">
        <v>50229.240000000005</v>
      </c>
      <c r="F55" s="233">
        <v>48640.6</v>
      </c>
      <c r="G55" s="233">
        <v>52731.210000000006</v>
      </c>
      <c r="H55" s="233">
        <v>50611.54</v>
      </c>
      <c r="I55" s="233">
        <v>54882.13</v>
      </c>
      <c r="J55" s="233">
        <v>59812.259999999995</v>
      </c>
      <c r="K55" s="233">
        <v>56310.01</v>
      </c>
      <c r="L55" s="233">
        <v>61467.17</v>
      </c>
      <c r="M55" s="233">
        <v>57518.450000000004</v>
      </c>
      <c r="N55" s="233">
        <v>54483.119999999995</v>
      </c>
      <c r="O55" s="204">
        <f t="shared" si="9"/>
        <v>642935.86</v>
      </c>
      <c r="P55" s="210"/>
      <c r="Q55" s="198" t="s">
        <v>7</v>
      </c>
      <c r="R55" s="198" t="str">
        <f t="shared" si="11"/>
        <v>FPU - FPU- NGVTS</v>
      </c>
      <c r="T55" s="198" t="s">
        <v>139</v>
      </c>
      <c r="U55" s="209">
        <f t="shared" si="3"/>
        <v>61467.17</v>
      </c>
      <c r="V55" s="209">
        <f t="shared" si="4"/>
        <v>10</v>
      </c>
      <c r="W55" s="442" t="s">
        <v>7</v>
      </c>
    </row>
    <row r="56" spans="1:23">
      <c r="A56" s="198">
        <f t="shared" si="1"/>
        <v>56</v>
      </c>
      <c r="B56" s="212" t="s">
        <v>155</v>
      </c>
      <c r="C56" s="233">
        <v>86</v>
      </c>
      <c r="D56" s="233">
        <v>115.98</v>
      </c>
      <c r="E56" s="233">
        <v>39.01</v>
      </c>
      <c r="F56" s="233">
        <v>41</v>
      </c>
      <c r="G56" s="233">
        <v>10</v>
      </c>
      <c r="H56" s="233">
        <v>8</v>
      </c>
      <c r="I56" s="233">
        <v>10.4</v>
      </c>
      <c r="J56" s="233">
        <v>17</v>
      </c>
      <c r="K56" s="233">
        <v>3.12</v>
      </c>
      <c r="L56" s="233">
        <v>541</v>
      </c>
      <c r="M56" s="233">
        <v>0</v>
      </c>
      <c r="N56" s="233">
        <v>58</v>
      </c>
      <c r="O56" s="204">
        <f t="shared" si="9"/>
        <v>929.51</v>
      </c>
      <c r="P56" s="210"/>
      <c r="Q56" s="198" t="s">
        <v>5</v>
      </c>
      <c r="R56" s="198" t="str">
        <f t="shared" si="11"/>
        <v>FT - FT-Comm PA</v>
      </c>
      <c r="T56" s="198" t="s">
        <v>156</v>
      </c>
      <c r="U56" s="209">
        <f t="shared" si="3"/>
        <v>541</v>
      </c>
      <c r="V56" s="209">
        <f t="shared" si="4"/>
        <v>10</v>
      </c>
      <c r="W56" s="442" t="s">
        <v>5</v>
      </c>
    </row>
    <row r="57" spans="1:23">
      <c r="A57" s="198">
        <f t="shared" si="1"/>
        <v>57</v>
      </c>
      <c r="B57" s="212" t="s">
        <v>157</v>
      </c>
      <c r="C57" s="233">
        <v>6115.7100000000019</v>
      </c>
      <c r="D57" s="233">
        <v>5469.02</v>
      </c>
      <c r="E57" s="233">
        <v>4098.2099999999991</v>
      </c>
      <c r="F57" s="233">
        <v>4518.4800000000005</v>
      </c>
      <c r="G57" s="233">
        <v>3016.1200000000008</v>
      </c>
      <c r="H57" s="233">
        <v>2258.7999999999997</v>
      </c>
      <c r="I57" s="233">
        <v>1071.99</v>
      </c>
      <c r="J57" s="233">
        <v>1105</v>
      </c>
      <c r="K57" s="233">
        <v>1341.2500000000002</v>
      </c>
      <c r="L57" s="233">
        <v>1070.3399999999999</v>
      </c>
      <c r="M57" s="233">
        <v>1776.4400000000003</v>
      </c>
      <c r="N57" s="233">
        <v>5841.3200000000006</v>
      </c>
      <c r="O57" s="204">
        <f t="shared" si="9"/>
        <v>37682.68</v>
      </c>
      <c r="P57" s="210"/>
      <c r="Q57" s="198" t="s">
        <v>5</v>
      </c>
      <c r="R57" s="198" t="str">
        <f t="shared" si="11"/>
        <v>FT - FT-Comm Small</v>
      </c>
      <c r="T57" s="198" t="s">
        <v>156</v>
      </c>
      <c r="U57" s="209">
        <f t="shared" si="3"/>
        <v>6115.7100000000019</v>
      </c>
      <c r="V57" s="209">
        <f t="shared" si="4"/>
        <v>1</v>
      </c>
      <c r="W57" s="442" t="s">
        <v>5</v>
      </c>
    </row>
    <row r="58" spans="1:23">
      <c r="A58" s="198">
        <f t="shared" si="1"/>
        <v>58</v>
      </c>
      <c r="B58" s="212" t="s">
        <v>159</v>
      </c>
      <c r="C58" s="233">
        <v>2310</v>
      </c>
      <c r="D58" s="233">
        <v>2340.39</v>
      </c>
      <c r="E58" s="233">
        <v>2171.7200000000003</v>
      </c>
      <c r="F58" s="233">
        <v>2230</v>
      </c>
      <c r="G58" s="233">
        <v>2233</v>
      </c>
      <c r="H58" s="233">
        <v>2092</v>
      </c>
      <c r="I58" s="233">
        <v>1628</v>
      </c>
      <c r="J58" s="233">
        <v>1931</v>
      </c>
      <c r="K58" s="233">
        <v>2197</v>
      </c>
      <c r="L58" s="233">
        <v>1906</v>
      </c>
      <c r="M58" s="233">
        <v>2350</v>
      </c>
      <c r="N58" s="233">
        <v>2298</v>
      </c>
      <c r="O58" s="204">
        <f t="shared" si="9"/>
        <v>25687.11</v>
      </c>
      <c r="P58" s="210"/>
      <c r="Q58" s="198" t="s">
        <v>5</v>
      </c>
      <c r="R58" s="198" t="str">
        <f t="shared" si="11"/>
        <v>FT - FT-Transportation</v>
      </c>
      <c r="T58" s="198" t="s">
        <v>160</v>
      </c>
      <c r="U58" s="209">
        <f t="shared" si="3"/>
        <v>2350</v>
      </c>
      <c r="V58" s="209">
        <f t="shared" si="4"/>
        <v>11</v>
      </c>
      <c r="W58" s="442" t="s">
        <v>5</v>
      </c>
    </row>
    <row r="59" spans="1:23">
      <c r="A59" s="198">
        <f t="shared" si="1"/>
        <v>59</v>
      </c>
      <c r="B59" s="207" t="s">
        <v>95</v>
      </c>
      <c r="C59" s="233">
        <v>8029.3300000000008</v>
      </c>
      <c r="D59" s="233">
        <v>6886.7</v>
      </c>
      <c r="E59" s="233">
        <v>7121.05</v>
      </c>
      <c r="F59" s="233">
        <v>6952.9</v>
      </c>
      <c r="G59" s="233">
        <v>7539.02</v>
      </c>
      <c r="H59" s="233">
        <v>6694.5699999999988</v>
      </c>
      <c r="I59" s="233">
        <v>7065</v>
      </c>
      <c r="J59" s="233">
        <v>6600.1699999999983</v>
      </c>
      <c r="K59" s="233">
        <v>6558.16</v>
      </c>
      <c r="L59" s="233">
        <v>7139</v>
      </c>
      <c r="M59" s="233">
        <v>7179.4099999999989</v>
      </c>
      <c r="N59" s="233">
        <v>7649.88</v>
      </c>
      <c r="O59" s="204">
        <f t="shared" si="9"/>
        <v>85415.19</v>
      </c>
      <c r="P59" s="210"/>
      <c r="Q59" s="198" t="s">
        <v>4</v>
      </c>
      <c r="R59" s="198" t="str">
        <f t="shared" si="11"/>
        <v>IGC - IGC - TS2</v>
      </c>
      <c r="T59" s="198" t="s">
        <v>161</v>
      </c>
      <c r="U59" s="209">
        <f t="shared" si="3"/>
        <v>8029.3300000000008</v>
      </c>
      <c r="V59" s="209">
        <f t="shared" si="4"/>
        <v>1</v>
      </c>
      <c r="W59" s="442" t="s">
        <v>4</v>
      </c>
    </row>
    <row r="60" spans="1:23">
      <c r="A60" s="198">
        <f t="shared" si="1"/>
        <v>60</v>
      </c>
      <c r="B60" s="207" t="s">
        <v>96</v>
      </c>
      <c r="C60" s="233">
        <v>341.84</v>
      </c>
      <c r="D60" s="233">
        <v>274.42</v>
      </c>
      <c r="E60" s="233">
        <v>295.33</v>
      </c>
      <c r="F60" s="233">
        <v>352.4</v>
      </c>
      <c r="G60" s="233">
        <v>294.93</v>
      </c>
      <c r="H60" s="233">
        <v>378.86</v>
      </c>
      <c r="I60" s="233">
        <v>265</v>
      </c>
      <c r="J60" s="233">
        <v>399.06</v>
      </c>
      <c r="K60" s="233">
        <v>322.02999999999997</v>
      </c>
      <c r="L60" s="233">
        <v>297</v>
      </c>
      <c r="M60" s="233">
        <v>189.74</v>
      </c>
      <c r="N60" s="233">
        <v>422.62</v>
      </c>
      <c r="O60" s="204">
        <f t="shared" si="9"/>
        <v>3833.2299999999996</v>
      </c>
      <c r="P60" s="210"/>
      <c r="Q60" s="198" t="s">
        <v>4</v>
      </c>
      <c r="R60" s="198" t="str">
        <f t="shared" si="11"/>
        <v>IGC - IGC - TS3</v>
      </c>
      <c r="T60" s="198" t="s">
        <v>162</v>
      </c>
      <c r="U60" s="209">
        <f t="shared" si="3"/>
        <v>422.62</v>
      </c>
      <c r="V60" s="209">
        <f t="shared" si="4"/>
        <v>12</v>
      </c>
      <c r="W60" s="442" t="s">
        <v>4</v>
      </c>
    </row>
    <row r="61" spans="1:23">
      <c r="A61" s="198">
        <f t="shared" si="1"/>
        <v>61</v>
      </c>
      <c r="B61" s="218" t="s">
        <v>97</v>
      </c>
      <c r="C61" s="233">
        <v>0</v>
      </c>
      <c r="D61" s="233">
        <v>0</v>
      </c>
      <c r="E61" s="233">
        <v>0</v>
      </c>
      <c r="F61" s="233">
        <v>94116.83</v>
      </c>
      <c r="G61" s="233">
        <v>110371.46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16">
        <f t="shared" si="9"/>
        <v>204488.29</v>
      </c>
      <c r="P61" s="210"/>
      <c r="Q61" s="198" t="s">
        <v>4</v>
      </c>
      <c r="R61" s="198" t="str">
        <f t="shared" si="11"/>
        <v>IGC - IGC - TS4</v>
      </c>
      <c r="T61" s="198" t="s">
        <v>163</v>
      </c>
      <c r="U61" s="209">
        <f t="shared" si="3"/>
        <v>110371.46</v>
      </c>
      <c r="V61" s="209">
        <f t="shared" si="4"/>
        <v>5</v>
      </c>
      <c r="W61" s="442" t="s">
        <v>4</v>
      </c>
    </row>
    <row r="62" spans="1:23">
      <c r="A62" s="198">
        <f t="shared" si="1"/>
        <v>62</v>
      </c>
      <c r="B62" s="219" t="s">
        <v>164</v>
      </c>
      <c r="C62" s="204">
        <f>SUM(C26:C61)</f>
        <v>10953149.559999997</v>
      </c>
      <c r="D62" s="204">
        <f t="shared" ref="D62:N62" si="12">SUM(D26:D61)</f>
        <v>9854614.2600000035</v>
      </c>
      <c r="E62" s="204">
        <f t="shared" si="12"/>
        <v>9925595.4800000004</v>
      </c>
      <c r="F62" s="204">
        <f>SUM(F26:F61)</f>
        <v>9861194.129999999</v>
      </c>
      <c r="G62" s="204">
        <f t="shared" si="12"/>
        <v>9183621.3399999999</v>
      </c>
      <c r="H62" s="204">
        <f t="shared" si="12"/>
        <v>9034302.6900000032</v>
      </c>
      <c r="I62" s="204">
        <f t="shared" si="12"/>
        <v>8585446.5499999989</v>
      </c>
      <c r="J62" s="204">
        <f t="shared" si="12"/>
        <v>8878331.1700000018</v>
      </c>
      <c r="K62" s="204">
        <f t="shared" si="12"/>
        <v>8770333.7900000028</v>
      </c>
      <c r="L62" s="204">
        <f t="shared" si="12"/>
        <v>8723688.3099999968</v>
      </c>
      <c r="M62" s="204">
        <f t="shared" si="12"/>
        <v>9500304.6400000025</v>
      </c>
      <c r="N62" s="204">
        <f t="shared" si="12"/>
        <v>10051288.699999997</v>
      </c>
      <c r="O62" s="204">
        <f t="shared" si="9"/>
        <v>113321870.62000002</v>
      </c>
      <c r="P62" s="210"/>
      <c r="U62" s="209">
        <f t="shared" si="3"/>
        <v>10953149.559999997</v>
      </c>
      <c r="V62" s="209">
        <f t="shared" si="4"/>
        <v>1</v>
      </c>
      <c r="W62" s="442"/>
    </row>
    <row r="63" spans="1:23">
      <c r="A63" s="198">
        <f t="shared" si="1"/>
        <v>63</v>
      </c>
      <c r="B63" s="217" t="s">
        <v>165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U63" s="209">
        <f t="shared" si="3"/>
        <v>0</v>
      </c>
      <c r="V63" s="209">
        <f t="shared" si="4"/>
        <v>0</v>
      </c>
      <c r="W63" s="442"/>
    </row>
    <row r="64" spans="1:23">
      <c r="A64" s="198">
        <f t="shared" si="1"/>
        <v>64</v>
      </c>
      <c r="B64" s="207" t="s">
        <v>100</v>
      </c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04">
        <f t="shared" ref="O64:O71" si="13">SUM(C64:N64)</f>
        <v>0</v>
      </c>
      <c r="Q64" s="198" t="s">
        <v>8</v>
      </c>
      <c r="R64" s="198" t="str">
        <f>CONCATENATE(Q64," - ",B64," - ",S64)</f>
        <v>CFG - FTS-A - Fixed NR</v>
      </c>
      <c r="S64" s="198" t="s">
        <v>166</v>
      </c>
      <c r="T64" s="198" t="s">
        <v>136</v>
      </c>
      <c r="U64" s="209">
        <f t="shared" si="3"/>
        <v>0</v>
      </c>
      <c r="V64" s="209">
        <f t="shared" si="4"/>
        <v>0</v>
      </c>
      <c r="W64" s="442" t="s">
        <v>8</v>
      </c>
    </row>
    <row r="65" spans="1:23">
      <c r="A65" s="198">
        <f t="shared" si="1"/>
        <v>65</v>
      </c>
      <c r="B65" s="207" t="s">
        <v>101</v>
      </c>
      <c r="C65" s="238">
        <v>2.0699999999999998</v>
      </c>
      <c r="D65" s="238">
        <v>2.0699999999999998</v>
      </c>
      <c r="E65" s="238">
        <v>1.03</v>
      </c>
      <c r="F65" s="238">
        <v>1.03</v>
      </c>
      <c r="G65" s="238">
        <v>1.03</v>
      </c>
      <c r="H65" s="238">
        <v>1.03</v>
      </c>
      <c r="I65" s="238">
        <v>1</v>
      </c>
      <c r="J65" s="238">
        <v>0</v>
      </c>
      <c r="K65" s="238">
        <v>1.03</v>
      </c>
      <c r="L65" s="238">
        <v>2.0699999999999998</v>
      </c>
      <c r="M65" s="238">
        <v>2.0699999999999998</v>
      </c>
      <c r="N65" s="238">
        <v>2.08</v>
      </c>
      <c r="O65" s="204">
        <f t="shared" si="13"/>
        <v>16.509999999999998</v>
      </c>
      <c r="Q65" s="198" t="s">
        <v>8</v>
      </c>
      <c r="R65" s="198" t="str">
        <f t="shared" ref="R65:R70" si="14">CONCATENATE(Q65," - ",B65," - ",S65)</f>
        <v>CFG - FTS-B - Fixed NR</v>
      </c>
      <c r="S65" s="198" t="s">
        <v>166</v>
      </c>
      <c r="T65" s="198" t="s">
        <v>136</v>
      </c>
      <c r="U65" s="209">
        <f t="shared" si="3"/>
        <v>2.08</v>
      </c>
      <c r="V65" s="209">
        <f t="shared" si="4"/>
        <v>12</v>
      </c>
      <c r="W65" s="442" t="s">
        <v>8</v>
      </c>
    </row>
    <row r="66" spans="1:23">
      <c r="A66" s="198">
        <f t="shared" si="1"/>
        <v>66</v>
      </c>
      <c r="B66" s="207" t="s">
        <v>102</v>
      </c>
      <c r="C66" s="238">
        <v>389.46</v>
      </c>
      <c r="D66" s="238">
        <v>159.34</v>
      </c>
      <c r="E66" s="238">
        <v>165.08</v>
      </c>
      <c r="F66" s="238">
        <v>165.35</v>
      </c>
      <c r="G66" s="238">
        <v>671.19</v>
      </c>
      <c r="H66" s="238">
        <v>362.63</v>
      </c>
      <c r="I66" s="238">
        <v>411</v>
      </c>
      <c r="J66" s="238">
        <v>431.48</v>
      </c>
      <c r="K66" s="238">
        <v>461</v>
      </c>
      <c r="L66" s="238">
        <v>418.15</v>
      </c>
      <c r="M66" s="238">
        <v>477.35</v>
      </c>
      <c r="N66" s="238">
        <v>606.78</v>
      </c>
      <c r="O66" s="204">
        <f t="shared" si="13"/>
        <v>4718.8100000000004</v>
      </c>
      <c r="Q66" s="198" t="s">
        <v>8</v>
      </c>
      <c r="R66" s="198" t="str">
        <f t="shared" si="14"/>
        <v>CFG - FTS-1 - Fixed NR</v>
      </c>
      <c r="S66" s="198" t="s">
        <v>166</v>
      </c>
      <c r="T66" s="198" t="s">
        <v>136</v>
      </c>
      <c r="U66" s="209">
        <f t="shared" si="3"/>
        <v>671.19</v>
      </c>
      <c r="V66" s="209">
        <f t="shared" si="4"/>
        <v>5</v>
      </c>
      <c r="W66" s="442" t="s">
        <v>8</v>
      </c>
    </row>
    <row r="67" spans="1:23">
      <c r="A67" s="198">
        <f t="shared" ref="A67:A130" si="15">+A66+1</f>
        <v>67</v>
      </c>
      <c r="B67" s="212" t="s">
        <v>103</v>
      </c>
      <c r="C67" s="238">
        <v>241.44</v>
      </c>
      <c r="D67" s="238">
        <v>258.19</v>
      </c>
      <c r="E67" s="238">
        <v>254.05</v>
      </c>
      <c r="F67" s="238">
        <v>210.85</v>
      </c>
      <c r="G67" s="238">
        <v>187.54</v>
      </c>
      <c r="H67" s="238">
        <v>200.06</v>
      </c>
      <c r="I67" s="238">
        <v>181</v>
      </c>
      <c r="J67" s="238">
        <v>178.12</v>
      </c>
      <c r="K67" s="238">
        <v>426</v>
      </c>
      <c r="L67" s="238">
        <v>347.61</v>
      </c>
      <c r="M67" s="238">
        <v>336.47</v>
      </c>
      <c r="N67" s="238">
        <v>425.2</v>
      </c>
      <c r="O67" s="204">
        <f t="shared" si="13"/>
        <v>3246.5299999999997</v>
      </c>
      <c r="Q67" s="198" t="s">
        <v>8</v>
      </c>
      <c r="R67" s="198" t="str">
        <f t="shared" si="14"/>
        <v>CFG - FTS-2 - Fixed NR</v>
      </c>
      <c r="S67" s="198" t="s">
        <v>166</v>
      </c>
      <c r="T67" s="198" t="s">
        <v>136</v>
      </c>
      <c r="U67" s="209">
        <f t="shared" si="3"/>
        <v>426</v>
      </c>
      <c r="V67" s="209">
        <f t="shared" si="4"/>
        <v>9</v>
      </c>
      <c r="W67" s="442" t="s">
        <v>8</v>
      </c>
    </row>
    <row r="68" spans="1:23">
      <c r="A68" s="198">
        <f t="shared" si="15"/>
        <v>68</v>
      </c>
      <c r="B68" s="212" t="s">
        <v>104</v>
      </c>
      <c r="C68" s="238">
        <v>1180.19</v>
      </c>
      <c r="D68" s="238">
        <v>1381.8</v>
      </c>
      <c r="E68" s="238">
        <v>1226.8499999999999</v>
      </c>
      <c r="F68" s="238">
        <v>1567.82</v>
      </c>
      <c r="G68" s="238">
        <v>1193.8</v>
      </c>
      <c r="H68" s="238">
        <v>1190.4100000000001</v>
      </c>
      <c r="I68" s="238">
        <v>1103</v>
      </c>
      <c r="J68" s="238">
        <v>1191.71</v>
      </c>
      <c r="K68" s="238">
        <v>1234</v>
      </c>
      <c r="L68" s="238">
        <v>1197.97</v>
      </c>
      <c r="M68" s="238">
        <v>1808.47</v>
      </c>
      <c r="N68" s="238">
        <v>1709.8</v>
      </c>
      <c r="O68" s="204">
        <f t="shared" si="13"/>
        <v>15985.819999999996</v>
      </c>
      <c r="Q68" s="198" t="s">
        <v>8</v>
      </c>
      <c r="R68" s="198" t="str">
        <f t="shared" si="14"/>
        <v>CFG - FTS-2.1 - Fixed NR</v>
      </c>
      <c r="S68" s="198" t="s">
        <v>166</v>
      </c>
      <c r="T68" s="198" t="s">
        <v>136</v>
      </c>
      <c r="U68" s="209">
        <f t="shared" si="3"/>
        <v>1808.47</v>
      </c>
      <c r="V68" s="209">
        <f t="shared" si="4"/>
        <v>11</v>
      </c>
      <c r="W68" s="442" t="s">
        <v>8</v>
      </c>
    </row>
    <row r="69" spans="1:23">
      <c r="A69" s="198">
        <f t="shared" si="15"/>
        <v>69</v>
      </c>
      <c r="B69" s="212" t="s">
        <v>105</v>
      </c>
      <c r="C69" s="238">
        <v>4420.2299999999996</v>
      </c>
      <c r="D69" s="238">
        <v>4456.3100000000004</v>
      </c>
      <c r="E69" s="238">
        <v>4373.3100000000004</v>
      </c>
      <c r="F69" s="238">
        <v>5529.18</v>
      </c>
      <c r="G69" s="238">
        <v>4593.29</v>
      </c>
      <c r="H69" s="238">
        <v>5031.75</v>
      </c>
      <c r="I69" s="238">
        <v>4598</v>
      </c>
      <c r="J69" s="238">
        <v>4926.3500000000004</v>
      </c>
      <c r="K69" s="238">
        <v>4846</v>
      </c>
      <c r="L69" s="238">
        <v>4353.8599999999997</v>
      </c>
      <c r="M69" s="238">
        <v>5359.51</v>
      </c>
      <c r="N69" s="238">
        <v>4342.03</v>
      </c>
      <c r="O69" s="204">
        <f t="shared" si="13"/>
        <v>56829.820000000007</v>
      </c>
      <c r="Q69" s="198" t="s">
        <v>8</v>
      </c>
      <c r="R69" s="198" t="str">
        <f t="shared" si="14"/>
        <v>CFG - FTS-3 - Fixed NR</v>
      </c>
      <c r="S69" s="198" t="s">
        <v>166</v>
      </c>
      <c r="T69" s="198" t="s">
        <v>136</v>
      </c>
      <c r="U69" s="209">
        <f>MAX(C69:N69)</f>
        <v>5529.18</v>
      </c>
      <c r="V69" s="209">
        <f>IFERROR(INDEX($C$1:$N$1,MATCH(U69,C69:N69,0)),0)</f>
        <v>4</v>
      </c>
      <c r="W69" s="442" t="s">
        <v>8</v>
      </c>
    </row>
    <row r="70" spans="1:23">
      <c r="A70" s="198">
        <f t="shared" si="15"/>
        <v>70</v>
      </c>
      <c r="B70" s="218" t="s">
        <v>106</v>
      </c>
      <c r="C70" s="238">
        <v>4915.22</v>
      </c>
      <c r="D70" s="238">
        <v>5077.0200000000004</v>
      </c>
      <c r="E70" s="238">
        <v>5025.3999999999996</v>
      </c>
      <c r="F70" s="238">
        <v>4565.54</v>
      </c>
      <c r="G70" s="238">
        <v>3874.1</v>
      </c>
      <c r="H70" s="238">
        <v>4162.26</v>
      </c>
      <c r="I70" s="238">
        <v>3631</v>
      </c>
      <c r="J70" s="238">
        <v>3844.73</v>
      </c>
      <c r="K70" s="238">
        <v>4005</v>
      </c>
      <c r="L70" s="238">
        <v>3561.53</v>
      </c>
      <c r="M70" s="238">
        <v>4330.8</v>
      </c>
      <c r="N70" s="238">
        <v>4059.4</v>
      </c>
      <c r="O70" s="216">
        <f t="shared" si="13"/>
        <v>51052.000000000007</v>
      </c>
      <c r="Q70" s="198" t="s">
        <v>8</v>
      </c>
      <c r="R70" s="198" t="str">
        <f t="shared" si="14"/>
        <v>CFG - FTS-3.1 - Fixed NR</v>
      </c>
      <c r="S70" s="198" t="s">
        <v>166</v>
      </c>
      <c r="T70" s="198" t="s">
        <v>136</v>
      </c>
      <c r="U70" s="209">
        <f>MAX(C70:N70)</f>
        <v>5077.0200000000004</v>
      </c>
      <c r="V70" s="209">
        <f>IFERROR(INDEX($C$1:$N$1,MATCH(U70,C70:N70,0)),0)</f>
        <v>2</v>
      </c>
      <c r="W70" s="442" t="s">
        <v>8</v>
      </c>
    </row>
    <row r="71" spans="1:23">
      <c r="A71" s="198">
        <f t="shared" si="15"/>
        <v>71</v>
      </c>
      <c r="B71" s="219" t="s">
        <v>167</v>
      </c>
      <c r="C71" s="204">
        <f>SUM(C64:C70)</f>
        <v>11148.61</v>
      </c>
      <c r="D71" s="204">
        <f t="shared" ref="D71:N71" si="16">SUM(D64:D70)</f>
        <v>11334.730000000001</v>
      </c>
      <c r="E71" s="204">
        <f t="shared" si="16"/>
        <v>11045.720000000001</v>
      </c>
      <c r="F71" s="204">
        <f t="shared" si="16"/>
        <v>12039.77</v>
      </c>
      <c r="G71" s="204">
        <f t="shared" si="16"/>
        <v>10520.95</v>
      </c>
      <c r="H71" s="204">
        <f t="shared" si="16"/>
        <v>10948.14</v>
      </c>
      <c r="I71" s="204">
        <f t="shared" si="16"/>
        <v>9925</v>
      </c>
      <c r="J71" s="204">
        <f t="shared" si="16"/>
        <v>10572.39</v>
      </c>
      <c r="K71" s="204">
        <f t="shared" si="16"/>
        <v>10973.029999999999</v>
      </c>
      <c r="L71" s="204">
        <f t="shared" si="16"/>
        <v>9881.19</v>
      </c>
      <c r="M71" s="204">
        <f t="shared" si="16"/>
        <v>12314.670000000002</v>
      </c>
      <c r="N71" s="204">
        <f t="shared" si="16"/>
        <v>11145.289999999999</v>
      </c>
      <c r="O71" s="204">
        <f t="shared" si="13"/>
        <v>131849.49</v>
      </c>
      <c r="W71" s="442"/>
    </row>
    <row r="72" spans="1:23">
      <c r="A72" s="198">
        <f t="shared" si="15"/>
        <v>72</v>
      </c>
      <c r="B72" s="217" t="s">
        <v>168</v>
      </c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W72" s="442"/>
    </row>
    <row r="73" spans="1:23">
      <c r="A73" s="198">
        <f t="shared" si="15"/>
        <v>73</v>
      </c>
      <c r="B73" s="196" t="s">
        <v>169</v>
      </c>
      <c r="C73" s="238">
        <v>208530</v>
      </c>
      <c r="D73" s="238">
        <v>131584</v>
      </c>
      <c r="E73" s="238">
        <v>185919.97999999998</v>
      </c>
      <c r="F73" s="238">
        <f>496206.32+3567</f>
        <v>499773.32</v>
      </c>
      <c r="G73" s="238">
        <v>179385</v>
      </c>
      <c r="H73" s="238">
        <f>46660.64+5182</f>
        <v>51842.64</v>
      </c>
      <c r="I73" s="238">
        <f>45430+4744</f>
        <v>50174</v>
      </c>
      <c r="J73" s="238">
        <f>96220+1274</f>
        <v>97494</v>
      </c>
      <c r="K73" s="238">
        <f>132385+60</f>
        <v>132445</v>
      </c>
      <c r="L73" s="238">
        <f>148894+2278</f>
        <v>151172</v>
      </c>
      <c r="M73" s="238">
        <f>115507+4895</f>
        <v>120402</v>
      </c>
      <c r="N73" s="238">
        <v>62608</v>
      </c>
      <c r="O73" s="204">
        <f t="shared" ref="O73:O86" si="17">SUM(C73:N73)</f>
        <v>1871329.94</v>
      </c>
      <c r="Q73" s="198" t="s">
        <v>8</v>
      </c>
      <c r="T73" s="198" t="str">
        <f>_xlfn.IFNA(VLOOKUP(B73,'Input_2021VOL-YTD'!B:U,19,FALSE),"")</f>
        <v>CFG Industrial</v>
      </c>
      <c r="U73" s="209">
        <f t="shared" ref="U73:U86" si="18">MAX(C73:N73)</f>
        <v>499773.32</v>
      </c>
      <c r="V73" s="209">
        <f t="shared" ref="V73:V86" si="19">IFERROR(INDEX($C$1:$N$1,MATCH(U73,C73:N73,0)),0)</f>
        <v>4</v>
      </c>
      <c r="W73" s="442" t="s">
        <v>8</v>
      </c>
    </row>
    <row r="74" spans="1:23">
      <c r="A74" s="198">
        <f t="shared" si="15"/>
        <v>74</v>
      </c>
      <c r="B74" s="196" t="s">
        <v>171</v>
      </c>
      <c r="C74" s="238">
        <v>24757.61</v>
      </c>
      <c r="D74" s="238">
        <v>15449.76</v>
      </c>
      <c r="E74" s="238">
        <v>39733.54</v>
      </c>
      <c r="F74" s="238">
        <v>-38977.78</v>
      </c>
      <c r="G74" s="238">
        <v>67624.44</v>
      </c>
      <c r="H74" s="238">
        <v>10810.81</v>
      </c>
      <c r="I74" s="238">
        <v>11160.26</v>
      </c>
      <c r="J74" s="238">
        <v>10994.13</v>
      </c>
      <c r="K74" s="238">
        <v>10417.620000000001</v>
      </c>
      <c r="L74" s="238">
        <v>12354.48</v>
      </c>
      <c r="M74" s="238">
        <v>21684.58</v>
      </c>
      <c r="N74" s="238">
        <v>27027</v>
      </c>
      <c r="O74" s="204">
        <f t="shared" si="17"/>
        <v>213036.45</v>
      </c>
      <c r="Q74" s="198" t="s">
        <v>8</v>
      </c>
      <c r="T74" s="198" t="str">
        <f>_xlfn.IFNA(VLOOKUP(B74,'Input_2021VOL-YTD'!B:U,19,FALSE),"")</f>
        <v>CFG Industrial</v>
      </c>
      <c r="U74" s="209">
        <f t="shared" si="18"/>
        <v>67624.44</v>
      </c>
      <c r="V74" s="209">
        <f t="shared" si="19"/>
        <v>5</v>
      </c>
      <c r="W74" s="442" t="s">
        <v>8</v>
      </c>
    </row>
    <row r="75" spans="1:23">
      <c r="A75" s="198">
        <f t="shared" si="15"/>
        <v>75</v>
      </c>
      <c r="B75" s="196" t="s">
        <v>172</v>
      </c>
      <c r="C75" s="238">
        <v>1736944.02</v>
      </c>
      <c r="D75" s="238">
        <v>1617213</v>
      </c>
      <c r="E75" s="238">
        <v>1791895.29</v>
      </c>
      <c r="F75" s="238">
        <v>520349.21</v>
      </c>
      <c r="G75" s="238">
        <v>1096448.94</v>
      </c>
      <c r="H75" s="238">
        <v>1732157.23</v>
      </c>
      <c r="I75" s="238">
        <v>1544069.77</v>
      </c>
      <c r="J75" s="238">
        <v>2040188.14</v>
      </c>
      <c r="K75" s="238">
        <v>1731728.98</v>
      </c>
      <c r="L75" s="238">
        <v>1790446.04</v>
      </c>
      <c r="M75" s="238">
        <v>1734932.16</v>
      </c>
      <c r="N75" s="238">
        <v>1795485.71</v>
      </c>
      <c r="O75" s="204">
        <f t="shared" si="17"/>
        <v>19131858.490000002</v>
      </c>
      <c r="Q75" s="198" t="s">
        <v>8</v>
      </c>
      <c r="T75" s="198" t="str">
        <f>_xlfn.IFNA(VLOOKUP(B75,'Input_2021VOL-YTD'!B:U,19,FALSE),"")</f>
        <v>CFG Industrial</v>
      </c>
      <c r="U75" s="209">
        <f t="shared" si="18"/>
        <v>2040188.14</v>
      </c>
      <c r="V75" s="209">
        <f t="shared" si="19"/>
        <v>8</v>
      </c>
      <c r="W75" s="442" t="s">
        <v>8</v>
      </c>
    </row>
    <row r="76" spans="1:23">
      <c r="A76" s="198">
        <f t="shared" si="15"/>
        <v>76</v>
      </c>
      <c r="B76" s="196" t="s">
        <v>173</v>
      </c>
      <c r="C76" s="238">
        <v>877230.35</v>
      </c>
      <c r="D76" s="238">
        <v>287729.62</v>
      </c>
      <c r="E76" s="238">
        <v>754550.15</v>
      </c>
      <c r="F76" s="238">
        <v>879520.1</v>
      </c>
      <c r="G76" s="238">
        <v>870380.08</v>
      </c>
      <c r="H76" s="238">
        <v>646459.23</v>
      </c>
      <c r="I76" s="238">
        <v>384270.46</v>
      </c>
      <c r="J76" s="238">
        <v>448639.85</v>
      </c>
      <c r="K76" s="238">
        <v>801919.49</v>
      </c>
      <c r="L76" s="238">
        <v>679189.87</v>
      </c>
      <c r="M76" s="238">
        <v>790919.62</v>
      </c>
      <c r="N76" s="238">
        <v>669520.42000000004</v>
      </c>
      <c r="O76" s="204">
        <f t="shared" si="17"/>
        <v>8090329.2400000002</v>
      </c>
      <c r="Q76" s="198" t="s">
        <v>8</v>
      </c>
      <c r="T76" s="198" t="str">
        <f>_xlfn.IFNA(VLOOKUP(B76,'Input_2021VOL-YTD'!B:U,19,FALSE),"")</f>
        <v>CFG Industrial</v>
      </c>
      <c r="U76" s="209">
        <f t="shared" si="18"/>
        <v>879520.1</v>
      </c>
      <c r="V76" s="209">
        <f t="shared" si="19"/>
        <v>4</v>
      </c>
      <c r="W76" s="442" t="s">
        <v>8</v>
      </c>
    </row>
    <row r="77" spans="1:23">
      <c r="A77" s="198">
        <f t="shared" si="15"/>
        <v>77</v>
      </c>
      <c r="B77" s="196" t="s">
        <v>174</v>
      </c>
      <c r="C77" s="238">
        <v>0</v>
      </c>
      <c r="D77" s="238">
        <v>60.39</v>
      </c>
      <c r="E77" s="238"/>
      <c r="F77" s="238">
        <v>120</v>
      </c>
      <c r="G77" s="238">
        <v>119.65</v>
      </c>
      <c r="H77" s="238">
        <v>320</v>
      </c>
      <c r="I77" s="238">
        <v>-280</v>
      </c>
      <c r="J77" s="238">
        <v>4</v>
      </c>
      <c r="K77" s="238">
        <v>0</v>
      </c>
      <c r="L77" s="238">
        <v>0</v>
      </c>
      <c r="M77" s="238">
        <v>0</v>
      </c>
      <c r="N77" s="238">
        <v>4</v>
      </c>
      <c r="O77" s="204">
        <f t="shared" si="17"/>
        <v>348.03999999999996</v>
      </c>
      <c r="Q77" s="198" t="s">
        <v>8</v>
      </c>
      <c r="T77" s="198" t="str">
        <f>_xlfn.IFNA(VLOOKUP(B77,'Input_2021VOL-YTD'!B:U,19,FALSE),"")</f>
        <v>CFG Industrial</v>
      </c>
      <c r="U77" s="209">
        <f t="shared" si="18"/>
        <v>320</v>
      </c>
      <c r="V77" s="209">
        <f t="shared" si="19"/>
        <v>6</v>
      </c>
      <c r="W77" s="442" t="s">
        <v>8</v>
      </c>
    </row>
    <row r="78" spans="1:23">
      <c r="A78" s="198">
        <f t="shared" si="15"/>
        <v>78</v>
      </c>
      <c r="B78" s="196" t="s">
        <v>175</v>
      </c>
      <c r="C78" s="238">
        <v>761726</v>
      </c>
      <c r="D78" s="238">
        <v>854494.66</v>
      </c>
      <c r="E78" s="238">
        <v>945901</v>
      </c>
      <c r="F78" s="238">
        <v>942498.77</v>
      </c>
      <c r="G78" s="238">
        <v>917255.53</v>
      </c>
      <c r="H78" s="238">
        <v>996727.19</v>
      </c>
      <c r="I78" s="238">
        <v>742423.75</v>
      </c>
      <c r="J78" s="238">
        <v>848809</v>
      </c>
      <c r="K78" s="238">
        <v>692148.82</v>
      </c>
      <c r="L78" s="238">
        <v>713507.1</v>
      </c>
      <c r="M78" s="238">
        <v>937240.77</v>
      </c>
      <c r="N78" s="238">
        <v>804351.98</v>
      </c>
      <c r="O78" s="204">
        <f t="shared" si="17"/>
        <v>10157084.57</v>
      </c>
      <c r="T78" s="198" t="str">
        <f>_xlfn.IFNA(VLOOKUP(B78,'Input_2021VOL-YTD'!B:U,19,FALSE),"")</f>
        <v>CFG Industrial</v>
      </c>
      <c r="U78" s="209">
        <f t="shared" si="18"/>
        <v>996727.19</v>
      </c>
      <c r="V78" s="209">
        <f t="shared" si="19"/>
        <v>6</v>
      </c>
      <c r="W78" s="442"/>
    </row>
    <row r="79" spans="1:23" ht="11.85" customHeight="1">
      <c r="A79" s="198">
        <f t="shared" si="15"/>
        <v>79</v>
      </c>
      <c r="B79" s="196" t="s">
        <v>176</v>
      </c>
      <c r="C79" s="238">
        <v>399708.82</v>
      </c>
      <c r="D79" s="238">
        <v>86243.96</v>
      </c>
      <c r="E79" s="238">
        <v>554593.77</v>
      </c>
      <c r="F79" s="238">
        <v>496206.32</v>
      </c>
      <c r="G79" s="238">
        <v>156041.51999999999</v>
      </c>
      <c r="H79" s="238">
        <v>62915.74</v>
      </c>
      <c r="I79" s="238">
        <v>69575.009999999995</v>
      </c>
      <c r="J79" s="238">
        <v>103636</v>
      </c>
      <c r="K79" s="238">
        <v>72393.460000000006</v>
      </c>
      <c r="L79" s="238">
        <v>26131.74</v>
      </c>
      <c r="M79" s="238">
        <v>108902.57</v>
      </c>
      <c r="N79" s="238">
        <v>515167.38</v>
      </c>
      <c r="O79" s="204">
        <f t="shared" si="17"/>
        <v>2651516.29</v>
      </c>
      <c r="Q79" s="198" t="s">
        <v>8</v>
      </c>
      <c r="T79" s="198" t="str">
        <f>_xlfn.IFNA(VLOOKUP(B79,'Input_2021VOL-YTD'!B:U,19,FALSE),"")</f>
        <v>CFG Industrial</v>
      </c>
      <c r="U79" s="209">
        <f t="shared" si="18"/>
        <v>554593.77</v>
      </c>
      <c r="V79" s="209">
        <f t="shared" si="19"/>
        <v>3</v>
      </c>
      <c r="W79" s="442" t="s">
        <v>8</v>
      </c>
    </row>
    <row r="80" spans="1:23">
      <c r="A80" s="198">
        <f t="shared" si="15"/>
        <v>80</v>
      </c>
      <c r="B80" s="196" t="s">
        <v>177</v>
      </c>
      <c r="C80" s="238">
        <v>0</v>
      </c>
      <c r="D80" s="238">
        <v>0</v>
      </c>
      <c r="E80" s="238">
        <v>0</v>
      </c>
      <c r="F80" s="238">
        <v>0</v>
      </c>
      <c r="G80" s="238">
        <v>0</v>
      </c>
      <c r="H80" s="238">
        <v>0</v>
      </c>
      <c r="I80" s="238">
        <v>0</v>
      </c>
      <c r="J80" s="238"/>
      <c r="K80" s="238"/>
      <c r="L80" s="238"/>
      <c r="M80" s="238"/>
      <c r="N80" s="238"/>
      <c r="O80" s="204">
        <f t="shared" si="17"/>
        <v>0</v>
      </c>
      <c r="Q80" s="198" t="s">
        <v>7</v>
      </c>
      <c r="T80" s="198" t="str">
        <f>_xlfn.IFNA(VLOOKUP(B80,'Input_2021VOL-YTD'!B:U,19,FALSE),"")</f>
        <v>FPU Interdepartm/Sp Contracts</v>
      </c>
      <c r="U80" s="209">
        <f t="shared" si="18"/>
        <v>0</v>
      </c>
      <c r="V80" s="209">
        <f t="shared" si="19"/>
        <v>1</v>
      </c>
      <c r="W80" s="442" t="s">
        <v>7</v>
      </c>
    </row>
    <row r="81" spans="1:23">
      <c r="A81" s="198">
        <f t="shared" si="15"/>
        <v>81</v>
      </c>
      <c r="B81" s="220" t="s">
        <v>179</v>
      </c>
      <c r="C81" s="238">
        <v>3421052.92</v>
      </c>
      <c r="D81" s="238">
        <v>3038809.41</v>
      </c>
      <c r="E81" s="238">
        <v>3258621.13</v>
      </c>
      <c r="F81" s="238">
        <v>2990148.05</v>
      </c>
      <c r="G81" s="238">
        <v>3145621.68</v>
      </c>
      <c r="H81" s="238">
        <v>3047367.57</v>
      </c>
      <c r="I81" s="238">
        <v>3017838.68</v>
      </c>
      <c r="J81" s="238">
        <v>3151635.68</v>
      </c>
      <c r="K81" s="238">
        <v>3087299</v>
      </c>
      <c r="L81" s="238">
        <v>1774899.03</v>
      </c>
      <c r="M81" s="238">
        <v>2600070.3199999998</v>
      </c>
      <c r="N81" s="238">
        <v>2582493.2400000002</v>
      </c>
      <c r="O81" s="204">
        <f t="shared" si="17"/>
        <v>35115856.710000001</v>
      </c>
      <c r="Q81" s="198" t="s">
        <v>8</v>
      </c>
      <c r="T81" s="198" t="str">
        <f>_xlfn.IFNA(VLOOKUP(B81,'Input_2021VOL-YTD'!B:U,19,FALSE),"")</f>
        <v>CFG Industrial</v>
      </c>
      <c r="U81" s="209">
        <f t="shared" si="18"/>
        <v>3421052.92</v>
      </c>
      <c r="V81" s="209">
        <f t="shared" si="19"/>
        <v>1</v>
      </c>
      <c r="W81" s="442" t="s">
        <v>8</v>
      </c>
    </row>
    <row r="82" spans="1:23">
      <c r="A82" s="198">
        <f t="shared" si="15"/>
        <v>82</v>
      </c>
      <c r="B82" s="220" t="s">
        <v>180</v>
      </c>
      <c r="C82" s="238">
        <v>0</v>
      </c>
      <c r="D82" s="238">
        <v>0</v>
      </c>
      <c r="E82" s="238">
        <v>0</v>
      </c>
      <c r="F82" s="238">
        <v>0</v>
      </c>
      <c r="G82" s="239">
        <v>25000</v>
      </c>
      <c r="H82" s="238">
        <v>0</v>
      </c>
      <c r="I82" s="238">
        <v>155393</v>
      </c>
      <c r="J82" s="238">
        <v>193693</v>
      </c>
      <c r="K82" s="238">
        <v>179876</v>
      </c>
      <c r="L82" s="238">
        <v>179876</v>
      </c>
      <c r="M82" s="238">
        <v>300473</v>
      </c>
      <c r="N82" s="238">
        <v>930142</v>
      </c>
      <c r="O82" s="204">
        <f t="shared" si="17"/>
        <v>1964453</v>
      </c>
      <c r="Q82" s="198" t="s">
        <v>8</v>
      </c>
      <c r="T82" s="198" t="str">
        <f>_xlfn.IFNA(VLOOKUP(B82,'Input_2021VOL-YTD'!B:U,19,FALSE),"")</f>
        <v>CFG Industrial</v>
      </c>
      <c r="U82" s="209">
        <f t="shared" si="18"/>
        <v>930142</v>
      </c>
      <c r="V82" s="209">
        <f t="shared" si="19"/>
        <v>12</v>
      </c>
      <c r="W82" s="442" t="s">
        <v>8</v>
      </c>
    </row>
    <row r="83" spans="1:23">
      <c r="A83" s="198">
        <f t="shared" si="15"/>
        <v>83</v>
      </c>
      <c r="B83" s="220" t="s">
        <v>181</v>
      </c>
      <c r="C83" s="238">
        <v>0</v>
      </c>
      <c r="D83" s="238">
        <v>0</v>
      </c>
      <c r="E83" s="238">
        <v>0</v>
      </c>
      <c r="F83" s="238">
        <v>0</v>
      </c>
      <c r="G83" s="238">
        <v>0</v>
      </c>
      <c r="H83" s="238">
        <v>8703940</v>
      </c>
      <c r="I83" s="238">
        <v>12886393</v>
      </c>
      <c r="J83" s="238">
        <v>12698811</v>
      </c>
      <c r="K83" s="238">
        <v>12567369</v>
      </c>
      <c r="L83" s="238">
        <v>12645654</v>
      </c>
      <c r="M83" s="238">
        <v>12188987</v>
      </c>
      <c r="N83" s="238">
        <v>12535857</v>
      </c>
      <c r="O83" s="204">
        <f t="shared" si="17"/>
        <v>84227011</v>
      </c>
      <c r="Q83" s="198" t="s">
        <v>8</v>
      </c>
      <c r="T83" s="198" t="str">
        <f>_xlfn.IFNA(VLOOKUP(B83,'Input_2021VOL-YTD'!B:U,19,FALSE),"")</f>
        <v>CFG Industrial</v>
      </c>
      <c r="U83" s="209">
        <f t="shared" si="18"/>
        <v>12886393</v>
      </c>
      <c r="V83" s="209">
        <f t="shared" si="19"/>
        <v>7</v>
      </c>
      <c r="W83" s="442" t="s">
        <v>8</v>
      </c>
    </row>
    <row r="84" spans="1:23">
      <c r="A84" s="198">
        <f t="shared" si="15"/>
        <v>84</v>
      </c>
      <c r="B84" s="220" t="s">
        <v>183</v>
      </c>
      <c r="C84" s="238">
        <v>0</v>
      </c>
      <c r="D84" s="238">
        <v>0</v>
      </c>
      <c r="E84" s="238">
        <v>0</v>
      </c>
      <c r="F84" s="238">
        <v>0</v>
      </c>
      <c r="G84" s="238">
        <v>0</v>
      </c>
      <c r="H84" s="238">
        <v>11714.45</v>
      </c>
      <c r="I84" s="238">
        <v>12460.44</v>
      </c>
      <c r="J84" s="238">
        <v>82060.38</v>
      </c>
      <c r="K84" s="238">
        <v>44646.65</v>
      </c>
      <c r="L84" s="238">
        <v>94196.800000000003</v>
      </c>
      <c r="M84" s="238">
        <v>90848.42</v>
      </c>
      <c r="N84" s="238">
        <v>116169.4</v>
      </c>
      <c r="O84" s="204">
        <f t="shared" si="17"/>
        <v>452096.54000000004</v>
      </c>
      <c r="Q84" s="198" t="s">
        <v>7</v>
      </c>
      <c r="T84" s="198" t="str">
        <f>_xlfn.IFNA(VLOOKUP(B84,'Input_2021VOL-YTD'!B:U,19,FALSE),"")</f>
        <v>CFG Industrial</v>
      </c>
      <c r="U84" s="209">
        <f t="shared" si="18"/>
        <v>116169.4</v>
      </c>
      <c r="V84" s="209">
        <f t="shared" si="19"/>
        <v>12</v>
      </c>
      <c r="W84" s="442" t="s">
        <v>7</v>
      </c>
    </row>
    <row r="85" spans="1:23">
      <c r="A85" s="198">
        <f t="shared" si="15"/>
        <v>85</v>
      </c>
      <c r="B85" s="220" t="s">
        <v>184</v>
      </c>
      <c r="C85" s="238">
        <v>0</v>
      </c>
      <c r="D85" s="238"/>
      <c r="E85" s="238">
        <v>519504</v>
      </c>
      <c r="F85" s="238">
        <v>9007.0400000000009</v>
      </c>
      <c r="G85" s="238">
        <v>164029.88</v>
      </c>
      <c r="H85" s="238">
        <v>151281.54</v>
      </c>
      <c r="I85" s="238">
        <v>127374.53</v>
      </c>
      <c r="J85" s="238">
        <v>67803.820000000007</v>
      </c>
      <c r="K85" s="238">
        <v>114136.53</v>
      </c>
      <c r="L85" s="238">
        <v>139643.65</v>
      </c>
      <c r="M85" s="238">
        <v>453530.82</v>
      </c>
      <c r="N85" s="238">
        <v>437656.41</v>
      </c>
      <c r="O85" s="204">
        <f t="shared" si="17"/>
        <v>2183968.2200000002</v>
      </c>
      <c r="Q85" s="198" t="s">
        <v>7</v>
      </c>
      <c r="T85" s="198" t="str">
        <f>_xlfn.IFNA(VLOOKUP(B85,'Input_2021VOL-YTD'!B:U,19,FALSE),"")</f>
        <v>FPU Interdepartm/Sp Contracts</v>
      </c>
      <c r="U85" s="209">
        <f t="shared" si="18"/>
        <v>519504</v>
      </c>
      <c r="V85" s="209">
        <f t="shared" si="19"/>
        <v>3</v>
      </c>
      <c r="W85" s="442" t="s">
        <v>7</v>
      </c>
    </row>
    <row r="86" spans="1:23">
      <c r="A86" s="198">
        <f t="shared" si="15"/>
        <v>86</v>
      </c>
      <c r="B86" s="220" t="s">
        <v>185</v>
      </c>
      <c r="C86" s="238">
        <v>0</v>
      </c>
      <c r="D86" s="238">
        <v>0</v>
      </c>
      <c r="E86" s="238">
        <v>0</v>
      </c>
      <c r="F86" s="238">
        <v>0</v>
      </c>
      <c r="G86" s="238">
        <v>0</v>
      </c>
      <c r="H86" s="238">
        <v>0</v>
      </c>
      <c r="I86" s="238">
        <v>0</v>
      </c>
      <c r="J86" s="238">
        <v>0</v>
      </c>
      <c r="K86" s="238">
        <v>0</v>
      </c>
      <c r="L86" s="238">
        <v>0</v>
      </c>
      <c r="M86" s="238">
        <v>0</v>
      </c>
      <c r="N86" s="238"/>
      <c r="O86" s="204">
        <f t="shared" si="17"/>
        <v>0</v>
      </c>
      <c r="Q86" s="198" t="s">
        <v>8</v>
      </c>
      <c r="T86" s="198" t="str">
        <f>_xlfn.IFNA(VLOOKUP(B86,'Input_2021VOL-YTD'!B:U,19,FALSE),"")</f>
        <v>FPU Interdepartm/Sp Contracts</v>
      </c>
      <c r="U86" s="209">
        <f t="shared" si="18"/>
        <v>0</v>
      </c>
      <c r="V86" s="209">
        <f t="shared" si="19"/>
        <v>1</v>
      </c>
      <c r="W86" s="442" t="s">
        <v>8</v>
      </c>
    </row>
    <row r="87" spans="1:23">
      <c r="A87" s="198">
        <f t="shared" si="15"/>
        <v>87</v>
      </c>
      <c r="B87" s="219" t="s">
        <v>186</v>
      </c>
      <c r="C87" s="214">
        <f>SUM(C73:C86)</f>
        <v>7429949.7199999997</v>
      </c>
      <c r="D87" s="214">
        <f t="shared" ref="D87:N87" si="20">SUM(D73:D86)</f>
        <v>6031584.7999999998</v>
      </c>
      <c r="E87" s="214">
        <f t="shared" si="20"/>
        <v>8050718.8600000003</v>
      </c>
      <c r="F87" s="214">
        <f t="shared" si="20"/>
        <v>6298645.0300000003</v>
      </c>
      <c r="G87" s="214">
        <f t="shared" si="20"/>
        <v>6621906.7199999997</v>
      </c>
      <c r="H87" s="214">
        <f t="shared" si="20"/>
        <v>15415536.399999999</v>
      </c>
      <c r="I87" s="214">
        <f t="shared" si="20"/>
        <v>19000852.900000002</v>
      </c>
      <c r="J87" s="214">
        <f t="shared" si="20"/>
        <v>19743769</v>
      </c>
      <c r="K87" s="214">
        <f t="shared" si="20"/>
        <v>19434380.549999997</v>
      </c>
      <c r="L87" s="214">
        <f t="shared" si="20"/>
        <v>18207070.710000001</v>
      </c>
      <c r="M87" s="214">
        <f t="shared" si="20"/>
        <v>19347991.260000002</v>
      </c>
      <c r="N87" s="214">
        <f t="shared" si="20"/>
        <v>20476482.539999999</v>
      </c>
      <c r="O87" s="214">
        <f>SUM(C87:N87)</f>
        <v>166058888.48999998</v>
      </c>
      <c r="W87" s="442"/>
    </row>
    <row r="88" spans="1:23">
      <c r="A88" s="198">
        <f t="shared" si="15"/>
        <v>88</v>
      </c>
      <c r="B88" s="217" t="s">
        <v>187</v>
      </c>
      <c r="W88" s="442"/>
    </row>
    <row r="89" spans="1:23">
      <c r="A89" s="198">
        <f t="shared" si="15"/>
        <v>89</v>
      </c>
      <c r="B89" s="220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04">
        <f>SUM(C89:N89)</f>
        <v>0</v>
      </c>
      <c r="Q89" s="198" t="s">
        <v>8</v>
      </c>
      <c r="T89" s="198" t="str">
        <f>_xlfn.IFNA(VLOOKUP(B89,'Input_2021VOL-YTD'!B:U,19,FALSE),"")</f>
        <v/>
      </c>
      <c r="W89" s="442" t="s">
        <v>8</v>
      </c>
    </row>
    <row r="90" spans="1:23">
      <c r="A90" s="198">
        <f t="shared" si="15"/>
        <v>90</v>
      </c>
      <c r="B90" s="196" t="s">
        <v>188</v>
      </c>
      <c r="C90" s="238">
        <v>304539.81</v>
      </c>
      <c r="D90" s="238">
        <v>231973.71</v>
      </c>
      <c r="E90" s="238">
        <v>305598.61</v>
      </c>
      <c r="F90" s="238">
        <v>282345.63</v>
      </c>
      <c r="G90" s="238">
        <v>316255.65000000002</v>
      </c>
      <c r="H90" s="238">
        <v>303127.40999999997</v>
      </c>
      <c r="I90" s="238">
        <v>290988.57</v>
      </c>
      <c r="J90" s="238">
        <v>286339.34000000003</v>
      </c>
      <c r="K90" s="238">
        <v>263540</v>
      </c>
      <c r="L90" s="238">
        <v>254691.85</v>
      </c>
      <c r="M90" s="238">
        <v>272199.55</v>
      </c>
      <c r="N90" s="238">
        <v>283028.13</v>
      </c>
      <c r="O90" s="204">
        <f>SUM(C90:N90)</f>
        <v>3394628.26</v>
      </c>
      <c r="Q90" s="198" t="s">
        <v>8</v>
      </c>
      <c r="T90" s="198" t="str">
        <f>_xlfn.IFNA(VLOOKUP(B90,'Input_2021VOL-YTD'!B:U,19,FALSE),"")</f>
        <v>CFG Industrial</v>
      </c>
      <c r="U90" s="209">
        <f>MAX(C90:N90)</f>
        <v>316255.65000000002</v>
      </c>
      <c r="V90" s="209">
        <f>IFERROR(INDEX($C$1:$N$1,MATCH(U90,C90:N90,0)),0)</f>
        <v>5</v>
      </c>
      <c r="W90" s="442" t="s">
        <v>8</v>
      </c>
    </row>
    <row r="91" spans="1:23">
      <c r="A91" s="198">
        <f t="shared" si="15"/>
        <v>91</v>
      </c>
      <c r="B91" s="196" t="s">
        <v>189</v>
      </c>
      <c r="C91" s="238">
        <v>1630784.08</v>
      </c>
      <c r="D91" s="238">
        <v>1368103</v>
      </c>
      <c r="E91" s="238">
        <v>1634551</v>
      </c>
      <c r="F91" s="238">
        <v>1581577.81</v>
      </c>
      <c r="G91" s="238">
        <v>1608093.2</v>
      </c>
      <c r="H91" s="238">
        <v>1538489.75</v>
      </c>
      <c r="I91" s="238">
        <v>1332258.82</v>
      </c>
      <c r="J91" s="238">
        <v>1440153</v>
      </c>
      <c r="K91" s="238">
        <v>1511821.19</v>
      </c>
      <c r="L91" s="238">
        <v>1577795.35</v>
      </c>
      <c r="M91" s="238">
        <v>1543987.31</v>
      </c>
      <c r="N91" s="238">
        <v>1582584.34</v>
      </c>
      <c r="O91" s="204">
        <f>SUM(C91:N91)</f>
        <v>18350198.850000001</v>
      </c>
      <c r="Q91" s="198" t="s">
        <v>7</v>
      </c>
      <c r="T91" s="198" t="str">
        <f>_xlfn.IFNA(VLOOKUP(B91,'Input_2021VOL-YTD'!B:U,19,FALSE),"")</f>
        <v>CFG Industrial</v>
      </c>
      <c r="U91" s="209">
        <f>MAX(C91:N91)</f>
        <v>1634551</v>
      </c>
      <c r="V91" s="209">
        <f>IFERROR(INDEX($C$1:$N$1,MATCH(U91,C91:N91,0)),0)</f>
        <v>3</v>
      </c>
      <c r="W91" s="442" t="s">
        <v>7</v>
      </c>
    </row>
    <row r="92" spans="1:23">
      <c r="A92" s="198">
        <f t="shared" si="15"/>
        <v>92</v>
      </c>
      <c r="B92" s="196" t="s">
        <v>190</v>
      </c>
      <c r="C92" s="238">
        <v>5500.91</v>
      </c>
      <c r="D92" s="238">
        <v>2577</v>
      </c>
      <c r="E92" s="238">
        <v>5191</v>
      </c>
      <c r="F92" s="238">
        <v>107824.07</v>
      </c>
      <c r="G92" s="238">
        <v>-78726.509999999995</v>
      </c>
      <c r="H92" s="238">
        <v>94928.84</v>
      </c>
      <c r="I92" s="238">
        <v>26781.78</v>
      </c>
      <c r="J92" s="238">
        <v>14833.77</v>
      </c>
      <c r="K92" s="238">
        <v>4423.1000000000004</v>
      </c>
      <c r="L92" s="238">
        <v>5891.46</v>
      </c>
      <c r="M92" s="238">
        <v>2917.27</v>
      </c>
      <c r="N92" s="238">
        <v>23680.12</v>
      </c>
      <c r="O92" s="204">
        <f>SUM(C92:N92)</f>
        <v>215822.80999999997</v>
      </c>
      <c r="Q92" s="198" t="s">
        <v>7</v>
      </c>
      <c r="T92" s="198" t="str">
        <f>_xlfn.IFNA(VLOOKUP(B92,'Input_2021VOL-YTD'!B:U,19,FALSE),"")</f>
        <v/>
      </c>
      <c r="U92" s="209">
        <f>MAX(C92:N92)</f>
        <v>107824.07</v>
      </c>
      <c r="V92" s="209">
        <f>IFERROR(INDEX($C$1:$N$1,MATCH(U92,C92:N92,0)),0)</f>
        <v>4</v>
      </c>
      <c r="W92" s="442" t="s">
        <v>7</v>
      </c>
    </row>
    <row r="93" spans="1:23">
      <c r="A93" s="198">
        <f t="shared" si="15"/>
        <v>93</v>
      </c>
      <c r="B93" s="219" t="s">
        <v>191</v>
      </c>
      <c r="C93" s="214">
        <f t="shared" ref="C93:K93" si="21">SUM(C89:C92)</f>
        <v>1940824.8</v>
      </c>
      <c r="D93" s="214">
        <f t="shared" si="21"/>
        <v>1602653.71</v>
      </c>
      <c r="E93" s="214">
        <f t="shared" si="21"/>
        <v>1945340.6099999999</v>
      </c>
      <c r="F93" s="214">
        <f t="shared" si="21"/>
        <v>1971747.51</v>
      </c>
      <c r="G93" s="214">
        <f t="shared" si="21"/>
        <v>1845622.34</v>
      </c>
      <c r="H93" s="214">
        <f t="shared" si="21"/>
        <v>1936546</v>
      </c>
      <c r="I93" s="214">
        <f t="shared" si="21"/>
        <v>1650029.1700000002</v>
      </c>
      <c r="J93" s="214">
        <f t="shared" si="21"/>
        <v>1741326.11</v>
      </c>
      <c r="K93" s="214">
        <f t="shared" si="21"/>
        <v>1779784.29</v>
      </c>
      <c r="L93" s="214">
        <f>SUM(L89:L92)</f>
        <v>1838378.6600000001</v>
      </c>
      <c r="M93" s="214">
        <f>SUM(M89:M91)</f>
        <v>1816186.86</v>
      </c>
      <c r="N93" s="214">
        <f>SUM(N89:N91)</f>
        <v>1865612.4700000002</v>
      </c>
      <c r="O93" s="214">
        <f>SUM(O89:O91)</f>
        <v>21744827.109999999</v>
      </c>
      <c r="T93" s="198" t="str">
        <f>_xlfn.IFNA(VLOOKUP(B93,'Input_2021VOL-YTD'!B:U,19,FALSE),"")</f>
        <v>FPU Interdepartm/Sp Contracts</v>
      </c>
      <c r="W93" s="442"/>
    </row>
    <row r="94" spans="1:23">
      <c r="A94" s="198">
        <f t="shared" si="15"/>
        <v>94</v>
      </c>
      <c r="B94" s="217" t="s">
        <v>192</v>
      </c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T94" s="198">
        <f>_xlfn.IFNA(VLOOKUP(B94,'Input_2021VOL-YTD'!B:U,19,FALSE),"")</f>
        <v>0</v>
      </c>
      <c r="W94" s="442"/>
    </row>
    <row r="95" spans="1:23">
      <c r="A95" s="198">
        <f t="shared" si="15"/>
        <v>95</v>
      </c>
      <c r="B95" s="196"/>
      <c r="C95" s="240"/>
      <c r="D95" s="235"/>
      <c r="E95" s="241"/>
      <c r="F95" s="242"/>
      <c r="G95" s="241"/>
      <c r="H95" s="241"/>
      <c r="I95" s="237"/>
      <c r="J95" s="237" t="s">
        <v>20</v>
      </c>
      <c r="K95" s="237"/>
      <c r="L95" s="241"/>
      <c r="M95" s="237"/>
      <c r="N95" s="237"/>
      <c r="O95" s="243">
        <f>SUM(C95:N95)</f>
        <v>0</v>
      </c>
      <c r="Q95" s="198" t="s">
        <v>8</v>
      </c>
      <c r="T95" s="198" t="str">
        <f>_xlfn.IFNA(VLOOKUP(B95,'Input_2021VOL-YTD'!B:U,19,FALSE),"")</f>
        <v/>
      </c>
      <c r="W95" s="442" t="s">
        <v>8</v>
      </c>
    </row>
    <row r="96" spans="1:23">
      <c r="A96" s="198">
        <f t="shared" si="15"/>
        <v>96</v>
      </c>
      <c r="B96" s="197" t="s">
        <v>172</v>
      </c>
      <c r="C96" s="244">
        <v>0</v>
      </c>
      <c r="D96" s="244">
        <v>0</v>
      </c>
      <c r="E96" s="245">
        <v>0</v>
      </c>
      <c r="F96" s="246">
        <v>0</v>
      </c>
      <c r="G96" s="246">
        <v>0</v>
      </c>
      <c r="H96" s="246">
        <v>0</v>
      </c>
      <c r="I96" s="247">
        <v>0</v>
      </c>
      <c r="J96" s="247">
        <v>0</v>
      </c>
      <c r="K96" s="247">
        <v>0</v>
      </c>
      <c r="L96" s="247">
        <v>0</v>
      </c>
      <c r="M96" s="247">
        <v>0</v>
      </c>
      <c r="N96" s="247">
        <v>0</v>
      </c>
      <c r="O96" s="216">
        <f>SUM(C96:N96)</f>
        <v>0</v>
      </c>
      <c r="Q96" s="198" t="s">
        <v>8</v>
      </c>
      <c r="T96" s="198" t="str">
        <f>_xlfn.IFNA(VLOOKUP(B96,'Input_2021VOL-YTD'!B:U,19,FALSE),"")</f>
        <v>CFG Industrial</v>
      </c>
      <c r="W96" s="442" t="s">
        <v>8</v>
      </c>
    </row>
    <row r="97" spans="1:23">
      <c r="A97" s="198">
        <f t="shared" si="15"/>
        <v>97</v>
      </c>
      <c r="B97" s="219" t="s">
        <v>193</v>
      </c>
      <c r="C97" s="204">
        <f t="shared" ref="C97:N97" si="22">SUM(C96)</f>
        <v>0</v>
      </c>
      <c r="D97" s="204">
        <f t="shared" si="22"/>
        <v>0</v>
      </c>
      <c r="E97" s="204">
        <f t="shared" si="22"/>
        <v>0</v>
      </c>
      <c r="F97" s="204">
        <f t="shared" si="22"/>
        <v>0</v>
      </c>
      <c r="G97" s="204">
        <f t="shared" si="22"/>
        <v>0</v>
      </c>
      <c r="H97" s="204">
        <f t="shared" si="22"/>
        <v>0</v>
      </c>
      <c r="I97" s="204">
        <f t="shared" si="22"/>
        <v>0</v>
      </c>
      <c r="J97" s="204">
        <f t="shared" si="22"/>
        <v>0</v>
      </c>
      <c r="K97" s="204">
        <f t="shared" si="22"/>
        <v>0</v>
      </c>
      <c r="L97" s="204">
        <f t="shared" si="22"/>
        <v>0</v>
      </c>
      <c r="M97" s="204">
        <f t="shared" si="22"/>
        <v>0</v>
      </c>
      <c r="N97" s="204">
        <f t="shared" si="22"/>
        <v>0</v>
      </c>
      <c r="O97" s="204">
        <f>SUM(C97:N97)</f>
        <v>0</v>
      </c>
      <c r="T97" s="198" t="str">
        <f>_xlfn.IFNA(VLOOKUP(B97,'Input_2021VOL-YTD'!B:U,19,FALSE),"")</f>
        <v>CFG Industrial</v>
      </c>
      <c r="W97" s="442"/>
    </row>
    <row r="98" spans="1:23">
      <c r="A98" s="198">
        <f t="shared" si="15"/>
        <v>98</v>
      </c>
      <c r="B98" s="219"/>
      <c r="T98" s="198" t="str">
        <f>_xlfn.IFNA(VLOOKUP(B98,'Input_2021VOL-YTD'!B:U,19,FALSE),"")</f>
        <v/>
      </c>
      <c r="W98" s="442"/>
    </row>
    <row r="99" spans="1:23">
      <c r="A99" s="198">
        <f t="shared" si="15"/>
        <v>99</v>
      </c>
      <c r="B99" s="221" t="s">
        <v>194</v>
      </c>
      <c r="C99" s="222">
        <f t="shared" ref="C99:O99" si="23">+C15+C24+C62+C71+C87+C93+C97</f>
        <v>23161844.180000011</v>
      </c>
      <c r="D99" s="222">
        <f t="shared" si="23"/>
        <v>19459641.440000035</v>
      </c>
      <c r="E99" s="222">
        <f t="shared" si="23"/>
        <v>21781364.46000002</v>
      </c>
      <c r="F99" s="222">
        <f t="shared" si="23"/>
        <v>19928933.370000012</v>
      </c>
      <c r="G99" s="222">
        <f t="shared" si="23"/>
        <v>18918648.120000012</v>
      </c>
      <c r="H99" s="222">
        <f t="shared" si="23"/>
        <v>27502857.100000035</v>
      </c>
      <c r="I99" s="222">
        <f t="shared" si="23"/>
        <v>30141117.460000001</v>
      </c>
      <c r="J99" s="222">
        <f t="shared" si="23"/>
        <v>31230924.68000003</v>
      </c>
      <c r="K99" s="222">
        <f t="shared" si="23"/>
        <v>30916316.380000018</v>
      </c>
      <c r="L99" s="222">
        <f t="shared" si="23"/>
        <v>29638665.090000022</v>
      </c>
      <c r="M99" s="222">
        <f t="shared" si="23"/>
        <v>31996872.620000027</v>
      </c>
      <c r="N99" s="222">
        <f t="shared" si="23"/>
        <v>34397979.490000047</v>
      </c>
      <c r="O99" s="223">
        <f t="shared" si="23"/>
        <v>318885938.97000027</v>
      </c>
      <c r="T99" s="198">
        <f>_xlfn.IFNA(VLOOKUP(B99,'Input_2021VOL-YTD'!B:U,19,FALSE),"")</f>
        <v>0</v>
      </c>
      <c r="W99" s="442"/>
    </row>
    <row r="100" spans="1:23">
      <c r="A100" s="198">
        <f t="shared" si="15"/>
        <v>100</v>
      </c>
      <c r="B100" s="224" t="s">
        <v>195</v>
      </c>
      <c r="T100" s="198">
        <f>_xlfn.IFNA(VLOOKUP(B100,'Input_2021VOL-YTD'!B:U,19,FALSE),"")</f>
        <v>0</v>
      </c>
      <c r="W100" s="442"/>
    </row>
    <row r="101" spans="1:23">
      <c r="A101" s="198">
        <f t="shared" si="15"/>
        <v>101</v>
      </c>
      <c r="B101" s="224"/>
      <c r="T101" s="198" t="str">
        <f>_xlfn.IFNA(VLOOKUP(B101,'Input_2021VOL-YTD'!B:U,19,FALSE),"")</f>
        <v/>
      </c>
      <c r="W101" s="442"/>
    </row>
    <row r="102" spans="1:23">
      <c r="A102" s="198">
        <f t="shared" si="15"/>
        <v>102</v>
      </c>
      <c r="B102" s="196" t="s">
        <v>197</v>
      </c>
      <c r="C102" s="233">
        <v>403865.79</v>
      </c>
      <c r="D102" s="233">
        <v>340983.92</v>
      </c>
      <c r="E102" s="233">
        <v>423514.36</v>
      </c>
      <c r="F102" s="233">
        <v>381046.31</v>
      </c>
      <c r="G102" s="233">
        <v>419503.35</v>
      </c>
      <c r="H102" s="233">
        <v>445716.38</v>
      </c>
      <c r="I102" s="233">
        <v>389258.48</v>
      </c>
      <c r="J102" s="233">
        <v>383561.56</v>
      </c>
      <c r="K102" s="233">
        <v>372707</v>
      </c>
      <c r="L102" s="233">
        <v>336356.36</v>
      </c>
      <c r="M102" s="233">
        <v>429309.57</v>
      </c>
      <c r="N102" s="233">
        <v>357190.05</v>
      </c>
      <c r="O102" s="204">
        <f>SUM(C102:N102)</f>
        <v>4683013.13</v>
      </c>
      <c r="Q102" s="198" t="s">
        <v>8</v>
      </c>
      <c r="T102" s="198">
        <f>_xlfn.IFNA(VLOOKUP(B102,'Input_2021VOL-YTD'!B:U,19,FALSE),"")</f>
        <v>0</v>
      </c>
      <c r="W102" s="442" t="s">
        <v>8</v>
      </c>
    </row>
    <row r="103" spans="1:23">
      <c r="A103" s="198">
        <f t="shared" si="15"/>
        <v>103</v>
      </c>
      <c r="B103" s="197" t="s">
        <v>198</v>
      </c>
      <c r="C103" s="233">
        <v>184189.91</v>
      </c>
      <c r="D103" s="233">
        <v>46842.65</v>
      </c>
      <c r="E103" s="233">
        <v>108160.02</v>
      </c>
      <c r="F103" s="233">
        <v>34304.959999999999</v>
      </c>
      <c r="G103" s="233">
        <v>9935.5300000000007</v>
      </c>
      <c r="H103" s="233">
        <v>2381.9299999999998</v>
      </c>
      <c r="I103" s="233">
        <v>3231.08</v>
      </c>
      <c r="J103" s="233">
        <v>2149.33</v>
      </c>
      <c r="K103" s="233">
        <v>19081.04</v>
      </c>
      <c r="L103" s="233">
        <v>12909.26</v>
      </c>
      <c r="M103" s="233">
        <v>47801.61</v>
      </c>
      <c r="N103" s="233">
        <v>118682.89</v>
      </c>
      <c r="O103" s="216">
        <f>SUM(C103:N103)</f>
        <v>589670.21000000008</v>
      </c>
      <c r="Q103" s="198" t="s">
        <v>8</v>
      </c>
      <c r="T103" s="198" t="str">
        <f>_xlfn.IFNA(VLOOKUP(B103,'Input_2021VOL-YTD'!B:U,19,FALSE),"")</f>
        <v>FPU Interdepartm/Sp Contracts</v>
      </c>
      <c r="W103" s="442" t="s">
        <v>8</v>
      </c>
    </row>
    <row r="104" spans="1:23">
      <c r="A104" s="198">
        <f t="shared" si="15"/>
        <v>104</v>
      </c>
      <c r="B104" s="219" t="s">
        <v>199</v>
      </c>
      <c r="C104" s="214">
        <f t="shared" ref="C104:N104" si="24">SUM(C102:C103)</f>
        <v>588055.69999999995</v>
      </c>
      <c r="D104" s="214">
        <f t="shared" si="24"/>
        <v>387826.57</v>
      </c>
      <c r="E104" s="214">
        <f t="shared" si="24"/>
        <v>531674.38</v>
      </c>
      <c r="F104" s="214">
        <f t="shared" si="24"/>
        <v>415351.27</v>
      </c>
      <c r="G104" s="214">
        <f t="shared" si="24"/>
        <v>429438.88</v>
      </c>
      <c r="H104" s="214">
        <f t="shared" si="24"/>
        <v>448098.31</v>
      </c>
      <c r="I104" s="214">
        <f t="shared" si="24"/>
        <v>392489.56</v>
      </c>
      <c r="J104" s="214">
        <f t="shared" si="24"/>
        <v>385710.89</v>
      </c>
      <c r="K104" s="214">
        <f t="shared" si="24"/>
        <v>391788.04</v>
      </c>
      <c r="L104" s="214">
        <f>SUM(L102:L103)</f>
        <v>349265.62</v>
      </c>
      <c r="M104" s="214">
        <f t="shared" si="24"/>
        <v>477111.18</v>
      </c>
      <c r="N104" s="214">
        <f t="shared" si="24"/>
        <v>475872.94</v>
      </c>
      <c r="O104" s="204">
        <f>SUM(C104:N104)</f>
        <v>5272683.34</v>
      </c>
      <c r="T104" s="198" t="str">
        <f>_xlfn.IFNA(VLOOKUP(B104,'Input_2021VOL-YTD'!B:U,19,FALSE),"")</f>
        <v>CFG Industrial</v>
      </c>
      <c r="W104" s="442"/>
    </row>
    <row r="105" spans="1:23">
      <c r="A105" s="198">
        <f t="shared" si="15"/>
        <v>105</v>
      </c>
      <c r="B105" s="217" t="s">
        <v>200</v>
      </c>
      <c r="T105" s="198" t="str">
        <f>_xlfn.IFNA(VLOOKUP(B105,'Input_2021VOL-YTD'!B:U,19,FALSE),"")</f>
        <v>CFG Industrial</v>
      </c>
      <c r="W105" s="442"/>
    </row>
    <row r="106" spans="1:23">
      <c r="A106" s="198">
        <f t="shared" si="15"/>
        <v>106</v>
      </c>
      <c r="B106" s="196" t="s">
        <v>201</v>
      </c>
      <c r="C106" s="233"/>
      <c r="D106" s="233"/>
      <c r="E106" s="233"/>
      <c r="F106" s="233"/>
      <c r="G106" s="238"/>
      <c r="H106" s="233"/>
      <c r="I106" s="233"/>
      <c r="J106" s="233"/>
      <c r="K106" s="233"/>
      <c r="L106" s="233"/>
      <c r="M106" s="233"/>
      <c r="N106" s="238"/>
      <c r="O106" s="204"/>
      <c r="T106" s="198">
        <f>_xlfn.IFNA(VLOOKUP(B106,'Input_2021VOL-YTD'!B:U,19,FALSE),"")</f>
        <v>0</v>
      </c>
      <c r="W106" s="442"/>
    </row>
    <row r="107" spans="1:23">
      <c r="A107" s="198">
        <f t="shared" si="15"/>
        <v>107</v>
      </c>
      <c r="B107" s="196" t="s">
        <v>202</v>
      </c>
      <c r="C107" s="233">
        <v>1263869.5900000001</v>
      </c>
      <c r="D107" s="233">
        <v>1166599</v>
      </c>
      <c r="E107" s="233">
        <v>1284799.7</v>
      </c>
      <c r="F107" s="233">
        <v>476649.59</v>
      </c>
      <c r="G107" s="238">
        <v>1030050.14</v>
      </c>
      <c r="H107" s="233">
        <v>1474559.86</v>
      </c>
      <c r="I107" s="233">
        <v>1544069.77</v>
      </c>
      <c r="J107" s="233">
        <v>1292719.8799999999</v>
      </c>
      <c r="K107" s="233">
        <v>1467410</v>
      </c>
      <c r="L107" s="233">
        <v>1516220.38</v>
      </c>
      <c r="M107" s="233">
        <v>1171509.97</v>
      </c>
      <c r="N107" s="238">
        <v>1194920.18</v>
      </c>
      <c r="O107" s="204">
        <f>SUM(C107:N107)</f>
        <v>14883378.060000001</v>
      </c>
      <c r="Q107" s="198" t="s">
        <v>8</v>
      </c>
      <c r="T107" s="198">
        <f>_xlfn.IFNA(VLOOKUP(B107,'Input_2021VOL-YTD'!B:U,19,FALSE),"")</f>
        <v>0</v>
      </c>
      <c r="W107" s="442" t="s">
        <v>8</v>
      </c>
    </row>
    <row r="108" spans="1:23">
      <c r="A108" s="198">
        <f t="shared" si="15"/>
        <v>108</v>
      </c>
      <c r="B108" s="197" t="s">
        <v>203</v>
      </c>
      <c r="C108" s="233">
        <v>1742589.49</v>
      </c>
      <c r="D108" s="233">
        <v>333159.75</v>
      </c>
      <c r="E108" s="233">
        <v>1523599.7</v>
      </c>
      <c r="F108" s="233">
        <v>2136599.7599999998</v>
      </c>
      <c r="G108" s="233">
        <v>1332890.02</v>
      </c>
      <c r="H108" s="233">
        <v>363989.65</v>
      </c>
      <c r="I108" s="233">
        <v>366080.42</v>
      </c>
      <c r="J108" s="233">
        <v>371370.06</v>
      </c>
      <c r="K108" s="233">
        <v>354640</v>
      </c>
      <c r="L108" s="233">
        <v>358550.42</v>
      </c>
      <c r="M108" s="233">
        <v>513409.99</v>
      </c>
      <c r="N108" s="233">
        <v>2212939.96</v>
      </c>
      <c r="O108" s="216">
        <f>SUM(C108:N108)</f>
        <v>11609819.219999999</v>
      </c>
      <c r="Q108" s="198" t="s">
        <v>8</v>
      </c>
      <c r="T108" s="198">
        <f>_xlfn.IFNA(VLOOKUP(B108,'Input_2021VOL-YTD'!B:U,19,FALSE),"")</f>
        <v>0</v>
      </c>
      <c r="W108" s="442" t="s">
        <v>8</v>
      </c>
    </row>
    <row r="109" spans="1:23">
      <c r="A109" s="198">
        <f t="shared" si="15"/>
        <v>109</v>
      </c>
      <c r="B109" s="219" t="s">
        <v>204</v>
      </c>
      <c r="C109" s="204">
        <f t="shared" ref="C109:N109" si="25">SUM(C107:C108)</f>
        <v>3006459.08</v>
      </c>
      <c r="D109" s="204">
        <f t="shared" si="25"/>
        <v>1499758.75</v>
      </c>
      <c r="E109" s="204">
        <f t="shared" si="25"/>
        <v>2808399.4</v>
      </c>
      <c r="F109" s="204">
        <f t="shared" si="25"/>
        <v>2613249.3499999996</v>
      </c>
      <c r="G109" s="204">
        <f t="shared" si="25"/>
        <v>2362940.16</v>
      </c>
      <c r="H109" s="204">
        <f t="shared" si="25"/>
        <v>1838549.5100000002</v>
      </c>
      <c r="I109" s="204">
        <f t="shared" si="25"/>
        <v>1910150.19</v>
      </c>
      <c r="J109" s="204">
        <f t="shared" si="25"/>
        <v>1664089.94</v>
      </c>
      <c r="K109" s="204">
        <f t="shared" si="25"/>
        <v>1822050</v>
      </c>
      <c r="L109" s="204">
        <f t="shared" si="25"/>
        <v>1874770.7999999998</v>
      </c>
      <c r="M109" s="204">
        <f t="shared" si="25"/>
        <v>1684919.96</v>
      </c>
      <c r="N109" s="204">
        <f t="shared" si="25"/>
        <v>3407860.1399999997</v>
      </c>
      <c r="O109" s="204">
        <f>SUM(C109:N109)</f>
        <v>26493197.280000001</v>
      </c>
      <c r="T109" s="198" t="str">
        <f>_xlfn.IFNA(VLOOKUP(B109,'Input_2021VOL-YTD'!B:U,19,FALSE),"")</f>
        <v>CFG Industrial</v>
      </c>
      <c r="W109" s="442"/>
    </row>
    <row r="110" spans="1:23">
      <c r="A110" s="198">
        <f t="shared" si="15"/>
        <v>110</v>
      </c>
      <c r="B110" s="219"/>
      <c r="C110" s="209"/>
      <c r="D110" s="209"/>
      <c r="T110" s="198" t="str">
        <f>_xlfn.IFNA(VLOOKUP(B110,'Input_2021VOL-YTD'!B:U,19,FALSE),"")</f>
        <v/>
      </c>
      <c r="W110" s="442"/>
    </row>
    <row r="111" spans="1:23">
      <c r="A111" s="198">
        <f t="shared" si="15"/>
        <v>111</v>
      </c>
      <c r="B111" s="221" t="s">
        <v>205</v>
      </c>
      <c r="C111" s="222">
        <f t="shared" ref="C111:O111" si="26">+C104+C109</f>
        <v>3594514.7800000003</v>
      </c>
      <c r="D111" s="222">
        <f t="shared" si="26"/>
        <v>1887585.32</v>
      </c>
      <c r="E111" s="222">
        <f t="shared" si="26"/>
        <v>3340073.78</v>
      </c>
      <c r="F111" s="222">
        <f t="shared" si="26"/>
        <v>3028600.6199999996</v>
      </c>
      <c r="G111" s="222">
        <f t="shared" si="26"/>
        <v>2792379.04</v>
      </c>
      <c r="H111" s="222">
        <f t="shared" si="26"/>
        <v>2286647.8200000003</v>
      </c>
      <c r="I111" s="222">
        <f t="shared" si="26"/>
        <v>2302639.75</v>
      </c>
      <c r="J111" s="222">
        <f t="shared" si="26"/>
        <v>2049800.83</v>
      </c>
      <c r="K111" s="222">
        <f t="shared" si="26"/>
        <v>2213838.04</v>
      </c>
      <c r="L111" s="222">
        <f t="shared" si="26"/>
        <v>2224036.42</v>
      </c>
      <c r="M111" s="222">
        <f t="shared" si="26"/>
        <v>2162031.14</v>
      </c>
      <c r="N111" s="222">
        <f t="shared" si="26"/>
        <v>3883733.0799999996</v>
      </c>
      <c r="O111" s="223">
        <f t="shared" si="26"/>
        <v>31765880.620000001</v>
      </c>
      <c r="T111" s="198" t="str">
        <f>_xlfn.IFNA(VLOOKUP(B111,'Input_2021VOL-YTD'!B:U,19,FALSE),"")</f>
        <v>CFG Industrial</v>
      </c>
      <c r="W111" s="442"/>
    </row>
    <row r="112" spans="1:23">
      <c r="A112" s="198">
        <f t="shared" si="15"/>
        <v>112</v>
      </c>
      <c r="B112" s="219"/>
      <c r="C112" s="209">
        <f>+C109+C104+C93+C87</f>
        <v>12965289.300000001</v>
      </c>
      <c r="D112" s="209">
        <f>+D109+D104+D93+D87</f>
        <v>9521823.8300000001</v>
      </c>
      <c r="E112" s="209">
        <f>+E109+E104+E93+E87</f>
        <v>13336133.25</v>
      </c>
      <c r="F112" s="209">
        <f t="shared" ref="F112:N112" si="27">+F109+F104+F93+F87</f>
        <v>11298993.16</v>
      </c>
      <c r="G112" s="209">
        <f t="shared" si="27"/>
        <v>11259908.1</v>
      </c>
      <c r="H112" s="209">
        <f>+H109+H104+H93+H87</f>
        <v>19638730.219999999</v>
      </c>
      <c r="I112" s="209">
        <f>+I109+I104+I93+I87</f>
        <v>22953521.82</v>
      </c>
      <c r="J112" s="209">
        <f>+J109+J104+J93+J87</f>
        <v>23534895.940000001</v>
      </c>
      <c r="K112" s="209">
        <f t="shared" si="27"/>
        <v>23428002.879999995</v>
      </c>
      <c r="L112" s="209">
        <f t="shared" si="27"/>
        <v>22269485.789999999</v>
      </c>
      <c r="M112" s="209">
        <f t="shared" si="27"/>
        <v>23326209.260000002</v>
      </c>
      <c r="N112" s="209">
        <f t="shared" si="27"/>
        <v>26225828.09</v>
      </c>
      <c r="W112" s="442"/>
    </row>
    <row r="113" spans="1:23">
      <c r="A113" s="198">
        <f t="shared" si="15"/>
        <v>113</v>
      </c>
      <c r="B113" s="221" t="s">
        <v>206</v>
      </c>
      <c r="C113" s="222">
        <f>+C99+C111</f>
        <v>26756358.960000012</v>
      </c>
      <c r="D113" s="222">
        <f t="shared" ref="D113:O113" si="28">+D99+D111</f>
        <v>21347226.760000035</v>
      </c>
      <c r="E113" s="222">
        <f t="shared" si="28"/>
        <v>25121438.240000021</v>
      </c>
      <c r="F113" s="222">
        <f t="shared" si="28"/>
        <v>22957533.990000013</v>
      </c>
      <c r="G113" s="222">
        <f t="shared" si="28"/>
        <v>21711027.160000011</v>
      </c>
      <c r="H113" s="222">
        <f t="shared" si="28"/>
        <v>29789504.920000035</v>
      </c>
      <c r="I113" s="222">
        <f t="shared" si="28"/>
        <v>32443757.210000001</v>
      </c>
      <c r="J113" s="222">
        <f t="shared" si="28"/>
        <v>33280725.510000028</v>
      </c>
      <c r="K113" s="222">
        <f t="shared" si="28"/>
        <v>33130154.420000017</v>
      </c>
      <c r="L113" s="222">
        <f t="shared" si="28"/>
        <v>31862701.51000002</v>
      </c>
      <c r="M113" s="222">
        <f t="shared" si="28"/>
        <v>34158903.760000028</v>
      </c>
      <c r="N113" s="222">
        <f t="shared" si="28"/>
        <v>38281712.570000045</v>
      </c>
      <c r="O113" s="223">
        <f t="shared" si="28"/>
        <v>350651819.59000027</v>
      </c>
      <c r="W113" s="442"/>
    </row>
    <row r="114" spans="1:23">
      <c r="A114" s="198">
        <f t="shared" si="15"/>
        <v>114</v>
      </c>
      <c r="B114" s="206" t="s">
        <v>123</v>
      </c>
      <c r="C114" s="209">
        <f>+C113-C109-C104-C93-C87</f>
        <v>13791069.660000011</v>
      </c>
      <c r="W114" s="442"/>
    </row>
    <row r="115" spans="1:23">
      <c r="A115" s="198">
        <f t="shared" si="15"/>
        <v>115</v>
      </c>
      <c r="B115" s="207" t="s">
        <v>100</v>
      </c>
      <c r="C115" s="204">
        <f t="shared" ref="C115:C125" si="29">+C4</f>
        <v>11134.16</v>
      </c>
      <c r="D115" s="204">
        <f t="shared" ref="D115:D125" si="30">SUM(C4:D4)</f>
        <v>19874.899999999921</v>
      </c>
      <c r="E115" s="204">
        <f t="shared" ref="E115:E125" si="31">SUM(C4:E4)</f>
        <v>28208.00999999982</v>
      </c>
      <c r="F115" s="204">
        <f t="shared" ref="F115:F125" si="32">SUM(C4:F4)</f>
        <v>35934.679999999731</v>
      </c>
      <c r="G115" s="204">
        <f t="shared" ref="G115:G125" si="33">SUM(C4:G4)</f>
        <v>42073.259999999689</v>
      </c>
      <c r="H115" s="204">
        <f t="shared" ref="H115:H125" si="34">SUM(C4:H4)</f>
        <v>48542.769999999648</v>
      </c>
      <c r="I115" s="204">
        <f t="shared" ref="I115:I125" si="35">SUM(C4:I4)</f>
        <v>53785.769999999648</v>
      </c>
      <c r="J115" s="204">
        <f t="shared" ref="J115:J125" si="36">SUM(C4:J4)</f>
        <v>59243.689999999639</v>
      </c>
      <c r="K115" s="204">
        <f t="shared" ref="K115:K125" si="37">SUM(C4:K4)</f>
        <v>64954.189999999595</v>
      </c>
      <c r="L115" s="204">
        <f t="shared" ref="L115:L125" si="38">SUM(C4:L4)</f>
        <v>70081.049999999552</v>
      </c>
      <c r="M115" s="204">
        <f t="shared" ref="M115:M125" si="39">SUM(C4:M4)</f>
        <v>77380.249999999476</v>
      </c>
      <c r="N115" s="204">
        <f t="shared" ref="N115:N125" si="40">SUM(C4:N4)</f>
        <v>86335.899999999485</v>
      </c>
      <c r="O115" s="204">
        <f t="shared" ref="O115:O126" si="41">SUM(C115:N115)</f>
        <v>597548.62999999616</v>
      </c>
      <c r="W115" s="442"/>
    </row>
    <row r="116" spans="1:23">
      <c r="A116" s="198">
        <f t="shared" si="15"/>
        <v>116</v>
      </c>
      <c r="B116" s="207" t="s">
        <v>101</v>
      </c>
      <c r="C116" s="204">
        <f t="shared" si="29"/>
        <v>43131.09</v>
      </c>
      <c r="D116" s="204">
        <f t="shared" si="30"/>
        <v>70627.1700000001</v>
      </c>
      <c r="E116" s="204">
        <f t="shared" si="31"/>
        <v>96091.1700000001</v>
      </c>
      <c r="F116" s="204">
        <f t="shared" si="32"/>
        <v>120827.0100000002</v>
      </c>
      <c r="G116" s="204">
        <f t="shared" si="33"/>
        <v>141627.22</v>
      </c>
      <c r="H116" s="204">
        <f t="shared" si="34"/>
        <v>163178.25999999981</v>
      </c>
      <c r="I116" s="204">
        <f t="shared" si="35"/>
        <v>181714.25999999981</v>
      </c>
      <c r="J116" s="204">
        <f t="shared" si="36"/>
        <v>200748.33999999971</v>
      </c>
      <c r="K116" s="204">
        <f t="shared" si="37"/>
        <v>220170.66999999952</v>
      </c>
      <c r="L116" s="204">
        <f t="shared" si="38"/>
        <v>237908.57999999952</v>
      </c>
      <c r="M116" s="204">
        <f t="shared" si="39"/>
        <v>261604.41999999972</v>
      </c>
      <c r="N116" s="204">
        <f t="shared" si="40"/>
        <v>292811.1299999996</v>
      </c>
      <c r="O116" s="204">
        <f t="shared" si="41"/>
        <v>2030439.3199999982</v>
      </c>
      <c r="W116" s="442"/>
    </row>
    <row r="117" spans="1:23">
      <c r="A117" s="198">
        <f t="shared" si="15"/>
        <v>117</v>
      </c>
      <c r="B117" s="207" t="s">
        <v>102</v>
      </c>
      <c r="C117" s="204">
        <f t="shared" si="29"/>
        <v>338452.84999999899</v>
      </c>
      <c r="D117" s="204">
        <f t="shared" si="30"/>
        <v>545746.95999999694</v>
      </c>
      <c r="E117" s="204">
        <f t="shared" si="31"/>
        <v>754654.95999999694</v>
      </c>
      <c r="F117" s="204">
        <f t="shared" si="32"/>
        <v>946073.90999999596</v>
      </c>
      <c r="G117" s="204">
        <f t="shared" si="33"/>
        <v>1087034.74</v>
      </c>
      <c r="H117" s="204">
        <f t="shared" si="34"/>
        <v>1225245.230000003</v>
      </c>
      <c r="I117" s="204">
        <f t="shared" si="35"/>
        <v>1342414.230000003</v>
      </c>
      <c r="J117" s="204">
        <f t="shared" si="36"/>
        <v>1459278.340000005</v>
      </c>
      <c r="K117" s="204">
        <f t="shared" si="37"/>
        <v>1577177.4700000079</v>
      </c>
      <c r="L117" s="204">
        <f t="shared" si="38"/>
        <v>1687030.7800000119</v>
      </c>
      <c r="M117" s="204">
        <f t="shared" si="39"/>
        <v>1853230.790000014</v>
      </c>
      <c r="N117" s="204">
        <f t="shared" si="40"/>
        <v>2095094.2700000121</v>
      </c>
      <c r="O117" s="204">
        <f t="shared" si="41"/>
        <v>14911434.530000048</v>
      </c>
      <c r="W117" s="442"/>
    </row>
    <row r="118" spans="1:23">
      <c r="A118" s="198">
        <f t="shared" si="15"/>
        <v>118</v>
      </c>
      <c r="B118" s="207" t="s">
        <v>103</v>
      </c>
      <c r="C118" s="204">
        <f t="shared" si="29"/>
        <v>86780.669999999896</v>
      </c>
      <c r="D118" s="204">
        <f t="shared" si="30"/>
        <v>147474.76</v>
      </c>
      <c r="E118" s="204">
        <f t="shared" si="31"/>
        <v>219159.76</v>
      </c>
      <c r="F118" s="204">
        <f t="shared" si="32"/>
        <v>291335.95000000013</v>
      </c>
      <c r="G118" s="204">
        <f t="shared" si="33"/>
        <v>325723.75000000012</v>
      </c>
      <c r="H118" s="204">
        <f t="shared" si="34"/>
        <v>349635.50000000012</v>
      </c>
      <c r="I118" s="204">
        <f t="shared" si="35"/>
        <v>367373.50000000012</v>
      </c>
      <c r="J118" s="204">
        <f t="shared" si="36"/>
        <v>383857.53000000014</v>
      </c>
      <c r="K118" s="204">
        <f t="shared" si="37"/>
        <v>399096.04000000015</v>
      </c>
      <c r="L118" s="204">
        <f t="shared" si="38"/>
        <v>417343.26000000013</v>
      </c>
      <c r="M118" s="204">
        <f t="shared" si="39"/>
        <v>461816.79000000015</v>
      </c>
      <c r="N118" s="204">
        <f t="shared" si="40"/>
        <v>523133.35000000015</v>
      </c>
      <c r="O118" s="204">
        <f t="shared" si="41"/>
        <v>3972730.8600000008</v>
      </c>
      <c r="W118" s="442"/>
    </row>
    <row r="119" spans="1:23">
      <c r="A119" s="198">
        <f t="shared" si="15"/>
        <v>119</v>
      </c>
      <c r="B119" s="207" t="s">
        <v>104</v>
      </c>
      <c r="C119" s="204">
        <f t="shared" si="29"/>
        <v>105553.07</v>
      </c>
      <c r="D119" s="204">
        <f t="shared" si="30"/>
        <v>179241.51</v>
      </c>
      <c r="E119" s="204">
        <f t="shared" si="31"/>
        <v>267346.66000000003</v>
      </c>
      <c r="F119" s="204">
        <f t="shared" si="32"/>
        <v>348113.35000000015</v>
      </c>
      <c r="G119" s="204">
        <f t="shared" si="33"/>
        <v>385795.35000000015</v>
      </c>
      <c r="H119" s="204">
        <f t="shared" si="34"/>
        <v>408850.43000000017</v>
      </c>
      <c r="I119" s="204">
        <f t="shared" si="35"/>
        <v>425177.43000000017</v>
      </c>
      <c r="J119" s="204">
        <f t="shared" si="36"/>
        <v>439078.89000000019</v>
      </c>
      <c r="K119" s="204">
        <f t="shared" si="37"/>
        <v>453441.57000000018</v>
      </c>
      <c r="L119" s="204">
        <f t="shared" si="38"/>
        <v>472452.52000000019</v>
      </c>
      <c r="M119" s="204">
        <f t="shared" si="39"/>
        <v>523475.5300000002</v>
      </c>
      <c r="N119" s="204">
        <f t="shared" si="40"/>
        <v>593172.86000000034</v>
      </c>
      <c r="O119" s="204">
        <f t="shared" si="41"/>
        <v>4601699.1700000018</v>
      </c>
      <c r="W119" s="442"/>
    </row>
    <row r="120" spans="1:23">
      <c r="A120" s="198">
        <f t="shared" si="15"/>
        <v>120</v>
      </c>
      <c r="B120" s="212" t="s">
        <v>105</v>
      </c>
      <c r="C120" s="204">
        <f t="shared" si="29"/>
        <v>4693.4399999999996</v>
      </c>
      <c r="D120" s="204">
        <f t="shared" si="30"/>
        <v>8417.5299999999988</v>
      </c>
      <c r="E120" s="204">
        <f t="shared" si="31"/>
        <v>13316.84</v>
      </c>
      <c r="F120" s="204">
        <f t="shared" si="32"/>
        <v>17936.12</v>
      </c>
      <c r="G120" s="204">
        <f t="shared" si="33"/>
        <v>20873.579999999998</v>
      </c>
      <c r="H120" s="204">
        <f t="shared" si="34"/>
        <v>22294.82</v>
      </c>
      <c r="I120" s="204">
        <f t="shared" si="35"/>
        <v>22981.82</v>
      </c>
      <c r="J120" s="204">
        <f t="shared" si="36"/>
        <v>23412.77</v>
      </c>
      <c r="K120" s="204">
        <f t="shared" si="37"/>
        <v>23966.240000000002</v>
      </c>
      <c r="L120" s="204">
        <f t="shared" si="38"/>
        <v>24995.190000000002</v>
      </c>
      <c r="M120" s="204">
        <f t="shared" si="39"/>
        <v>28656.36</v>
      </c>
      <c r="N120" s="204">
        <f t="shared" si="40"/>
        <v>34232.870000000003</v>
      </c>
      <c r="O120" s="204">
        <f t="shared" si="41"/>
        <v>245777.57999999996</v>
      </c>
      <c r="W120" s="442"/>
    </row>
    <row r="121" spans="1:23">
      <c r="A121" s="198">
        <f t="shared" si="15"/>
        <v>121</v>
      </c>
      <c r="B121" s="212" t="s">
        <v>106</v>
      </c>
      <c r="C121" s="204">
        <f t="shared" si="29"/>
        <v>0</v>
      </c>
      <c r="D121" s="204">
        <f t="shared" si="30"/>
        <v>0</v>
      </c>
      <c r="E121" s="204">
        <f t="shared" si="31"/>
        <v>0</v>
      </c>
      <c r="F121" s="204">
        <f t="shared" si="32"/>
        <v>0</v>
      </c>
      <c r="G121" s="204">
        <f t="shared" si="33"/>
        <v>0</v>
      </c>
      <c r="H121" s="204">
        <f t="shared" si="34"/>
        <v>0</v>
      </c>
      <c r="I121" s="204">
        <f t="shared" si="35"/>
        <v>0</v>
      </c>
      <c r="J121" s="204">
        <f t="shared" si="36"/>
        <v>0</v>
      </c>
      <c r="K121" s="204">
        <f t="shared" si="37"/>
        <v>0</v>
      </c>
      <c r="L121" s="204">
        <f t="shared" si="38"/>
        <v>0</v>
      </c>
      <c r="M121" s="204">
        <f t="shared" si="39"/>
        <v>0</v>
      </c>
      <c r="N121" s="204">
        <f t="shared" si="40"/>
        <v>0</v>
      </c>
      <c r="O121" s="204">
        <f t="shared" si="41"/>
        <v>0</v>
      </c>
      <c r="W121" s="442"/>
    </row>
    <row r="122" spans="1:23">
      <c r="A122" s="198">
        <f t="shared" si="15"/>
        <v>122</v>
      </c>
      <c r="B122" s="212" t="s">
        <v>126</v>
      </c>
      <c r="C122" s="204">
        <f t="shared" si="29"/>
        <v>2192437.1400000174</v>
      </c>
      <c r="D122" s="204">
        <f t="shared" si="30"/>
        <v>3740128.0700000478</v>
      </c>
      <c r="E122" s="204">
        <f t="shared" si="31"/>
        <v>5152487.4000000665</v>
      </c>
      <c r="F122" s="204">
        <f t="shared" si="32"/>
        <v>6527638.1100000804</v>
      </c>
      <c r="G122" s="204">
        <f t="shared" si="33"/>
        <v>7518636.310000089</v>
      </c>
      <c r="H122" s="204">
        <f t="shared" si="34"/>
        <v>8388176.0300001185</v>
      </c>
      <c r="I122" s="204">
        <f t="shared" si="35"/>
        <v>9089204.0300001185</v>
      </c>
      <c r="J122" s="204">
        <f t="shared" si="36"/>
        <v>9756150.6300001442</v>
      </c>
      <c r="K122" s="204">
        <f t="shared" si="37"/>
        <v>10483800.380000159</v>
      </c>
      <c r="L122" s="204">
        <f t="shared" si="38"/>
        <v>11155284.310000179</v>
      </c>
      <c r="M122" s="204">
        <f t="shared" si="39"/>
        <v>12155747.5500002</v>
      </c>
      <c r="N122" s="204">
        <f t="shared" si="40"/>
        <v>13697553.150000252</v>
      </c>
      <c r="O122" s="204">
        <f t="shared" si="41"/>
        <v>99857243.110001475</v>
      </c>
      <c r="W122" s="442"/>
    </row>
    <row r="123" spans="1:23">
      <c r="A123" s="198">
        <f t="shared" si="15"/>
        <v>123</v>
      </c>
      <c r="B123" s="212" t="s">
        <v>128</v>
      </c>
      <c r="C123" s="204">
        <f t="shared" si="29"/>
        <v>8332.6300000000028</v>
      </c>
      <c r="D123" s="204">
        <f t="shared" si="30"/>
        <v>13073.94</v>
      </c>
      <c r="E123" s="204">
        <f t="shared" si="31"/>
        <v>18874.269999999997</v>
      </c>
      <c r="F123" s="204">
        <f t="shared" si="32"/>
        <v>24201</v>
      </c>
      <c r="G123" s="204">
        <f t="shared" si="33"/>
        <v>27787.61</v>
      </c>
      <c r="H123" s="204">
        <f t="shared" si="34"/>
        <v>30863.94</v>
      </c>
      <c r="I123" s="204">
        <f t="shared" si="35"/>
        <v>32948.97</v>
      </c>
      <c r="J123" s="204">
        <f t="shared" si="36"/>
        <v>34848.31</v>
      </c>
      <c r="K123" s="204">
        <f t="shared" si="37"/>
        <v>38756.14</v>
      </c>
      <c r="L123" s="204">
        <f t="shared" si="38"/>
        <v>40520.519999999997</v>
      </c>
      <c r="M123" s="204">
        <f t="shared" si="39"/>
        <v>44423.59</v>
      </c>
      <c r="N123" s="204">
        <f t="shared" si="40"/>
        <v>51590.490000000005</v>
      </c>
      <c r="O123" s="204">
        <f t="shared" si="41"/>
        <v>366221.41000000003</v>
      </c>
      <c r="W123" s="442"/>
    </row>
    <row r="124" spans="1:23">
      <c r="A124" s="198">
        <f t="shared" si="15"/>
        <v>124</v>
      </c>
      <c r="B124" s="212" t="s">
        <v>98</v>
      </c>
      <c r="C124" s="204">
        <f t="shared" si="29"/>
        <v>12574.500000000045</v>
      </c>
      <c r="D124" s="204">
        <f t="shared" si="30"/>
        <v>20922.17000000002</v>
      </c>
      <c r="E124" s="204">
        <f t="shared" si="31"/>
        <v>26781.249999999985</v>
      </c>
      <c r="F124" s="204">
        <f t="shared" si="32"/>
        <v>33193.509999999944</v>
      </c>
      <c r="G124" s="204">
        <f t="shared" si="33"/>
        <v>37938.309999999939</v>
      </c>
      <c r="H124" s="204">
        <f t="shared" si="34"/>
        <v>43268.959999999912</v>
      </c>
      <c r="I124" s="204">
        <f t="shared" si="35"/>
        <v>47423.949999999917</v>
      </c>
      <c r="J124" s="204">
        <f t="shared" si="36"/>
        <v>51862.949999999917</v>
      </c>
      <c r="K124" s="204">
        <f t="shared" si="37"/>
        <v>56359.929999999913</v>
      </c>
      <c r="L124" s="204">
        <f t="shared" si="38"/>
        <v>60289.039999999921</v>
      </c>
      <c r="M124" s="204">
        <f t="shared" si="39"/>
        <v>65151.12999999991</v>
      </c>
      <c r="N124" s="204">
        <f t="shared" si="40"/>
        <v>72459.079999999885</v>
      </c>
      <c r="O124" s="204">
        <f t="shared" si="41"/>
        <v>528224.77999999933</v>
      </c>
      <c r="W124" s="442"/>
    </row>
    <row r="125" spans="1:23">
      <c r="A125" s="198">
        <f t="shared" si="15"/>
        <v>125</v>
      </c>
      <c r="B125" s="212" t="s">
        <v>93</v>
      </c>
      <c r="C125" s="216">
        <f t="shared" si="29"/>
        <v>12552.070000000014</v>
      </c>
      <c r="D125" s="216">
        <f t="shared" si="30"/>
        <v>22381.590000000011</v>
      </c>
      <c r="E125" s="216">
        <f t="shared" si="31"/>
        <v>32474</v>
      </c>
      <c r="F125" s="216">
        <f t="shared" si="32"/>
        <v>42169.799999999988</v>
      </c>
      <c r="G125" s="216">
        <f t="shared" si="33"/>
        <v>52228.789999999979</v>
      </c>
      <c r="H125" s="216">
        <f t="shared" si="34"/>
        <v>61145.629999999976</v>
      </c>
      <c r="I125" s="216">
        <f t="shared" si="35"/>
        <v>69890.449999999983</v>
      </c>
      <c r="J125" s="216">
        <f t="shared" si="36"/>
        <v>78275.599999999977</v>
      </c>
      <c r="K125" s="216">
        <f t="shared" si="37"/>
        <v>86665.12</v>
      </c>
      <c r="L125" s="216">
        <f t="shared" si="38"/>
        <v>95322.099999999991</v>
      </c>
      <c r="M125" s="216">
        <f t="shared" si="39"/>
        <v>104923.75</v>
      </c>
      <c r="N125" s="216">
        <f t="shared" si="40"/>
        <v>116239.78000000001</v>
      </c>
      <c r="O125" s="216">
        <f t="shared" si="41"/>
        <v>774268.67999999993</v>
      </c>
      <c r="W125" s="442"/>
    </row>
    <row r="126" spans="1:23">
      <c r="A126" s="198">
        <f t="shared" si="15"/>
        <v>126</v>
      </c>
      <c r="B126" s="213" t="s">
        <v>131</v>
      </c>
      <c r="C126" s="204">
        <f t="shared" ref="C126:N126" si="42">SUM(C115:C121)</f>
        <v>589745.27999999886</v>
      </c>
      <c r="D126" s="204">
        <f t="shared" si="42"/>
        <v>971382.82999999705</v>
      </c>
      <c r="E126" s="204">
        <f t="shared" si="42"/>
        <v>1378777.3999999969</v>
      </c>
      <c r="F126" s="204">
        <f t="shared" si="42"/>
        <v>1760221.0199999963</v>
      </c>
      <c r="G126" s="204">
        <f t="shared" si="42"/>
        <v>2003127.9</v>
      </c>
      <c r="H126" s="204">
        <f t="shared" si="42"/>
        <v>2217747.0100000026</v>
      </c>
      <c r="I126" s="204">
        <f t="shared" si="42"/>
        <v>2393447.0100000026</v>
      </c>
      <c r="J126" s="204">
        <f t="shared" si="42"/>
        <v>2565619.5600000047</v>
      </c>
      <c r="K126" s="204">
        <f t="shared" si="42"/>
        <v>2738806.1800000076</v>
      </c>
      <c r="L126" s="204">
        <f t="shared" si="42"/>
        <v>2909811.3800000111</v>
      </c>
      <c r="M126" s="204">
        <f t="shared" si="42"/>
        <v>3206164.1400000132</v>
      </c>
      <c r="N126" s="204">
        <f t="shared" si="42"/>
        <v>3624780.3800000115</v>
      </c>
      <c r="O126" s="204">
        <f t="shared" si="41"/>
        <v>26359630.090000037</v>
      </c>
      <c r="W126" s="442"/>
    </row>
    <row r="127" spans="1:23">
      <c r="A127" s="198">
        <f t="shared" si="15"/>
        <v>127</v>
      </c>
      <c r="B127" s="206" t="s">
        <v>132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W127" s="442"/>
    </row>
    <row r="128" spans="1:23">
      <c r="A128" s="198">
        <f t="shared" si="15"/>
        <v>128</v>
      </c>
      <c r="B128" s="207" t="s">
        <v>100</v>
      </c>
      <c r="C128" s="204">
        <f t="shared" ref="C128:C134" si="43">+C17</f>
        <v>364.06</v>
      </c>
      <c r="D128" s="204">
        <f t="shared" ref="D128:D134" si="44">SUM(C17:D17)</f>
        <v>643.22</v>
      </c>
      <c r="E128" s="204">
        <f t="shared" ref="E128:E134" si="45">SUM(C17:E17)</f>
        <v>897.12</v>
      </c>
      <c r="F128" s="204">
        <f t="shared" ref="F128:F134" si="46">SUM(C17:F17)</f>
        <v>1132.3399999999999</v>
      </c>
      <c r="G128" s="204">
        <f t="shared" ref="G128:G134" si="47">SUM(C17:G17)</f>
        <v>1296.4399999999998</v>
      </c>
      <c r="H128" s="204">
        <f t="shared" ref="H128:H134" si="48">SUM(C17:H17)</f>
        <v>1582.2399999999998</v>
      </c>
      <c r="I128" s="204">
        <f t="shared" ref="I128:I134" si="49">SUM(C17:I17)</f>
        <v>1608.2399999999998</v>
      </c>
      <c r="J128" s="204">
        <f t="shared" ref="J128:J134" si="50">SUM(C17:J17)</f>
        <v>1758.8199999999997</v>
      </c>
      <c r="K128" s="204">
        <f t="shared" ref="K128:K134" si="51">SUM(C17:K17)</f>
        <v>1901.0099999999998</v>
      </c>
      <c r="L128" s="204">
        <f t="shared" ref="L128:L134" si="52">SUM(C17:L17)</f>
        <v>2050.7999999999997</v>
      </c>
      <c r="M128" s="204">
        <f t="shared" ref="M128:M134" si="53">SUM(C17:M17)</f>
        <v>2270.4199999999996</v>
      </c>
      <c r="N128" s="204">
        <f t="shared" ref="N128:N134" si="54">SUM(C17:N17)</f>
        <v>2556.1299999999997</v>
      </c>
      <c r="O128" s="204">
        <f t="shared" ref="O128:O135" si="55">SUM(C128:N128)</f>
        <v>18060.84</v>
      </c>
      <c r="W128" s="442"/>
    </row>
    <row r="129" spans="1:23">
      <c r="A129" s="198">
        <f t="shared" si="15"/>
        <v>129</v>
      </c>
      <c r="B129" s="207" t="s">
        <v>101</v>
      </c>
      <c r="C129" s="204">
        <f t="shared" si="43"/>
        <v>1309.6400000000001</v>
      </c>
      <c r="D129" s="204">
        <f t="shared" si="44"/>
        <v>2109.52</v>
      </c>
      <c r="E129" s="204">
        <f t="shared" si="45"/>
        <v>2856.96</v>
      </c>
      <c r="F129" s="204">
        <f t="shared" si="46"/>
        <v>3580.55</v>
      </c>
      <c r="G129" s="204">
        <f t="shared" si="47"/>
        <v>4157.24</v>
      </c>
      <c r="H129" s="204">
        <f t="shared" si="48"/>
        <v>4781.78</v>
      </c>
      <c r="I129" s="204">
        <f t="shared" si="49"/>
        <v>5283.78</v>
      </c>
      <c r="J129" s="204">
        <f t="shared" si="50"/>
        <v>5808.45</v>
      </c>
      <c r="K129" s="204">
        <f t="shared" si="51"/>
        <v>6372.79</v>
      </c>
      <c r="L129" s="204">
        <f t="shared" si="52"/>
        <v>6874.99</v>
      </c>
      <c r="M129" s="204">
        <f t="shared" si="53"/>
        <v>7529.98</v>
      </c>
      <c r="N129" s="204">
        <f t="shared" si="54"/>
        <v>8339.48</v>
      </c>
      <c r="O129" s="204">
        <f t="shared" si="55"/>
        <v>59005.159999999989</v>
      </c>
      <c r="W129" s="442"/>
    </row>
    <row r="130" spans="1:23">
      <c r="A130" s="198">
        <f t="shared" si="15"/>
        <v>130</v>
      </c>
      <c r="B130" s="207" t="s">
        <v>102</v>
      </c>
      <c r="C130" s="204">
        <f t="shared" si="43"/>
        <v>6225.76</v>
      </c>
      <c r="D130" s="204">
        <f t="shared" si="44"/>
        <v>9846.76</v>
      </c>
      <c r="E130" s="204">
        <f t="shared" si="45"/>
        <v>13187.71</v>
      </c>
      <c r="F130" s="204">
        <f t="shared" si="46"/>
        <v>16037.74</v>
      </c>
      <c r="G130" s="204">
        <f t="shared" si="47"/>
        <v>18241.349999999999</v>
      </c>
      <c r="H130" s="204">
        <f t="shared" si="48"/>
        <v>20378.339999999997</v>
      </c>
      <c r="I130" s="204">
        <f t="shared" si="49"/>
        <v>22103.339999999997</v>
      </c>
      <c r="J130" s="204">
        <f t="shared" si="50"/>
        <v>23837.909999999996</v>
      </c>
      <c r="K130" s="204">
        <f t="shared" si="51"/>
        <v>25685.379999999997</v>
      </c>
      <c r="L130" s="204">
        <f t="shared" si="52"/>
        <v>27310.069999999996</v>
      </c>
      <c r="M130" s="204">
        <f t="shared" si="53"/>
        <v>29684.459999999995</v>
      </c>
      <c r="N130" s="204">
        <f t="shared" si="54"/>
        <v>33484.749999999993</v>
      </c>
      <c r="O130" s="204">
        <f t="shared" si="55"/>
        <v>246023.57</v>
      </c>
      <c r="W130" s="442"/>
    </row>
    <row r="131" spans="1:23">
      <c r="A131" s="198">
        <f t="shared" ref="A131:A194" si="56">+A130+1</f>
        <v>131</v>
      </c>
      <c r="B131" s="207" t="s">
        <v>103</v>
      </c>
      <c r="C131" s="204">
        <f t="shared" si="43"/>
        <v>1203.23</v>
      </c>
      <c r="D131" s="204">
        <f t="shared" si="44"/>
        <v>2286.08</v>
      </c>
      <c r="E131" s="204">
        <f t="shared" si="45"/>
        <v>3501.67</v>
      </c>
      <c r="F131" s="204">
        <f t="shared" si="46"/>
        <v>5331.91</v>
      </c>
      <c r="G131" s="204">
        <f t="shared" si="47"/>
        <v>5999.58</v>
      </c>
      <c r="H131" s="204">
        <f t="shared" si="48"/>
        <v>6584.42</v>
      </c>
      <c r="I131" s="204">
        <f t="shared" si="49"/>
        <v>7129.42</v>
      </c>
      <c r="J131" s="204">
        <f t="shared" si="50"/>
        <v>7624.36</v>
      </c>
      <c r="K131" s="204">
        <f t="shared" si="51"/>
        <v>7961.73</v>
      </c>
      <c r="L131" s="204">
        <f t="shared" si="52"/>
        <v>8326.4</v>
      </c>
      <c r="M131" s="204">
        <f t="shared" si="53"/>
        <v>9020.1999999999989</v>
      </c>
      <c r="N131" s="204">
        <f t="shared" si="54"/>
        <v>10093.999999999998</v>
      </c>
      <c r="O131" s="204">
        <f t="shared" si="55"/>
        <v>75062.999999999985</v>
      </c>
      <c r="W131" s="442"/>
    </row>
    <row r="132" spans="1:23">
      <c r="A132" s="198">
        <f t="shared" si="56"/>
        <v>132</v>
      </c>
      <c r="B132" s="207" t="s">
        <v>104</v>
      </c>
      <c r="C132" s="204">
        <f t="shared" si="43"/>
        <v>2027.18</v>
      </c>
      <c r="D132" s="204">
        <f t="shared" si="44"/>
        <v>3451.25</v>
      </c>
      <c r="E132" s="204">
        <f t="shared" si="45"/>
        <v>5051.4400000000005</v>
      </c>
      <c r="F132" s="204">
        <f t="shared" si="46"/>
        <v>6690.17</v>
      </c>
      <c r="G132" s="204">
        <f t="shared" si="47"/>
        <v>7759.39</v>
      </c>
      <c r="H132" s="204">
        <f t="shared" si="48"/>
        <v>8168.4400000000005</v>
      </c>
      <c r="I132" s="204">
        <f t="shared" si="49"/>
        <v>8521.44</v>
      </c>
      <c r="J132" s="204">
        <f t="shared" si="50"/>
        <v>8700.0500000000011</v>
      </c>
      <c r="K132" s="204">
        <f t="shared" si="51"/>
        <v>9022.7000000000007</v>
      </c>
      <c r="L132" s="204">
        <f t="shared" si="52"/>
        <v>9187.9700000000012</v>
      </c>
      <c r="M132" s="204">
        <f t="shared" si="53"/>
        <v>10137.550000000001</v>
      </c>
      <c r="N132" s="204">
        <f t="shared" si="54"/>
        <v>11406.02</v>
      </c>
      <c r="O132" s="204">
        <f t="shared" si="55"/>
        <v>90123.60000000002</v>
      </c>
      <c r="W132" s="442"/>
    </row>
    <row r="133" spans="1:23">
      <c r="A133" s="198">
        <f t="shared" si="56"/>
        <v>133</v>
      </c>
      <c r="B133" s="212" t="s">
        <v>105</v>
      </c>
      <c r="C133" s="204">
        <f t="shared" si="43"/>
        <v>0</v>
      </c>
      <c r="D133" s="204">
        <f t="shared" si="44"/>
        <v>0</v>
      </c>
      <c r="E133" s="204">
        <f t="shared" si="45"/>
        <v>0</v>
      </c>
      <c r="F133" s="204">
        <f t="shared" si="46"/>
        <v>0</v>
      </c>
      <c r="G133" s="204">
        <f t="shared" si="47"/>
        <v>0</v>
      </c>
      <c r="H133" s="204">
        <f t="shared" si="48"/>
        <v>0</v>
      </c>
      <c r="I133" s="204">
        <f t="shared" si="49"/>
        <v>0</v>
      </c>
      <c r="J133" s="204">
        <f t="shared" si="50"/>
        <v>0</v>
      </c>
      <c r="K133" s="204">
        <f t="shared" si="51"/>
        <v>0</v>
      </c>
      <c r="L133" s="204">
        <f t="shared" si="52"/>
        <v>0</v>
      </c>
      <c r="M133" s="204">
        <f t="shared" si="53"/>
        <v>0</v>
      </c>
      <c r="N133" s="204">
        <f t="shared" si="54"/>
        <v>0</v>
      </c>
      <c r="O133" s="204">
        <f t="shared" si="55"/>
        <v>0</v>
      </c>
      <c r="W133" s="442"/>
    </row>
    <row r="134" spans="1:23">
      <c r="A134" s="198">
        <f t="shared" si="56"/>
        <v>134</v>
      </c>
      <c r="B134" s="212" t="s">
        <v>106</v>
      </c>
      <c r="C134" s="216">
        <f t="shared" si="43"/>
        <v>0</v>
      </c>
      <c r="D134" s="216">
        <f t="shared" si="44"/>
        <v>0</v>
      </c>
      <c r="E134" s="216">
        <f t="shared" si="45"/>
        <v>0</v>
      </c>
      <c r="F134" s="216">
        <f t="shared" si="46"/>
        <v>0</v>
      </c>
      <c r="G134" s="216">
        <f t="shared" si="47"/>
        <v>0</v>
      </c>
      <c r="H134" s="216">
        <f t="shared" si="48"/>
        <v>0</v>
      </c>
      <c r="I134" s="216">
        <f t="shared" si="49"/>
        <v>0</v>
      </c>
      <c r="J134" s="216">
        <f t="shared" si="50"/>
        <v>0</v>
      </c>
      <c r="K134" s="216">
        <f t="shared" si="51"/>
        <v>0</v>
      </c>
      <c r="L134" s="216">
        <f t="shared" si="52"/>
        <v>0</v>
      </c>
      <c r="M134" s="216">
        <f t="shared" si="53"/>
        <v>0</v>
      </c>
      <c r="N134" s="216">
        <f t="shared" si="54"/>
        <v>0</v>
      </c>
      <c r="O134" s="216">
        <f t="shared" si="55"/>
        <v>0</v>
      </c>
      <c r="W134" s="442"/>
    </row>
    <row r="135" spans="1:23">
      <c r="A135" s="198">
        <f t="shared" si="56"/>
        <v>135</v>
      </c>
      <c r="B135" s="213" t="s">
        <v>134</v>
      </c>
      <c r="C135" s="204">
        <f t="shared" ref="C135:N135" si="57">SUM(C128:C134)</f>
        <v>11129.87</v>
      </c>
      <c r="D135" s="204">
        <f t="shared" si="57"/>
        <v>18336.830000000002</v>
      </c>
      <c r="E135" s="204">
        <f t="shared" si="57"/>
        <v>25494.9</v>
      </c>
      <c r="F135" s="204">
        <f t="shared" si="57"/>
        <v>32772.71</v>
      </c>
      <c r="G135" s="204">
        <f t="shared" si="57"/>
        <v>37454</v>
      </c>
      <c r="H135" s="204">
        <f t="shared" si="57"/>
        <v>41495.22</v>
      </c>
      <c r="I135" s="204">
        <f t="shared" si="57"/>
        <v>44646.22</v>
      </c>
      <c r="J135" s="204">
        <f t="shared" si="57"/>
        <v>47729.59</v>
      </c>
      <c r="K135" s="204">
        <f t="shared" si="57"/>
        <v>50943.609999999986</v>
      </c>
      <c r="L135" s="204">
        <f t="shared" si="57"/>
        <v>53750.229999999996</v>
      </c>
      <c r="M135" s="204">
        <f t="shared" si="57"/>
        <v>58642.609999999993</v>
      </c>
      <c r="N135" s="204">
        <f t="shared" si="57"/>
        <v>65880.37999999999</v>
      </c>
      <c r="O135" s="204">
        <f t="shared" si="55"/>
        <v>488276.16999999993</v>
      </c>
      <c r="W135" s="442"/>
    </row>
    <row r="136" spans="1:23">
      <c r="A136" s="198">
        <f t="shared" si="56"/>
        <v>136</v>
      </c>
      <c r="B136" s="217" t="s">
        <v>135</v>
      </c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W136" s="442"/>
    </row>
    <row r="137" spans="1:23">
      <c r="A137" s="198">
        <f t="shared" si="56"/>
        <v>137</v>
      </c>
      <c r="B137" s="207" t="s">
        <v>100</v>
      </c>
      <c r="C137" s="204">
        <f t="shared" ref="C137:C172" si="58">+C26</f>
        <v>110.08</v>
      </c>
      <c r="D137" s="204">
        <f t="shared" ref="D137:D172" si="59">SUM(C26:D26)</f>
        <v>146.42000000000002</v>
      </c>
      <c r="E137" s="204">
        <f t="shared" ref="E137:E172" si="60">SUM(C26:E26)</f>
        <v>188</v>
      </c>
      <c r="F137" s="204">
        <f>SUM(C26:F26)</f>
        <v>230.63</v>
      </c>
      <c r="G137" s="204">
        <f t="shared" ref="G137:G172" si="61">SUM(C26:G26)</f>
        <v>265.92</v>
      </c>
      <c r="H137" s="204">
        <f t="shared" ref="H137:H172" si="62">SUM(C26:H26)</f>
        <v>387.53000000000003</v>
      </c>
      <c r="I137" s="204">
        <f t="shared" ref="I137:I172" si="63">SUM(C26:I26)</f>
        <v>411.53000000000003</v>
      </c>
      <c r="J137" s="204">
        <f t="shared" ref="J137:J172" si="64">SUM(C26:J26)</f>
        <v>437.44000000000005</v>
      </c>
      <c r="K137" s="204">
        <f t="shared" ref="K137:K172" si="65">SUM(C26:K26)</f>
        <v>463.39000000000004</v>
      </c>
      <c r="L137" s="204">
        <f t="shared" ref="L137:L172" si="66">SUM(C26:L26)</f>
        <v>490.40000000000003</v>
      </c>
      <c r="M137" s="204">
        <f t="shared" ref="M137:M172" si="67">SUM(C26:M26)</f>
        <v>527.82000000000005</v>
      </c>
      <c r="N137" s="204">
        <f t="shared" ref="N137:N172" si="68">SUM(C26:N26)</f>
        <v>568.45000000000005</v>
      </c>
      <c r="O137" s="204">
        <f t="shared" ref="O137:O173" si="69">SUM(C137:N137)</f>
        <v>4227.6100000000006</v>
      </c>
      <c r="W137" s="442"/>
    </row>
    <row r="138" spans="1:23">
      <c r="A138" s="198">
        <f t="shared" si="56"/>
        <v>138</v>
      </c>
      <c r="B138" s="207" t="s">
        <v>101</v>
      </c>
      <c r="C138" s="204">
        <f t="shared" si="58"/>
        <v>160.13</v>
      </c>
      <c r="D138" s="204">
        <f t="shared" si="59"/>
        <v>318.84000000000003</v>
      </c>
      <c r="E138" s="204">
        <f t="shared" si="60"/>
        <v>378.58000000000004</v>
      </c>
      <c r="F138" s="204">
        <f>SUM(C27:F27)</f>
        <v>451.29</v>
      </c>
      <c r="G138" s="204">
        <f t="shared" si="61"/>
        <v>504.68</v>
      </c>
      <c r="H138" s="204">
        <f t="shared" si="62"/>
        <v>562.93000000000006</v>
      </c>
      <c r="I138" s="204">
        <f t="shared" si="63"/>
        <v>635.93000000000006</v>
      </c>
      <c r="J138" s="204">
        <f t="shared" si="64"/>
        <v>690.8900000000001</v>
      </c>
      <c r="K138" s="204">
        <f t="shared" si="65"/>
        <v>744.29000000000008</v>
      </c>
      <c r="L138" s="204">
        <f t="shared" si="66"/>
        <v>793.34</v>
      </c>
      <c r="M138" s="204">
        <f t="shared" si="67"/>
        <v>858.37</v>
      </c>
      <c r="N138" s="204">
        <f t="shared" si="68"/>
        <v>954.96</v>
      </c>
      <c r="O138" s="204">
        <f t="shared" si="69"/>
        <v>7054.2300000000005</v>
      </c>
      <c r="W138" s="442"/>
    </row>
    <row r="139" spans="1:23">
      <c r="A139" s="198">
        <f t="shared" si="56"/>
        <v>139</v>
      </c>
      <c r="B139" s="207" t="s">
        <v>102</v>
      </c>
      <c r="C139" s="204">
        <f t="shared" si="58"/>
        <v>8269.15</v>
      </c>
      <c r="D139" s="204">
        <f t="shared" si="59"/>
        <v>14676.48</v>
      </c>
      <c r="E139" s="204">
        <f t="shared" si="60"/>
        <v>24758.77</v>
      </c>
      <c r="F139" s="204">
        <f>SUM(C28:F28)</f>
        <v>29436.61</v>
      </c>
      <c r="G139" s="204">
        <f t="shared" si="61"/>
        <v>35303.82</v>
      </c>
      <c r="H139" s="204">
        <f t="shared" si="62"/>
        <v>39371.67</v>
      </c>
      <c r="I139" s="204">
        <f t="shared" si="63"/>
        <v>44139.67</v>
      </c>
      <c r="J139" s="204">
        <f t="shared" si="64"/>
        <v>46843.09</v>
      </c>
      <c r="K139" s="204">
        <f t="shared" si="65"/>
        <v>51014.67</v>
      </c>
      <c r="L139" s="204">
        <f t="shared" si="66"/>
        <v>54767.11</v>
      </c>
      <c r="M139" s="204">
        <f t="shared" si="67"/>
        <v>58864.020000000004</v>
      </c>
      <c r="N139" s="204">
        <f t="shared" si="68"/>
        <v>64377.350000000006</v>
      </c>
      <c r="O139" s="204">
        <f t="shared" si="69"/>
        <v>471822.41000000003</v>
      </c>
      <c r="W139" s="442"/>
    </row>
    <row r="140" spans="1:23">
      <c r="A140" s="198">
        <f t="shared" si="56"/>
        <v>140</v>
      </c>
      <c r="B140" s="207" t="s">
        <v>103</v>
      </c>
      <c r="C140" s="204">
        <f t="shared" si="58"/>
        <v>10762.91</v>
      </c>
      <c r="D140" s="204">
        <f t="shared" si="59"/>
        <v>18649.68</v>
      </c>
      <c r="E140" s="204">
        <f t="shared" si="60"/>
        <v>26094.49</v>
      </c>
      <c r="F140" s="204">
        <f>SUM(C29:F29)</f>
        <v>32830.22</v>
      </c>
      <c r="G140" s="204">
        <f t="shared" si="61"/>
        <v>38480.559999999998</v>
      </c>
      <c r="H140" s="204">
        <f t="shared" si="62"/>
        <v>43721.229999999996</v>
      </c>
      <c r="I140" s="204">
        <f t="shared" si="63"/>
        <v>48501.229999999996</v>
      </c>
      <c r="J140" s="204">
        <f t="shared" si="64"/>
        <v>53829.079999999994</v>
      </c>
      <c r="K140" s="204">
        <f t="shared" si="65"/>
        <v>59349.239999999991</v>
      </c>
      <c r="L140" s="204">
        <f t="shared" si="66"/>
        <v>64047.029999999992</v>
      </c>
      <c r="M140" s="204">
        <f t="shared" si="67"/>
        <v>73903.079999999987</v>
      </c>
      <c r="N140" s="204">
        <f t="shared" si="68"/>
        <v>83269.87</v>
      </c>
      <c r="O140" s="204">
        <f t="shared" si="69"/>
        <v>553438.62</v>
      </c>
      <c r="W140" s="442"/>
    </row>
    <row r="141" spans="1:23">
      <c r="A141" s="198">
        <f t="shared" si="56"/>
        <v>141</v>
      </c>
      <c r="B141" s="207" t="s">
        <v>104</v>
      </c>
      <c r="C141" s="204">
        <f t="shared" si="58"/>
        <v>51814.99</v>
      </c>
      <c r="D141" s="204">
        <f t="shared" si="59"/>
        <v>96622.95</v>
      </c>
      <c r="E141" s="204">
        <f t="shared" si="60"/>
        <v>139941.95000000001</v>
      </c>
      <c r="F141" s="204">
        <f>SUM(C30:F30)</f>
        <v>172233.14</v>
      </c>
      <c r="G141" s="204">
        <f t="shared" si="61"/>
        <v>200788.82</v>
      </c>
      <c r="H141" s="204">
        <f t="shared" si="62"/>
        <v>226812.77000000002</v>
      </c>
      <c r="I141" s="204">
        <f t="shared" si="63"/>
        <v>249692.77000000002</v>
      </c>
      <c r="J141" s="204">
        <f t="shared" si="64"/>
        <v>275035.53000000003</v>
      </c>
      <c r="K141" s="204">
        <f t="shared" si="65"/>
        <v>303345.74000000005</v>
      </c>
      <c r="L141" s="204">
        <f t="shared" si="66"/>
        <v>330650.28000000003</v>
      </c>
      <c r="M141" s="204">
        <f t="shared" si="67"/>
        <v>361234.78</v>
      </c>
      <c r="N141" s="204">
        <f t="shared" si="68"/>
        <v>398403.51</v>
      </c>
      <c r="O141" s="204">
        <f t="shared" si="69"/>
        <v>2806577.2300000004</v>
      </c>
      <c r="W141" s="442"/>
    </row>
    <row r="142" spans="1:23">
      <c r="A142" s="198">
        <f t="shared" si="56"/>
        <v>142</v>
      </c>
      <c r="B142" s="212" t="s">
        <v>105</v>
      </c>
      <c r="C142" s="204">
        <f t="shared" si="58"/>
        <v>99280.320000000007</v>
      </c>
      <c r="D142" s="204">
        <f t="shared" si="59"/>
        <v>189596.35</v>
      </c>
      <c r="E142" s="204">
        <f t="shared" si="60"/>
        <v>280553.34999999998</v>
      </c>
      <c r="F142" s="204">
        <f t="shared" ref="F142:F172" si="70">SUM(C31:F31)</f>
        <v>369605.45999999996</v>
      </c>
      <c r="G142" s="204">
        <f t="shared" si="61"/>
        <v>450979.40999999986</v>
      </c>
      <c r="H142" s="204">
        <f t="shared" si="62"/>
        <v>530841.25999999989</v>
      </c>
      <c r="I142" s="204">
        <f t="shared" si="63"/>
        <v>601618.25999999989</v>
      </c>
      <c r="J142" s="204">
        <f t="shared" si="64"/>
        <v>675810.14999999991</v>
      </c>
      <c r="K142" s="204">
        <f t="shared" si="65"/>
        <v>757376.96</v>
      </c>
      <c r="L142" s="204">
        <f t="shared" si="66"/>
        <v>832542.9</v>
      </c>
      <c r="M142" s="204">
        <f t="shared" si="67"/>
        <v>922809.38</v>
      </c>
      <c r="N142" s="204">
        <f t="shared" si="68"/>
        <v>1015061.89</v>
      </c>
      <c r="O142" s="204">
        <f t="shared" si="69"/>
        <v>6726075.6899999995</v>
      </c>
      <c r="W142" s="442"/>
    </row>
    <row r="143" spans="1:23">
      <c r="A143" s="198">
        <f t="shared" si="56"/>
        <v>143</v>
      </c>
      <c r="B143" s="212" t="s">
        <v>106</v>
      </c>
      <c r="C143" s="204">
        <f t="shared" si="58"/>
        <v>239113.23</v>
      </c>
      <c r="D143" s="204">
        <f t="shared" si="59"/>
        <v>469850.76</v>
      </c>
      <c r="E143" s="204">
        <f t="shared" si="60"/>
        <v>690847.76</v>
      </c>
      <c r="F143" s="204">
        <f t="shared" si="70"/>
        <v>913166.57000000007</v>
      </c>
      <c r="G143" s="204">
        <f t="shared" si="61"/>
        <v>1105339.27</v>
      </c>
      <c r="H143" s="204">
        <f t="shared" si="62"/>
        <v>1300908.1100000001</v>
      </c>
      <c r="I143" s="204">
        <f t="shared" si="63"/>
        <v>1475274.11</v>
      </c>
      <c r="J143" s="204">
        <f t="shared" si="64"/>
        <v>1652629.12</v>
      </c>
      <c r="K143" s="204">
        <f t="shared" si="65"/>
        <v>1834340.1</v>
      </c>
      <c r="L143" s="204">
        <f t="shared" si="66"/>
        <v>2002511.05</v>
      </c>
      <c r="M143" s="204">
        <f t="shared" si="67"/>
        <v>2208284.34</v>
      </c>
      <c r="N143" s="204">
        <f t="shared" si="68"/>
        <v>2421904.8499999996</v>
      </c>
      <c r="O143" s="204">
        <f t="shared" si="69"/>
        <v>16314169.270000001</v>
      </c>
      <c r="W143" s="442"/>
    </row>
    <row r="144" spans="1:23">
      <c r="A144" s="198">
        <f t="shared" si="56"/>
        <v>144</v>
      </c>
      <c r="B144" s="212" t="s">
        <v>107</v>
      </c>
      <c r="C144" s="204">
        <f t="shared" si="58"/>
        <v>312702.38</v>
      </c>
      <c r="D144" s="204">
        <f t="shared" si="59"/>
        <v>586665.19999999995</v>
      </c>
      <c r="E144" s="204">
        <f t="shared" si="60"/>
        <v>850079.2</v>
      </c>
      <c r="F144" s="204">
        <f t="shared" si="70"/>
        <v>1154309.28</v>
      </c>
      <c r="G144" s="204">
        <f t="shared" si="61"/>
        <v>1378750.56</v>
      </c>
      <c r="H144" s="204">
        <f t="shared" si="62"/>
        <v>1622031.35</v>
      </c>
      <c r="I144" s="204">
        <f t="shared" si="63"/>
        <v>1830169.35</v>
      </c>
      <c r="J144" s="204">
        <f t="shared" si="64"/>
        <v>2037885.1700000002</v>
      </c>
      <c r="K144" s="204">
        <f t="shared" si="65"/>
        <v>2260094.66</v>
      </c>
      <c r="L144" s="204">
        <f t="shared" si="66"/>
        <v>2488887.58</v>
      </c>
      <c r="M144" s="204">
        <f t="shared" si="67"/>
        <v>2764436.93</v>
      </c>
      <c r="N144" s="204">
        <f t="shared" si="68"/>
        <v>3078510.74</v>
      </c>
      <c r="O144" s="204">
        <f t="shared" si="69"/>
        <v>20364522.399999999</v>
      </c>
      <c r="W144" s="442"/>
    </row>
    <row r="145" spans="1:23">
      <c r="A145" s="198">
        <f t="shared" si="56"/>
        <v>145</v>
      </c>
      <c r="B145" s="212" t="s">
        <v>111</v>
      </c>
      <c r="C145" s="204">
        <f t="shared" si="58"/>
        <v>137705.51999999999</v>
      </c>
      <c r="D145" s="204">
        <f t="shared" si="59"/>
        <v>270456.91000000003</v>
      </c>
      <c r="E145" s="204">
        <f t="shared" si="60"/>
        <v>410401.91000000003</v>
      </c>
      <c r="F145" s="204">
        <f t="shared" si="70"/>
        <v>513728.4</v>
      </c>
      <c r="G145" s="204">
        <f t="shared" si="61"/>
        <v>590768.38</v>
      </c>
      <c r="H145" s="204">
        <f t="shared" si="62"/>
        <v>670210.66</v>
      </c>
      <c r="I145" s="204">
        <f t="shared" si="63"/>
        <v>743489.66</v>
      </c>
      <c r="J145" s="204">
        <f t="shared" si="64"/>
        <v>822165.52</v>
      </c>
      <c r="K145" s="204">
        <f t="shared" si="65"/>
        <v>900164.4</v>
      </c>
      <c r="L145" s="204">
        <f t="shared" si="66"/>
        <v>974301.48</v>
      </c>
      <c r="M145" s="204">
        <f t="shared" si="67"/>
        <v>1067209.97</v>
      </c>
      <c r="N145" s="204">
        <f t="shared" si="68"/>
        <v>1167020.29</v>
      </c>
      <c r="O145" s="204">
        <f t="shared" si="69"/>
        <v>8267623.0999999996</v>
      </c>
      <c r="W145" s="442"/>
    </row>
    <row r="146" spans="1:23">
      <c r="A146" s="198">
        <f t="shared" si="56"/>
        <v>146</v>
      </c>
      <c r="B146" s="212" t="s">
        <v>112</v>
      </c>
      <c r="C146" s="204">
        <f t="shared" si="58"/>
        <v>153530.07</v>
      </c>
      <c r="D146" s="204">
        <f t="shared" si="59"/>
        <v>280944.71999999997</v>
      </c>
      <c r="E146" s="204">
        <f t="shared" si="60"/>
        <v>418074.85</v>
      </c>
      <c r="F146" s="204">
        <f t="shared" si="70"/>
        <v>546129.87</v>
      </c>
      <c r="G146" s="204">
        <f t="shared" si="61"/>
        <v>671924.84</v>
      </c>
      <c r="H146" s="204">
        <f t="shared" si="62"/>
        <v>785191.28999999992</v>
      </c>
      <c r="I146" s="204">
        <f t="shared" si="63"/>
        <v>887915.28999999992</v>
      </c>
      <c r="J146" s="204">
        <f t="shared" si="64"/>
        <v>1006276.8999999999</v>
      </c>
      <c r="K146" s="204">
        <f t="shared" si="65"/>
        <v>1156441.3999999999</v>
      </c>
      <c r="L146" s="204">
        <f t="shared" si="66"/>
        <v>1288814.5299999998</v>
      </c>
      <c r="M146" s="204">
        <f t="shared" si="67"/>
        <v>1418752.7699999998</v>
      </c>
      <c r="N146" s="204">
        <f t="shared" si="68"/>
        <v>1585084.2599999998</v>
      </c>
      <c r="O146" s="204">
        <f t="shared" si="69"/>
        <v>10199080.789999999</v>
      </c>
      <c r="W146" s="442"/>
    </row>
    <row r="147" spans="1:23">
      <c r="A147" s="198">
        <f t="shared" si="56"/>
        <v>147</v>
      </c>
      <c r="B147" s="212" t="s">
        <v>113</v>
      </c>
      <c r="C147" s="204">
        <f t="shared" si="58"/>
        <v>404984.27</v>
      </c>
      <c r="D147" s="204">
        <f t="shared" si="59"/>
        <v>687070.88</v>
      </c>
      <c r="E147" s="204">
        <f t="shared" si="60"/>
        <v>987802.88</v>
      </c>
      <c r="F147" s="204">
        <f t="shared" si="70"/>
        <v>1251947.6000000001</v>
      </c>
      <c r="G147" s="204">
        <f t="shared" si="61"/>
        <v>1566746.28</v>
      </c>
      <c r="H147" s="204">
        <f t="shared" si="62"/>
        <v>1824389.57</v>
      </c>
      <c r="I147" s="204">
        <f t="shared" si="63"/>
        <v>2100587.5100000002</v>
      </c>
      <c r="J147" s="204">
        <f t="shared" si="64"/>
        <v>2384235.31</v>
      </c>
      <c r="K147" s="204">
        <f t="shared" si="65"/>
        <v>2632553.75</v>
      </c>
      <c r="L147" s="204">
        <f t="shared" si="66"/>
        <v>2919060.15</v>
      </c>
      <c r="M147" s="204">
        <f t="shared" si="67"/>
        <v>3210890.1399999997</v>
      </c>
      <c r="N147" s="204">
        <f t="shared" si="68"/>
        <v>3520181.34</v>
      </c>
      <c r="O147" s="204">
        <f t="shared" si="69"/>
        <v>23490449.68</v>
      </c>
      <c r="W147" s="442"/>
    </row>
    <row r="148" spans="1:23">
      <c r="A148" s="198">
        <f t="shared" si="56"/>
        <v>148</v>
      </c>
      <c r="B148" s="212" t="s">
        <v>114</v>
      </c>
      <c r="C148" s="204">
        <f t="shared" si="58"/>
        <v>520517.1</v>
      </c>
      <c r="D148" s="204">
        <f t="shared" si="59"/>
        <v>958338.85</v>
      </c>
      <c r="E148" s="204">
        <f t="shared" si="60"/>
        <v>1436392.58</v>
      </c>
      <c r="F148" s="204">
        <f t="shared" si="70"/>
        <v>1830250.54</v>
      </c>
      <c r="G148" s="204">
        <f t="shared" si="61"/>
        <v>2228201.44</v>
      </c>
      <c r="H148" s="204">
        <f t="shared" si="62"/>
        <v>2584761.7999999998</v>
      </c>
      <c r="I148" s="204">
        <f t="shared" si="63"/>
        <v>2978566.9</v>
      </c>
      <c r="J148" s="204">
        <f t="shared" si="64"/>
        <v>3349599.4699999997</v>
      </c>
      <c r="K148" s="204">
        <f t="shared" si="65"/>
        <v>3692560.4899999998</v>
      </c>
      <c r="L148" s="204">
        <f t="shared" si="66"/>
        <v>4102905.5199999996</v>
      </c>
      <c r="M148" s="204">
        <f t="shared" si="67"/>
        <v>4518439.0999999996</v>
      </c>
      <c r="N148" s="204">
        <f t="shared" si="68"/>
        <v>4948661.88</v>
      </c>
      <c r="O148" s="204">
        <f t="shared" si="69"/>
        <v>33149195.669999998</v>
      </c>
      <c r="W148" s="442"/>
    </row>
    <row r="149" spans="1:23">
      <c r="A149" s="198">
        <f t="shared" si="56"/>
        <v>149</v>
      </c>
      <c r="B149" s="212" t="s">
        <v>115</v>
      </c>
      <c r="C149" s="204">
        <f t="shared" si="58"/>
        <v>435274.44</v>
      </c>
      <c r="D149" s="204">
        <f t="shared" si="59"/>
        <v>831464.56</v>
      </c>
      <c r="E149" s="204">
        <f t="shared" si="60"/>
        <v>1219771.6300000001</v>
      </c>
      <c r="F149" s="204">
        <f t="shared" si="70"/>
        <v>1550960.3800000001</v>
      </c>
      <c r="G149" s="204">
        <f t="shared" si="61"/>
        <v>1883162.9600000002</v>
      </c>
      <c r="H149" s="204">
        <f t="shared" si="62"/>
        <v>2200589.1300000004</v>
      </c>
      <c r="I149" s="204">
        <f t="shared" si="63"/>
        <v>2523837.4700000002</v>
      </c>
      <c r="J149" s="204">
        <f t="shared" si="64"/>
        <v>2842963.89</v>
      </c>
      <c r="K149" s="204">
        <f t="shared" si="65"/>
        <v>3144822.2</v>
      </c>
      <c r="L149" s="204">
        <f t="shared" si="66"/>
        <v>3466981.6</v>
      </c>
      <c r="M149" s="204">
        <f t="shared" si="67"/>
        <v>3768832.8200000003</v>
      </c>
      <c r="N149" s="204">
        <f t="shared" si="68"/>
        <v>4093358.0600000005</v>
      </c>
      <c r="O149" s="204">
        <f t="shared" si="69"/>
        <v>27962019.140000001</v>
      </c>
      <c r="W149" s="442"/>
    </row>
    <row r="150" spans="1:23">
      <c r="A150" s="198">
        <f t="shared" si="56"/>
        <v>150</v>
      </c>
      <c r="B150" s="212" t="s">
        <v>116</v>
      </c>
      <c r="C150" s="204">
        <f t="shared" si="58"/>
        <v>148025.57</v>
      </c>
      <c r="D150" s="204">
        <f t="shared" si="59"/>
        <v>268923.51</v>
      </c>
      <c r="E150" s="204">
        <f t="shared" si="60"/>
        <v>395572.68</v>
      </c>
      <c r="F150" s="204">
        <f t="shared" si="70"/>
        <v>595174.89</v>
      </c>
      <c r="G150" s="204">
        <f t="shared" si="61"/>
        <v>798083.67</v>
      </c>
      <c r="H150" s="204">
        <f t="shared" si="62"/>
        <v>983497.41</v>
      </c>
      <c r="I150" s="204">
        <f t="shared" si="63"/>
        <v>1156277.24</v>
      </c>
      <c r="J150" s="204">
        <f t="shared" si="64"/>
        <v>1354023.4</v>
      </c>
      <c r="K150" s="204">
        <f t="shared" si="65"/>
        <v>1561970.72</v>
      </c>
      <c r="L150" s="204">
        <f t="shared" si="66"/>
        <v>1787982.13</v>
      </c>
      <c r="M150" s="204">
        <f t="shared" si="67"/>
        <v>1997155.0299999998</v>
      </c>
      <c r="N150" s="204">
        <f t="shared" si="68"/>
        <v>2199774.4299999997</v>
      </c>
      <c r="O150" s="204">
        <f t="shared" si="69"/>
        <v>13246460.679999998</v>
      </c>
      <c r="W150" s="442"/>
    </row>
    <row r="151" spans="1:23">
      <c r="A151" s="198">
        <f t="shared" si="56"/>
        <v>151</v>
      </c>
      <c r="B151" s="212" t="s">
        <v>117</v>
      </c>
      <c r="C151" s="204">
        <f t="shared" si="58"/>
        <v>134512.60999999999</v>
      </c>
      <c r="D151" s="204">
        <f t="shared" si="59"/>
        <v>197652.53999999998</v>
      </c>
      <c r="E151" s="204">
        <f t="shared" si="60"/>
        <v>264390.70999999996</v>
      </c>
      <c r="F151" s="204">
        <f t="shared" si="70"/>
        <v>526318.92999999993</v>
      </c>
      <c r="G151" s="204">
        <f t="shared" si="61"/>
        <v>792697.5</v>
      </c>
      <c r="H151" s="204">
        <f t="shared" si="62"/>
        <v>1103604.07</v>
      </c>
      <c r="I151" s="204">
        <f t="shared" si="63"/>
        <v>1416649.77</v>
      </c>
      <c r="J151" s="204">
        <f t="shared" si="64"/>
        <v>1806097.97</v>
      </c>
      <c r="K151" s="204">
        <f t="shared" si="65"/>
        <v>2221608</v>
      </c>
      <c r="L151" s="204">
        <f t="shared" si="66"/>
        <v>2622743.0300000003</v>
      </c>
      <c r="M151" s="204">
        <f t="shared" si="67"/>
        <v>3006332.43</v>
      </c>
      <c r="N151" s="204">
        <f t="shared" si="68"/>
        <v>3352033.75</v>
      </c>
      <c r="O151" s="204">
        <f t="shared" si="69"/>
        <v>17444641.309999999</v>
      </c>
      <c r="W151" s="442"/>
    </row>
    <row r="152" spans="1:23">
      <c r="A152" s="198">
        <f t="shared" si="56"/>
        <v>152</v>
      </c>
      <c r="B152" s="212" t="s">
        <v>118</v>
      </c>
      <c r="C152" s="204">
        <f t="shared" si="58"/>
        <v>1728430.84</v>
      </c>
      <c r="D152" s="204">
        <f t="shared" si="59"/>
        <v>3387513.9400000004</v>
      </c>
      <c r="E152" s="204">
        <f t="shared" si="60"/>
        <v>5180561.59</v>
      </c>
      <c r="F152" s="204">
        <f t="shared" si="70"/>
        <v>6753800.0099999998</v>
      </c>
      <c r="G152" s="204">
        <f t="shared" si="61"/>
        <v>8186632.3499999996</v>
      </c>
      <c r="H152" s="204">
        <f t="shared" si="62"/>
        <v>9700074.6899999995</v>
      </c>
      <c r="I152" s="204">
        <f t="shared" si="63"/>
        <v>11263866.82</v>
      </c>
      <c r="J152" s="204">
        <f t="shared" si="64"/>
        <v>12979639</v>
      </c>
      <c r="K152" s="204">
        <f t="shared" si="65"/>
        <v>14594579.93</v>
      </c>
      <c r="L152" s="204">
        <f t="shared" si="66"/>
        <v>16132815.23</v>
      </c>
      <c r="M152" s="204">
        <f t="shared" si="67"/>
        <v>17689327.859999999</v>
      </c>
      <c r="N152" s="204">
        <f t="shared" si="68"/>
        <v>19136259.800000001</v>
      </c>
      <c r="O152" s="204">
        <f t="shared" si="69"/>
        <v>126733502.06</v>
      </c>
      <c r="W152" s="442"/>
    </row>
    <row r="153" spans="1:23">
      <c r="A153" s="198">
        <f t="shared" si="56"/>
        <v>153</v>
      </c>
      <c r="B153" s="212" t="s">
        <v>313</v>
      </c>
      <c r="C153" s="204">
        <f t="shared" si="58"/>
        <v>0</v>
      </c>
      <c r="D153" s="204">
        <f t="shared" si="59"/>
        <v>0</v>
      </c>
      <c r="E153" s="204">
        <f t="shared" si="60"/>
        <v>0</v>
      </c>
      <c r="F153" s="204">
        <f t="shared" si="70"/>
        <v>0</v>
      </c>
      <c r="G153" s="204">
        <f t="shared" si="61"/>
        <v>0</v>
      </c>
      <c r="H153" s="204">
        <f t="shared" si="62"/>
        <v>0</v>
      </c>
      <c r="I153" s="204">
        <f t="shared" si="63"/>
        <v>0</v>
      </c>
      <c r="J153" s="204">
        <f t="shared" si="64"/>
        <v>0</v>
      </c>
      <c r="K153" s="204">
        <f t="shared" si="65"/>
        <v>0</v>
      </c>
      <c r="L153" s="204">
        <f t="shared" si="66"/>
        <v>0</v>
      </c>
      <c r="M153" s="204">
        <f t="shared" si="67"/>
        <v>0</v>
      </c>
      <c r="N153" s="204">
        <f t="shared" si="68"/>
        <v>0</v>
      </c>
      <c r="O153" s="204">
        <f t="shared" si="69"/>
        <v>0</v>
      </c>
      <c r="W153" s="442"/>
    </row>
    <row r="154" spans="1:23">
      <c r="A154" s="198">
        <f t="shared" si="56"/>
        <v>154</v>
      </c>
      <c r="B154" s="212" t="s">
        <v>99</v>
      </c>
      <c r="C154" s="204">
        <f t="shared" si="58"/>
        <v>128898.50000000004</v>
      </c>
      <c r="D154" s="204">
        <f t="shared" si="59"/>
        <v>240115.49000000005</v>
      </c>
      <c r="E154" s="204">
        <f t="shared" si="60"/>
        <v>333392.15000000002</v>
      </c>
      <c r="F154" s="204">
        <f t="shared" si="70"/>
        <v>426893.72000000009</v>
      </c>
      <c r="G154" s="204">
        <f t="shared" si="61"/>
        <v>504355.11000000004</v>
      </c>
      <c r="H154" s="204">
        <f t="shared" si="62"/>
        <v>576976.84000000008</v>
      </c>
      <c r="I154" s="204">
        <f t="shared" si="63"/>
        <v>637319.84000000008</v>
      </c>
      <c r="J154" s="204">
        <f t="shared" si="64"/>
        <v>699935.69000000006</v>
      </c>
      <c r="K154" s="204">
        <f t="shared" si="65"/>
        <v>759592.32000000007</v>
      </c>
      <c r="L154" s="204">
        <f t="shared" si="66"/>
        <v>817809.16000000015</v>
      </c>
      <c r="M154" s="204">
        <f t="shared" si="67"/>
        <v>896156.0900000002</v>
      </c>
      <c r="N154" s="204">
        <f t="shared" si="68"/>
        <v>1000346.0300000003</v>
      </c>
      <c r="O154" s="204">
        <f t="shared" si="69"/>
        <v>7021790.9400000004</v>
      </c>
      <c r="W154" s="442"/>
    </row>
    <row r="155" spans="1:23">
      <c r="A155" s="198">
        <f t="shared" si="56"/>
        <v>155</v>
      </c>
      <c r="B155" s="212" t="s">
        <v>138</v>
      </c>
      <c r="C155" s="204">
        <f t="shared" si="58"/>
        <v>74954.740000000005</v>
      </c>
      <c r="D155" s="204">
        <f t="shared" si="59"/>
        <v>145979.76</v>
      </c>
      <c r="E155" s="204">
        <f t="shared" si="60"/>
        <v>206830.65000000005</v>
      </c>
      <c r="F155" s="204">
        <f>SUM(C44:F44)</f>
        <v>268729.34000000008</v>
      </c>
      <c r="G155" s="204">
        <f t="shared" si="61"/>
        <v>322441.41000000009</v>
      </c>
      <c r="H155" s="204">
        <f t="shared" si="62"/>
        <v>376778.07000000007</v>
      </c>
      <c r="I155" s="204">
        <f t="shared" si="63"/>
        <v>422667.07000000007</v>
      </c>
      <c r="J155" s="204">
        <f t="shared" si="64"/>
        <v>465372.55000000005</v>
      </c>
      <c r="K155" s="204">
        <f t="shared" si="65"/>
        <v>513616.45</v>
      </c>
      <c r="L155" s="204">
        <f t="shared" si="66"/>
        <v>557285.88</v>
      </c>
      <c r="M155" s="204">
        <f t="shared" si="67"/>
        <v>615062.87</v>
      </c>
      <c r="N155" s="204">
        <f t="shared" si="68"/>
        <v>679828.80999999994</v>
      </c>
      <c r="O155" s="204">
        <f t="shared" si="69"/>
        <v>4649547.6000000006</v>
      </c>
      <c r="W155" s="442"/>
    </row>
    <row r="156" spans="1:23">
      <c r="A156" s="198">
        <f t="shared" si="56"/>
        <v>156</v>
      </c>
      <c r="B156" s="212" t="s">
        <v>140</v>
      </c>
      <c r="C156" s="204">
        <f t="shared" si="58"/>
        <v>760638.17999999726</v>
      </c>
      <c r="D156" s="204">
        <f t="shared" si="59"/>
        <v>1516269.7899999982</v>
      </c>
      <c r="E156" s="204">
        <f t="shared" si="60"/>
        <v>2148555.7699999982</v>
      </c>
      <c r="F156" s="204">
        <f t="shared" si="70"/>
        <v>2789141.2499999972</v>
      </c>
      <c r="G156" s="204">
        <f t="shared" si="61"/>
        <v>3318254.0399999963</v>
      </c>
      <c r="H156" s="204">
        <f t="shared" si="62"/>
        <v>3830730.129999998</v>
      </c>
      <c r="I156" s="204">
        <f t="shared" si="63"/>
        <v>4274606.4699999969</v>
      </c>
      <c r="J156" s="204">
        <f t="shared" si="64"/>
        <v>4717555.5199999977</v>
      </c>
      <c r="K156" s="204">
        <f t="shared" si="65"/>
        <v>5173778.4499999983</v>
      </c>
      <c r="L156" s="204">
        <f t="shared" si="66"/>
        <v>5588578.0199999968</v>
      </c>
      <c r="M156" s="204">
        <f t="shared" si="67"/>
        <v>6114666.9599999972</v>
      </c>
      <c r="N156" s="204">
        <f t="shared" si="68"/>
        <v>6792311.7299999977</v>
      </c>
      <c r="O156" s="204">
        <f t="shared" si="69"/>
        <v>47025086.309999965</v>
      </c>
      <c r="W156" s="442"/>
    </row>
    <row r="157" spans="1:23">
      <c r="A157" s="198">
        <f t="shared" si="56"/>
        <v>157</v>
      </c>
      <c r="B157" s="212" t="s">
        <v>141</v>
      </c>
      <c r="C157" s="204">
        <f t="shared" si="58"/>
        <v>484984.58000000007</v>
      </c>
      <c r="D157" s="204">
        <f t="shared" si="59"/>
        <v>930405.74000000011</v>
      </c>
      <c r="E157" s="204">
        <f t="shared" si="60"/>
        <v>1347767.75</v>
      </c>
      <c r="F157" s="204">
        <f t="shared" si="70"/>
        <v>1785385.6899999997</v>
      </c>
      <c r="G157" s="204">
        <f t="shared" si="61"/>
        <v>2167534.5999999992</v>
      </c>
      <c r="H157" s="204">
        <f t="shared" si="62"/>
        <v>2567719.2999999998</v>
      </c>
      <c r="I157" s="204">
        <f t="shared" si="63"/>
        <v>2916806.06</v>
      </c>
      <c r="J157" s="204">
        <f t="shared" si="64"/>
        <v>3273207.7600000002</v>
      </c>
      <c r="K157" s="204">
        <f t="shared" si="65"/>
        <v>3650140.1300000008</v>
      </c>
      <c r="L157" s="204">
        <f t="shared" si="66"/>
        <v>3996292.830000001</v>
      </c>
      <c r="M157" s="204">
        <f t="shared" si="67"/>
        <v>4430779.2300000014</v>
      </c>
      <c r="N157" s="204">
        <f t="shared" si="68"/>
        <v>4923380.8400000017</v>
      </c>
      <c r="O157" s="204">
        <f t="shared" si="69"/>
        <v>32474404.510000005</v>
      </c>
      <c r="W157" s="442"/>
    </row>
    <row r="158" spans="1:23">
      <c r="A158" s="198">
        <f t="shared" si="56"/>
        <v>158</v>
      </c>
      <c r="B158" s="212" t="s">
        <v>142</v>
      </c>
      <c r="C158" s="204">
        <f t="shared" si="58"/>
        <v>4699.2099999999982</v>
      </c>
      <c r="D158" s="204">
        <f t="shared" si="59"/>
        <v>7863.0899999999983</v>
      </c>
      <c r="E158" s="204">
        <f t="shared" si="60"/>
        <v>10848.479999999998</v>
      </c>
      <c r="F158" s="204">
        <f t="shared" si="70"/>
        <v>13527.339999999997</v>
      </c>
      <c r="G158" s="204">
        <f t="shared" si="61"/>
        <v>15629.669999999996</v>
      </c>
      <c r="H158" s="204">
        <f t="shared" si="62"/>
        <v>18489.16</v>
      </c>
      <c r="I158" s="204">
        <f t="shared" si="63"/>
        <v>20632.16</v>
      </c>
      <c r="J158" s="204">
        <f t="shared" si="64"/>
        <v>23288.23</v>
      </c>
      <c r="K158" s="204">
        <f t="shared" si="65"/>
        <v>25873.260000000002</v>
      </c>
      <c r="L158" s="204">
        <f t="shared" si="66"/>
        <v>27775.370000000003</v>
      </c>
      <c r="M158" s="204">
        <f t="shared" si="67"/>
        <v>30568.770000000004</v>
      </c>
      <c r="N158" s="204">
        <f t="shared" si="68"/>
        <v>33523.710000000006</v>
      </c>
      <c r="O158" s="204">
        <f t="shared" si="69"/>
        <v>232718.45</v>
      </c>
      <c r="W158" s="442"/>
    </row>
    <row r="159" spans="1:23">
      <c r="A159" s="198">
        <f t="shared" si="56"/>
        <v>159</v>
      </c>
      <c r="B159" s="212" t="s">
        <v>143</v>
      </c>
      <c r="C159" s="204">
        <f t="shared" si="58"/>
        <v>1037717.9499999991</v>
      </c>
      <c r="D159" s="204">
        <f t="shared" si="59"/>
        <v>1923606.0899999985</v>
      </c>
      <c r="E159" s="204">
        <f t="shared" si="60"/>
        <v>2780432.8099999973</v>
      </c>
      <c r="F159" s="204">
        <f t="shared" si="70"/>
        <v>3634954.0399999972</v>
      </c>
      <c r="G159" s="204">
        <f t="shared" si="61"/>
        <v>4385234.5899999971</v>
      </c>
      <c r="H159" s="204">
        <f t="shared" si="62"/>
        <v>5094192.9599999972</v>
      </c>
      <c r="I159" s="204">
        <f t="shared" si="63"/>
        <v>5673860.299999997</v>
      </c>
      <c r="J159" s="204">
        <f t="shared" si="64"/>
        <v>6270029.8999999966</v>
      </c>
      <c r="K159" s="204">
        <f t="shared" si="65"/>
        <v>6865532.9199999981</v>
      </c>
      <c r="L159" s="204">
        <f t="shared" si="66"/>
        <v>7427977.3299999973</v>
      </c>
      <c r="M159" s="204">
        <f t="shared" si="67"/>
        <v>8213334.2099999981</v>
      </c>
      <c r="N159" s="204">
        <f t="shared" si="68"/>
        <v>9101179.9599999972</v>
      </c>
      <c r="O159" s="204">
        <f t="shared" si="69"/>
        <v>62408053.059999973</v>
      </c>
      <c r="W159" s="442"/>
    </row>
    <row r="160" spans="1:23">
      <c r="A160" s="198">
        <f t="shared" si="56"/>
        <v>160</v>
      </c>
      <c r="B160" s="212" t="s">
        <v>145</v>
      </c>
      <c r="C160" s="204">
        <f t="shared" si="58"/>
        <v>0</v>
      </c>
      <c r="D160" s="204">
        <f t="shared" si="59"/>
        <v>0</v>
      </c>
      <c r="E160" s="204">
        <f t="shared" si="60"/>
        <v>0</v>
      </c>
      <c r="F160" s="204">
        <f t="shared" si="70"/>
        <v>0</v>
      </c>
      <c r="G160" s="204">
        <f t="shared" si="61"/>
        <v>0</v>
      </c>
      <c r="H160" s="204">
        <f t="shared" si="62"/>
        <v>0</v>
      </c>
      <c r="I160" s="204">
        <f t="shared" si="63"/>
        <v>0</v>
      </c>
      <c r="J160" s="204">
        <f t="shared" si="64"/>
        <v>0</v>
      </c>
      <c r="K160" s="204">
        <f t="shared" si="65"/>
        <v>0</v>
      </c>
      <c r="L160" s="204">
        <f t="shared" si="66"/>
        <v>0</v>
      </c>
      <c r="M160" s="204">
        <f t="shared" si="67"/>
        <v>0</v>
      </c>
      <c r="N160" s="204">
        <f t="shared" si="68"/>
        <v>0</v>
      </c>
      <c r="O160" s="204">
        <f t="shared" si="69"/>
        <v>0</v>
      </c>
      <c r="W160" s="442"/>
    </row>
    <row r="161" spans="1:23">
      <c r="A161" s="198">
        <f t="shared" si="56"/>
        <v>161</v>
      </c>
      <c r="B161" s="212" t="s">
        <v>146</v>
      </c>
      <c r="C161" s="204">
        <f t="shared" si="58"/>
        <v>3074701.2399999998</v>
      </c>
      <c r="D161" s="204">
        <f t="shared" si="59"/>
        <v>5916553.3000000007</v>
      </c>
      <c r="E161" s="204">
        <f t="shared" si="60"/>
        <v>8718650.6600000001</v>
      </c>
      <c r="F161" s="204">
        <f t="shared" si="70"/>
        <v>11571021.029999999</v>
      </c>
      <c r="G161" s="204">
        <f t="shared" si="61"/>
        <v>14220364.329999998</v>
      </c>
      <c r="H161" s="204">
        <f t="shared" si="62"/>
        <v>16820035.219999999</v>
      </c>
      <c r="I161" s="204">
        <f t="shared" si="63"/>
        <v>19262941.899999999</v>
      </c>
      <c r="J161" s="204">
        <f t="shared" si="64"/>
        <v>21750216.339999996</v>
      </c>
      <c r="K161" s="204">
        <f t="shared" si="65"/>
        <v>24202078.18</v>
      </c>
      <c r="L161" s="204">
        <f t="shared" si="66"/>
        <v>26622717.719999999</v>
      </c>
      <c r="M161" s="204">
        <f t="shared" si="67"/>
        <v>29312068.68</v>
      </c>
      <c r="N161" s="204">
        <f t="shared" si="68"/>
        <v>32246758.329999998</v>
      </c>
      <c r="O161" s="204">
        <f t="shared" si="69"/>
        <v>213718106.93000001</v>
      </c>
      <c r="W161" s="442"/>
    </row>
    <row r="162" spans="1:23">
      <c r="A162" s="198">
        <f t="shared" si="56"/>
        <v>162</v>
      </c>
      <c r="B162" s="212" t="s">
        <v>148</v>
      </c>
      <c r="C162" s="204">
        <f t="shared" si="58"/>
        <v>0</v>
      </c>
      <c r="D162" s="204">
        <f t="shared" si="59"/>
        <v>0</v>
      </c>
      <c r="E162" s="204">
        <f t="shared" si="60"/>
        <v>0</v>
      </c>
      <c r="F162" s="204">
        <f t="shared" si="70"/>
        <v>0</v>
      </c>
      <c r="G162" s="204">
        <f t="shared" si="61"/>
        <v>0</v>
      </c>
      <c r="H162" s="204">
        <f t="shared" si="62"/>
        <v>0</v>
      </c>
      <c r="I162" s="204">
        <f t="shared" si="63"/>
        <v>0</v>
      </c>
      <c r="J162" s="204">
        <f t="shared" si="64"/>
        <v>0</v>
      </c>
      <c r="K162" s="204">
        <f t="shared" si="65"/>
        <v>0</v>
      </c>
      <c r="L162" s="204">
        <f t="shared" si="66"/>
        <v>0</v>
      </c>
      <c r="M162" s="204">
        <f t="shared" si="67"/>
        <v>0</v>
      </c>
      <c r="N162" s="204">
        <f t="shared" si="68"/>
        <v>0</v>
      </c>
      <c r="O162" s="204">
        <f t="shared" si="69"/>
        <v>0</v>
      </c>
      <c r="W162" s="442"/>
    </row>
    <row r="163" spans="1:23">
      <c r="A163" s="198">
        <f t="shared" si="56"/>
        <v>163</v>
      </c>
      <c r="B163" s="212" t="s">
        <v>149</v>
      </c>
      <c r="C163" s="204">
        <f t="shared" si="58"/>
        <v>919609.62000000011</v>
      </c>
      <c r="D163" s="204">
        <f t="shared" si="59"/>
        <v>1710791.0100000002</v>
      </c>
      <c r="E163" s="204">
        <f t="shared" si="60"/>
        <v>2625570.3600000003</v>
      </c>
      <c r="F163" s="204">
        <f t="shared" si="70"/>
        <v>3457728.0300000003</v>
      </c>
      <c r="G163" s="204">
        <f t="shared" si="61"/>
        <v>4318711.43</v>
      </c>
      <c r="H163" s="204">
        <f t="shared" si="62"/>
        <v>5237313.1899999995</v>
      </c>
      <c r="I163" s="204">
        <f t="shared" si="63"/>
        <v>6115022.8399999999</v>
      </c>
      <c r="J163" s="204">
        <f t="shared" si="64"/>
        <v>6951964.6899999995</v>
      </c>
      <c r="K163" s="204">
        <f t="shared" si="65"/>
        <v>7767986.96</v>
      </c>
      <c r="L163" s="204">
        <f t="shared" si="66"/>
        <v>8659260.5199999996</v>
      </c>
      <c r="M163" s="204">
        <f t="shared" si="67"/>
        <v>9506189.9199999999</v>
      </c>
      <c r="N163" s="204">
        <f t="shared" si="68"/>
        <v>10312588.27</v>
      </c>
      <c r="O163" s="204">
        <f t="shared" si="69"/>
        <v>67582736.840000004</v>
      </c>
      <c r="W163" s="442"/>
    </row>
    <row r="164" spans="1:23">
      <c r="A164" s="198">
        <f t="shared" si="56"/>
        <v>164</v>
      </c>
      <c r="B164" s="212" t="s">
        <v>151</v>
      </c>
      <c r="C164" s="204">
        <f t="shared" si="58"/>
        <v>14809.22</v>
      </c>
      <c r="D164" s="204">
        <f t="shared" si="59"/>
        <v>29067.439999999999</v>
      </c>
      <c r="E164" s="204">
        <f t="shared" si="60"/>
        <v>43325.659999999996</v>
      </c>
      <c r="F164" s="204">
        <f t="shared" si="70"/>
        <v>57572.88</v>
      </c>
      <c r="G164" s="204">
        <f t="shared" si="61"/>
        <v>71797.099999999991</v>
      </c>
      <c r="H164" s="204">
        <f t="shared" si="62"/>
        <v>86021.319999999992</v>
      </c>
      <c r="I164" s="204">
        <f t="shared" si="63"/>
        <v>100245.54</v>
      </c>
      <c r="J164" s="204">
        <f t="shared" si="64"/>
        <v>114469.75999999999</v>
      </c>
      <c r="K164" s="204">
        <f t="shared" si="65"/>
        <v>127775.98</v>
      </c>
      <c r="L164" s="204">
        <f t="shared" si="66"/>
        <v>141082.20000000001</v>
      </c>
      <c r="M164" s="204">
        <f t="shared" si="67"/>
        <v>153677.42000000001</v>
      </c>
      <c r="N164" s="204">
        <f t="shared" si="68"/>
        <v>165555.64000000001</v>
      </c>
      <c r="O164" s="204">
        <f t="shared" si="69"/>
        <v>1105400.1600000001</v>
      </c>
      <c r="W164" s="442"/>
    </row>
    <row r="165" spans="1:23">
      <c r="A165" s="198">
        <f t="shared" si="56"/>
        <v>165</v>
      </c>
      <c r="B165" s="212" t="s">
        <v>153</v>
      </c>
      <c r="C165" s="204">
        <f t="shared" si="58"/>
        <v>0</v>
      </c>
      <c r="D165" s="204">
        <f t="shared" si="59"/>
        <v>0</v>
      </c>
      <c r="E165" s="204">
        <f t="shared" si="60"/>
        <v>0</v>
      </c>
      <c r="F165" s="204">
        <f t="shared" si="70"/>
        <v>0</v>
      </c>
      <c r="G165" s="204">
        <f t="shared" si="61"/>
        <v>0</v>
      </c>
      <c r="H165" s="204">
        <f t="shared" si="62"/>
        <v>0</v>
      </c>
      <c r="I165" s="204">
        <f t="shared" si="63"/>
        <v>0</v>
      </c>
      <c r="J165" s="204">
        <f t="shared" si="64"/>
        <v>0</v>
      </c>
      <c r="K165" s="204">
        <f t="shared" si="65"/>
        <v>0</v>
      </c>
      <c r="L165" s="204">
        <f t="shared" si="66"/>
        <v>0</v>
      </c>
      <c r="M165" s="204">
        <f t="shared" si="67"/>
        <v>0</v>
      </c>
      <c r="N165" s="204">
        <f t="shared" si="68"/>
        <v>0</v>
      </c>
      <c r="O165" s="204">
        <f>SUM(C165:N165)</f>
        <v>0</v>
      </c>
      <c r="W165" s="442"/>
    </row>
    <row r="166" spans="1:23">
      <c r="A166" s="198">
        <f t="shared" si="56"/>
        <v>166</v>
      </c>
      <c r="B166" s="212" t="s">
        <v>207</v>
      </c>
      <c r="C166" s="204">
        <f t="shared" si="58"/>
        <v>50059.83</v>
      </c>
      <c r="D166" s="204">
        <f t="shared" si="59"/>
        <v>96250.13</v>
      </c>
      <c r="E166" s="204">
        <f t="shared" si="60"/>
        <v>146479.37</v>
      </c>
      <c r="F166" s="204">
        <f t="shared" si="70"/>
        <v>195119.97</v>
      </c>
      <c r="G166" s="204">
        <f t="shared" si="61"/>
        <v>247851.18</v>
      </c>
      <c r="H166" s="204">
        <f t="shared" si="62"/>
        <v>298462.71999999997</v>
      </c>
      <c r="I166" s="204">
        <f t="shared" si="63"/>
        <v>353344.85</v>
      </c>
      <c r="J166" s="204">
        <f t="shared" si="64"/>
        <v>413157.11</v>
      </c>
      <c r="K166" s="204">
        <f t="shared" si="65"/>
        <v>469467.12</v>
      </c>
      <c r="L166" s="204">
        <f t="shared" si="66"/>
        <v>530934.29</v>
      </c>
      <c r="M166" s="204">
        <f t="shared" si="67"/>
        <v>588452.74</v>
      </c>
      <c r="N166" s="204">
        <f t="shared" si="68"/>
        <v>642935.86</v>
      </c>
      <c r="O166" s="204">
        <f>SUM(C166:N166)</f>
        <v>4032515.1699999995</v>
      </c>
      <c r="W166" s="442"/>
    </row>
    <row r="167" spans="1:23">
      <c r="A167" s="198">
        <f t="shared" si="56"/>
        <v>167</v>
      </c>
      <c r="B167" s="212" t="s">
        <v>155</v>
      </c>
      <c r="C167" s="204">
        <f t="shared" si="58"/>
        <v>86</v>
      </c>
      <c r="D167" s="204">
        <f t="shared" si="59"/>
        <v>201.98000000000002</v>
      </c>
      <c r="E167" s="204">
        <f t="shared" si="60"/>
        <v>240.99</v>
      </c>
      <c r="F167" s="204">
        <f t="shared" si="70"/>
        <v>281.99</v>
      </c>
      <c r="G167" s="204">
        <f t="shared" si="61"/>
        <v>291.99</v>
      </c>
      <c r="H167" s="204">
        <f t="shared" si="62"/>
        <v>299.99</v>
      </c>
      <c r="I167" s="204">
        <f t="shared" si="63"/>
        <v>310.39</v>
      </c>
      <c r="J167" s="204">
        <f t="shared" si="64"/>
        <v>327.39</v>
      </c>
      <c r="K167" s="204">
        <f t="shared" si="65"/>
        <v>330.51</v>
      </c>
      <c r="L167" s="204">
        <f t="shared" si="66"/>
        <v>871.51</v>
      </c>
      <c r="M167" s="204">
        <f t="shared" si="67"/>
        <v>871.51</v>
      </c>
      <c r="N167" s="204">
        <f t="shared" si="68"/>
        <v>929.51</v>
      </c>
      <c r="O167" s="204">
        <f t="shared" si="69"/>
        <v>5043.76</v>
      </c>
      <c r="W167" s="442"/>
    </row>
    <row r="168" spans="1:23">
      <c r="A168" s="198">
        <f t="shared" si="56"/>
        <v>168</v>
      </c>
      <c r="B168" s="212" t="s">
        <v>157</v>
      </c>
      <c r="C168" s="204">
        <f t="shared" si="58"/>
        <v>6115.7100000000019</v>
      </c>
      <c r="D168" s="204">
        <f t="shared" si="59"/>
        <v>11584.730000000003</v>
      </c>
      <c r="E168" s="204">
        <f t="shared" si="60"/>
        <v>15682.940000000002</v>
      </c>
      <c r="F168" s="204">
        <f t="shared" si="70"/>
        <v>20201.420000000002</v>
      </c>
      <c r="G168" s="204">
        <f t="shared" si="61"/>
        <v>23217.54</v>
      </c>
      <c r="H168" s="204">
        <f t="shared" si="62"/>
        <v>25476.34</v>
      </c>
      <c r="I168" s="204">
        <f t="shared" si="63"/>
        <v>26548.33</v>
      </c>
      <c r="J168" s="204">
        <f t="shared" si="64"/>
        <v>27653.33</v>
      </c>
      <c r="K168" s="204">
        <f t="shared" si="65"/>
        <v>28994.58</v>
      </c>
      <c r="L168" s="204">
        <f t="shared" si="66"/>
        <v>30064.920000000002</v>
      </c>
      <c r="M168" s="204">
        <f t="shared" si="67"/>
        <v>31841.360000000001</v>
      </c>
      <c r="N168" s="204">
        <f t="shared" si="68"/>
        <v>37682.68</v>
      </c>
      <c r="O168" s="204">
        <f t="shared" si="69"/>
        <v>285063.88</v>
      </c>
      <c r="W168" s="442"/>
    </row>
    <row r="169" spans="1:23">
      <c r="A169" s="198">
        <f t="shared" si="56"/>
        <v>169</v>
      </c>
      <c r="B169" s="212" t="s">
        <v>159</v>
      </c>
      <c r="C169" s="204">
        <f t="shared" si="58"/>
        <v>2310</v>
      </c>
      <c r="D169" s="204">
        <f t="shared" si="59"/>
        <v>4650.3899999999994</v>
      </c>
      <c r="E169" s="204">
        <f t="shared" si="60"/>
        <v>6822.11</v>
      </c>
      <c r="F169" s="204">
        <f t="shared" si="70"/>
        <v>9052.11</v>
      </c>
      <c r="G169" s="204">
        <f t="shared" si="61"/>
        <v>11285.11</v>
      </c>
      <c r="H169" s="204">
        <f t="shared" si="62"/>
        <v>13377.11</v>
      </c>
      <c r="I169" s="204">
        <f t="shared" si="63"/>
        <v>15005.11</v>
      </c>
      <c r="J169" s="204">
        <f t="shared" si="64"/>
        <v>16936.11</v>
      </c>
      <c r="K169" s="204">
        <f t="shared" si="65"/>
        <v>19133.11</v>
      </c>
      <c r="L169" s="204">
        <f t="shared" si="66"/>
        <v>21039.11</v>
      </c>
      <c r="M169" s="204">
        <f t="shared" si="67"/>
        <v>23389.11</v>
      </c>
      <c r="N169" s="204">
        <f t="shared" si="68"/>
        <v>25687.11</v>
      </c>
      <c r="O169" s="204">
        <f t="shared" si="69"/>
        <v>168686.49</v>
      </c>
      <c r="W169" s="442"/>
    </row>
    <row r="170" spans="1:23">
      <c r="A170" s="198">
        <f t="shared" si="56"/>
        <v>170</v>
      </c>
      <c r="B170" s="207" t="s">
        <v>95</v>
      </c>
      <c r="C170" s="204">
        <f t="shared" si="58"/>
        <v>8029.3300000000008</v>
      </c>
      <c r="D170" s="204">
        <f t="shared" si="59"/>
        <v>14916.03</v>
      </c>
      <c r="E170" s="204">
        <f t="shared" si="60"/>
        <v>22037.08</v>
      </c>
      <c r="F170" s="204">
        <f t="shared" si="70"/>
        <v>28989.980000000003</v>
      </c>
      <c r="G170" s="204">
        <f t="shared" si="61"/>
        <v>36529</v>
      </c>
      <c r="H170" s="204">
        <f t="shared" si="62"/>
        <v>43223.57</v>
      </c>
      <c r="I170" s="204">
        <f t="shared" si="63"/>
        <v>50288.57</v>
      </c>
      <c r="J170" s="204">
        <f t="shared" si="64"/>
        <v>56888.74</v>
      </c>
      <c r="K170" s="204">
        <f t="shared" si="65"/>
        <v>63446.899999999994</v>
      </c>
      <c r="L170" s="204">
        <f t="shared" si="66"/>
        <v>70585.899999999994</v>
      </c>
      <c r="M170" s="204">
        <f t="shared" si="67"/>
        <v>77765.31</v>
      </c>
      <c r="N170" s="204">
        <f t="shared" si="68"/>
        <v>85415.19</v>
      </c>
      <c r="O170" s="204">
        <f t="shared" si="69"/>
        <v>558115.6</v>
      </c>
      <c r="W170" s="442"/>
    </row>
    <row r="171" spans="1:23">
      <c r="A171" s="198">
        <f t="shared" si="56"/>
        <v>171</v>
      </c>
      <c r="B171" s="207" t="s">
        <v>96</v>
      </c>
      <c r="C171" s="204">
        <f t="shared" si="58"/>
        <v>341.84</v>
      </c>
      <c r="D171" s="204">
        <f t="shared" si="59"/>
        <v>616.26</v>
      </c>
      <c r="E171" s="204">
        <f t="shared" si="60"/>
        <v>911.58999999999992</v>
      </c>
      <c r="F171" s="204">
        <f t="shared" si="70"/>
        <v>1263.9899999999998</v>
      </c>
      <c r="G171" s="204">
        <f t="shared" si="61"/>
        <v>1558.9199999999998</v>
      </c>
      <c r="H171" s="204">
        <f t="shared" si="62"/>
        <v>1937.7799999999997</v>
      </c>
      <c r="I171" s="204">
        <f t="shared" si="63"/>
        <v>2202.7799999999997</v>
      </c>
      <c r="J171" s="204">
        <f t="shared" si="64"/>
        <v>2601.8399999999997</v>
      </c>
      <c r="K171" s="204">
        <f t="shared" si="65"/>
        <v>2923.87</v>
      </c>
      <c r="L171" s="204">
        <f t="shared" si="66"/>
        <v>3220.87</v>
      </c>
      <c r="M171" s="204">
        <f t="shared" si="67"/>
        <v>3410.6099999999997</v>
      </c>
      <c r="N171" s="204">
        <f t="shared" si="68"/>
        <v>3833.2299999999996</v>
      </c>
      <c r="O171" s="204">
        <f t="shared" si="69"/>
        <v>24823.579999999998</v>
      </c>
      <c r="W171" s="442"/>
    </row>
    <row r="172" spans="1:23">
      <c r="A172" s="198">
        <f t="shared" si="56"/>
        <v>172</v>
      </c>
      <c r="B172" s="218" t="s">
        <v>97</v>
      </c>
      <c r="C172" s="216">
        <f t="shared" si="58"/>
        <v>0</v>
      </c>
      <c r="D172" s="216">
        <f t="shared" si="59"/>
        <v>0</v>
      </c>
      <c r="E172" s="216">
        <f t="shared" si="60"/>
        <v>0</v>
      </c>
      <c r="F172" s="216">
        <f t="shared" si="70"/>
        <v>94116.83</v>
      </c>
      <c r="G172" s="216">
        <f t="shared" si="61"/>
        <v>204488.29</v>
      </c>
      <c r="H172" s="216">
        <f t="shared" si="62"/>
        <v>204488.29</v>
      </c>
      <c r="I172" s="216">
        <f t="shared" si="63"/>
        <v>204488.29</v>
      </c>
      <c r="J172" s="216">
        <f t="shared" si="64"/>
        <v>204488.29</v>
      </c>
      <c r="K172" s="216">
        <f t="shared" si="65"/>
        <v>204488.29</v>
      </c>
      <c r="L172" s="216">
        <f t="shared" si="66"/>
        <v>204488.29</v>
      </c>
      <c r="M172" s="216">
        <f t="shared" si="67"/>
        <v>204488.29</v>
      </c>
      <c r="N172" s="216">
        <f t="shared" si="68"/>
        <v>204488.29</v>
      </c>
      <c r="O172" s="216">
        <f t="shared" si="69"/>
        <v>1730023.1500000001</v>
      </c>
      <c r="W172" s="442"/>
    </row>
    <row r="173" spans="1:23">
      <c r="A173" s="198">
        <f t="shared" si="56"/>
        <v>173</v>
      </c>
      <c r="B173" s="219" t="s">
        <v>164</v>
      </c>
      <c r="C173" s="204">
        <f t="shared" ref="C173:N173" si="71">SUM(C136:C153)</f>
        <v>4385193.6099999994</v>
      </c>
      <c r="D173" s="204">
        <f t="shared" si="71"/>
        <v>8258892.5899999999</v>
      </c>
      <c r="E173" s="204">
        <f t="shared" si="71"/>
        <v>12325810.93</v>
      </c>
      <c r="F173" s="204">
        <f t="shared" si="71"/>
        <v>16240573.82</v>
      </c>
      <c r="G173" s="204">
        <f t="shared" si="71"/>
        <v>19928630.460000001</v>
      </c>
      <c r="H173" s="204">
        <f t="shared" si="71"/>
        <v>23616955.469999999</v>
      </c>
      <c r="I173" s="204">
        <f t="shared" si="71"/>
        <v>27321633.510000002</v>
      </c>
      <c r="J173" s="204">
        <f t="shared" si="71"/>
        <v>31288161.930000003</v>
      </c>
      <c r="K173" s="204">
        <f t="shared" si="71"/>
        <v>35171429.939999998</v>
      </c>
      <c r="L173" s="204">
        <f t="shared" si="71"/>
        <v>39070293.359999999</v>
      </c>
      <c r="M173" s="204">
        <f t="shared" si="71"/>
        <v>43067858.840000004</v>
      </c>
      <c r="N173" s="204">
        <f t="shared" si="71"/>
        <v>47065425.430000007</v>
      </c>
      <c r="O173" s="204">
        <f t="shared" si="69"/>
        <v>307740859.88999999</v>
      </c>
      <c r="W173" s="442"/>
    </row>
    <row r="174" spans="1:23">
      <c r="A174" s="198">
        <f t="shared" si="56"/>
        <v>174</v>
      </c>
      <c r="B174" s="217" t="s">
        <v>165</v>
      </c>
      <c r="W174" s="442"/>
    </row>
    <row r="175" spans="1:23">
      <c r="A175" s="198">
        <f t="shared" si="56"/>
        <v>175</v>
      </c>
      <c r="B175" s="207" t="s">
        <v>100</v>
      </c>
      <c r="C175" s="204">
        <f t="shared" ref="C175:C181" si="72">+C64</f>
        <v>0</v>
      </c>
      <c r="D175" s="204">
        <f t="shared" ref="D175:D181" si="73">SUM(C64:D64)</f>
        <v>0</v>
      </c>
      <c r="E175" s="204">
        <f t="shared" ref="E175:E181" si="74">SUM(C64:E64)</f>
        <v>0</v>
      </c>
      <c r="F175" s="204">
        <f t="shared" ref="F175:F181" si="75">SUM(C64:F64)</f>
        <v>0</v>
      </c>
      <c r="G175" s="204">
        <f t="shared" ref="G175:G181" si="76">SUM(C64:G64)</f>
        <v>0</v>
      </c>
      <c r="H175" s="204">
        <f t="shared" ref="H175:H181" si="77">SUM(C64:H64)</f>
        <v>0</v>
      </c>
      <c r="I175" s="204">
        <f t="shared" ref="I175:I181" si="78">SUM(C64:I64)</f>
        <v>0</v>
      </c>
      <c r="J175" s="204">
        <f t="shared" ref="J175:J181" si="79">SUM(C64:J64)</f>
        <v>0</v>
      </c>
      <c r="K175" s="204">
        <f t="shared" ref="K175:K181" si="80">SUM(C64:K64)</f>
        <v>0</v>
      </c>
      <c r="L175" s="204">
        <f t="shared" ref="L175:L181" si="81">SUM(C64:L64)</f>
        <v>0</v>
      </c>
      <c r="M175" s="204">
        <f t="shared" ref="M175:M181" si="82">SUM(C64:M64)</f>
        <v>0</v>
      </c>
      <c r="N175" s="204">
        <f t="shared" ref="N175:N181" si="83">SUM(C64:N64)</f>
        <v>0</v>
      </c>
      <c r="O175" s="204">
        <f t="shared" ref="O175:O182" si="84">SUM(C175:N175)</f>
        <v>0</v>
      </c>
      <c r="W175" s="442"/>
    </row>
    <row r="176" spans="1:23">
      <c r="A176" s="198">
        <f t="shared" si="56"/>
        <v>176</v>
      </c>
      <c r="B176" s="207" t="s">
        <v>101</v>
      </c>
      <c r="C176" s="204">
        <f t="shared" si="72"/>
        <v>2.0699999999999998</v>
      </c>
      <c r="D176" s="204">
        <f t="shared" si="73"/>
        <v>4.1399999999999997</v>
      </c>
      <c r="E176" s="204">
        <f t="shared" si="74"/>
        <v>5.17</v>
      </c>
      <c r="F176" s="204">
        <f t="shared" si="75"/>
        <v>6.2</v>
      </c>
      <c r="G176" s="204">
        <f t="shared" si="76"/>
        <v>7.23</v>
      </c>
      <c r="H176" s="204">
        <f t="shared" si="77"/>
        <v>8.26</v>
      </c>
      <c r="I176" s="204">
        <f t="shared" si="78"/>
        <v>9.26</v>
      </c>
      <c r="J176" s="204">
        <f t="shared" si="79"/>
        <v>9.26</v>
      </c>
      <c r="K176" s="204">
        <f t="shared" si="80"/>
        <v>10.29</v>
      </c>
      <c r="L176" s="204">
        <f t="shared" si="81"/>
        <v>12.36</v>
      </c>
      <c r="M176" s="204">
        <f t="shared" si="82"/>
        <v>14.43</v>
      </c>
      <c r="N176" s="204">
        <f t="shared" si="83"/>
        <v>16.509999999999998</v>
      </c>
      <c r="O176" s="204">
        <f t="shared" si="84"/>
        <v>105.17999999999998</v>
      </c>
      <c r="W176" s="442"/>
    </row>
    <row r="177" spans="1:23">
      <c r="A177" s="198">
        <f t="shared" si="56"/>
        <v>177</v>
      </c>
      <c r="B177" s="207" t="s">
        <v>102</v>
      </c>
      <c r="C177" s="204">
        <f t="shared" si="72"/>
        <v>389.46</v>
      </c>
      <c r="D177" s="204">
        <f t="shared" si="73"/>
        <v>548.79999999999995</v>
      </c>
      <c r="E177" s="204">
        <f t="shared" si="74"/>
        <v>713.88</v>
      </c>
      <c r="F177" s="204">
        <f t="shared" si="75"/>
        <v>879.23</v>
      </c>
      <c r="G177" s="204">
        <f t="shared" si="76"/>
        <v>1550.42</v>
      </c>
      <c r="H177" s="204">
        <f t="shared" si="77"/>
        <v>1913.0500000000002</v>
      </c>
      <c r="I177" s="204">
        <f t="shared" si="78"/>
        <v>2324.0500000000002</v>
      </c>
      <c r="J177" s="204">
        <f t="shared" si="79"/>
        <v>2755.53</v>
      </c>
      <c r="K177" s="204">
        <f t="shared" si="80"/>
        <v>3216.53</v>
      </c>
      <c r="L177" s="204">
        <f t="shared" si="81"/>
        <v>3634.6800000000003</v>
      </c>
      <c r="M177" s="204">
        <f t="shared" si="82"/>
        <v>4112.0300000000007</v>
      </c>
      <c r="N177" s="204">
        <f t="shared" si="83"/>
        <v>4718.8100000000004</v>
      </c>
      <c r="O177" s="204">
        <f t="shared" si="84"/>
        <v>26756.470000000005</v>
      </c>
      <c r="W177" s="442"/>
    </row>
    <row r="178" spans="1:23">
      <c r="A178" s="198">
        <f t="shared" si="56"/>
        <v>178</v>
      </c>
      <c r="B178" s="207" t="s">
        <v>103</v>
      </c>
      <c r="C178" s="204">
        <f t="shared" si="72"/>
        <v>241.44</v>
      </c>
      <c r="D178" s="204">
        <f t="shared" si="73"/>
        <v>499.63</v>
      </c>
      <c r="E178" s="204">
        <f t="shared" si="74"/>
        <v>753.68000000000006</v>
      </c>
      <c r="F178" s="204">
        <f t="shared" si="75"/>
        <v>964.53000000000009</v>
      </c>
      <c r="G178" s="204">
        <f t="shared" si="76"/>
        <v>1152.0700000000002</v>
      </c>
      <c r="H178" s="204">
        <f t="shared" si="77"/>
        <v>1352.13</v>
      </c>
      <c r="I178" s="204">
        <f t="shared" si="78"/>
        <v>1533.13</v>
      </c>
      <c r="J178" s="204">
        <f t="shared" si="79"/>
        <v>1711.25</v>
      </c>
      <c r="K178" s="204">
        <f t="shared" si="80"/>
        <v>2137.25</v>
      </c>
      <c r="L178" s="204">
        <f t="shared" si="81"/>
        <v>2484.86</v>
      </c>
      <c r="M178" s="204">
        <f t="shared" si="82"/>
        <v>2821.33</v>
      </c>
      <c r="N178" s="204">
        <f t="shared" si="83"/>
        <v>3246.5299999999997</v>
      </c>
      <c r="O178" s="204">
        <f t="shared" si="84"/>
        <v>18897.830000000002</v>
      </c>
      <c r="W178" s="442"/>
    </row>
    <row r="179" spans="1:23">
      <c r="A179" s="198">
        <f t="shared" si="56"/>
        <v>179</v>
      </c>
      <c r="B179" s="207" t="s">
        <v>104</v>
      </c>
      <c r="C179" s="204">
        <f t="shared" si="72"/>
        <v>1180.19</v>
      </c>
      <c r="D179" s="204">
        <f t="shared" si="73"/>
        <v>2561.9899999999998</v>
      </c>
      <c r="E179" s="204">
        <f t="shared" si="74"/>
        <v>3788.8399999999997</v>
      </c>
      <c r="F179" s="204">
        <f t="shared" si="75"/>
        <v>5356.66</v>
      </c>
      <c r="G179" s="204">
        <f t="shared" si="76"/>
        <v>6550.46</v>
      </c>
      <c r="H179" s="204">
        <f t="shared" si="77"/>
        <v>7740.87</v>
      </c>
      <c r="I179" s="204">
        <f t="shared" si="78"/>
        <v>8843.869999999999</v>
      </c>
      <c r="J179" s="204">
        <f t="shared" si="79"/>
        <v>10035.579999999998</v>
      </c>
      <c r="K179" s="204">
        <f t="shared" si="80"/>
        <v>11269.579999999998</v>
      </c>
      <c r="L179" s="204">
        <f t="shared" si="81"/>
        <v>12467.549999999997</v>
      </c>
      <c r="M179" s="204">
        <f t="shared" si="82"/>
        <v>14276.019999999997</v>
      </c>
      <c r="N179" s="204">
        <f t="shared" si="83"/>
        <v>15985.819999999996</v>
      </c>
      <c r="O179" s="204">
        <f t="shared" si="84"/>
        <v>100057.42999999998</v>
      </c>
      <c r="W179" s="442"/>
    </row>
    <row r="180" spans="1:23">
      <c r="A180" s="198">
        <f t="shared" si="56"/>
        <v>180</v>
      </c>
      <c r="B180" s="212" t="s">
        <v>105</v>
      </c>
      <c r="C180" s="204">
        <f t="shared" si="72"/>
        <v>4420.2299999999996</v>
      </c>
      <c r="D180" s="204">
        <f t="shared" si="73"/>
        <v>8876.5400000000009</v>
      </c>
      <c r="E180" s="204">
        <f t="shared" si="74"/>
        <v>13249.850000000002</v>
      </c>
      <c r="F180" s="204">
        <f t="shared" si="75"/>
        <v>18779.030000000002</v>
      </c>
      <c r="G180" s="204">
        <f t="shared" si="76"/>
        <v>23372.320000000003</v>
      </c>
      <c r="H180" s="204">
        <f t="shared" si="77"/>
        <v>28404.070000000003</v>
      </c>
      <c r="I180" s="204">
        <f t="shared" si="78"/>
        <v>33002.070000000007</v>
      </c>
      <c r="J180" s="204">
        <f t="shared" si="79"/>
        <v>37928.420000000006</v>
      </c>
      <c r="K180" s="204">
        <f t="shared" si="80"/>
        <v>42774.420000000006</v>
      </c>
      <c r="L180" s="204">
        <f t="shared" si="81"/>
        <v>47128.280000000006</v>
      </c>
      <c r="M180" s="204">
        <f t="shared" si="82"/>
        <v>52487.790000000008</v>
      </c>
      <c r="N180" s="204">
        <f t="shared" si="83"/>
        <v>56829.820000000007</v>
      </c>
      <c r="O180" s="204">
        <f t="shared" si="84"/>
        <v>367252.84</v>
      </c>
      <c r="W180" s="442"/>
    </row>
    <row r="181" spans="1:23">
      <c r="A181" s="198">
        <f t="shared" si="56"/>
        <v>181</v>
      </c>
      <c r="B181" s="218" t="s">
        <v>106</v>
      </c>
      <c r="C181" s="216">
        <f t="shared" si="72"/>
        <v>4915.22</v>
      </c>
      <c r="D181" s="216">
        <f t="shared" si="73"/>
        <v>9992.2400000000016</v>
      </c>
      <c r="E181" s="216">
        <f t="shared" si="74"/>
        <v>15017.640000000001</v>
      </c>
      <c r="F181" s="216">
        <f t="shared" si="75"/>
        <v>19583.18</v>
      </c>
      <c r="G181" s="216">
        <f t="shared" si="76"/>
        <v>23457.279999999999</v>
      </c>
      <c r="H181" s="216">
        <f t="shared" si="77"/>
        <v>27619.54</v>
      </c>
      <c r="I181" s="216">
        <f t="shared" si="78"/>
        <v>31250.54</v>
      </c>
      <c r="J181" s="216">
        <f t="shared" si="79"/>
        <v>35095.270000000004</v>
      </c>
      <c r="K181" s="216">
        <f t="shared" si="80"/>
        <v>39100.270000000004</v>
      </c>
      <c r="L181" s="216">
        <f t="shared" si="81"/>
        <v>42661.8</v>
      </c>
      <c r="M181" s="216">
        <f t="shared" si="82"/>
        <v>46992.600000000006</v>
      </c>
      <c r="N181" s="216">
        <f t="shared" si="83"/>
        <v>51052.000000000007</v>
      </c>
      <c r="O181" s="216">
        <f t="shared" si="84"/>
        <v>346737.58000000007</v>
      </c>
      <c r="W181" s="442"/>
    </row>
    <row r="182" spans="1:23">
      <c r="A182" s="198">
        <f t="shared" si="56"/>
        <v>182</v>
      </c>
      <c r="B182" s="219" t="s">
        <v>167</v>
      </c>
      <c r="C182" s="204">
        <f t="shared" ref="C182:N182" si="85">SUM(C175:C181)</f>
        <v>11148.61</v>
      </c>
      <c r="D182" s="204">
        <f t="shared" si="85"/>
        <v>22483.340000000004</v>
      </c>
      <c r="E182" s="204">
        <f t="shared" si="85"/>
        <v>33529.060000000005</v>
      </c>
      <c r="F182" s="204">
        <f t="shared" si="85"/>
        <v>45568.83</v>
      </c>
      <c r="G182" s="204">
        <f t="shared" si="85"/>
        <v>56089.78</v>
      </c>
      <c r="H182" s="204">
        <f t="shared" si="85"/>
        <v>67037.920000000013</v>
      </c>
      <c r="I182" s="204">
        <f t="shared" si="85"/>
        <v>76962.920000000013</v>
      </c>
      <c r="J182" s="204">
        <f t="shared" si="85"/>
        <v>87535.310000000012</v>
      </c>
      <c r="K182" s="204">
        <f t="shared" si="85"/>
        <v>98508.340000000011</v>
      </c>
      <c r="L182" s="204">
        <f t="shared" si="85"/>
        <v>108389.53000000001</v>
      </c>
      <c r="M182" s="204">
        <f t="shared" si="85"/>
        <v>120704.20000000001</v>
      </c>
      <c r="N182" s="204">
        <f t="shared" si="85"/>
        <v>131849.49000000002</v>
      </c>
      <c r="O182" s="204">
        <f t="shared" si="84"/>
        <v>859807.33000000007</v>
      </c>
      <c r="W182" s="442"/>
    </row>
    <row r="183" spans="1:23">
      <c r="A183" s="198">
        <f t="shared" si="56"/>
        <v>183</v>
      </c>
      <c r="B183" s="217" t="s">
        <v>168</v>
      </c>
      <c r="W183" s="442"/>
    </row>
    <row r="184" spans="1:23">
      <c r="A184" s="198">
        <f t="shared" si="56"/>
        <v>184</v>
      </c>
      <c r="B184" s="196" t="s">
        <v>169</v>
      </c>
      <c r="C184" s="204">
        <f t="shared" ref="C184:C192" si="86">+C73</f>
        <v>208530</v>
      </c>
      <c r="D184" s="204">
        <f t="shared" ref="D184:D192" si="87">SUM(C73:D73)</f>
        <v>340114</v>
      </c>
      <c r="E184" s="204">
        <f t="shared" ref="E184:E192" si="88">SUM(C73:E73)</f>
        <v>526033.98</v>
      </c>
      <c r="F184" s="204">
        <f t="shared" ref="F184:F192" si="89">SUM(C73:F73)</f>
        <v>1025807.3</v>
      </c>
      <c r="G184" s="204">
        <f t="shared" ref="G184:G192" si="90">SUM(C73:G73)</f>
        <v>1205192.3</v>
      </c>
      <c r="H184" s="204">
        <f t="shared" ref="H184:H192" si="91">SUM(C73:H73)</f>
        <v>1257034.94</v>
      </c>
      <c r="I184" s="204">
        <f t="shared" ref="I184:I192" si="92">SUM(C73:I73)</f>
        <v>1307208.94</v>
      </c>
      <c r="J184" s="204">
        <f t="shared" ref="J184:J192" si="93">SUM(C73:J73)</f>
        <v>1404702.94</v>
      </c>
      <c r="K184" s="204">
        <f t="shared" ref="K184:K192" si="94">SUM(C73:K73)</f>
        <v>1537147.94</v>
      </c>
      <c r="L184" s="204">
        <f t="shared" ref="L184:L192" si="95">SUM(C73:L73)</f>
        <v>1688319.94</v>
      </c>
      <c r="M184" s="204">
        <f t="shared" ref="M184:M192" si="96">SUM(C73:M73)</f>
        <v>1808721.94</v>
      </c>
      <c r="N184" s="204">
        <f t="shared" ref="N184:N192" si="97">SUM(C73:N73)</f>
        <v>1871329.94</v>
      </c>
      <c r="O184" s="204">
        <f t="shared" ref="O184:O193" si="98">SUM(C184:N184)</f>
        <v>14180144.159999996</v>
      </c>
      <c r="W184" s="442"/>
    </row>
    <row r="185" spans="1:23">
      <c r="A185" s="198">
        <f t="shared" si="56"/>
        <v>185</v>
      </c>
      <c r="B185" s="196" t="s">
        <v>171</v>
      </c>
      <c r="C185" s="204">
        <f t="shared" si="86"/>
        <v>24757.61</v>
      </c>
      <c r="D185" s="204">
        <f t="shared" si="87"/>
        <v>40207.370000000003</v>
      </c>
      <c r="E185" s="204">
        <f t="shared" si="88"/>
        <v>79940.91</v>
      </c>
      <c r="F185" s="204">
        <f t="shared" si="89"/>
        <v>40963.130000000005</v>
      </c>
      <c r="G185" s="204">
        <f t="shared" si="90"/>
        <v>108587.57</v>
      </c>
      <c r="H185" s="204">
        <f t="shared" si="91"/>
        <v>119398.38</v>
      </c>
      <c r="I185" s="204">
        <f t="shared" si="92"/>
        <v>130558.64</v>
      </c>
      <c r="J185" s="204">
        <f t="shared" si="93"/>
        <v>141552.76999999999</v>
      </c>
      <c r="K185" s="204">
        <f t="shared" si="94"/>
        <v>151970.38999999998</v>
      </c>
      <c r="L185" s="204">
        <f t="shared" si="95"/>
        <v>164324.87</v>
      </c>
      <c r="M185" s="204">
        <f t="shared" si="96"/>
        <v>186009.45</v>
      </c>
      <c r="N185" s="204">
        <f t="shared" si="97"/>
        <v>213036.45</v>
      </c>
      <c r="O185" s="204">
        <f t="shared" si="98"/>
        <v>1401307.54</v>
      </c>
      <c r="W185" s="442"/>
    </row>
    <row r="186" spans="1:23">
      <c r="A186" s="198">
        <f t="shared" si="56"/>
        <v>186</v>
      </c>
      <c r="B186" s="196" t="s">
        <v>172</v>
      </c>
      <c r="C186" s="204">
        <f t="shared" si="86"/>
        <v>1736944.02</v>
      </c>
      <c r="D186" s="204">
        <f t="shared" si="87"/>
        <v>3354157.02</v>
      </c>
      <c r="E186" s="204">
        <f t="shared" si="88"/>
        <v>5146052.3100000005</v>
      </c>
      <c r="F186" s="204">
        <f>SUM(C75:F75)</f>
        <v>5666401.5200000005</v>
      </c>
      <c r="G186" s="204">
        <f t="shared" si="90"/>
        <v>6762850.4600000009</v>
      </c>
      <c r="H186" s="204">
        <f t="shared" si="91"/>
        <v>8495007.6900000013</v>
      </c>
      <c r="I186" s="204">
        <f t="shared" si="92"/>
        <v>10039077.460000001</v>
      </c>
      <c r="J186" s="204">
        <f t="shared" si="93"/>
        <v>12079265.600000001</v>
      </c>
      <c r="K186" s="204">
        <f t="shared" si="94"/>
        <v>13810994.580000002</v>
      </c>
      <c r="L186" s="204">
        <f t="shared" si="95"/>
        <v>15601440.620000001</v>
      </c>
      <c r="M186" s="204">
        <f t="shared" si="96"/>
        <v>17336372.780000001</v>
      </c>
      <c r="N186" s="204">
        <f t="shared" si="97"/>
        <v>19131858.490000002</v>
      </c>
      <c r="O186" s="204">
        <f t="shared" si="98"/>
        <v>119160422.55000001</v>
      </c>
      <c r="W186" s="442"/>
    </row>
    <row r="187" spans="1:23">
      <c r="A187" s="198">
        <f t="shared" si="56"/>
        <v>187</v>
      </c>
      <c r="B187" s="196" t="s">
        <v>173</v>
      </c>
      <c r="C187" s="204">
        <f t="shared" si="86"/>
        <v>877230.35</v>
      </c>
      <c r="D187" s="204">
        <f t="shared" si="87"/>
        <v>1164959.97</v>
      </c>
      <c r="E187" s="204">
        <f t="shared" si="88"/>
        <v>1919510.12</v>
      </c>
      <c r="F187" s="204">
        <f t="shared" si="89"/>
        <v>2799030.22</v>
      </c>
      <c r="G187" s="204">
        <f t="shared" si="90"/>
        <v>3669410.3000000003</v>
      </c>
      <c r="H187" s="204">
        <f t="shared" si="91"/>
        <v>4315869.53</v>
      </c>
      <c r="I187" s="204">
        <f t="shared" si="92"/>
        <v>4700139.99</v>
      </c>
      <c r="J187" s="204">
        <f t="shared" si="93"/>
        <v>5148779.84</v>
      </c>
      <c r="K187" s="204">
        <f t="shared" si="94"/>
        <v>5950699.3300000001</v>
      </c>
      <c r="L187" s="204">
        <f t="shared" si="95"/>
        <v>6629889.2000000002</v>
      </c>
      <c r="M187" s="204">
        <f t="shared" si="96"/>
        <v>7420808.8200000003</v>
      </c>
      <c r="N187" s="204">
        <f t="shared" si="97"/>
        <v>8090329.2400000002</v>
      </c>
      <c r="O187" s="204">
        <f t="shared" si="98"/>
        <v>52686656.910000011</v>
      </c>
      <c r="W187" s="442"/>
    </row>
    <row r="188" spans="1:23">
      <c r="A188" s="198">
        <f t="shared" si="56"/>
        <v>188</v>
      </c>
      <c r="B188" s="196" t="s">
        <v>174</v>
      </c>
      <c r="C188" s="204">
        <f t="shared" si="86"/>
        <v>0</v>
      </c>
      <c r="D188" s="204">
        <f t="shared" si="87"/>
        <v>60.39</v>
      </c>
      <c r="E188" s="204">
        <f t="shared" si="88"/>
        <v>60.39</v>
      </c>
      <c r="F188" s="204">
        <f t="shared" si="89"/>
        <v>180.39</v>
      </c>
      <c r="G188" s="204">
        <f t="shared" si="90"/>
        <v>300.03999999999996</v>
      </c>
      <c r="H188" s="204">
        <f t="shared" si="91"/>
        <v>620.04</v>
      </c>
      <c r="I188" s="204">
        <f t="shared" si="92"/>
        <v>340.03999999999996</v>
      </c>
      <c r="J188" s="204">
        <f t="shared" si="93"/>
        <v>344.03999999999996</v>
      </c>
      <c r="K188" s="204">
        <f t="shared" si="94"/>
        <v>344.03999999999996</v>
      </c>
      <c r="L188" s="204">
        <f t="shared" si="95"/>
        <v>344.03999999999996</v>
      </c>
      <c r="M188" s="204">
        <f t="shared" si="96"/>
        <v>344.03999999999996</v>
      </c>
      <c r="N188" s="204">
        <f t="shared" si="97"/>
        <v>348.03999999999996</v>
      </c>
      <c r="O188" s="204">
        <f t="shared" si="98"/>
        <v>3285.49</v>
      </c>
      <c r="W188" s="442"/>
    </row>
    <row r="189" spans="1:23">
      <c r="A189" s="198">
        <f t="shared" si="56"/>
        <v>189</v>
      </c>
      <c r="B189" s="196" t="s">
        <v>175</v>
      </c>
      <c r="C189" s="204">
        <f t="shared" si="86"/>
        <v>761726</v>
      </c>
      <c r="D189" s="204">
        <f t="shared" si="87"/>
        <v>1616220.6600000001</v>
      </c>
      <c r="E189" s="204">
        <f t="shared" si="88"/>
        <v>2562121.66</v>
      </c>
      <c r="F189" s="204">
        <f t="shared" si="89"/>
        <v>3504620.43</v>
      </c>
      <c r="G189" s="204">
        <f t="shared" si="90"/>
        <v>4421875.96</v>
      </c>
      <c r="H189" s="204">
        <f t="shared" si="91"/>
        <v>5418603.1500000004</v>
      </c>
      <c r="I189" s="204">
        <f t="shared" si="92"/>
        <v>6161026.9000000004</v>
      </c>
      <c r="J189" s="204">
        <f t="shared" si="93"/>
        <v>7009835.9000000004</v>
      </c>
      <c r="K189" s="204">
        <f t="shared" si="94"/>
        <v>7701984.7200000007</v>
      </c>
      <c r="L189" s="204">
        <f t="shared" si="95"/>
        <v>8415491.8200000003</v>
      </c>
      <c r="M189" s="204">
        <f t="shared" si="96"/>
        <v>9352732.5899999999</v>
      </c>
      <c r="N189" s="204">
        <f t="shared" si="97"/>
        <v>10157084.57</v>
      </c>
      <c r="O189" s="204">
        <f>SUM(C189:N189)</f>
        <v>67083324.359999992</v>
      </c>
      <c r="W189" s="442"/>
    </row>
    <row r="190" spans="1:23">
      <c r="A190" s="198">
        <f t="shared" si="56"/>
        <v>190</v>
      </c>
      <c r="B190" s="196" t="s">
        <v>176</v>
      </c>
      <c r="C190" s="204">
        <f t="shared" si="86"/>
        <v>399708.82</v>
      </c>
      <c r="D190" s="204">
        <f t="shared" si="87"/>
        <v>485952.78</v>
      </c>
      <c r="E190" s="204">
        <f t="shared" si="88"/>
        <v>1040546.55</v>
      </c>
      <c r="F190" s="204">
        <f t="shared" si="89"/>
        <v>1536752.87</v>
      </c>
      <c r="G190" s="204">
        <f t="shared" si="90"/>
        <v>1692794.3900000001</v>
      </c>
      <c r="H190" s="204">
        <f t="shared" si="91"/>
        <v>1755710.1300000001</v>
      </c>
      <c r="I190" s="204">
        <f t="shared" si="92"/>
        <v>1825285.1400000001</v>
      </c>
      <c r="J190" s="204">
        <f t="shared" si="93"/>
        <v>1928921.1400000001</v>
      </c>
      <c r="K190" s="204">
        <f t="shared" si="94"/>
        <v>2001314.6</v>
      </c>
      <c r="L190" s="204">
        <f t="shared" si="95"/>
        <v>2027446.34</v>
      </c>
      <c r="M190" s="204">
        <f t="shared" si="96"/>
        <v>2136348.91</v>
      </c>
      <c r="N190" s="204">
        <f t="shared" si="97"/>
        <v>2651516.29</v>
      </c>
      <c r="O190" s="204">
        <f t="shared" si="98"/>
        <v>19482297.960000001</v>
      </c>
      <c r="W190" s="442"/>
    </row>
    <row r="191" spans="1:23">
      <c r="A191" s="198">
        <f t="shared" si="56"/>
        <v>191</v>
      </c>
      <c r="B191" s="196" t="s">
        <v>177</v>
      </c>
      <c r="C191" s="204">
        <f t="shared" si="86"/>
        <v>0</v>
      </c>
      <c r="D191" s="204">
        <f t="shared" si="87"/>
        <v>0</v>
      </c>
      <c r="E191" s="204">
        <f t="shared" si="88"/>
        <v>0</v>
      </c>
      <c r="F191" s="204">
        <f t="shared" si="89"/>
        <v>0</v>
      </c>
      <c r="G191" s="204">
        <f t="shared" si="90"/>
        <v>0</v>
      </c>
      <c r="H191" s="204">
        <f t="shared" si="91"/>
        <v>0</v>
      </c>
      <c r="I191" s="204">
        <f t="shared" si="92"/>
        <v>0</v>
      </c>
      <c r="J191" s="204">
        <f t="shared" si="93"/>
        <v>0</v>
      </c>
      <c r="K191" s="204">
        <f t="shared" si="94"/>
        <v>0</v>
      </c>
      <c r="L191" s="204">
        <f t="shared" si="95"/>
        <v>0</v>
      </c>
      <c r="M191" s="204">
        <f t="shared" si="96"/>
        <v>0</v>
      </c>
      <c r="N191" s="204">
        <f t="shared" si="97"/>
        <v>0</v>
      </c>
      <c r="O191" s="204">
        <f t="shared" si="98"/>
        <v>0</v>
      </c>
      <c r="W191" s="442"/>
    </row>
    <row r="192" spans="1:23">
      <c r="A192" s="198">
        <f t="shared" si="56"/>
        <v>192</v>
      </c>
      <c r="B192" s="220" t="s">
        <v>179</v>
      </c>
      <c r="C192" s="216">
        <f t="shared" si="86"/>
        <v>3421052.92</v>
      </c>
      <c r="D192" s="216">
        <f t="shared" si="87"/>
        <v>6459862.3300000001</v>
      </c>
      <c r="E192" s="216">
        <f t="shared" si="88"/>
        <v>9718483.4600000009</v>
      </c>
      <c r="F192" s="216">
        <f t="shared" si="89"/>
        <v>12708631.510000002</v>
      </c>
      <c r="G192" s="216">
        <f t="shared" si="90"/>
        <v>15854253.190000001</v>
      </c>
      <c r="H192" s="216">
        <f t="shared" si="91"/>
        <v>18901620.760000002</v>
      </c>
      <c r="I192" s="216">
        <f t="shared" si="92"/>
        <v>21919459.440000001</v>
      </c>
      <c r="J192" s="216">
        <f t="shared" si="93"/>
        <v>25071095.120000001</v>
      </c>
      <c r="K192" s="216">
        <f t="shared" si="94"/>
        <v>28158394.120000001</v>
      </c>
      <c r="L192" s="216">
        <f t="shared" si="95"/>
        <v>29933293.150000002</v>
      </c>
      <c r="M192" s="216">
        <f t="shared" si="96"/>
        <v>32533363.470000003</v>
      </c>
      <c r="N192" s="216">
        <f t="shared" si="97"/>
        <v>35115856.710000001</v>
      </c>
      <c r="O192" s="216">
        <f t="shared" si="98"/>
        <v>239795366.18000001</v>
      </c>
      <c r="W192" s="442"/>
    </row>
    <row r="193" spans="1:23">
      <c r="A193" s="198">
        <f t="shared" si="56"/>
        <v>193</v>
      </c>
      <c r="B193" s="219" t="s">
        <v>186</v>
      </c>
      <c r="C193" s="204">
        <f t="shared" ref="C193:N193" si="99">SUM(C184:C192)</f>
        <v>7429949.7199999997</v>
      </c>
      <c r="D193" s="204">
        <f t="shared" si="99"/>
        <v>13461534.52</v>
      </c>
      <c r="E193" s="204">
        <f t="shared" si="99"/>
        <v>20992749.380000003</v>
      </c>
      <c r="F193" s="204">
        <f t="shared" si="99"/>
        <v>27282387.370000005</v>
      </c>
      <c r="G193" s="204">
        <f t="shared" si="99"/>
        <v>33715264.210000001</v>
      </c>
      <c r="H193" s="204">
        <f t="shared" si="99"/>
        <v>40263864.620000005</v>
      </c>
      <c r="I193" s="204">
        <f t="shared" si="99"/>
        <v>46083096.549999997</v>
      </c>
      <c r="J193" s="204">
        <f t="shared" si="99"/>
        <v>52784497.350000009</v>
      </c>
      <c r="K193" s="204">
        <f t="shared" si="99"/>
        <v>59312849.719999999</v>
      </c>
      <c r="L193" s="204">
        <f t="shared" si="99"/>
        <v>64460549.980000004</v>
      </c>
      <c r="M193" s="204">
        <f t="shared" si="99"/>
        <v>70774702</v>
      </c>
      <c r="N193" s="204">
        <f t="shared" si="99"/>
        <v>77231359.730000004</v>
      </c>
      <c r="O193" s="204">
        <f t="shared" si="98"/>
        <v>513792805.1500001</v>
      </c>
      <c r="W193" s="442"/>
    </row>
    <row r="194" spans="1:23">
      <c r="A194" s="198">
        <f t="shared" si="56"/>
        <v>194</v>
      </c>
      <c r="B194" s="217" t="s">
        <v>187</v>
      </c>
      <c r="W194" s="442"/>
    </row>
    <row r="195" spans="1:23">
      <c r="A195" s="198">
        <f t="shared" ref="A195:A217" si="100">+A194+1</f>
        <v>195</v>
      </c>
      <c r="B195" s="220" t="s">
        <v>179</v>
      </c>
      <c r="C195" s="204">
        <f>+C89</f>
        <v>0</v>
      </c>
      <c r="D195" s="204">
        <f>SUM(C89:D89)</f>
        <v>0</v>
      </c>
      <c r="E195" s="204">
        <f>SUM(C89:E89)</f>
        <v>0</v>
      </c>
      <c r="F195" s="204">
        <f>SUM(C89:F89)</f>
        <v>0</v>
      </c>
      <c r="G195" s="204">
        <f>SUM(C89:G89)</f>
        <v>0</v>
      </c>
      <c r="H195" s="204">
        <f>SUM(C89:H89)</f>
        <v>0</v>
      </c>
      <c r="I195" s="204">
        <f>SUM(C89:I89)</f>
        <v>0</v>
      </c>
      <c r="J195" s="204">
        <f>SUM(C89:J89)</f>
        <v>0</v>
      </c>
      <c r="K195" s="204">
        <f>SUM(C89:K89)</f>
        <v>0</v>
      </c>
      <c r="L195" s="204">
        <f>SUM(C89:L89)</f>
        <v>0</v>
      </c>
      <c r="M195" s="204">
        <f>SUM(C89:M89)</f>
        <v>0</v>
      </c>
      <c r="N195" s="204">
        <f>SUM(C89:N89)</f>
        <v>0</v>
      </c>
      <c r="O195" s="204">
        <f>SUM(C195:N195)</f>
        <v>0</v>
      </c>
      <c r="W195" s="442"/>
    </row>
    <row r="196" spans="1:23">
      <c r="A196" s="198">
        <f t="shared" si="100"/>
        <v>196</v>
      </c>
      <c r="B196" s="196" t="s">
        <v>188</v>
      </c>
      <c r="C196" s="204">
        <f>+C90</f>
        <v>304539.81</v>
      </c>
      <c r="D196" s="204">
        <f>SUM(C90:D90)</f>
        <v>536513.52</v>
      </c>
      <c r="E196" s="204">
        <f>SUM(C90:E90)</f>
        <v>842112.13</v>
      </c>
      <c r="F196" s="204">
        <f>SUM(C90:F90)</f>
        <v>1124457.76</v>
      </c>
      <c r="G196" s="204">
        <f>SUM(C90:G90)</f>
        <v>1440713.4100000001</v>
      </c>
      <c r="H196" s="204">
        <f>SUM(C90:H90)</f>
        <v>1743840.82</v>
      </c>
      <c r="I196" s="204">
        <f>SUM(C90:I90)</f>
        <v>2034829.3900000001</v>
      </c>
      <c r="J196" s="204">
        <f>SUM(C90:J90)</f>
        <v>2321168.73</v>
      </c>
      <c r="K196" s="204">
        <f>SUM(C90:K90)</f>
        <v>2584708.73</v>
      </c>
      <c r="L196" s="204">
        <f>SUM(C90:L90)</f>
        <v>2839400.58</v>
      </c>
      <c r="M196" s="204">
        <f>SUM(C90:M90)</f>
        <v>3111600.13</v>
      </c>
      <c r="N196" s="204">
        <f>SUM(C90:N90)</f>
        <v>3394628.26</v>
      </c>
      <c r="O196" s="204">
        <f>SUM(C196:N196)</f>
        <v>22278513.270000003</v>
      </c>
      <c r="W196" s="442"/>
    </row>
    <row r="197" spans="1:23">
      <c r="A197" s="198">
        <f t="shared" si="100"/>
        <v>197</v>
      </c>
      <c r="B197" s="196" t="s">
        <v>189</v>
      </c>
      <c r="C197" s="204">
        <f>+C91</f>
        <v>1630784.08</v>
      </c>
      <c r="D197" s="204">
        <f>SUM(C91:D91)</f>
        <v>2998887.08</v>
      </c>
      <c r="E197" s="204">
        <f>SUM(C91:E91)</f>
        <v>4633438.08</v>
      </c>
      <c r="F197" s="204">
        <f>SUM(C91:F91)</f>
        <v>6215015.8900000006</v>
      </c>
      <c r="G197" s="204">
        <f>SUM(C91:G91)</f>
        <v>7823109.0900000008</v>
      </c>
      <c r="H197" s="204">
        <f>SUM(C91:H91)</f>
        <v>9361598.8399999999</v>
      </c>
      <c r="I197" s="204">
        <f>SUM(C91:I91)</f>
        <v>10693857.66</v>
      </c>
      <c r="J197" s="204">
        <f>SUM(C91:J91)</f>
        <v>12134010.66</v>
      </c>
      <c r="K197" s="204">
        <f>SUM(C91:K91)</f>
        <v>13645831.85</v>
      </c>
      <c r="L197" s="204">
        <f>SUM(C91:L91)</f>
        <v>15223627.199999999</v>
      </c>
      <c r="M197" s="204">
        <f>SUM(C91:M91)</f>
        <v>16767614.51</v>
      </c>
      <c r="N197" s="204">
        <f>SUM(C91:N91)</f>
        <v>18350198.850000001</v>
      </c>
      <c r="O197" s="204">
        <f>SUM(C197:N197)</f>
        <v>119477973.78999999</v>
      </c>
      <c r="W197" s="442"/>
    </row>
    <row r="198" spans="1:23">
      <c r="A198" s="198">
        <f t="shared" si="100"/>
        <v>198</v>
      </c>
      <c r="B198" s="196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W198" s="442"/>
    </row>
    <row r="199" spans="1:23">
      <c r="A199" s="198">
        <f t="shared" si="100"/>
        <v>199</v>
      </c>
      <c r="B199" s="219" t="s">
        <v>191</v>
      </c>
      <c r="C199" s="214">
        <f>SUM(C195:C197)</f>
        <v>1935323.8900000001</v>
      </c>
      <c r="D199" s="214">
        <f t="shared" ref="D199:N199" si="101">SUM(D195:D197)</f>
        <v>3535400.6</v>
      </c>
      <c r="E199" s="214">
        <f t="shared" si="101"/>
        <v>5475550.21</v>
      </c>
      <c r="F199" s="214">
        <f t="shared" si="101"/>
        <v>7339473.6500000004</v>
      </c>
      <c r="G199" s="214">
        <f t="shared" si="101"/>
        <v>9263822.5</v>
      </c>
      <c r="H199" s="214">
        <f t="shared" si="101"/>
        <v>11105439.66</v>
      </c>
      <c r="I199" s="214">
        <f t="shared" si="101"/>
        <v>12728687.050000001</v>
      </c>
      <c r="J199" s="214">
        <f t="shared" si="101"/>
        <v>14455179.390000001</v>
      </c>
      <c r="K199" s="214">
        <f t="shared" si="101"/>
        <v>16230540.58</v>
      </c>
      <c r="L199" s="214">
        <f t="shared" si="101"/>
        <v>18063027.780000001</v>
      </c>
      <c r="M199" s="214">
        <f t="shared" si="101"/>
        <v>19879214.640000001</v>
      </c>
      <c r="N199" s="214">
        <f t="shared" si="101"/>
        <v>21744827.109999999</v>
      </c>
      <c r="O199" s="214">
        <f>SUM(O195:O197)</f>
        <v>141756487.06</v>
      </c>
      <c r="W199" s="442"/>
    </row>
    <row r="200" spans="1:23">
      <c r="A200" s="198">
        <f t="shared" si="100"/>
        <v>200</v>
      </c>
      <c r="B200" s="217"/>
      <c r="W200" s="442"/>
    </row>
    <row r="201" spans="1:23">
      <c r="A201" s="198">
        <f t="shared" si="100"/>
        <v>201</v>
      </c>
      <c r="B201" s="196"/>
      <c r="C201" s="204">
        <f>+C95</f>
        <v>0</v>
      </c>
      <c r="D201" s="204">
        <f>SUM(C95:D95)</f>
        <v>0</v>
      </c>
      <c r="E201" s="204">
        <f>SUM(C95:E95)</f>
        <v>0</v>
      </c>
      <c r="F201" s="204">
        <f>SUM(C95:F95)</f>
        <v>0</v>
      </c>
      <c r="G201" s="204">
        <f>SUM(C95:G95)</f>
        <v>0</v>
      </c>
      <c r="H201" s="204">
        <f>SUM(C95:H95)</f>
        <v>0</v>
      </c>
      <c r="I201" s="204">
        <f>SUM(C95:I95)</f>
        <v>0</v>
      </c>
      <c r="J201" s="204">
        <f>SUM(C95:J95)</f>
        <v>0</v>
      </c>
      <c r="K201" s="204">
        <f>SUM(C95:K95)</f>
        <v>0</v>
      </c>
      <c r="L201" s="204">
        <f>SUM(C95:L95)</f>
        <v>0</v>
      </c>
      <c r="M201" s="204">
        <f>SUM(C95:M95)</f>
        <v>0</v>
      </c>
      <c r="N201" s="204">
        <f>SUM(C95:N95)</f>
        <v>0</v>
      </c>
      <c r="O201" s="204">
        <f>SUM(C201:N201)</f>
        <v>0</v>
      </c>
      <c r="W201" s="442"/>
    </row>
    <row r="202" spans="1:23">
      <c r="A202" s="198">
        <f t="shared" si="100"/>
        <v>202</v>
      </c>
      <c r="B202" s="196" t="s">
        <v>172</v>
      </c>
      <c r="C202" s="216">
        <f>+C96</f>
        <v>0</v>
      </c>
      <c r="D202" s="216">
        <f>SUM(C96:D96)</f>
        <v>0</v>
      </c>
      <c r="E202" s="216">
        <f>SUM(C96:E96)</f>
        <v>0</v>
      </c>
      <c r="F202" s="216">
        <f>SUM(C96:F96)</f>
        <v>0</v>
      </c>
      <c r="G202" s="216">
        <f>SUM(C96:G96)</f>
        <v>0</v>
      </c>
      <c r="H202" s="216">
        <f>SUM(C96:H96)</f>
        <v>0</v>
      </c>
      <c r="I202" s="216">
        <f>SUM(C96:I96)</f>
        <v>0</v>
      </c>
      <c r="J202" s="216">
        <f>SUM(C96:J96)</f>
        <v>0</v>
      </c>
      <c r="K202" s="216">
        <f>SUM(C96:K96)</f>
        <v>0</v>
      </c>
      <c r="L202" s="216">
        <f>SUM(C96:L96)</f>
        <v>0</v>
      </c>
      <c r="M202" s="216">
        <f>SUM(C96:M96)</f>
        <v>0</v>
      </c>
      <c r="N202" s="216">
        <f>SUM(C96:N96)</f>
        <v>0</v>
      </c>
      <c r="O202" s="216">
        <f>SUM(C202:N202)</f>
        <v>0</v>
      </c>
      <c r="W202" s="442"/>
    </row>
    <row r="203" spans="1:23">
      <c r="A203" s="198">
        <f t="shared" si="100"/>
        <v>203</v>
      </c>
      <c r="B203" s="219" t="s">
        <v>193</v>
      </c>
      <c r="C203" s="204">
        <f t="shared" ref="C203:O203" si="102">SUM(C201:C202)</f>
        <v>0</v>
      </c>
      <c r="D203" s="204">
        <f t="shared" si="102"/>
        <v>0</v>
      </c>
      <c r="E203" s="204">
        <f t="shared" si="102"/>
        <v>0</v>
      </c>
      <c r="F203" s="204">
        <f t="shared" si="102"/>
        <v>0</v>
      </c>
      <c r="G203" s="204">
        <f t="shared" si="102"/>
        <v>0</v>
      </c>
      <c r="H203" s="204">
        <f t="shared" si="102"/>
        <v>0</v>
      </c>
      <c r="I203" s="204">
        <f t="shared" si="102"/>
        <v>0</v>
      </c>
      <c r="J203" s="204">
        <f t="shared" si="102"/>
        <v>0</v>
      </c>
      <c r="K203" s="204">
        <f t="shared" si="102"/>
        <v>0</v>
      </c>
      <c r="L203" s="204">
        <f t="shared" si="102"/>
        <v>0</v>
      </c>
      <c r="M203" s="204">
        <f t="shared" si="102"/>
        <v>0</v>
      </c>
      <c r="N203" s="204">
        <f t="shared" si="102"/>
        <v>0</v>
      </c>
      <c r="O203" s="204">
        <f t="shared" si="102"/>
        <v>0</v>
      </c>
      <c r="W203" s="442"/>
    </row>
    <row r="204" spans="1:23">
      <c r="A204" s="198">
        <f t="shared" si="100"/>
        <v>204</v>
      </c>
      <c r="B204" s="219"/>
      <c r="W204" s="442"/>
    </row>
    <row r="205" spans="1:23">
      <c r="A205" s="198">
        <f t="shared" si="100"/>
        <v>205</v>
      </c>
      <c r="B205" s="221" t="s">
        <v>194</v>
      </c>
      <c r="C205" s="222">
        <f t="shared" ref="C205:O205" si="103">+C126+C135+C173+C182+C193+C199+C203</f>
        <v>14362490.979999999</v>
      </c>
      <c r="D205" s="222">
        <f t="shared" si="103"/>
        <v>26268030.709999997</v>
      </c>
      <c r="E205" s="222">
        <f t="shared" si="103"/>
        <v>40231911.880000003</v>
      </c>
      <c r="F205" s="222">
        <f t="shared" si="103"/>
        <v>52700997.399999999</v>
      </c>
      <c r="G205" s="222">
        <f t="shared" si="103"/>
        <v>65004388.850000001</v>
      </c>
      <c r="H205" s="222">
        <f t="shared" si="103"/>
        <v>77312539.900000006</v>
      </c>
      <c r="I205" s="222">
        <f t="shared" si="103"/>
        <v>88648473.260000005</v>
      </c>
      <c r="J205" s="222">
        <f t="shared" si="103"/>
        <v>101228723.13000001</v>
      </c>
      <c r="K205" s="222">
        <f t="shared" si="103"/>
        <v>113603078.37</v>
      </c>
      <c r="L205" s="222">
        <f t="shared" si="103"/>
        <v>124665822.26000002</v>
      </c>
      <c r="M205" s="222">
        <f t="shared" si="103"/>
        <v>137107286.43000001</v>
      </c>
      <c r="N205" s="222">
        <f t="shared" si="103"/>
        <v>149864122.52000004</v>
      </c>
      <c r="O205" s="223">
        <f t="shared" si="103"/>
        <v>990997865.69000006</v>
      </c>
      <c r="W205" s="442"/>
    </row>
    <row r="206" spans="1:23">
      <c r="A206" s="198">
        <f t="shared" si="100"/>
        <v>206</v>
      </c>
      <c r="B206" s="224" t="s">
        <v>195</v>
      </c>
      <c r="W206" s="442"/>
    </row>
    <row r="207" spans="1:23">
      <c r="A207" s="198">
        <f t="shared" si="100"/>
        <v>207</v>
      </c>
      <c r="B207" s="196" t="s">
        <v>197</v>
      </c>
      <c r="C207" s="204">
        <f>+C102</f>
        <v>403865.79</v>
      </c>
      <c r="D207" s="204">
        <f>SUM(C102:D102)</f>
        <v>744849.71</v>
      </c>
      <c r="E207" s="204">
        <f>SUM(C102:E102)</f>
        <v>1168364.0699999998</v>
      </c>
      <c r="F207" s="204">
        <f>SUM(C102:F102)</f>
        <v>1549410.38</v>
      </c>
      <c r="G207" s="204">
        <f>SUM(C102:G102)</f>
        <v>1968913.73</v>
      </c>
      <c r="H207" s="204">
        <f>SUM(C102:H102)</f>
        <v>2414630.11</v>
      </c>
      <c r="I207" s="204">
        <f>SUM(C102:I102)</f>
        <v>2803888.59</v>
      </c>
      <c r="J207" s="204">
        <f>SUM(C102:J102)</f>
        <v>3187450.15</v>
      </c>
      <c r="K207" s="204">
        <f>SUM(C102:K102)</f>
        <v>3560157.15</v>
      </c>
      <c r="L207" s="204">
        <f>SUM(C102:L102)</f>
        <v>3896513.51</v>
      </c>
      <c r="M207" s="204">
        <f>SUM(C102:M102)</f>
        <v>4325823.08</v>
      </c>
      <c r="N207" s="204">
        <f>SUM(C102:N102)</f>
        <v>4683013.13</v>
      </c>
      <c r="O207" s="204">
        <f>SUM(C207:N207)</f>
        <v>30706879.399999995</v>
      </c>
      <c r="W207" s="442"/>
    </row>
    <row r="208" spans="1:23">
      <c r="A208" s="198">
        <f t="shared" si="100"/>
        <v>208</v>
      </c>
      <c r="B208" s="197" t="s">
        <v>198</v>
      </c>
      <c r="C208" s="216">
        <f>+C103</f>
        <v>184189.91</v>
      </c>
      <c r="D208" s="216">
        <f>SUM(C103:D103)</f>
        <v>231032.56</v>
      </c>
      <c r="E208" s="216">
        <f>SUM(C103:E103)</f>
        <v>339192.58</v>
      </c>
      <c r="F208" s="216">
        <f>SUM(C103:F103)</f>
        <v>373497.54000000004</v>
      </c>
      <c r="G208" s="216">
        <f>SUM(C103:G103)</f>
        <v>383433.07000000007</v>
      </c>
      <c r="H208" s="216">
        <f>SUM(C103:H103)</f>
        <v>385815.00000000006</v>
      </c>
      <c r="I208" s="216">
        <f>SUM(C103:I103)</f>
        <v>389046.08000000007</v>
      </c>
      <c r="J208" s="216">
        <f>SUM(C103:J103)</f>
        <v>391195.41000000009</v>
      </c>
      <c r="K208" s="216">
        <f>SUM(C103:K103)</f>
        <v>410276.45000000007</v>
      </c>
      <c r="L208" s="216">
        <f>SUM(C103:L103)</f>
        <v>423185.71000000008</v>
      </c>
      <c r="M208" s="216">
        <f>SUM(C103:M103)</f>
        <v>470987.32000000007</v>
      </c>
      <c r="N208" s="216">
        <f>SUM(C103:N103)</f>
        <v>589670.21000000008</v>
      </c>
      <c r="O208" s="216">
        <f>SUM(C208:N208)</f>
        <v>4571521.8400000008</v>
      </c>
      <c r="W208" s="442"/>
    </row>
    <row r="209" spans="1:23">
      <c r="A209" s="198">
        <f t="shared" si="100"/>
        <v>209</v>
      </c>
      <c r="B209" s="219" t="s">
        <v>199</v>
      </c>
      <c r="C209" s="204">
        <f t="shared" ref="C209:N209" si="104">SUM(C207:C208)</f>
        <v>588055.69999999995</v>
      </c>
      <c r="D209" s="204">
        <f t="shared" si="104"/>
        <v>975882.27</v>
      </c>
      <c r="E209" s="204">
        <f t="shared" si="104"/>
        <v>1507556.65</v>
      </c>
      <c r="F209" s="204">
        <f t="shared" si="104"/>
        <v>1922907.92</v>
      </c>
      <c r="G209" s="204">
        <f t="shared" si="104"/>
        <v>2352346.7999999998</v>
      </c>
      <c r="H209" s="204">
        <f t="shared" si="104"/>
        <v>2800445.11</v>
      </c>
      <c r="I209" s="204">
        <f t="shared" si="104"/>
        <v>3192934.67</v>
      </c>
      <c r="J209" s="204">
        <f t="shared" si="104"/>
        <v>3578645.56</v>
      </c>
      <c r="K209" s="204">
        <f t="shared" si="104"/>
        <v>3970433.6</v>
      </c>
      <c r="L209" s="204">
        <f t="shared" si="104"/>
        <v>4319699.22</v>
      </c>
      <c r="M209" s="204">
        <f t="shared" si="104"/>
        <v>4796810.4000000004</v>
      </c>
      <c r="N209" s="204">
        <f t="shared" si="104"/>
        <v>5272683.34</v>
      </c>
      <c r="O209" s="204">
        <f>SUM(C209:N209)</f>
        <v>35278401.239999995</v>
      </c>
      <c r="W209" s="442"/>
    </row>
    <row r="210" spans="1:23">
      <c r="A210" s="198">
        <f t="shared" si="100"/>
        <v>210</v>
      </c>
      <c r="B210" s="217" t="s">
        <v>200</v>
      </c>
      <c r="W210" s="442"/>
    </row>
    <row r="211" spans="1:23">
      <c r="A211" s="198">
        <f t="shared" si="100"/>
        <v>211</v>
      </c>
      <c r="B211" s="196" t="s">
        <v>202</v>
      </c>
      <c r="C211" s="204">
        <f>+C107</f>
        <v>1263869.5900000001</v>
      </c>
      <c r="D211" s="204">
        <f>SUM(C107:D107)</f>
        <v>2430468.59</v>
      </c>
      <c r="E211" s="204">
        <f>SUM(C107:E107)</f>
        <v>3715268.29</v>
      </c>
      <c r="F211" s="204">
        <f>SUM(C107:F107)</f>
        <v>4191917.88</v>
      </c>
      <c r="G211" s="204">
        <f>SUM(C107:G107)</f>
        <v>5221968.0199999996</v>
      </c>
      <c r="H211" s="204">
        <f>SUM(C107:H107)</f>
        <v>6696527.8799999999</v>
      </c>
      <c r="I211" s="204">
        <f>SUM(C107:I107)</f>
        <v>8240597.6500000004</v>
      </c>
      <c r="J211" s="204">
        <f>SUM(C107:J107)</f>
        <v>9533317.5300000012</v>
      </c>
      <c r="K211" s="204">
        <f>SUM(C107:K107)</f>
        <v>11000727.530000001</v>
      </c>
      <c r="L211" s="204">
        <f>SUM(C107:L107)</f>
        <v>12516947.91</v>
      </c>
      <c r="M211" s="204">
        <f>SUM(C107:M107)</f>
        <v>13688457.880000001</v>
      </c>
      <c r="N211" s="204">
        <f>SUM(C107:N107)</f>
        <v>14883378.060000001</v>
      </c>
      <c r="O211" s="204">
        <f>SUM(C211:N211)</f>
        <v>93383446.810000002</v>
      </c>
      <c r="W211" s="442"/>
    </row>
    <row r="212" spans="1:23">
      <c r="A212" s="198">
        <f t="shared" si="100"/>
        <v>212</v>
      </c>
      <c r="B212" s="197" t="s">
        <v>203</v>
      </c>
      <c r="C212" s="216">
        <f>+C108</f>
        <v>1742589.49</v>
      </c>
      <c r="D212" s="216">
        <f>SUM(C108:D108)</f>
        <v>2075749.24</v>
      </c>
      <c r="E212" s="216">
        <f>SUM(C108:E108)</f>
        <v>3599348.94</v>
      </c>
      <c r="F212" s="216">
        <f>SUM(C108:F108)</f>
        <v>5735948.6999999993</v>
      </c>
      <c r="G212" s="216">
        <f>SUM(C108:G108)</f>
        <v>7068838.7199999988</v>
      </c>
      <c r="H212" s="216">
        <f>SUM(C108:H108)</f>
        <v>7432828.3699999992</v>
      </c>
      <c r="I212" s="216">
        <f>SUM(C108:I108)</f>
        <v>7798908.7899999991</v>
      </c>
      <c r="J212" s="216">
        <f>SUM(C108:J108)</f>
        <v>8170278.8499999987</v>
      </c>
      <c r="K212" s="216">
        <f>SUM(C108:K108)</f>
        <v>8524918.8499999978</v>
      </c>
      <c r="L212" s="216">
        <f>SUM(C108:L108)</f>
        <v>8883469.2699999977</v>
      </c>
      <c r="M212" s="216">
        <f>SUM(C108:M108)</f>
        <v>9396879.2599999979</v>
      </c>
      <c r="N212" s="216">
        <f>SUM(C108:N108)</f>
        <v>11609819.219999999</v>
      </c>
      <c r="O212" s="216">
        <f>SUM(C212:N212)</f>
        <v>82039577.699999988</v>
      </c>
      <c r="W212" s="442"/>
    </row>
    <row r="213" spans="1:23">
      <c r="A213" s="198">
        <f t="shared" si="100"/>
        <v>213</v>
      </c>
      <c r="B213" s="219" t="s">
        <v>204</v>
      </c>
      <c r="C213" s="204">
        <f t="shared" ref="C213:N213" si="105">SUM(C211:C212)</f>
        <v>3006459.08</v>
      </c>
      <c r="D213" s="204">
        <f t="shared" si="105"/>
        <v>4506217.83</v>
      </c>
      <c r="E213" s="204">
        <f t="shared" si="105"/>
        <v>7314617.2300000004</v>
      </c>
      <c r="F213" s="204">
        <f t="shared" si="105"/>
        <v>9927866.5799999982</v>
      </c>
      <c r="G213" s="204">
        <f t="shared" si="105"/>
        <v>12290806.739999998</v>
      </c>
      <c r="H213" s="204">
        <f t="shared" si="105"/>
        <v>14129356.25</v>
      </c>
      <c r="I213" s="204">
        <f t="shared" si="105"/>
        <v>16039506.439999999</v>
      </c>
      <c r="J213" s="204">
        <f t="shared" si="105"/>
        <v>17703596.379999999</v>
      </c>
      <c r="K213" s="204">
        <f t="shared" si="105"/>
        <v>19525646.379999999</v>
      </c>
      <c r="L213" s="204">
        <f t="shared" si="105"/>
        <v>21400417.18</v>
      </c>
      <c r="M213" s="204">
        <f t="shared" si="105"/>
        <v>23085337.140000001</v>
      </c>
      <c r="N213" s="204">
        <f t="shared" si="105"/>
        <v>26493197.280000001</v>
      </c>
      <c r="O213" s="204">
        <f>SUM(C213:N213)</f>
        <v>175423024.50999996</v>
      </c>
      <c r="W213" s="442"/>
    </row>
    <row r="214" spans="1:23">
      <c r="A214" s="198">
        <f t="shared" si="100"/>
        <v>214</v>
      </c>
      <c r="B214" s="219"/>
      <c r="W214" s="442"/>
    </row>
    <row r="215" spans="1:23">
      <c r="A215" s="198">
        <f t="shared" si="100"/>
        <v>215</v>
      </c>
      <c r="B215" s="221" t="s">
        <v>205</v>
      </c>
      <c r="C215" s="222">
        <f t="shared" ref="C215:O215" si="106">+C209+C213</f>
        <v>3594514.7800000003</v>
      </c>
      <c r="D215" s="222">
        <f t="shared" si="106"/>
        <v>5482100.0999999996</v>
      </c>
      <c r="E215" s="222">
        <f t="shared" si="106"/>
        <v>8822173.8800000008</v>
      </c>
      <c r="F215" s="222">
        <f t="shared" si="106"/>
        <v>11850774.499999998</v>
      </c>
      <c r="G215" s="222">
        <f t="shared" si="106"/>
        <v>14643153.539999999</v>
      </c>
      <c r="H215" s="222">
        <f t="shared" si="106"/>
        <v>16929801.359999999</v>
      </c>
      <c r="I215" s="222">
        <f t="shared" si="106"/>
        <v>19232441.109999999</v>
      </c>
      <c r="J215" s="222">
        <f t="shared" si="106"/>
        <v>21282241.939999998</v>
      </c>
      <c r="K215" s="222">
        <f t="shared" si="106"/>
        <v>23496079.98</v>
      </c>
      <c r="L215" s="222">
        <f t="shared" si="106"/>
        <v>25720116.399999999</v>
      </c>
      <c r="M215" s="222">
        <f t="shared" si="106"/>
        <v>27882147.539999999</v>
      </c>
      <c r="N215" s="222">
        <f t="shared" si="106"/>
        <v>31765880.620000001</v>
      </c>
      <c r="O215" s="223">
        <f t="shared" si="106"/>
        <v>210701425.74999994</v>
      </c>
      <c r="W215" s="442"/>
    </row>
    <row r="216" spans="1:23">
      <c r="A216" s="198">
        <f t="shared" si="100"/>
        <v>216</v>
      </c>
      <c r="B216" s="219"/>
      <c r="W216" s="442"/>
    </row>
    <row r="217" spans="1:23">
      <c r="A217" s="198">
        <f t="shared" si="100"/>
        <v>217</v>
      </c>
      <c r="B217" s="221" t="s">
        <v>206</v>
      </c>
      <c r="C217" s="222">
        <f t="shared" ref="C217:O217" si="107">+C205+C215</f>
        <v>17957005.759999998</v>
      </c>
      <c r="D217" s="222">
        <f t="shared" si="107"/>
        <v>31750130.809999995</v>
      </c>
      <c r="E217" s="222">
        <f t="shared" si="107"/>
        <v>49054085.760000005</v>
      </c>
      <c r="F217" s="222">
        <f t="shared" si="107"/>
        <v>64551771.899999999</v>
      </c>
      <c r="G217" s="222">
        <f t="shared" si="107"/>
        <v>79647542.390000001</v>
      </c>
      <c r="H217" s="222">
        <f t="shared" si="107"/>
        <v>94242341.260000005</v>
      </c>
      <c r="I217" s="222">
        <f t="shared" si="107"/>
        <v>107880914.37</v>
      </c>
      <c r="J217" s="222">
        <f t="shared" si="107"/>
        <v>122510965.07000001</v>
      </c>
      <c r="K217" s="222">
        <f t="shared" si="107"/>
        <v>137099158.34999999</v>
      </c>
      <c r="L217" s="222">
        <f t="shared" si="107"/>
        <v>150385938.66000003</v>
      </c>
      <c r="M217" s="222">
        <f t="shared" si="107"/>
        <v>164989433.97</v>
      </c>
      <c r="N217" s="222">
        <f t="shared" si="107"/>
        <v>181630003.14000005</v>
      </c>
      <c r="O217" s="223">
        <f t="shared" si="107"/>
        <v>1201699291.4400001</v>
      </c>
      <c r="W217" s="442"/>
    </row>
    <row r="218" spans="1:23">
      <c r="W218" s="442"/>
    </row>
    <row r="219" spans="1:23">
      <c r="W219" s="442"/>
    </row>
    <row r="220" spans="1:23">
      <c r="B220" s="198" t="s">
        <v>208</v>
      </c>
      <c r="O220" s="204">
        <f>+SUM(C220:N220)</f>
        <v>0</v>
      </c>
      <c r="W220" s="442"/>
    </row>
    <row r="221" spans="1:23">
      <c r="B221" s="198" t="s">
        <v>209</v>
      </c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>
        <f>+SUM(C221:N221)</f>
        <v>0</v>
      </c>
      <c r="W221" s="442"/>
    </row>
    <row r="222" spans="1:23">
      <c r="B222" s="198" t="s">
        <v>210</v>
      </c>
      <c r="C222" s="209">
        <f t="shared" ref="C222:O222" si="108">C113-C221+C220</f>
        <v>26756358.960000012</v>
      </c>
      <c r="D222" s="209">
        <f t="shared" si="108"/>
        <v>21347226.760000035</v>
      </c>
      <c r="E222" s="209">
        <f t="shared" si="108"/>
        <v>25121438.240000021</v>
      </c>
      <c r="F222" s="209">
        <f t="shared" si="108"/>
        <v>22957533.990000013</v>
      </c>
      <c r="G222" s="209">
        <f t="shared" si="108"/>
        <v>21711027.160000011</v>
      </c>
      <c r="H222" s="209">
        <f t="shared" si="108"/>
        <v>29789504.920000035</v>
      </c>
      <c r="I222" s="209">
        <f t="shared" si="108"/>
        <v>32443757.210000001</v>
      </c>
      <c r="J222" s="209">
        <f t="shared" si="108"/>
        <v>33280725.510000028</v>
      </c>
      <c r="K222" s="209">
        <f t="shared" si="108"/>
        <v>33130154.420000017</v>
      </c>
      <c r="L222" s="209">
        <f t="shared" si="108"/>
        <v>31862701.51000002</v>
      </c>
      <c r="M222" s="209">
        <f t="shared" si="108"/>
        <v>34158903.760000028</v>
      </c>
      <c r="N222" s="209">
        <f t="shared" si="108"/>
        <v>38281712.570000045</v>
      </c>
      <c r="O222" s="209">
        <f t="shared" si="108"/>
        <v>350651819.59000027</v>
      </c>
      <c r="W222" s="442"/>
    </row>
    <row r="223" spans="1:23">
      <c r="W223" s="442"/>
    </row>
    <row r="224" spans="1:23">
      <c r="W224" s="442"/>
    </row>
    <row r="225" spans="1:23">
      <c r="A225" s="198" t="s">
        <v>208</v>
      </c>
      <c r="C225" s="233">
        <v>0</v>
      </c>
      <c r="D225" s="248">
        <v>0</v>
      </c>
      <c r="E225" s="248">
        <v>0</v>
      </c>
      <c r="F225" s="248">
        <v>0</v>
      </c>
      <c r="G225" s="248">
        <v>0</v>
      </c>
      <c r="H225" s="248">
        <v>0</v>
      </c>
      <c r="I225" s="248">
        <v>0</v>
      </c>
      <c r="J225" s="248">
        <v>0</v>
      </c>
      <c r="K225" s="248">
        <v>0</v>
      </c>
      <c r="L225" s="248">
        <v>0</v>
      </c>
      <c r="M225" s="248">
        <v>0</v>
      </c>
      <c r="N225" s="248">
        <v>0</v>
      </c>
      <c r="O225" s="248"/>
      <c r="W225" s="442"/>
    </row>
    <row r="226" spans="1:23">
      <c r="A226" s="198" t="s">
        <v>211</v>
      </c>
      <c r="N226" s="209"/>
      <c r="W226" s="442"/>
    </row>
    <row r="227" spans="1:23">
      <c r="A227" s="198" t="s">
        <v>212</v>
      </c>
      <c r="W227" s="442"/>
    </row>
    <row r="228" spans="1:23">
      <c r="W228" s="442"/>
    </row>
    <row r="229" spans="1:23">
      <c r="W229" s="442"/>
    </row>
    <row r="230" spans="1:23">
      <c r="B230" s="264" t="s">
        <v>285</v>
      </c>
      <c r="C230" s="268">
        <v>6115.71</v>
      </c>
      <c r="D230" s="268">
        <v>5469.02</v>
      </c>
      <c r="E230" s="268">
        <v>4098.21</v>
      </c>
      <c r="F230" s="268">
        <v>4518.4799999999996</v>
      </c>
      <c r="G230" s="268">
        <v>3016.12</v>
      </c>
      <c r="H230" s="268">
        <v>2258.8000000000002</v>
      </c>
      <c r="I230" s="268">
        <v>1071.99</v>
      </c>
      <c r="J230" s="268">
        <v>1105.19</v>
      </c>
      <c r="K230" s="268">
        <v>1341.2500000000002</v>
      </c>
      <c r="L230" s="268">
        <v>1070.3400000000001</v>
      </c>
      <c r="M230" s="268">
        <v>1776.44</v>
      </c>
      <c r="N230" s="268">
        <v>5841.32</v>
      </c>
      <c r="O230" s="268">
        <v>37682.870000000003</v>
      </c>
      <c r="P230" s="264"/>
      <c r="Q230" s="264" t="s">
        <v>5</v>
      </c>
      <c r="R230" s="264" t="s">
        <v>285</v>
      </c>
      <c r="S230" s="264"/>
      <c r="T230" s="264" t="s">
        <v>723</v>
      </c>
      <c r="U230" s="269">
        <f>MAX(C230:N230)</f>
        <v>6115.71</v>
      </c>
      <c r="V230" s="269">
        <f>IFERROR(INDEX($C$1:$N$1,MATCH(U230,C230:N230,0)),0)</f>
        <v>1</v>
      </c>
      <c r="W230" s="264" t="s">
        <v>5</v>
      </c>
    </row>
    <row r="231" spans="1:23">
      <c r="B231" s="264" t="s">
        <v>286</v>
      </c>
      <c r="C231" s="268">
        <v>1828.26</v>
      </c>
      <c r="D231" s="268">
        <v>1624.87</v>
      </c>
      <c r="E231" s="268">
        <v>1537.32</v>
      </c>
      <c r="F231" s="268">
        <v>1592.31</v>
      </c>
      <c r="G231" s="268">
        <v>1530.02</v>
      </c>
      <c r="H231" s="268">
        <v>1700</v>
      </c>
      <c r="I231" s="268">
        <v>1388.44</v>
      </c>
      <c r="J231" s="268">
        <v>1580.23</v>
      </c>
      <c r="K231" s="268">
        <v>1526.0900000000001</v>
      </c>
      <c r="L231" s="268">
        <v>1382.84</v>
      </c>
      <c r="M231" s="268">
        <v>1698.3200000000002</v>
      </c>
      <c r="N231" s="268">
        <v>1648.4900000000002</v>
      </c>
      <c r="O231" s="268">
        <v>19037.189999999999</v>
      </c>
      <c r="P231" s="264"/>
      <c r="Q231" s="264" t="s">
        <v>5</v>
      </c>
      <c r="R231" s="264" t="s">
        <v>286</v>
      </c>
      <c r="S231" s="264"/>
      <c r="T231" s="264" t="s">
        <v>723</v>
      </c>
      <c r="U231" s="269">
        <f>MAX(C231:N231)</f>
        <v>1828.26</v>
      </c>
      <c r="V231" s="269">
        <f>IFERROR(INDEX($C$1:$N$1,MATCH(U231,C231:N231,0)),0)</f>
        <v>1</v>
      </c>
      <c r="W231" s="264" t="s">
        <v>5</v>
      </c>
    </row>
    <row r="232" spans="1:23">
      <c r="B232" s="264" t="s">
        <v>289</v>
      </c>
      <c r="C232" s="268">
        <v>85.68</v>
      </c>
      <c r="D232" s="268">
        <v>115.98</v>
      </c>
      <c r="E232" s="268">
        <v>39.01</v>
      </c>
      <c r="F232" s="268">
        <v>40.909999999999997</v>
      </c>
      <c r="G232" s="268">
        <v>10.41</v>
      </c>
      <c r="H232" s="268">
        <v>8.32</v>
      </c>
      <c r="I232" s="268">
        <v>10.4</v>
      </c>
      <c r="J232" s="268">
        <v>16.649999999999999</v>
      </c>
      <c r="K232" s="268">
        <v>3.12</v>
      </c>
      <c r="L232" s="268">
        <v>540.79999999999995</v>
      </c>
      <c r="M232" s="268">
        <v>0</v>
      </c>
      <c r="N232" s="268">
        <v>58.18</v>
      </c>
      <c r="O232" s="268">
        <v>929.46</v>
      </c>
      <c r="P232" s="264"/>
      <c r="Q232" s="264" t="s">
        <v>5</v>
      </c>
      <c r="R232" s="264" t="s">
        <v>285</v>
      </c>
      <c r="S232" s="264"/>
      <c r="T232" s="264" t="s">
        <v>723</v>
      </c>
      <c r="U232" s="269">
        <f>MAX(C232:N232)</f>
        <v>540.79999999999995</v>
      </c>
      <c r="V232" s="269">
        <f>IFERROR(INDEX($C$1:$N$1,MATCH(U232,C232:N232,0)),0)</f>
        <v>10</v>
      </c>
      <c r="W232" s="264" t="s">
        <v>5</v>
      </c>
    </row>
    <row r="233" spans="1:23">
      <c r="B233" s="264" t="s">
        <v>290</v>
      </c>
      <c r="C233" s="268">
        <v>481.52</v>
      </c>
      <c r="D233" s="268">
        <v>715.52</v>
      </c>
      <c r="E233" s="268">
        <v>634.4</v>
      </c>
      <c r="F233" s="268">
        <v>637.52</v>
      </c>
      <c r="G233" s="268">
        <v>703.04</v>
      </c>
      <c r="H233" s="268">
        <v>392.08</v>
      </c>
      <c r="I233" s="268">
        <v>239.2</v>
      </c>
      <c r="J233" s="268">
        <v>350.48</v>
      </c>
      <c r="K233" s="268">
        <v>670.8</v>
      </c>
      <c r="L233" s="268">
        <v>523.12</v>
      </c>
      <c r="M233" s="268">
        <v>652.08000000000004</v>
      </c>
      <c r="N233" s="268">
        <v>650</v>
      </c>
      <c r="O233" s="268">
        <v>6649.76</v>
      </c>
      <c r="P233" s="264"/>
      <c r="Q233" s="264" t="s">
        <v>5</v>
      </c>
      <c r="R233" s="264" t="s">
        <v>286</v>
      </c>
      <c r="S233" s="264"/>
      <c r="T233" s="264" t="s">
        <v>723</v>
      </c>
      <c r="U233" s="269">
        <f>MAX(C233:N233)</f>
        <v>715.52</v>
      </c>
      <c r="V233" s="269">
        <f>IFERROR(INDEX($C$1:$N$1,MATCH(U233,C233:N233,0)),0)</f>
        <v>2</v>
      </c>
      <c r="W233" s="264" t="s">
        <v>5</v>
      </c>
    </row>
    <row r="234" spans="1:23">
      <c r="W234" s="442"/>
    </row>
    <row r="235" spans="1:23">
      <c r="W235" s="442"/>
    </row>
    <row r="236" spans="1:23">
      <c r="W236" s="442"/>
    </row>
    <row r="237" spans="1:23">
      <c r="W237" s="442"/>
    </row>
    <row r="238" spans="1:23">
      <c r="W238" s="442"/>
    </row>
    <row r="239" spans="1:23">
      <c r="W239" s="442"/>
    </row>
    <row r="240" spans="1:23">
      <c r="W240" s="442"/>
    </row>
    <row r="241" spans="21:23" ht="12.75">
      <c r="U241" s="439"/>
      <c r="V241" s="75"/>
      <c r="W241" s="442"/>
    </row>
    <row r="242" spans="21:23" ht="12.75">
      <c r="U242" s="439"/>
      <c r="V242" s="75"/>
      <c r="W242" s="442"/>
    </row>
    <row r="243" spans="21:23" ht="12.75">
      <c r="U243" s="439"/>
      <c r="V243" s="75"/>
      <c r="W243" s="442"/>
    </row>
    <row r="244" spans="21:23" ht="12.75">
      <c r="U244" s="439"/>
      <c r="V244" s="75"/>
      <c r="W244" s="442"/>
    </row>
    <row r="245" spans="21:23" ht="12.75">
      <c r="U245" s="439"/>
      <c r="V245" s="75"/>
      <c r="W245" s="442"/>
    </row>
    <row r="246" spans="21:23" ht="12.75">
      <c r="U246" s="439"/>
      <c r="V246" s="75"/>
      <c r="W246" s="442"/>
    </row>
    <row r="247" spans="21:23" ht="12.75">
      <c r="U247" s="439"/>
      <c r="V247" s="75"/>
      <c r="W247" s="442"/>
    </row>
    <row r="248" spans="21:23" ht="12.75">
      <c r="U248" s="439"/>
      <c r="V248" s="75"/>
      <c r="W248" s="442"/>
    </row>
    <row r="249" spans="21:23" ht="12.75">
      <c r="U249" s="439"/>
      <c r="V249" s="75"/>
      <c r="W249" s="442"/>
    </row>
    <row r="250" spans="21:23" ht="12.75">
      <c r="U250" s="439"/>
      <c r="V250" s="75"/>
      <c r="W250" s="442"/>
    </row>
    <row r="251" spans="21:23" ht="12.75">
      <c r="U251" s="439"/>
      <c r="V251" s="75"/>
      <c r="W251" s="442"/>
    </row>
    <row r="252" spans="21:23" ht="12.75">
      <c r="U252" s="439"/>
      <c r="V252" s="75"/>
      <c r="W252" s="442"/>
    </row>
  </sheetData>
  <pageMargins left="0.5" right="0.5" top="0.5" bottom="0.5" header="1" footer="0"/>
  <pageSetup scale="55" fitToHeight="2" orientation="landscape" r:id="rId1"/>
  <headerFooter alignWithMargins="0"/>
  <rowBreaks count="2" manualBreakCount="2">
    <brk id="99" max="16" man="1"/>
    <brk id="182" max="16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6670-A3BD-40BA-AB59-D3948D9809F3}">
  <sheetPr codeName="Sheet42">
    <tabColor theme="0" tint="-0.34998626667073579"/>
  </sheetPr>
  <dimension ref="A1:W257"/>
  <sheetViews>
    <sheetView workbookViewId="0"/>
  </sheetViews>
  <sheetFormatPr defaultColWidth="9.140625" defaultRowHeight="12.75"/>
  <cols>
    <col min="1" max="1" width="4.140625" style="97" bestFit="1" customWidth="1"/>
    <col min="2" max="2" width="29.7109375" style="97" bestFit="1" customWidth="1"/>
    <col min="3" max="3" width="7.5703125" style="97" bestFit="1" customWidth="1"/>
    <col min="4" max="4" width="7.5703125" style="97" customWidth="1"/>
    <col min="5" max="14" width="7.5703125" style="97" bestFit="1" customWidth="1"/>
    <col min="15" max="15" width="8.5703125" style="97" bestFit="1" customWidth="1"/>
    <col min="16" max="17" width="9.140625" style="97"/>
    <col min="18" max="18" width="9.140625" style="274" bestFit="1" customWidth="1"/>
    <col min="19" max="19" width="25.85546875" style="97" customWidth="1"/>
    <col min="20" max="20" width="9.140625" style="97"/>
    <col min="21" max="21" width="9.140625" style="198"/>
    <col min="22" max="16384" width="9.140625" style="97"/>
  </cols>
  <sheetData>
    <row r="1" spans="1:23" ht="13.5" thickBot="1">
      <c r="B1" s="270" t="s">
        <v>213</v>
      </c>
      <c r="C1" s="251">
        <v>1</v>
      </c>
      <c r="D1" s="251">
        <v>2</v>
      </c>
      <c r="E1" s="251">
        <v>3</v>
      </c>
      <c r="F1" s="251">
        <v>4</v>
      </c>
      <c r="G1" s="251">
        <v>5</v>
      </c>
      <c r="H1" s="251">
        <v>6</v>
      </c>
      <c r="I1" s="251">
        <v>7</v>
      </c>
      <c r="J1" s="251">
        <v>8</v>
      </c>
      <c r="K1" s="251">
        <v>9</v>
      </c>
      <c r="L1" s="251">
        <v>10</v>
      </c>
      <c r="M1" s="251">
        <v>11</v>
      </c>
      <c r="N1" s="251">
        <v>12</v>
      </c>
      <c r="O1" s="251" t="s">
        <v>121</v>
      </c>
      <c r="R1" s="271" t="s">
        <v>214</v>
      </c>
    </row>
    <row r="2" spans="1:23" ht="13.5" thickBot="1">
      <c r="A2" s="97">
        <v>2</v>
      </c>
      <c r="B2" s="272" t="s">
        <v>215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Q2" s="250"/>
      <c r="R2" s="271" t="s">
        <v>216</v>
      </c>
      <c r="S2" s="250"/>
    </row>
    <row r="3" spans="1:23">
      <c r="A3" s="97">
        <f t="shared" ref="A3:A66" si="0">+A2+1</f>
        <v>3</v>
      </c>
      <c r="B3" s="275" t="s">
        <v>123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Q3" s="251"/>
      <c r="R3" s="273"/>
      <c r="S3" s="251"/>
    </row>
    <row r="4" spans="1:23">
      <c r="A4" s="97">
        <f t="shared" si="0"/>
        <v>4</v>
      </c>
      <c r="B4" s="276" t="s">
        <v>100</v>
      </c>
      <c r="C4" s="277">
        <v>1167</v>
      </c>
      <c r="D4" s="277">
        <v>1165</v>
      </c>
      <c r="E4" s="277">
        <v>1165</v>
      </c>
      <c r="F4" s="277">
        <v>1163</v>
      </c>
      <c r="G4" s="277">
        <v>1152</v>
      </c>
      <c r="H4" s="277">
        <v>1151</v>
      </c>
      <c r="I4" s="277">
        <v>1149</v>
      </c>
      <c r="J4" s="277">
        <v>1147</v>
      </c>
      <c r="K4" s="277">
        <v>1137</v>
      </c>
      <c r="L4" s="277">
        <v>1136</v>
      </c>
      <c r="M4" s="277">
        <v>1139</v>
      </c>
      <c r="N4" s="277">
        <v>1145</v>
      </c>
      <c r="O4" s="274">
        <f>AVERAGE(C4:N4)</f>
        <v>1151.3333333333333</v>
      </c>
      <c r="Q4" s="97" t="s">
        <v>8</v>
      </c>
      <c r="R4" s="274">
        <f>+SUM(C4:N4)</f>
        <v>13816</v>
      </c>
      <c r="S4" s="249" t="str">
        <f t="shared" ref="S4:S10" si="1">CONCATENATE(Q4," - ",B4," R")</f>
        <v>CFG - FTS-A R</v>
      </c>
      <c r="T4" s="249"/>
      <c r="U4" s="198" t="s">
        <v>0</v>
      </c>
    </row>
    <row r="5" spans="1:23">
      <c r="A5" s="97">
        <f t="shared" si="0"/>
        <v>5</v>
      </c>
      <c r="B5" s="276" t="s">
        <v>101</v>
      </c>
      <c r="C5" s="277">
        <v>2273</v>
      </c>
      <c r="D5" s="277">
        <v>2281</v>
      </c>
      <c r="E5" s="277">
        <v>2279</v>
      </c>
      <c r="F5" s="277">
        <v>2282</v>
      </c>
      <c r="G5" s="277">
        <v>2261</v>
      </c>
      <c r="H5" s="277">
        <v>2240</v>
      </c>
      <c r="I5" s="277">
        <v>2252</v>
      </c>
      <c r="J5" s="277">
        <v>2240</v>
      </c>
      <c r="K5" s="277">
        <v>2246</v>
      </c>
      <c r="L5" s="277">
        <v>2227</v>
      </c>
      <c r="M5" s="277">
        <v>2223</v>
      </c>
      <c r="N5" s="277">
        <v>2241</v>
      </c>
      <c r="O5" s="274">
        <f t="shared" ref="O5:O10" si="2">AVERAGE(C5:N5)</f>
        <v>2253.75</v>
      </c>
      <c r="Q5" s="97" t="s">
        <v>8</v>
      </c>
      <c r="R5" s="274">
        <f t="shared" ref="R5:R15" si="3">+SUM(C5:N5)</f>
        <v>27045</v>
      </c>
      <c r="S5" s="249" t="str">
        <f t="shared" si="1"/>
        <v>CFG - FTS-B R</v>
      </c>
      <c r="T5" s="274"/>
      <c r="U5" s="198" t="s">
        <v>0</v>
      </c>
    </row>
    <row r="6" spans="1:23">
      <c r="A6" s="97">
        <f t="shared" si="0"/>
        <v>6</v>
      </c>
      <c r="B6" s="276" t="s">
        <v>102</v>
      </c>
      <c r="C6" s="277">
        <v>11943</v>
      </c>
      <c r="D6" s="277">
        <v>12032</v>
      </c>
      <c r="E6" s="277">
        <v>12117</v>
      </c>
      <c r="F6" s="277">
        <v>12258</v>
      </c>
      <c r="G6" s="277">
        <v>12256</v>
      </c>
      <c r="H6" s="277">
        <v>12307</v>
      </c>
      <c r="I6" s="277">
        <v>12350</v>
      </c>
      <c r="J6" s="277">
        <v>12468</v>
      </c>
      <c r="K6" s="277">
        <v>12502</v>
      </c>
      <c r="L6" s="277">
        <v>12535</v>
      </c>
      <c r="M6" s="277">
        <v>12636</v>
      </c>
      <c r="N6" s="277">
        <v>12704</v>
      </c>
      <c r="O6" s="274">
        <f t="shared" si="2"/>
        <v>12342.333333333334</v>
      </c>
      <c r="Q6" s="97" t="s">
        <v>8</v>
      </c>
      <c r="R6" s="274">
        <f t="shared" si="3"/>
        <v>148108</v>
      </c>
      <c r="S6" s="249" t="str">
        <f t="shared" si="1"/>
        <v>CFG - FTS-1 R</v>
      </c>
      <c r="U6" s="198" t="s">
        <v>0</v>
      </c>
    </row>
    <row r="7" spans="1:23">
      <c r="A7" s="97">
        <f t="shared" si="0"/>
        <v>7</v>
      </c>
      <c r="B7" s="276" t="s">
        <v>103</v>
      </c>
      <c r="C7" s="277">
        <v>731</v>
      </c>
      <c r="D7" s="277">
        <v>728</v>
      </c>
      <c r="E7" s="277">
        <v>724</v>
      </c>
      <c r="F7" s="277">
        <v>731</v>
      </c>
      <c r="G7" s="277">
        <v>731</v>
      </c>
      <c r="H7" s="277">
        <v>729</v>
      </c>
      <c r="I7" s="277">
        <v>723</v>
      </c>
      <c r="J7" s="277">
        <v>727</v>
      </c>
      <c r="K7" s="277">
        <v>728</v>
      </c>
      <c r="L7" s="277">
        <v>730</v>
      </c>
      <c r="M7" s="277">
        <v>729</v>
      </c>
      <c r="N7" s="277">
        <v>731</v>
      </c>
      <c r="O7" s="274">
        <f t="shared" si="2"/>
        <v>728.5</v>
      </c>
      <c r="Q7" s="97" t="s">
        <v>8</v>
      </c>
      <c r="R7" s="274">
        <f t="shared" si="3"/>
        <v>8742</v>
      </c>
      <c r="S7" s="249" t="str">
        <f t="shared" si="1"/>
        <v>CFG - FTS-2 R</v>
      </c>
      <c r="U7" s="198" t="s">
        <v>0</v>
      </c>
    </row>
    <row r="8" spans="1:23">
      <c r="A8" s="97">
        <f t="shared" si="0"/>
        <v>8</v>
      </c>
      <c r="B8" s="276" t="s">
        <v>104</v>
      </c>
      <c r="C8" s="277">
        <v>482</v>
      </c>
      <c r="D8" s="277">
        <v>480</v>
      </c>
      <c r="E8" s="277">
        <v>482</v>
      </c>
      <c r="F8" s="277">
        <v>481</v>
      </c>
      <c r="G8" s="277">
        <v>484</v>
      </c>
      <c r="H8" s="277">
        <v>481</v>
      </c>
      <c r="I8" s="277">
        <v>489</v>
      </c>
      <c r="J8" s="277">
        <v>483</v>
      </c>
      <c r="K8" s="277">
        <v>483</v>
      </c>
      <c r="L8" s="277">
        <v>483</v>
      </c>
      <c r="M8" s="277">
        <v>482</v>
      </c>
      <c r="N8" s="277">
        <v>479</v>
      </c>
      <c r="O8" s="274">
        <f t="shared" si="2"/>
        <v>482.41666666666669</v>
      </c>
      <c r="Q8" s="97" t="s">
        <v>8</v>
      </c>
      <c r="R8" s="274">
        <f t="shared" si="3"/>
        <v>5789</v>
      </c>
      <c r="S8" s="249" t="str">
        <f t="shared" si="1"/>
        <v>CFG - FTS-2.1 R</v>
      </c>
      <c r="T8" s="249"/>
      <c r="U8" s="198" t="s">
        <v>0</v>
      </c>
      <c r="W8" s="278"/>
    </row>
    <row r="9" spans="1:23">
      <c r="A9" s="97">
        <f t="shared" si="0"/>
        <v>9</v>
      </c>
      <c r="B9" s="279" t="s">
        <v>105</v>
      </c>
      <c r="C9" s="277">
        <v>16</v>
      </c>
      <c r="D9" s="277">
        <v>16</v>
      </c>
      <c r="E9" s="277">
        <v>16</v>
      </c>
      <c r="F9" s="277">
        <v>16</v>
      </c>
      <c r="G9" s="277">
        <v>16</v>
      </c>
      <c r="H9" s="277">
        <v>16</v>
      </c>
      <c r="I9" s="277">
        <v>17</v>
      </c>
      <c r="J9" s="277">
        <v>16</v>
      </c>
      <c r="K9" s="277">
        <v>16</v>
      </c>
      <c r="L9" s="277">
        <v>16</v>
      </c>
      <c r="M9" s="277">
        <v>16</v>
      </c>
      <c r="N9" s="277">
        <v>16</v>
      </c>
      <c r="O9" s="274">
        <f t="shared" si="2"/>
        <v>16.083333333333332</v>
      </c>
      <c r="Q9" s="97" t="s">
        <v>8</v>
      </c>
      <c r="R9" s="274">
        <f t="shared" si="3"/>
        <v>193</v>
      </c>
      <c r="S9" s="249" t="str">
        <f t="shared" si="1"/>
        <v>CFG - FTS-3 R</v>
      </c>
      <c r="T9" s="274"/>
      <c r="U9" s="198" t="s">
        <v>0</v>
      </c>
    </row>
    <row r="10" spans="1:23">
      <c r="A10" s="97">
        <f t="shared" si="0"/>
        <v>10</v>
      </c>
      <c r="B10" s="279" t="s">
        <v>106</v>
      </c>
      <c r="C10" s="277">
        <v>0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4">
        <f t="shared" si="2"/>
        <v>0</v>
      </c>
      <c r="Q10" s="97" t="s">
        <v>8</v>
      </c>
      <c r="R10" s="274">
        <f t="shared" si="3"/>
        <v>0</v>
      </c>
      <c r="S10" s="249" t="str">
        <f t="shared" si="1"/>
        <v>CFG - FTS-3.1 R</v>
      </c>
      <c r="U10" s="198" t="s">
        <v>0</v>
      </c>
    </row>
    <row r="11" spans="1:23">
      <c r="A11" s="97">
        <f t="shared" si="0"/>
        <v>11</v>
      </c>
      <c r="B11" s="279" t="s">
        <v>126</v>
      </c>
      <c r="C11" s="277">
        <v>55006</v>
      </c>
      <c r="D11" s="277">
        <v>55048</v>
      </c>
      <c r="E11" s="277">
        <v>55195</v>
      </c>
      <c r="F11" s="277">
        <v>55660</v>
      </c>
      <c r="G11" s="277">
        <v>55411</v>
      </c>
      <c r="H11" s="277">
        <v>55894</v>
      </c>
      <c r="I11" s="277">
        <v>56537</v>
      </c>
      <c r="J11" s="277">
        <v>56011</v>
      </c>
      <c r="K11" s="277">
        <v>56132</v>
      </c>
      <c r="L11" s="277">
        <v>56111</v>
      </c>
      <c r="M11" s="277">
        <v>56466</v>
      </c>
      <c r="N11" s="277">
        <v>56785</v>
      </c>
      <c r="O11" s="274">
        <f>AVERAGE(C11:N11)</f>
        <v>55854.666666666664</v>
      </c>
      <c r="Q11" s="97" t="s">
        <v>7</v>
      </c>
      <c r="R11" s="274">
        <f t="shared" si="3"/>
        <v>670256</v>
      </c>
      <c r="S11" s="249" t="str">
        <f>CONCATENATE(Q11," - ",B11)</f>
        <v>FPU - FPU - RS</v>
      </c>
      <c r="T11" s="249"/>
      <c r="U11" s="198" t="s">
        <v>0</v>
      </c>
      <c r="W11" s="278"/>
    </row>
    <row r="12" spans="1:23">
      <c r="A12" s="97">
        <f t="shared" si="0"/>
        <v>12</v>
      </c>
      <c r="B12" s="279" t="s">
        <v>128</v>
      </c>
      <c r="C12" s="277">
        <v>504</v>
      </c>
      <c r="D12" s="277">
        <v>514</v>
      </c>
      <c r="E12" s="277">
        <v>515</v>
      </c>
      <c r="F12" s="277">
        <v>533</v>
      </c>
      <c r="G12" s="277">
        <v>783</v>
      </c>
      <c r="H12" s="277">
        <v>531</v>
      </c>
      <c r="I12" s="277">
        <v>541</v>
      </c>
      <c r="J12" s="277">
        <v>551</v>
      </c>
      <c r="K12" s="277">
        <v>558</v>
      </c>
      <c r="L12" s="277">
        <v>676</v>
      </c>
      <c r="M12" s="277">
        <v>562</v>
      </c>
      <c r="N12" s="277">
        <v>559</v>
      </c>
      <c r="O12" s="274">
        <f>AVERAGE(C12:N12)</f>
        <v>568.91666666666663</v>
      </c>
      <c r="Q12" s="97" t="s">
        <v>7</v>
      </c>
      <c r="R12" s="274">
        <f t="shared" si="3"/>
        <v>6827</v>
      </c>
      <c r="S12" s="249" t="str">
        <f>CONCATENATE(Q12," - ",B12)</f>
        <v>FPU - FPU - RS-GS</v>
      </c>
      <c r="T12" s="274"/>
      <c r="U12" s="198" t="s">
        <v>0</v>
      </c>
    </row>
    <row r="13" spans="1:23">
      <c r="A13" s="97">
        <f t="shared" si="0"/>
        <v>13</v>
      </c>
      <c r="B13" s="279" t="s">
        <v>98</v>
      </c>
      <c r="C13" s="277">
        <v>564</v>
      </c>
      <c r="D13" s="277">
        <v>568</v>
      </c>
      <c r="E13" s="277">
        <v>567</v>
      </c>
      <c r="F13" s="277">
        <v>570</v>
      </c>
      <c r="G13" s="277">
        <v>561</v>
      </c>
      <c r="H13" s="277">
        <v>558</v>
      </c>
      <c r="I13" s="277">
        <v>554</v>
      </c>
      <c r="J13" s="277">
        <v>554</v>
      </c>
      <c r="K13" s="277">
        <v>553</v>
      </c>
      <c r="L13" s="277">
        <v>556</v>
      </c>
      <c r="M13" s="277">
        <v>554</v>
      </c>
      <c r="N13" s="277">
        <v>561</v>
      </c>
      <c r="O13" s="274">
        <f>AVERAGE(C13:N13)</f>
        <v>560</v>
      </c>
      <c r="Q13" s="97" t="s">
        <v>5</v>
      </c>
      <c r="R13" s="274">
        <f t="shared" si="3"/>
        <v>6720</v>
      </c>
      <c r="S13" s="249" t="str">
        <f>CONCATENATE(Q13," - ",B13)</f>
        <v>FT - FT-RS</v>
      </c>
      <c r="T13" s="274"/>
      <c r="U13" s="198" t="s">
        <v>0</v>
      </c>
      <c r="W13" s="278"/>
    </row>
    <row r="14" spans="1:23">
      <c r="A14" s="97">
        <f t="shared" si="0"/>
        <v>14</v>
      </c>
      <c r="B14" s="279" t="s">
        <v>93</v>
      </c>
      <c r="C14" s="277">
        <v>669</v>
      </c>
      <c r="D14" s="277">
        <v>667</v>
      </c>
      <c r="E14" s="277">
        <v>670</v>
      </c>
      <c r="F14" s="277">
        <v>670</v>
      </c>
      <c r="G14" s="277">
        <v>669</v>
      </c>
      <c r="H14" s="277">
        <v>671</v>
      </c>
      <c r="I14" s="277">
        <v>669</v>
      </c>
      <c r="J14" s="277">
        <v>669</v>
      </c>
      <c r="K14" s="277">
        <v>667</v>
      </c>
      <c r="L14" s="277">
        <v>674</v>
      </c>
      <c r="M14" s="277">
        <v>671</v>
      </c>
      <c r="N14" s="277">
        <v>666</v>
      </c>
      <c r="O14" s="274">
        <f>AVERAGE(C14:N14)</f>
        <v>669.33333333333337</v>
      </c>
      <c r="Q14" s="97" t="s">
        <v>4</v>
      </c>
      <c r="R14" s="274">
        <f t="shared" si="3"/>
        <v>8032</v>
      </c>
      <c r="S14" s="249" t="str">
        <f>CONCATENATE(Q14," - ",B14)</f>
        <v>IGC - IGC - TS1</v>
      </c>
      <c r="U14" s="198" t="s">
        <v>0</v>
      </c>
      <c r="W14" s="278"/>
    </row>
    <row r="15" spans="1:23">
      <c r="A15" s="97">
        <f t="shared" si="0"/>
        <v>15</v>
      </c>
      <c r="B15" s="280" t="s">
        <v>131</v>
      </c>
      <c r="C15" s="281">
        <f>SUM(C4:C14)</f>
        <v>73355</v>
      </c>
      <c r="D15" s="281">
        <f t="shared" ref="D15:N15" si="4">SUM(D4:D14)</f>
        <v>73499</v>
      </c>
      <c r="E15" s="281">
        <f t="shared" si="4"/>
        <v>73730</v>
      </c>
      <c r="F15" s="281">
        <f t="shared" si="4"/>
        <v>74364</v>
      </c>
      <c r="G15" s="281">
        <f t="shared" si="4"/>
        <v>74324</v>
      </c>
      <c r="H15" s="281">
        <f t="shared" si="4"/>
        <v>74578</v>
      </c>
      <c r="I15" s="281">
        <f t="shared" si="4"/>
        <v>75281</v>
      </c>
      <c r="J15" s="281">
        <f t="shared" si="4"/>
        <v>74866</v>
      </c>
      <c r="K15" s="281">
        <f t="shared" si="4"/>
        <v>75022</v>
      </c>
      <c r="L15" s="281">
        <f t="shared" si="4"/>
        <v>75144</v>
      </c>
      <c r="M15" s="281">
        <f t="shared" si="4"/>
        <v>75478</v>
      </c>
      <c r="N15" s="281">
        <f t="shared" si="4"/>
        <v>75887</v>
      </c>
      <c r="O15" s="281">
        <f>+SUM(O4:O14)</f>
        <v>74627.333333333328</v>
      </c>
      <c r="R15" s="274">
        <f t="shared" si="3"/>
        <v>895528</v>
      </c>
      <c r="T15" s="249"/>
      <c r="W15" s="278"/>
    </row>
    <row r="16" spans="1:23">
      <c r="A16" s="97">
        <f t="shared" si="0"/>
        <v>16</v>
      </c>
      <c r="B16" s="275" t="s">
        <v>132</v>
      </c>
      <c r="C16" s="274"/>
      <c r="D16" s="282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T16" s="249"/>
    </row>
    <row r="17" spans="1:21">
      <c r="A17" s="97">
        <f t="shared" si="0"/>
        <v>17</v>
      </c>
      <c r="B17" s="276" t="s">
        <v>100</v>
      </c>
      <c r="C17" s="277">
        <v>34</v>
      </c>
      <c r="D17" s="277">
        <v>34</v>
      </c>
      <c r="E17" s="277">
        <v>35</v>
      </c>
      <c r="F17" s="277">
        <v>34</v>
      </c>
      <c r="G17" s="277">
        <v>31</v>
      </c>
      <c r="H17" s="277">
        <v>30</v>
      </c>
      <c r="I17" s="277">
        <v>29</v>
      </c>
      <c r="J17" s="277">
        <v>30</v>
      </c>
      <c r="K17" s="277">
        <v>28</v>
      </c>
      <c r="L17" s="277">
        <v>31</v>
      </c>
      <c r="M17" s="277">
        <v>32</v>
      </c>
      <c r="N17" s="277">
        <v>33</v>
      </c>
      <c r="O17" s="274">
        <f t="shared" ref="O17:O24" si="5">AVERAGE(C17:N17)</f>
        <v>31.75</v>
      </c>
      <c r="Q17" s="97" t="s">
        <v>8</v>
      </c>
      <c r="R17" s="274">
        <f t="shared" ref="R17:R24" si="6">+SUM(C17:N17)</f>
        <v>381</v>
      </c>
      <c r="S17" s="249" t="str">
        <f t="shared" ref="S17:S23" si="7">CONCATENATE(Q17," - ",B17," - ",T17)</f>
        <v>CFG - FTS-A - Fixed R</v>
      </c>
      <c r="T17" s="97" t="s">
        <v>133</v>
      </c>
      <c r="U17" s="198" t="s">
        <v>0</v>
      </c>
    </row>
    <row r="18" spans="1:21">
      <c r="A18" s="97">
        <f t="shared" si="0"/>
        <v>18</v>
      </c>
      <c r="B18" s="276" t="s">
        <v>101</v>
      </c>
      <c r="C18" s="277">
        <v>61</v>
      </c>
      <c r="D18" s="277">
        <v>62</v>
      </c>
      <c r="E18" s="277">
        <v>61</v>
      </c>
      <c r="F18" s="277">
        <v>62</v>
      </c>
      <c r="G18" s="277">
        <v>62</v>
      </c>
      <c r="H18" s="277">
        <v>62</v>
      </c>
      <c r="I18" s="277">
        <v>61</v>
      </c>
      <c r="J18" s="277">
        <v>60</v>
      </c>
      <c r="K18" s="277">
        <v>60</v>
      </c>
      <c r="L18" s="277">
        <v>63</v>
      </c>
      <c r="M18" s="277">
        <v>62</v>
      </c>
      <c r="N18" s="277">
        <v>64</v>
      </c>
      <c r="O18" s="274">
        <f t="shared" si="5"/>
        <v>61.666666666666664</v>
      </c>
      <c r="Q18" s="97" t="s">
        <v>8</v>
      </c>
      <c r="R18" s="274">
        <f t="shared" si="6"/>
        <v>740</v>
      </c>
      <c r="S18" s="249" t="str">
        <f t="shared" si="7"/>
        <v>CFG - FTS-B - Fixed R</v>
      </c>
      <c r="T18" s="97" t="s">
        <v>133</v>
      </c>
      <c r="U18" s="198" t="s">
        <v>0</v>
      </c>
    </row>
    <row r="19" spans="1:21">
      <c r="A19" s="97">
        <f t="shared" si="0"/>
        <v>19</v>
      </c>
      <c r="B19" s="276" t="s">
        <v>102</v>
      </c>
      <c r="C19" s="277">
        <v>166</v>
      </c>
      <c r="D19" s="277">
        <v>166</v>
      </c>
      <c r="E19" s="277">
        <v>165</v>
      </c>
      <c r="F19" s="277">
        <v>164</v>
      </c>
      <c r="G19" s="277">
        <v>165</v>
      </c>
      <c r="H19" s="277">
        <v>166</v>
      </c>
      <c r="I19" s="277">
        <v>168</v>
      </c>
      <c r="J19" s="277">
        <v>168</v>
      </c>
      <c r="K19" s="277">
        <v>167</v>
      </c>
      <c r="L19" s="277">
        <v>167</v>
      </c>
      <c r="M19" s="277">
        <v>167</v>
      </c>
      <c r="N19" s="277">
        <v>167</v>
      </c>
      <c r="O19" s="274">
        <f t="shared" si="5"/>
        <v>166.33333333333334</v>
      </c>
      <c r="Q19" s="97" t="s">
        <v>8</v>
      </c>
      <c r="R19" s="274">
        <f t="shared" si="6"/>
        <v>1996</v>
      </c>
      <c r="S19" s="249" t="str">
        <f>CONCATENATE(Q19," - ",B19," - ",T19)</f>
        <v>CFG - FTS-1 - Fixed R</v>
      </c>
      <c r="T19" s="97" t="s">
        <v>133</v>
      </c>
      <c r="U19" s="198" t="s">
        <v>0</v>
      </c>
    </row>
    <row r="20" spans="1:21">
      <c r="A20" s="97">
        <f t="shared" si="0"/>
        <v>20</v>
      </c>
      <c r="B20" s="276" t="s">
        <v>103</v>
      </c>
      <c r="C20" s="277">
        <v>19</v>
      </c>
      <c r="D20" s="277">
        <v>19</v>
      </c>
      <c r="E20" s="277">
        <v>19</v>
      </c>
      <c r="F20" s="277">
        <v>19</v>
      </c>
      <c r="G20" s="277">
        <v>19</v>
      </c>
      <c r="H20" s="277">
        <v>18</v>
      </c>
      <c r="I20" s="277">
        <v>18</v>
      </c>
      <c r="J20" s="277">
        <v>18</v>
      </c>
      <c r="K20" s="277">
        <v>18</v>
      </c>
      <c r="L20" s="277">
        <v>18</v>
      </c>
      <c r="M20" s="277">
        <v>19</v>
      </c>
      <c r="N20" s="277">
        <v>19</v>
      </c>
      <c r="O20" s="274">
        <f t="shared" si="5"/>
        <v>18.583333333333332</v>
      </c>
      <c r="Q20" s="97" t="s">
        <v>8</v>
      </c>
      <c r="R20" s="274">
        <f t="shared" si="6"/>
        <v>223</v>
      </c>
      <c r="S20" s="249" t="str">
        <f t="shared" si="7"/>
        <v>CFG - FTS-2 - Fixed R</v>
      </c>
      <c r="T20" s="97" t="s">
        <v>133</v>
      </c>
      <c r="U20" s="198" t="s">
        <v>0</v>
      </c>
    </row>
    <row r="21" spans="1:21">
      <c r="A21" s="97">
        <f t="shared" si="0"/>
        <v>21</v>
      </c>
      <c r="B21" s="276" t="s">
        <v>104</v>
      </c>
      <c r="C21" s="277">
        <v>9</v>
      </c>
      <c r="D21" s="277">
        <v>9</v>
      </c>
      <c r="E21" s="277">
        <v>9</v>
      </c>
      <c r="F21" s="277">
        <v>9</v>
      </c>
      <c r="G21" s="277">
        <v>9</v>
      </c>
      <c r="H21" s="277">
        <v>9</v>
      </c>
      <c r="I21" s="277">
        <v>9</v>
      </c>
      <c r="J21" s="277">
        <v>9</v>
      </c>
      <c r="K21" s="277">
        <v>10</v>
      </c>
      <c r="L21" s="277">
        <v>8</v>
      </c>
      <c r="M21" s="277">
        <v>8</v>
      </c>
      <c r="N21" s="277">
        <v>8</v>
      </c>
      <c r="O21" s="274">
        <f t="shared" si="5"/>
        <v>8.8333333333333339</v>
      </c>
      <c r="Q21" s="97" t="s">
        <v>8</v>
      </c>
      <c r="R21" s="274">
        <f t="shared" si="6"/>
        <v>106</v>
      </c>
      <c r="S21" s="249" t="str">
        <f t="shared" si="7"/>
        <v>CFG - FTS-2.1 - Fixed R</v>
      </c>
      <c r="T21" s="97" t="s">
        <v>133</v>
      </c>
      <c r="U21" s="198" t="s">
        <v>0</v>
      </c>
    </row>
    <row r="22" spans="1:21">
      <c r="A22" s="97">
        <f t="shared" si="0"/>
        <v>22</v>
      </c>
      <c r="B22" s="279" t="s">
        <v>105</v>
      </c>
      <c r="C22" s="277">
        <v>0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4">
        <f t="shared" si="5"/>
        <v>0</v>
      </c>
      <c r="Q22" s="97" t="s">
        <v>8</v>
      </c>
      <c r="R22" s="274">
        <f t="shared" si="6"/>
        <v>0</v>
      </c>
      <c r="S22" s="249" t="str">
        <f t="shared" si="7"/>
        <v>CFG - FTS-3 - Fixed R</v>
      </c>
      <c r="T22" s="97" t="s">
        <v>133</v>
      </c>
      <c r="U22" s="198" t="s">
        <v>0</v>
      </c>
    </row>
    <row r="23" spans="1:21" ht="12.75" customHeight="1">
      <c r="A23" s="97">
        <f t="shared" si="0"/>
        <v>23</v>
      </c>
      <c r="B23" s="279" t="s">
        <v>106</v>
      </c>
      <c r="C23" s="277">
        <v>0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83">
        <f t="shared" si="5"/>
        <v>0</v>
      </c>
      <c r="Q23" s="97" t="s">
        <v>8</v>
      </c>
      <c r="R23" s="274">
        <f t="shared" si="6"/>
        <v>0</v>
      </c>
      <c r="S23" s="249" t="str">
        <f t="shared" si="7"/>
        <v>CFG - FTS-3.1 - Fixed R</v>
      </c>
      <c r="T23" s="97" t="s">
        <v>133</v>
      </c>
      <c r="U23" s="198" t="s">
        <v>0</v>
      </c>
    </row>
    <row r="24" spans="1:21">
      <c r="A24" s="97">
        <f t="shared" si="0"/>
        <v>24</v>
      </c>
      <c r="B24" s="280" t="s">
        <v>134</v>
      </c>
      <c r="C24" s="281">
        <f t="shared" ref="C24:N24" si="8">SUM(C17:C23)</f>
        <v>289</v>
      </c>
      <c r="D24" s="281">
        <f t="shared" si="8"/>
        <v>290</v>
      </c>
      <c r="E24" s="281">
        <f t="shared" si="8"/>
        <v>289</v>
      </c>
      <c r="F24" s="281">
        <f t="shared" si="8"/>
        <v>288</v>
      </c>
      <c r="G24" s="281">
        <f t="shared" si="8"/>
        <v>286</v>
      </c>
      <c r="H24" s="281">
        <f t="shared" si="8"/>
        <v>285</v>
      </c>
      <c r="I24" s="281">
        <f t="shared" si="8"/>
        <v>285</v>
      </c>
      <c r="J24" s="281">
        <f t="shared" si="8"/>
        <v>285</v>
      </c>
      <c r="K24" s="281">
        <f t="shared" si="8"/>
        <v>283</v>
      </c>
      <c r="L24" s="281">
        <f t="shared" si="8"/>
        <v>287</v>
      </c>
      <c r="M24" s="281">
        <f t="shared" si="8"/>
        <v>288</v>
      </c>
      <c r="N24" s="281">
        <f t="shared" si="8"/>
        <v>291</v>
      </c>
      <c r="O24" s="274">
        <f t="shared" si="5"/>
        <v>287.16666666666669</v>
      </c>
      <c r="R24" s="274">
        <f t="shared" si="6"/>
        <v>3446</v>
      </c>
    </row>
    <row r="25" spans="1:21">
      <c r="A25" s="97">
        <f t="shared" si="0"/>
        <v>25</v>
      </c>
      <c r="B25" s="284" t="s">
        <v>135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R25" s="97"/>
    </row>
    <row r="26" spans="1:21">
      <c r="A26" s="97">
        <f t="shared" si="0"/>
        <v>26</v>
      </c>
      <c r="B26" s="276" t="s">
        <v>100</v>
      </c>
      <c r="C26" s="277">
        <v>12</v>
      </c>
      <c r="D26" s="277">
        <v>12</v>
      </c>
      <c r="E26" s="277">
        <v>12</v>
      </c>
      <c r="F26" s="277">
        <v>12</v>
      </c>
      <c r="G26" s="277">
        <v>11</v>
      </c>
      <c r="H26" s="277">
        <v>11</v>
      </c>
      <c r="I26" s="277">
        <v>11</v>
      </c>
      <c r="J26" s="277">
        <v>11</v>
      </c>
      <c r="K26" s="277">
        <v>11</v>
      </c>
      <c r="L26" s="277">
        <v>11</v>
      </c>
      <c r="M26" s="277">
        <v>11</v>
      </c>
      <c r="N26" s="277">
        <v>10</v>
      </c>
      <c r="O26" s="274">
        <f t="shared" ref="O26:O62" si="9">AVERAGE(C26:N26)</f>
        <v>11.25</v>
      </c>
      <c r="Q26" s="97" t="s">
        <v>8</v>
      </c>
      <c r="R26" s="274">
        <f t="shared" ref="R26:R62" si="10">+SUM(C26:N26)</f>
        <v>135</v>
      </c>
      <c r="S26" s="249" t="str">
        <f t="shared" ref="S26:S32" si="11">CONCATENATE(Q26," - ",B26," NR")</f>
        <v>CFG - FTS-A NR</v>
      </c>
      <c r="U26" s="198" t="s">
        <v>635</v>
      </c>
    </row>
    <row r="27" spans="1:21">
      <c r="A27" s="97">
        <f t="shared" si="0"/>
        <v>27</v>
      </c>
      <c r="B27" s="276" t="s">
        <v>101</v>
      </c>
      <c r="C27" s="277">
        <v>7</v>
      </c>
      <c r="D27" s="277">
        <v>7</v>
      </c>
      <c r="E27" s="277">
        <v>7</v>
      </c>
      <c r="F27" s="277">
        <v>7</v>
      </c>
      <c r="G27" s="277">
        <v>7</v>
      </c>
      <c r="H27" s="277">
        <v>6</v>
      </c>
      <c r="I27" s="277">
        <v>6</v>
      </c>
      <c r="J27" s="277">
        <v>6</v>
      </c>
      <c r="K27" s="277">
        <v>6</v>
      </c>
      <c r="L27" s="277">
        <v>6</v>
      </c>
      <c r="M27" s="277">
        <v>7</v>
      </c>
      <c r="N27" s="277">
        <v>7</v>
      </c>
      <c r="O27" s="274">
        <f t="shared" si="9"/>
        <v>6.583333333333333</v>
      </c>
      <c r="Q27" s="97" t="s">
        <v>8</v>
      </c>
      <c r="R27" s="274">
        <f t="shared" si="10"/>
        <v>79</v>
      </c>
      <c r="S27" s="249" t="str">
        <f t="shared" si="11"/>
        <v>CFG - FTS-B NR</v>
      </c>
      <c r="T27" s="274"/>
      <c r="U27" s="198" t="s">
        <v>635</v>
      </c>
    </row>
    <row r="28" spans="1:21">
      <c r="A28" s="97">
        <f t="shared" si="0"/>
        <v>28</v>
      </c>
      <c r="B28" s="276" t="s">
        <v>102</v>
      </c>
      <c r="C28" s="277">
        <v>230</v>
      </c>
      <c r="D28" s="277">
        <v>228</v>
      </c>
      <c r="E28" s="277">
        <v>228</v>
      </c>
      <c r="F28" s="277">
        <v>231</v>
      </c>
      <c r="G28" s="277">
        <v>231</v>
      </c>
      <c r="H28" s="277">
        <v>231</v>
      </c>
      <c r="I28" s="277">
        <v>231</v>
      </c>
      <c r="J28" s="277">
        <v>232</v>
      </c>
      <c r="K28" s="277">
        <v>233</v>
      </c>
      <c r="L28" s="277">
        <v>229</v>
      </c>
      <c r="M28" s="277">
        <v>227</v>
      </c>
      <c r="N28" s="277">
        <v>229</v>
      </c>
      <c r="O28" s="274">
        <f t="shared" si="9"/>
        <v>230</v>
      </c>
      <c r="Q28" s="97" t="s">
        <v>8</v>
      </c>
      <c r="R28" s="274">
        <f t="shared" si="10"/>
        <v>2760</v>
      </c>
      <c r="S28" s="249" t="str">
        <f t="shared" si="11"/>
        <v>CFG - FTS-1 NR</v>
      </c>
      <c r="T28" s="274"/>
      <c r="U28" s="198" t="s">
        <v>635</v>
      </c>
    </row>
    <row r="29" spans="1:21">
      <c r="A29" s="97">
        <f t="shared" si="0"/>
        <v>29</v>
      </c>
      <c r="B29" s="276" t="s">
        <v>103</v>
      </c>
      <c r="C29" s="277">
        <v>94</v>
      </c>
      <c r="D29" s="277">
        <v>92</v>
      </c>
      <c r="E29" s="277">
        <v>93</v>
      </c>
      <c r="F29" s="277">
        <v>95</v>
      </c>
      <c r="G29" s="277">
        <v>94</v>
      </c>
      <c r="H29" s="277">
        <v>95</v>
      </c>
      <c r="I29" s="277">
        <v>95</v>
      </c>
      <c r="J29" s="277">
        <v>96</v>
      </c>
      <c r="K29" s="277">
        <v>94</v>
      </c>
      <c r="L29" s="277">
        <v>96</v>
      </c>
      <c r="M29" s="277">
        <v>97</v>
      </c>
      <c r="N29" s="277">
        <v>99</v>
      </c>
      <c r="O29" s="274">
        <f t="shared" si="9"/>
        <v>95</v>
      </c>
      <c r="Q29" s="97" t="s">
        <v>8</v>
      </c>
      <c r="R29" s="274">
        <f t="shared" si="10"/>
        <v>1140</v>
      </c>
      <c r="S29" s="249" t="str">
        <f t="shared" si="11"/>
        <v>CFG - FTS-2 NR</v>
      </c>
      <c r="T29" s="274"/>
      <c r="U29" s="198" t="s">
        <v>635</v>
      </c>
    </row>
    <row r="30" spans="1:21">
      <c r="A30" s="97">
        <f t="shared" si="0"/>
        <v>30</v>
      </c>
      <c r="B30" s="276" t="s">
        <v>104</v>
      </c>
      <c r="C30" s="277">
        <v>194</v>
      </c>
      <c r="D30" s="277">
        <v>196</v>
      </c>
      <c r="E30" s="277">
        <v>200</v>
      </c>
      <c r="F30" s="277">
        <v>198</v>
      </c>
      <c r="G30" s="277">
        <v>199</v>
      </c>
      <c r="H30" s="277">
        <v>199</v>
      </c>
      <c r="I30" s="277">
        <v>201</v>
      </c>
      <c r="J30" s="277">
        <v>205</v>
      </c>
      <c r="K30" s="277">
        <v>203</v>
      </c>
      <c r="L30" s="277">
        <v>202</v>
      </c>
      <c r="M30" s="277">
        <v>208</v>
      </c>
      <c r="N30" s="277">
        <v>210</v>
      </c>
      <c r="O30" s="274">
        <f t="shared" si="9"/>
        <v>201.25</v>
      </c>
      <c r="Q30" s="97" t="s">
        <v>8</v>
      </c>
      <c r="R30" s="274">
        <f t="shared" si="10"/>
        <v>2415</v>
      </c>
      <c r="S30" s="249" t="str">
        <f t="shared" si="11"/>
        <v>CFG - FTS-2.1 NR</v>
      </c>
      <c r="T30" s="274"/>
      <c r="U30" s="198" t="s">
        <v>635</v>
      </c>
    </row>
    <row r="31" spans="1:21">
      <c r="A31" s="97">
        <f t="shared" si="0"/>
        <v>31</v>
      </c>
      <c r="B31" s="279" t="s">
        <v>105</v>
      </c>
      <c r="C31" s="277">
        <v>265</v>
      </c>
      <c r="D31" s="277">
        <v>267</v>
      </c>
      <c r="E31" s="277">
        <v>268</v>
      </c>
      <c r="F31" s="277">
        <v>272</v>
      </c>
      <c r="G31" s="277">
        <v>268</v>
      </c>
      <c r="H31" s="277">
        <v>270</v>
      </c>
      <c r="I31" s="277">
        <v>275</v>
      </c>
      <c r="J31" s="277">
        <v>273</v>
      </c>
      <c r="K31" s="277">
        <v>271</v>
      </c>
      <c r="L31" s="277">
        <v>272</v>
      </c>
      <c r="M31" s="277">
        <v>275</v>
      </c>
      <c r="N31" s="277">
        <v>275</v>
      </c>
      <c r="O31" s="274">
        <f t="shared" si="9"/>
        <v>270.91666666666669</v>
      </c>
      <c r="Q31" s="97" t="s">
        <v>8</v>
      </c>
      <c r="R31" s="274">
        <f t="shared" si="10"/>
        <v>3251</v>
      </c>
      <c r="S31" s="249" t="str">
        <f t="shared" si="11"/>
        <v>CFG - FTS-3 NR</v>
      </c>
      <c r="T31" s="249"/>
      <c r="U31" s="198" t="s">
        <v>635</v>
      </c>
    </row>
    <row r="32" spans="1:21">
      <c r="A32" s="97">
        <f t="shared" si="0"/>
        <v>32</v>
      </c>
      <c r="B32" s="279" t="s">
        <v>106</v>
      </c>
      <c r="C32" s="277">
        <v>330</v>
      </c>
      <c r="D32" s="277">
        <v>329</v>
      </c>
      <c r="E32" s="277">
        <v>330</v>
      </c>
      <c r="F32" s="277">
        <v>334</v>
      </c>
      <c r="G32" s="277">
        <v>334</v>
      </c>
      <c r="H32" s="277">
        <v>330</v>
      </c>
      <c r="I32" s="277">
        <v>331</v>
      </c>
      <c r="J32" s="277">
        <v>331</v>
      </c>
      <c r="K32" s="277">
        <v>329</v>
      </c>
      <c r="L32" s="277">
        <v>329</v>
      </c>
      <c r="M32" s="277">
        <v>327</v>
      </c>
      <c r="N32" s="277">
        <v>333</v>
      </c>
      <c r="O32" s="274">
        <f t="shared" si="9"/>
        <v>330.58333333333331</v>
      </c>
      <c r="Q32" s="97" t="s">
        <v>8</v>
      </c>
      <c r="R32" s="274">
        <f t="shared" si="10"/>
        <v>3967</v>
      </c>
      <c r="S32" s="249" t="str">
        <f t="shared" si="11"/>
        <v>CFG - FTS-3.1 NR</v>
      </c>
      <c r="U32" s="198" t="s">
        <v>635</v>
      </c>
    </row>
    <row r="33" spans="1:21">
      <c r="A33" s="97">
        <f t="shared" si="0"/>
        <v>33</v>
      </c>
      <c r="B33" s="279" t="s">
        <v>107</v>
      </c>
      <c r="C33" s="277">
        <v>208</v>
      </c>
      <c r="D33" s="277">
        <v>208</v>
      </c>
      <c r="E33" s="277">
        <v>208</v>
      </c>
      <c r="F33" s="277">
        <v>212</v>
      </c>
      <c r="G33" s="277">
        <v>208</v>
      </c>
      <c r="H33" s="277">
        <v>210</v>
      </c>
      <c r="I33" s="277">
        <v>211</v>
      </c>
      <c r="J33" s="277">
        <v>215</v>
      </c>
      <c r="K33" s="277">
        <v>210</v>
      </c>
      <c r="L33" s="277">
        <v>212</v>
      </c>
      <c r="M33" s="277">
        <v>210</v>
      </c>
      <c r="N33" s="277">
        <v>210</v>
      </c>
      <c r="O33" s="274">
        <f t="shared" si="9"/>
        <v>210.16666666666666</v>
      </c>
      <c r="Q33" s="97" t="s">
        <v>8</v>
      </c>
      <c r="R33" s="274">
        <f t="shared" si="10"/>
        <v>2522</v>
      </c>
      <c r="S33" s="249" t="str">
        <f t="shared" ref="S33:S61" si="12">CONCATENATE(Q33," - ",B33)</f>
        <v>CFG - FTS-4</v>
      </c>
      <c r="U33" s="198" t="s">
        <v>635</v>
      </c>
    </row>
    <row r="34" spans="1:21">
      <c r="A34" s="97">
        <f t="shared" si="0"/>
        <v>34</v>
      </c>
      <c r="B34" s="279" t="s">
        <v>111</v>
      </c>
      <c r="C34" s="277">
        <v>34</v>
      </c>
      <c r="D34" s="277">
        <v>34</v>
      </c>
      <c r="E34" s="277">
        <v>34</v>
      </c>
      <c r="F34" s="277">
        <v>34</v>
      </c>
      <c r="G34" s="277">
        <v>34</v>
      </c>
      <c r="H34" s="277">
        <v>34</v>
      </c>
      <c r="I34" s="277">
        <v>36</v>
      </c>
      <c r="J34" s="277">
        <v>34</v>
      </c>
      <c r="K34" s="277">
        <v>34</v>
      </c>
      <c r="L34" s="277">
        <v>35</v>
      </c>
      <c r="M34" s="277">
        <v>35</v>
      </c>
      <c r="N34" s="277">
        <v>36</v>
      </c>
      <c r="O34" s="274">
        <f t="shared" si="9"/>
        <v>34.5</v>
      </c>
      <c r="Q34" s="97" t="s">
        <v>8</v>
      </c>
      <c r="R34" s="274">
        <f t="shared" si="10"/>
        <v>414</v>
      </c>
      <c r="S34" s="249" t="str">
        <f t="shared" si="12"/>
        <v>CFG - FTS-5</v>
      </c>
      <c r="U34" s="198" t="s">
        <v>635</v>
      </c>
    </row>
    <row r="35" spans="1:21">
      <c r="A35" s="97">
        <f t="shared" si="0"/>
        <v>35</v>
      </c>
      <c r="B35" s="279" t="s">
        <v>112</v>
      </c>
      <c r="C35" s="277">
        <v>26</v>
      </c>
      <c r="D35" s="277">
        <v>26</v>
      </c>
      <c r="E35" s="277">
        <v>26</v>
      </c>
      <c r="F35" s="277">
        <v>26</v>
      </c>
      <c r="G35" s="277">
        <v>26</v>
      </c>
      <c r="H35" s="277">
        <v>26</v>
      </c>
      <c r="I35" s="277">
        <v>26</v>
      </c>
      <c r="J35" s="277">
        <v>27</v>
      </c>
      <c r="K35" s="277">
        <v>25</v>
      </c>
      <c r="L35" s="277">
        <v>26</v>
      </c>
      <c r="M35" s="277">
        <v>26</v>
      </c>
      <c r="N35" s="277">
        <v>26</v>
      </c>
      <c r="O35" s="274">
        <f t="shared" si="9"/>
        <v>26</v>
      </c>
      <c r="Q35" s="97" t="s">
        <v>8</v>
      </c>
      <c r="R35" s="274">
        <f t="shared" si="10"/>
        <v>312</v>
      </c>
      <c r="S35" s="249" t="str">
        <f t="shared" si="12"/>
        <v>CFG - FTS-6</v>
      </c>
      <c r="U35" s="198" t="s">
        <v>635</v>
      </c>
    </row>
    <row r="36" spans="1:21">
      <c r="A36" s="97">
        <f t="shared" si="0"/>
        <v>36</v>
      </c>
      <c r="B36" s="279" t="s">
        <v>113</v>
      </c>
      <c r="C36" s="277">
        <v>22</v>
      </c>
      <c r="D36" s="277">
        <v>22</v>
      </c>
      <c r="E36" s="277">
        <v>22</v>
      </c>
      <c r="F36" s="277">
        <v>22</v>
      </c>
      <c r="G36" s="277">
        <v>22</v>
      </c>
      <c r="H36" s="277">
        <v>22</v>
      </c>
      <c r="I36" s="277">
        <v>22</v>
      </c>
      <c r="J36" s="277">
        <v>25</v>
      </c>
      <c r="K36" s="277">
        <v>23</v>
      </c>
      <c r="L36" s="277">
        <v>23</v>
      </c>
      <c r="M36" s="277">
        <v>23</v>
      </c>
      <c r="N36" s="277">
        <v>23</v>
      </c>
      <c r="O36" s="274">
        <f t="shared" si="9"/>
        <v>22.583333333333332</v>
      </c>
      <c r="Q36" s="97" t="s">
        <v>8</v>
      </c>
      <c r="R36" s="274">
        <f t="shared" si="10"/>
        <v>271</v>
      </c>
      <c r="S36" s="249" t="str">
        <f t="shared" si="12"/>
        <v>CFG - FTS-7</v>
      </c>
      <c r="U36" s="198" t="s">
        <v>635</v>
      </c>
    </row>
    <row r="37" spans="1:21">
      <c r="A37" s="97">
        <f t="shared" si="0"/>
        <v>37</v>
      </c>
      <c r="B37" s="279" t="s">
        <v>114</v>
      </c>
      <c r="C37" s="277">
        <v>17</v>
      </c>
      <c r="D37" s="277">
        <v>17</v>
      </c>
      <c r="E37" s="277">
        <v>17</v>
      </c>
      <c r="F37" s="277">
        <v>17</v>
      </c>
      <c r="G37" s="277">
        <v>17</v>
      </c>
      <c r="H37" s="277">
        <v>17</v>
      </c>
      <c r="I37" s="277">
        <v>19</v>
      </c>
      <c r="J37" s="277">
        <v>18</v>
      </c>
      <c r="K37" s="277">
        <v>17</v>
      </c>
      <c r="L37" s="277">
        <v>17</v>
      </c>
      <c r="M37" s="277">
        <v>16</v>
      </c>
      <c r="N37" s="277">
        <v>18</v>
      </c>
      <c r="O37" s="274">
        <f t="shared" si="9"/>
        <v>17.25</v>
      </c>
      <c r="Q37" s="97" t="s">
        <v>8</v>
      </c>
      <c r="R37" s="274">
        <f t="shared" si="10"/>
        <v>207</v>
      </c>
      <c r="S37" s="249" t="str">
        <f t="shared" si="12"/>
        <v>CFG - FTS-8</v>
      </c>
      <c r="U37" s="198" t="s">
        <v>635</v>
      </c>
    </row>
    <row r="38" spans="1:21">
      <c r="A38" s="97">
        <f t="shared" si="0"/>
        <v>38</v>
      </c>
      <c r="B38" s="279" t="s">
        <v>115</v>
      </c>
      <c r="C38" s="277">
        <v>7</v>
      </c>
      <c r="D38" s="277">
        <v>7</v>
      </c>
      <c r="E38" s="277">
        <v>7</v>
      </c>
      <c r="F38" s="277">
        <v>7</v>
      </c>
      <c r="G38" s="277">
        <v>7</v>
      </c>
      <c r="H38" s="277">
        <v>7</v>
      </c>
      <c r="I38" s="277">
        <v>7</v>
      </c>
      <c r="J38" s="277">
        <v>6</v>
      </c>
      <c r="K38" s="277">
        <v>6</v>
      </c>
      <c r="L38" s="277">
        <v>6</v>
      </c>
      <c r="M38" s="277">
        <v>6</v>
      </c>
      <c r="N38" s="277">
        <v>6</v>
      </c>
      <c r="O38" s="274">
        <f t="shared" si="9"/>
        <v>6.583333333333333</v>
      </c>
      <c r="Q38" s="97" t="s">
        <v>8</v>
      </c>
      <c r="R38" s="274">
        <f t="shared" si="10"/>
        <v>79</v>
      </c>
      <c r="S38" s="249" t="str">
        <f t="shared" si="12"/>
        <v>CFG - FTS-9</v>
      </c>
      <c r="U38" s="198" t="s">
        <v>635</v>
      </c>
    </row>
    <row r="39" spans="1:21">
      <c r="A39" s="97">
        <f t="shared" si="0"/>
        <v>39</v>
      </c>
      <c r="B39" s="279" t="s">
        <v>116</v>
      </c>
      <c r="C39" s="277">
        <v>3</v>
      </c>
      <c r="D39" s="277">
        <v>3</v>
      </c>
      <c r="E39" s="277">
        <v>3</v>
      </c>
      <c r="F39" s="277">
        <v>3</v>
      </c>
      <c r="G39" s="277">
        <v>3</v>
      </c>
      <c r="H39" s="277">
        <v>3</v>
      </c>
      <c r="I39" s="277">
        <v>3</v>
      </c>
      <c r="J39" s="277">
        <v>3</v>
      </c>
      <c r="K39" s="277">
        <v>3</v>
      </c>
      <c r="L39" s="277">
        <v>3</v>
      </c>
      <c r="M39" s="277">
        <v>3</v>
      </c>
      <c r="N39" s="277">
        <v>3</v>
      </c>
      <c r="O39" s="274">
        <f t="shared" si="9"/>
        <v>3</v>
      </c>
      <c r="Q39" s="97" t="s">
        <v>8</v>
      </c>
      <c r="R39" s="274">
        <f t="shared" si="10"/>
        <v>36</v>
      </c>
      <c r="S39" s="249" t="str">
        <f t="shared" si="12"/>
        <v>CFG - FTS-10</v>
      </c>
      <c r="U39" s="198" t="s">
        <v>635</v>
      </c>
    </row>
    <row r="40" spans="1:21">
      <c r="A40" s="97">
        <f t="shared" si="0"/>
        <v>40</v>
      </c>
      <c r="B40" s="279" t="s">
        <v>117</v>
      </c>
      <c r="C40" s="277">
        <v>2</v>
      </c>
      <c r="D40" s="277">
        <v>2</v>
      </c>
      <c r="E40" s="277">
        <v>2</v>
      </c>
      <c r="F40" s="277">
        <v>1</v>
      </c>
      <c r="G40" s="277">
        <v>1</v>
      </c>
      <c r="H40" s="277">
        <v>1</v>
      </c>
      <c r="I40" s="277">
        <v>1</v>
      </c>
      <c r="J40" s="277">
        <v>1</v>
      </c>
      <c r="K40" s="277">
        <v>1</v>
      </c>
      <c r="L40" s="277">
        <v>1</v>
      </c>
      <c r="M40" s="277">
        <v>1</v>
      </c>
      <c r="N40" s="277">
        <v>1</v>
      </c>
      <c r="O40" s="274">
        <f t="shared" si="9"/>
        <v>1.25</v>
      </c>
      <c r="Q40" s="97" t="s">
        <v>8</v>
      </c>
      <c r="R40" s="274">
        <f t="shared" si="10"/>
        <v>15</v>
      </c>
      <c r="S40" s="249" t="str">
        <f t="shared" si="12"/>
        <v>CFG - FTS-11</v>
      </c>
      <c r="U40" s="198" t="s">
        <v>635</v>
      </c>
    </row>
    <row r="41" spans="1:21">
      <c r="A41" s="97">
        <f t="shared" si="0"/>
        <v>41</v>
      </c>
      <c r="B41" s="279" t="s">
        <v>118</v>
      </c>
      <c r="C41" s="277">
        <v>4</v>
      </c>
      <c r="D41" s="277">
        <v>4</v>
      </c>
      <c r="E41" s="277">
        <v>4</v>
      </c>
      <c r="F41" s="277">
        <v>4</v>
      </c>
      <c r="G41" s="277">
        <v>5</v>
      </c>
      <c r="H41" s="277">
        <v>5</v>
      </c>
      <c r="I41" s="277">
        <v>5</v>
      </c>
      <c r="J41" s="277">
        <v>5</v>
      </c>
      <c r="K41" s="277">
        <v>5</v>
      </c>
      <c r="L41" s="277">
        <v>5</v>
      </c>
      <c r="M41" s="277">
        <v>5</v>
      </c>
      <c r="N41" s="277">
        <v>5</v>
      </c>
      <c r="O41" s="274">
        <f t="shared" si="9"/>
        <v>4.666666666666667</v>
      </c>
      <c r="Q41" s="97" t="s">
        <v>8</v>
      </c>
      <c r="R41" s="274">
        <f t="shared" si="10"/>
        <v>56</v>
      </c>
      <c r="S41" s="249" t="str">
        <f t="shared" si="12"/>
        <v>CFG - FTS-12</v>
      </c>
      <c r="U41" s="198" t="s">
        <v>635</v>
      </c>
    </row>
    <row r="42" spans="1:21">
      <c r="A42" s="97">
        <f t="shared" si="0"/>
        <v>42</v>
      </c>
      <c r="B42" s="279" t="s">
        <v>119</v>
      </c>
      <c r="C42" s="277">
        <v>0</v>
      </c>
      <c r="D42" s="277">
        <v>0</v>
      </c>
      <c r="E42" s="277"/>
      <c r="F42" s="277">
        <v>1</v>
      </c>
      <c r="G42" s="277">
        <v>1</v>
      </c>
      <c r="H42" s="277">
        <v>1</v>
      </c>
      <c r="I42" s="277">
        <v>1</v>
      </c>
      <c r="J42" s="277">
        <v>1</v>
      </c>
      <c r="K42" s="277">
        <v>1</v>
      </c>
      <c r="L42" s="277">
        <v>1</v>
      </c>
      <c r="M42" s="277">
        <v>1</v>
      </c>
      <c r="N42" s="277">
        <v>1</v>
      </c>
      <c r="O42" s="274">
        <f t="shared" si="9"/>
        <v>0.81818181818181823</v>
      </c>
      <c r="Q42" s="97" t="s">
        <v>8</v>
      </c>
      <c r="R42" s="274">
        <f t="shared" si="10"/>
        <v>9</v>
      </c>
      <c r="S42" s="249" t="str">
        <f t="shared" si="12"/>
        <v>CFG - FTS-NGV</v>
      </c>
      <c r="U42" s="198" t="s">
        <v>635</v>
      </c>
    </row>
    <row r="43" spans="1:21">
      <c r="A43" s="97">
        <f t="shared" si="0"/>
        <v>43</v>
      </c>
      <c r="B43" s="279" t="s">
        <v>99</v>
      </c>
      <c r="C43" s="277">
        <v>889</v>
      </c>
      <c r="D43" s="277">
        <v>888</v>
      </c>
      <c r="E43" s="277">
        <v>888</v>
      </c>
      <c r="F43" s="277">
        <v>894</v>
      </c>
      <c r="G43" s="277">
        <v>888</v>
      </c>
      <c r="H43" s="277">
        <v>887</v>
      </c>
      <c r="I43" s="277">
        <v>888</v>
      </c>
      <c r="J43" s="277">
        <v>885</v>
      </c>
      <c r="K43" s="277">
        <v>890</v>
      </c>
      <c r="L43" s="277">
        <v>983</v>
      </c>
      <c r="M43" s="277">
        <v>891</v>
      </c>
      <c r="N43" s="277">
        <v>894</v>
      </c>
      <c r="O43" s="274">
        <f t="shared" si="9"/>
        <v>897.08333333333337</v>
      </c>
      <c r="Q43" s="97" t="s">
        <v>7</v>
      </c>
      <c r="R43" s="274">
        <f t="shared" si="10"/>
        <v>10765</v>
      </c>
      <c r="S43" s="249" t="str">
        <f t="shared" si="12"/>
        <v>FPU - FPU - GS - 1</v>
      </c>
      <c r="U43" s="198" t="s">
        <v>635</v>
      </c>
    </row>
    <row r="44" spans="1:21">
      <c r="A44" s="97">
        <f t="shared" si="0"/>
        <v>44</v>
      </c>
      <c r="B44" s="279" t="s">
        <v>138</v>
      </c>
      <c r="C44" s="277">
        <v>362</v>
      </c>
      <c r="D44" s="277">
        <v>364</v>
      </c>
      <c r="E44" s="277">
        <v>359</v>
      </c>
      <c r="F44" s="277">
        <v>372</v>
      </c>
      <c r="G44" s="277">
        <v>354</v>
      </c>
      <c r="H44" s="277">
        <v>359</v>
      </c>
      <c r="I44" s="277">
        <v>362</v>
      </c>
      <c r="J44" s="277">
        <v>364</v>
      </c>
      <c r="K44" s="277">
        <v>361</v>
      </c>
      <c r="L44" s="277">
        <v>382</v>
      </c>
      <c r="M44" s="277">
        <v>362</v>
      </c>
      <c r="N44" s="277">
        <v>361</v>
      </c>
      <c r="O44" s="274">
        <f t="shared" si="9"/>
        <v>363.5</v>
      </c>
      <c r="Q44" s="97" t="s">
        <v>7</v>
      </c>
      <c r="R44" s="274">
        <f t="shared" si="10"/>
        <v>4362</v>
      </c>
      <c r="S44" s="249" t="str">
        <f t="shared" si="12"/>
        <v>FPU - FPU - GSTS - 1</v>
      </c>
      <c r="T44" s="274"/>
      <c r="U44" s="198" t="s">
        <v>635</v>
      </c>
    </row>
    <row r="45" spans="1:21">
      <c r="A45" s="97">
        <f t="shared" si="0"/>
        <v>45</v>
      </c>
      <c r="B45" s="279" t="s">
        <v>140</v>
      </c>
      <c r="C45" s="277">
        <v>2050</v>
      </c>
      <c r="D45" s="277">
        <v>2062</v>
      </c>
      <c r="E45" s="277">
        <v>2057</v>
      </c>
      <c r="F45" s="277">
        <v>2077</v>
      </c>
      <c r="G45" s="277">
        <v>2092</v>
      </c>
      <c r="H45" s="277">
        <v>2095</v>
      </c>
      <c r="I45" s="277">
        <v>2086</v>
      </c>
      <c r="J45" s="277">
        <v>2098</v>
      </c>
      <c r="K45" s="277">
        <v>2102</v>
      </c>
      <c r="L45" s="277">
        <v>2004</v>
      </c>
      <c r="M45" s="277">
        <v>2120</v>
      </c>
      <c r="N45" s="277">
        <v>2121</v>
      </c>
      <c r="O45" s="274">
        <f t="shared" si="9"/>
        <v>2080.3333333333335</v>
      </c>
      <c r="Q45" s="97" t="s">
        <v>7</v>
      </c>
      <c r="R45" s="274">
        <f t="shared" si="10"/>
        <v>24964</v>
      </c>
      <c r="S45" s="249" t="str">
        <f t="shared" si="12"/>
        <v>FPU - FPU - GS - 2</v>
      </c>
      <c r="T45" s="249"/>
      <c r="U45" s="198" t="s">
        <v>635</v>
      </c>
    </row>
    <row r="46" spans="1:21">
      <c r="A46" s="97">
        <f t="shared" si="0"/>
        <v>46</v>
      </c>
      <c r="B46" s="279" t="s">
        <v>141</v>
      </c>
      <c r="C46" s="277">
        <v>780</v>
      </c>
      <c r="D46" s="277">
        <v>779</v>
      </c>
      <c r="E46" s="277">
        <v>784</v>
      </c>
      <c r="F46" s="277">
        <v>776</v>
      </c>
      <c r="G46" s="277">
        <v>788</v>
      </c>
      <c r="H46" s="277">
        <v>783</v>
      </c>
      <c r="I46" s="277">
        <v>793</v>
      </c>
      <c r="J46" s="277">
        <v>791</v>
      </c>
      <c r="K46" s="277">
        <v>794</v>
      </c>
      <c r="L46" s="277">
        <v>773</v>
      </c>
      <c r="M46" s="277">
        <v>794</v>
      </c>
      <c r="N46" s="277">
        <v>804</v>
      </c>
      <c r="O46" s="274">
        <f t="shared" si="9"/>
        <v>786.58333333333337</v>
      </c>
      <c r="Q46" s="97" t="s">
        <v>7</v>
      </c>
      <c r="R46" s="274">
        <f t="shared" si="10"/>
        <v>9439</v>
      </c>
      <c r="S46" s="249" t="str">
        <f t="shared" si="12"/>
        <v>FPU - FPU - GSTS - 2</v>
      </c>
      <c r="U46" s="198" t="s">
        <v>635</v>
      </c>
    </row>
    <row r="47" spans="1:21">
      <c r="A47" s="97">
        <f t="shared" si="0"/>
        <v>47</v>
      </c>
      <c r="B47" s="279" t="s">
        <v>142</v>
      </c>
      <c r="C47" s="277">
        <v>237</v>
      </c>
      <c r="D47" s="277">
        <v>235</v>
      </c>
      <c r="E47" s="277">
        <v>236</v>
      </c>
      <c r="F47" s="277">
        <v>242</v>
      </c>
      <c r="G47" s="277">
        <v>235</v>
      </c>
      <c r="H47" s="277">
        <v>235</v>
      </c>
      <c r="I47" s="277">
        <v>238</v>
      </c>
      <c r="J47" s="277">
        <v>239</v>
      </c>
      <c r="K47" s="277">
        <v>239</v>
      </c>
      <c r="L47" s="277">
        <v>264</v>
      </c>
      <c r="M47" s="277">
        <v>247</v>
      </c>
      <c r="N47" s="277">
        <v>243</v>
      </c>
      <c r="O47" s="274">
        <f t="shared" si="9"/>
        <v>240.83333333333334</v>
      </c>
      <c r="Q47" s="97" t="s">
        <v>7</v>
      </c>
      <c r="R47" s="274">
        <f t="shared" si="10"/>
        <v>2890</v>
      </c>
      <c r="S47" s="249" t="str">
        <f t="shared" si="12"/>
        <v>FPU - FPU - CS - GS</v>
      </c>
      <c r="U47" s="198" t="s">
        <v>635</v>
      </c>
    </row>
    <row r="48" spans="1:21">
      <c r="A48" s="97">
        <f t="shared" si="0"/>
        <v>48</v>
      </c>
      <c r="B48" s="279" t="s">
        <v>143</v>
      </c>
      <c r="C48" s="277">
        <v>666</v>
      </c>
      <c r="D48" s="277">
        <v>666</v>
      </c>
      <c r="E48" s="277">
        <v>652</v>
      </c>
      <c r="F48" s="277">
        <v>663</v>
      </c>
      <c r="G48" s="277">
        <v>659</v>
      </c>
      <c r="H48" s="277">
        <v>658</v>
      </c>
      <c r="I48" s="277">
        <v>650</v>
      </c>
      <c r="J48" s="277">
        <v>658</v>
      </c>
      <c r="K48" s="277">
        <v>655</v>
      </c>
      <c r="L48" s="277">
        <v>651</v>
      </c>
      <c r="M48" s="277">
        <v>647</v>
      </c>
      <c r="N48" s="277">
        <v>648</v>
      </c>
      <c r="O48" s="274">
        <f t="shared" si="9"/>
        <v>656.08333333333337</v>
      </c>
      <c r="Q48" s="97" t="s">
        <v>7</v>
      </c>
      <c r="R48" s="274">
        <f t="shared" si="10"/>
        <v>7873</v>
      </c>
      <c r="S48" s="249" t="str">
        <f t="shared" si="12"/>
        <v>FPU - FPU - LVS</v>
      </c>
      <c r="U48" s="198" t="s">
        <v>635</v>
      </c>
    </row>
    <row r="49" spans="1:21">
      <c r="A49" s="97">
        <f t="shared" si="0"/>
        <v>49</v>
      </c>
      <c r="B49" s="279" t="s">
        <v>145</v>
      </c>
      <c r="C49" s="277">
        <v>0</v>
      </c>
      <c r="D49" s="277">
        <v>0</v>
      </c>
      <c r="E49" s="277">
        <v>0</v>
      </c>
      <c r="F49" s="277">
        <v>0</v>
      </c>
      <c r="G49" s="277">
        <v>0</v>
      </c>
      <c r="H49" s="277">
        <v>0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4">
        <f t="shared" si="9"/>
        <v>0</v>
      </c>
      <c r="Q49" s="97" t="s">
        <v>7</v>
      </c>
      <c r="R49" s="274">
        <f t="shared" si="10"/>
        <v>0</v>
      </c>
      <c r="S49" s="249" t="str">
        <f t="shared" si="12"/>
        <v>FPU - FPU - LVTS &lt;50k</v>
      </c>
      <c r="U49" s="198" t="s">
        <v>635</v>
      </c>
    </row>
    <row r="50" spans="1:21">
      <c r="A50" s="97">
        <f t="shared" si="0"/>
        <v>50</v>
      </c>
      <c r="B50" s="279" t="s">
        <v>146</v>
      </c>
      <c r="C50" s="277">
        <v>1225</v>
      </c>
      <c r="D50" s="277">
        <v>1231</v>
      </c>
      <c r="E50" s="277">
        <v>1237</v>
      </c>
      <c r="F50" s="277">
        <v>1244</v>
      </c>
      <c r="G50" s="277">
        <v>1247</v>
      </c>
      <c r="H50" s="277">
        <v>1255</v>
      </c>
      <c r="I50" s="277">
        <v>1243</v>
      </c>
      <c r="J50" s="277">
        <v>1238</v>
      </c>
      <c r="K50" s="277">
        <v>1245</v>
      </c>
      <c r="L50" s="277">
        <v>1247</v>
      </c>
      <c r="M50" s="277">
        <v>1255</v>
      </c>
      <c r="N50" s="277">
        <v>1256</v>
      </c>
      <c r="O50" s="274">
        <f t="shared" si="9"/>
        <v>1243.5833333333333</v>
      </c>
      <c r="Q50" s="97" t="s">
        <v>7</v>
      </c>
      <c r="R50" s="274">
        <f t="shared" si="10"/>
        <v>14923</v>
      </c>
      <c r="S50" s="249" t="str">
        <f t="shared" si="12"/>
        <v>FPU - FPU - LVTS &gt;50k</v>
      </c>
      <c r="U50" s="198" t="s">
        <v>635</v>
      </c>
    </row>
    <row r="51" spans="1:21">
      <c r="A51" s="97">
        <f t="shared" si="0"/>
        <v>51</v>
      </c>
      <c r="B51" s="279" t="s">
        <v>148</v>
      </c>
      <c r="C51" s="277">
        <v>0</v>
      </c>
      <c r="D51" s="277">
        <v>0</v>
      </c>
      <c r="E51" s="277">
        <v>0</v>
      </c>
      <c r="F51" s="277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274">
        <f t="shared" si="9"/>
        <v>0</v>
      </c>
      <c r="Q51" s="97" t="s">
        <v>7</v>
      </c>
      <c r="R51" s="274">
        <f t="shared" si="10"/>
        <v>0</v>
      </c>
      <c r="S51" s="249" t="str">
        <f t="shared" si="12"/>
        <v>FPU - FPU - IS</v>
      </c>
      <c r="U51" s="198" t="s">
        <v>635</v>
      </c>
    </row>
    <row r="52" spans="1:21">
      <c r="A52" s="97">
        <f t="shared" si="0"/>
        <v>52</v>
      </c>
      <c r="B52" s="279" t="s">
        <v>149</v>
      </c>
      <c r="C52" s="277">
        <v>18</v>
      </c>
      <c r="D52" s="277">
        <v>18</v>
      </c>
      <c r="E52" s="277">
        <v>18</v>
      </c>
      <c r="F52" s="277">
        <v>18</v>
      </c>
      <c r="G52" s="277">
        <v>18</v>
      </c>
      <c r="H52" s="277">
        <v>18</v>
      </c>
      <c r="I52" s="277">
        <v>18</v>
      </c>
      <c r="J52" s="277">
        <v>18</v>
      </c>
      <c r="K52" s="277">
        <v>18</v>
      </c>
      <c r="L52" s="277">
        <v>18</v>
      </c>
      <c r="M52" s="277">
        <v>18</v>
      </c>
      <c r="N52" s="277">
        <v>18</v>
      </c>
      <c r="O52" s="274">
        <f t="shared" si="9"/>
        <v>18</v>
      </c>
      <c r="Q52" s="97" t="s">
        <v>7</v>
      </c>
      <c r="R52" s="274">
        <f t="shared" si="10"/>
        <v>216</v>
      </c>
      <c r="S52" s="249" t="str">
        <f t="shared" si="12"/>
        <v>FPU - FPU - ITS</v>
      </c>
      <c r="U52" s="198" t="s">
        <v>635</v>
      </c>
    </row>
    <row r="53" spans="1:21">
      <c r="A53" s="97">
        <f t="shared" si="0"/>
        <v>53</v>
      </c>
      <c r="B53" s="279" t="s">
        <v>151</v>
      </c>
      <c r="C53" s="277">
        <v>40</v>
      </c>
      <c r="D53" s="277">
        <v>40</v>
      </c>
      <c r="E53" s="277">
        <v>40</v>
      </c>
      <c r="F53" s="277">
        <v>42</v>
      </c>
      <c r="G53" s="277">
        <v>36</v>
      </c>
      <c r="H53" s="277">
        <v>36</v>
      </c>
      <c r="I53" s="277">
        <v>35</v>
      </c>
      <c r="J53" s="277">
        <v>36</v>
      </c>
      <c r="K53" s="277">
        <v>32</v>
      </c>
      <c r="L53" s="277">
        <v>32</v>
      </c>
      <c r="M53" s="277">
        <v>32</v>
      </c>
      <c r="N53" s="277">
        <v>32</v>
      </c>
      <c r="O53" s="274">
        <f t="shared" si="9"/>
        <v>36.083333333333336</v>
      </c>
      <c r="Q53" s="97" t="s">
        <v>7</v>
      </c>
      <c r="R53" s="274">
        <f t="shared" si="10"/>
        <v>433</v>
      </c>
      <c r="S53" s="249" t="str">
        <f t="shared" si="12"/>
        <v>FPU - FPU - GLS</v>
      </c>
      <c r="U53" s="198" t="s">
        <v>635</v>
      </c>
    </row>
    <row r="54" spans="1:21">
      <c r="A54" s="97">
        <f t="shared" si="0"/>
        <v>54</v>
      </c>
      <c r="B54" s="279" t="s">
        <v>153</v>
      </c>
      <c r="C54" s="277">
        <v>0</v>
      </c>
      <c r="D54" s="277">
        <v>0</v>
      </c>
      <c r="E54" s="277">
        <v>0</v>
      </c>
      <c r="F54" s="277">
        <v>0</v>
      </c>
      <c r="G54" s="277">
        <v>0</v>
      </c>
      <c r="H54" s="277">
        <v>0</v>
      </c>
      <c r="I54" s="277">
        <v>0</v>
      </c>
      <c r="J54" s="277">
        <v>0</v>
      </c>
      <c r="K54" s="277">
        <v>0</v>
      </c>
      <c r="L54" s="277">
        <v>0</v>
      </c>
      <c r="M54" s="277">
        <v>0</v>
      </c>
      <c r="N54" s="277">
        <v>0</v>
      </c>
      <c r="O54" s="274">
        <f t="shared" si="9"/>
        <v>0</v>
      </c>
      <c r="Q54" s="97" t="s">
        <v>7</v>
      </c>
      <c r="R54" s="274">
        <f t="shared" si="10"/>
        <v>0</v>
      </c>
      <c r="S54" s="249" t="str">
        <f t="shared" si="12"/>
        <v>FPU - FPU-NGVS</v>
      </c>
      <c r="U54" s="198" t="s">
        <v>635</v>
      </c>
    </row>
    <row r="55" spans="1:21">
      <c r="A55" s="97">
        <f t="shared" si="0"/>
        <v>55</v>
      </c>
      <c r="B55" s="279" t="s">
        <v>154</v>
      </c>
      <c r="C55" s="277">
        <v>2</v>
      </c>
      <c r="D55" s="277">
        <v>2</v>
      </c>
      <c r="E55" s="277">
        <v>2</v>
      </c>
      <c r="F55" s="277">
        <v>2</v>
      </c>
      <c r="G55" s="277">
        <v>2</v>
      </c>
      <c r="H55" s="277">
        <v>2</v>
      </c>
      <c r="I55" s="277">
        <v>2</v>
      </c>
      <c r="J55" s="277">
        <v>2</v>
      </c>
      <c r="K55" s="277">
        <v>2</v>
      </c>
      <c r="L55" s="277">
        <v>2</v>
      </c>
      <c r="M55" s="277">
        <v>2</v>
      </c>
      <c r="N55" s="277">
        <v>2</v>
      </c>
      <c r="O55" s="274">
        <f t="shared" si="9"/>
        <v>2</v>
      </c>
      <c r="Q55" s="97" t="s">
        <v>7</v>
      </c>
      <c r="R55" s="274">
        <f t="shared" si="10"/>
        <v>24</v>
      </c>
      <c r="S55" s="249" t="str">
        <f t="shared" si="12"/>
        <v>FPU - FPU- NGVTS</v>
      </c>
      <c r="U55" s="198" t="s">
        <v>635</v>
      </c>
    </row>
    <row r="56" spans="1:21">
      <c r="A56" s="97">
        <f t="shared" si="0"/>
        <v>56</v>
      </c>
      <c r="B56" s="279" t="s">
        <v>155</v>
      </c>
      <c r="C56" s="277">
        <v>4</v>
      </c>
      <c r="D56" s="277">
        <v>4</v>
      </c>
      <c r="E56" s="277">
        <v>4</v>
      </c>
      <c r="F56" s="277">
        <v>4</v>
      </c>
      <c r="G56" s="277">
        <v>4</v>
      </c>
      <c r="H56" s="277">
        <v>4</v>
      </c>
      <c r="I56" s="277">
        <v>4</v>
      </c>
      <c r="J56" s="277">
        <v>4</v>
      </c>
      <c r="K56" s="277">
        <v>4</v>
      </c>
      <c r="L56" s="277">
        <v>4</v>
      </c>
      <c r="M56" s="277">
        <v>4</v>
      </c>
      <c r="N56" s="277">
        <v>4</v>
      </c>
      <c r="O56" s="274">
        <f t="shared" si="9"/>
        <v>4</v>
      </c>
      <c r="Q56" s="97" t="s">
        <v>5</v>
      </c>
      <c r="R56" s="274">
        <f t="shared" si="10"/>
        <v>48</v>
      </c>
      <c r="S56" s="249" t="str">
        <f t="shared" si="12"/>
        <v>FT - FT-Comm PA</v>
      </c>
      <c r="T56" s="97" t="s">
        <v>694</v>
      </c>
      <c r="U56" s="198" t="s">
        <v>635</v>
      </c>
    </row>
    <row r="57" spans="1:21">
      <c r="A57" s="97">
        <f t="shared" si="0"/>
        <v>57</v>
      </c>
      <c r="B57" s="279" t="s">
        <v>157</v>
      </c>
      <c r="C57" s="277">
        <v>16</v>
      </c>
      <c r="D57" s="277">
        <v>15</v>
      </c>
      <c r="E57" s="277">
        <v>15</v>
      </c>
      <c r="F57" s="277">
        <v>15</v>
      </c>
      <c r="G57" s="277">
        <v>16</v>
      </c>
      <c r="H57" s="277">
        <v>17</v>
      </c>
      <c r="I57" s="277">
        <v>17</v>
      </c>
      <c r="J57" s="277">
        <v>17</v>
      </c>
      <c r="K57" s="277">
        <v>17</v>
      </c>
      <c r="L57" s="277">
        <v>17</v>
      </c>
      <c r="M57" s="277">
        <v>18</v>
      </c>
      <c r="N57" s="277">
        <v>18</v>
      </c>
      <c r="O57" s="274">
        <f t="shared" si="9"/>
        <v>16.5</v>
      </c>
      <c r="Q57" s="97" t="s">
        <v>5</v>
      </c>
      <c r="R57" s="274">
        <f t="shared" si="10"/>
        <v>198</v>
      </c>
      <c r="S57" s="249" t="str">
        <f t="shared" si="12"/>
        <v>FT - FT-Comm Small</v>
      </c>
      <c r="T57" s="97" t="s">
        <v>694</v>
      </c>
      <c r="U57" s="198" t="s">
        <v>635</v>
      </c>
    </row>
    <row r="58" spans="1:21">
      <c r="A58" s="97">
        <f t="shared" si="0"/>
        <v>58</v>
      </c>
      <c r="B58" s="279" t="s">
        <v>159</v>
      </c>
      <c r="C58" s="277">
        <v>7</v>
      </c>
      <c r="D58" s="277">
        <v>7</v>
      </c>
      <c r="E58" s="277">
        <v>7</v>
      </c>
      <c r="F58" s="277">
        <v>7</v>
      </c>
      <c r="G58" s="277">
        <v>7</v>
      </c>
      <c r="H58" s="277">
        <v>7</v>
      </c>
      <c r="I58" s="277">
        <v>7</v>
      </c>
      <c r="J58" s="277">
        <v>7</v>
      </c>
      <c r="K58" s="277">
        <v>7</v>
      </c>
      <c r="L58" s="277">
        <v>7</v>
      </c>
      <c r="M58" s="277">
        <v>7</v>
      </c>
      <c r="N58" s="277">
        <v>7</v>
      </c>
      <c r="O58" s="274">
        <f t="shared" si="9"/>
        <v>7</v>
      </c>
      <c r="Q58" s="97" t="s">
        <v>5</v>
      </c>
      <c r="R58" s="274">
        <f t="shared" si="10"/>
        <v>84</v>
      </c>
      <c r="S58" s="249" t="str">
        <f t="shared" si="12"/>
        <v>FT - FT-Transportation</v>
      </c>
      <c r="T58" s="97" t="s">
        <v>694</v>
      </c>
      <c r="U58" s="198" t="s">
        <v>635</v>
      </c>
    </row>
    <row r="59" spans="1:21">
      <c r="A59" s="97">
        <f t="shared" si="0"/>
        <v>59</v>
      </c>
      <c r="B59" s="276" t="s">
        <v>95</v>
      </c>
      <c r="C59" s="277">
        <v>23</v>
      </c>
      <c r="D59" s="277">
        <v>23</v>
      </c>
      <c r="E59" s="277">
        <v>23</v>
      </c>
      <c r="F59" s="277">
        <v>23</v>
      </c>
      <c r="G59" s="277">
        <v>23</v>
      </c>
      <c r="H59" s="277">
        <v>23</v>
      </c>
      <c r="I59" s="277">
        <v>23</v>
      </c>
      <c r="J59" s="277">
        <v>23</v>
      </c>
      <c r="K59" s="277">
        <v>22</v>
      </c>
      <c r="L59" s="277">
        <v>22</v>
      </c>
      <c r="M59" s="277">
        <v>22</v>
      </c>
      <c r="N59" s="277">
        <v>22</v>
      </c>
      <c r="O59" s="274">
        <f t="shared" si="9"/>
        <v>22.666666666666668</v>
      </c>
      <c r="Q59" s="97" t="s">
        <v>4</v>
      </c>
      <c r="R59" s="274">
        <f t="shared" si="10"/>
        <v>272</v>
      </c>
      <c r="S59" s="249" t="str">
        <f t="shared" si="12"/>
        <v>IGC - IGC - TS2</v>
      </c>
      <c r="U59" s="198" t="s">
        <v>635</v>
      </c>
    </row>
    <row r="60" spans="1:21">
      <c r="A60" s="97">
        <f t="shared" si="0"/>
        <v>60</v>
      </c>
      <c r="B60" s="276" t="s">
        <v>96</v>
      </c>
      <c r="C60" s="277">
        <v>1</v>
      </c>
      <c r="D60" s="277">
        <v>1</v>
      </c>
      <c r="E60" s="277">
        <v>1</v>
      </c>
      <c r="F60" s="277">
        <v>1</v>
      </c>
      <c r="G60" s="277">
        <v>1</v>
      </c>
      <c r="H60" s="277">
        <v>1</v>
      </c>
      <c r="I60" s="277">
        <v>1</v>
      </c>
      <c r="J60" s="277">
        <v>1</v>
      </c>
      <c r="K60" s="277">
        <v>1</v>
      </c>
      <c r="L60" s="277">
        <v>1</v>
      </c>
      <c r="M60" s="277">
        <v>1</v>
      </c>
      <c r="N60" s="277">
        <v>1</v>
      </c>
      <c r="O60" s="274">
        <f t="shared" si="9"/>
        <v>1</v>
      </c>
      <c r="Q60" s="97" t="s">
        <v>4</v>
      </c>
      <c r="R60" s="274">
        <f t="shared" si="10"/>
        <v>12</v>
      </c>
      <c r="S60" s="249" t="str">
        <f t="shared" si="12"/>
        <v>IGC - IGC - TS3</v>
      </c>
      <c r="U60" s="198" t="s">
        <v>635</v>
      </c>
    </row>
    <row r="61" spans="1:21">
      <c r="A61" s="97">
        <f t="shared" si="0"/>
        <v>61</v>
      </c>
      <c r="B61" s="285" t="s">
        <v>97</v>
      </c>
      <c r="C61" s="277">
        <v>2</v>
      </c>
      <c r="D61" s="277">
        <v>2</v>
      </c>
      <c r="E61" s="277">
        <v>2</v>
      </c>
      <c r="F61" s="277">
        <v>2</v>
      </c>
      <c r="G61" s="277">
        <v>2</v>
      </c>
      <c r="H61" s="277">
        <v>2</v>
      </c>
      <c r="I61" s="277">
        <v>2</v>
      </c>
      <c r="J61" s="277">
        <v>2</v>
      </c>
      <c r="K61" s="277">
        <v>2</v>
      </c>
      <c r="L61" s="277">
        <v>2</v>
      </c>
      <c r="M61" s="277">
        <v>2</v>
      </c>
      <c r="N61" s="277">
        <v>2</v>
      </c>
      <c r="O61" s="283">
        <f t="shared" si="9"/>
        <v>2</v>
      </c>
      <c r="Q61" s="97" t="s">
        <v>4</v>
      </c>
      <c r="R61" s="274">
        <f t="shared" si="10"/>
        <v>24</v>
      </c>
      <c r="S61" s="249" t="str">
        <f t="shared" si="12"/>
        <v>IGC - IGC - TS4</v>
      </c>
      <c r="U61" s="198" t="s">
        <v>635</v>
      </c>
    </row>
    <row r="62" spans="1:21">
      <c r="A62" s="97">
        <f t="shared" si="0"/>
        <v>62</v>
      </c>
      <c r="B62" s="286" t="s">
        <v>164</v>
      </c>
      <c r="C62" s="281">
        <f t="shared" ref="C62:N62" si="13">SUM(C26:C61)</f>
        <v>7777</v>
      </c>
      <c r="D62" s="281">
        <f t="shared" si="13"/>
        <v>7791</v>
      </c>
      <c r="E62" s="281">
        <f t="shared" si="13"/>
        <v>7786</v>
      </c>
      <c r="F62" s="281">
        <f t="shared" si="13"/>
        <v>7858</v>
      </c>
      <c r="G62" s="281">
        <f t="shared" si="13"/>
        <v>7840</v>
      </c>
      <c r="H62" s="281">
        <f t="shared" si="13"/>
        <v>7850</v>
      </c>
      <c r="I62" s="281">
        <f t="shared" si="13"/>
        <v>7850</v>
      </c>
      <c r="J62" s="281">
        <f t="shared" si="13"/>
        <v>7872</v>
      </c>
      <c r="K62" s="281">
        <f t="shared" si="13"/>
        <v>7863</v>
      </c>
      <c r="L62" s="281">
        <f t="shared" si="13"/>
        <v>7883</v>
      </c>
      <c r="M62" s="281">
        <f t="shared" si="13"/>
        <v>7900</v>
      </c>
      <c r="N62" s="281">
        <f t="shared" si="13"/>
        <v>7925</v>
      </c>
      <c r="O62" s="274">
        <f t="shared" si="9"/>
        <v>7849.583333333333</v>
      </c>
      <c r="R62" s="274">
        <f t="shared" si="10"/>
        <v>94195</v>
      </c>
      <c r="T62" s="249">
        <f>(R15+R24+R62+R71)-SUM(R56:R58)+SUM(R245:R248)</f>
        <v>993725</v>
      </c>
    </row>
    <row r="63" spans="1:21">
      <c r="A63" s="97">
        <f t="shared" si="0"/>
        <v>63</v>
      </c>
      <c r="B63" s="284" t="s">
        <v>165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R63" s="97"/>
    </row>
    <row r="64" spans="1:21">
      <c r="A64" s="97">
        <f t="shared" si="0"/>
        <v>64</v>
      </c>
      <c r="B64" s="276" t="s">
        <v>100</v>
      </c>
      <c r="C64" s="277">
        <v>0</v>
      </c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4">
        <f t="shared" ref="O64:O71" si="14">AVERAGE(C64:N64)</f>
        <v>0</v>
      </c>
      <c r="Q64" s="97" t="s">
        <v>8</v>
      </c>
      <c r="R64" s="274">
        <f t="shared" ref="R64:R71" si="15">+SUM(C64:N64)</f>
        <v>0</v>
      </c>
      <c r="S64" s="249" t="str">
        <f>CONCATENATE(Q64," - ",B64," - ",T64)</f>
        <v>CFG - FTS-A - Fixed NR</v>
      </c>
      <c r="T64" s="97" t="s">
        <v>166</v>
      </c>
      <c r="U64" s="198" t="s">
        <v>635</v>
      </c>
    </row>
    <row r="65" spans="1:21">
      <c r="A65" s="97">
        <f t="shared" si="0"/>
        <v>65</v>
      </c>
      <c r="B65" s="276" t="s">
        <v>101</v>
      </c>
      <c r="C65" s="277">
        <v>1</v>
      </c>
      <c r="D65" s="277">
        <v>1</v>
      </c>
      <c r="E65" s="277">
        <v>1</v>
      </c>
      <c r="F65" s="277">
        <v>1</v>
      </c>
      <c r="G65" s="277">
        <v>1</v>
      </c>
      <c r="H65" s="277">
        <v>1</v>
      </c>
      <c r="I65" s="277">
        <v>1</v>
      </c>
      <c r="J65" s="277">
        <v>1</v>
      </c>
      <c r="K65" s="277">
        <v>1</v>
      </c>
      <c r="L65" s="277">
        <v>1</v>
      </c>
      <c r="M65" s="277">
        <v>1</v>
      </c>
      <c r="N65" s="277">
        <v>1</v>
      </c>
      <c r="O65" s="274">
        <f t="shared" si="14"/>
        <v>1</v>
      </c>
      <c r="Q65" s="97" t="s">
        <v>8</v>
      </c>
      <c r="R65" s="274">
        <f t="shared" si="15"/>
        <v>12</v>
      </c>
      <c r="S65" s="249" t="str">
        <f t="shared" ref="S65:S70" si="16">CONCATENATE(Q65," - ",B65," - ",T65)</f>
        <v>CFG - FTS-B - Fixed NR</v>
      </c>
      <c r="T65" s="97" t="s">
        <v>166</v>
      </c>
      <c r="U65" s="198" t="s">
        <v>635</v>
      </c>
    </row>
    <row r="66" spans="1:21">
      <c r="A66" s="97">
        <f t="shared" si="0"/>
        <v>66</v>
      </c>
      <c r="B66" s="276" t="s">
        <v>102</v>
      </c>
      <c r="C66" s="277">
        <v>32</v>
      </c>
      <c r="D66" s="277">
        <v>32</v>
      </c>
      <c r="E66" s="277">
        <v>32</v>
      </c>
      <c r="F66" s="277">
        <v>32</v>
      </c>
      <c r="G66" s="277">
        <v>32</v>
      </c>
      <c r="H66" s="277">
        <v>32</v>
      </c>
      <c r="I66" s="277">
        <v>32</v>
      </c>
      <c r="J66" s="277">
        <v>32</v>
      </c>
      <c r="K66" s="277">
        <v>32</v>
      </c>
      <c r="L66" s="277">
        <v>33</v>
      </c>
      <c r="M66" s="277">
        <v>33</v>
      </c>
      <c r="N66" s="277">
        <v>34</v>
      </c>
      <c r="O66" s="274">
        <f t="shared" si="14"/>
        <v>32.333333333333336</v>
      </c>
      <c r="Q66" s="97" t="s">
        <v>8</v>
      </c>
      <c r="R66" s="274">
        <f t="shared" si="15"/>
        <v>388</v>
      </c>
      <c r="S66" s="249" t="str">
        <f t="shared" si="16"/>
        <v>CFG - FTS-1 - Fixed NR</v>
      </c>
      <c r="T66" s="97" t="s">
        <v>166</v>
      </c>
      <c r="U66" s="198" t="s">
        <v>635</v>
      </c>
    </row>
    <row r="67" spans="1:21">
      <c r="A67" s="97">
        <f t="shared" ref="A67:A130" si="17">+A66+1</f>
        <v>67</v>
      </c>
      <c r="B67" s="279" t="s">
        <v>103</v>
      </c>
      <c r="C67" s="277">
        <v>5</v>
      </c>
      <c r="D67" s="277">
        <v>5</v>
      </c>
      <c r="E67" s="277">
        <v>5</v>
      </c>
      <c r="F67" s="277">
        <v>5</v>
      </c>
      <c r="G67" s="277">
        <v>5</v>
      </c>
      <c r="H67" s="277">
        <v>6</v>
      </c>
      <c r="I67" s="277">
        <v>6</v>
      </c>
      <c r="J67" s="277">
        <v>6</v>
      </c>
      <c r="K67" s="277">
        <v>5</v>
      </c>
      <c r="L67" s="277">
        <v>5</v>
      </c>
      <c r="M67" s="277">
        <v>5</v>
      </c>
      <c r="N67" s="277">
        <v>5</v>
      </c>
      <c r="O67" s="274">
        <f t="shared" si="14"/>
        <v>5.25</v>
      </c>
      <c r="Q67" s="97" t="s">
        <v>8</v>
      </c>
      <c r="R67" s="274">
        <f t="shared" si="15"/>
        <v>63</v>
      </c>
      <c r="S67" s="249" t="str">
        <f t="shared" si="16"/>
        <v>CFG - FTS-2 - Fixed NR</v>
      </c>
      <c r="T67" s="97" t="s">
        <v>166</v>
      </c>
      <c r="U67" s="198" t="s">
        <v>635</v>
      </c>
    </row>
    <row r="68" spans="1:21">
      <c r="A68" s="97">
        <f t="shared" si="17"/>
        <v>68</v>
      </c>
      <c r="B68" s="279" t="s">
        <v>104</v>
      </c>
      <c r="C68" s="277">
        <v>11</v>
      </c>
      <c r="D68" s="277">
        <v>11</v>
      </c>
      <c r="E68" s="277">
        <v>11</v>
      </c>
      <c r="F68" s="277">
        <v>11</v>
      </c>
      <c r="G68" s="277">
        <v>11</v>
      </c>
      <c r="H68" s="277">
        <v>11</v>
      </c>
      <c r="I68" s="277">
        <v>11</v>
      </c>
      <c r="J68" s="277">
        <v>11</v>
      </c>
      <c r="K68" s="277">
        <v>10</v>
      </c>
      <c r="L68" s="277">
        <v>10</v>
      </c>
      <c r="M68" s="277">
        <v>10</v>
      </c>
      <c r="N68" s="277">
        <v>10</v>
      </c>
      <c r="O68" s="274">
        <f t="shared" si="14"/>
        <v>10.666666666666666</v>
      </c>
      <c r="Q68" s="97" t="s">
        <v>8</v>
      </c>
      <c r="R68" s="274">
        <f t="shared" si="15"/>
        <v>128</v>
      </c>
      <c r="S68" s="249" t="str">
        <f t="shared" si="16"/>
        <v>CFG - FTS-2.1 - Fixed NR</v>
      </c>
      <c r="T68" s="97" t="s">
        <v>166</v>
      </c>
      <c r="U68" s="198" t="s">
        <v>635</v>
      </c>
    </row>
    <row r="69" spans="1:21">
      <c r="A69" s="97">
        <f t="shared" si="17"/>
        <v>69</v>
      </c>
      <c r="B69" s="279" t="s">
        <v>105</v>
      </c>
      <c r="C69" s="277">
        <v>16</v>
      </c>
      <c r="D69" s="277">
        <v>17</v>
      </c>
      <c r="E69" s="277">
        <v>17</v>
      </c>
      <c r="F69" s="277">
        <v>17</v>
      </c>
      <c r="G69" s="277">
        <v>17</v>
      </c>
      <c r="H69" s="277">
        <v>17</v>
      </c>
      <c r="I69" s="277">
        <v>18</v>
      </c>
      <c r="J69" s="277">
        <v>18</v>
      </c>
      <c r="K69" s="277">
        <v>18</v>
      </c>
      <c r="L69" s="277">
        <v>18</v>
      </c>
      <c r="M69" s="277">
        <v>19</v>
      </c>
      <c r="N69" s="277">
        <v>19</v>
      </c>
      <c r="O69" s="274">
        <f t="shared" si="14"/>
        <v>17.583333333333332</v>
      </c>
      <c r="Q69" s="97" t="s">
        <v>8</v>
      </c>
      <c r="R69" s="274">
        <f t="shared" si="15"/>
        <v>211</v>
      </c>
      <c r="S69" s="249" t="str">
        <f t="shared" si="16"/>
        <v>CFG - FTS-3 - Fixed NR</v>
      </c>
      <c r="T69" s="97" t="s">
        <v>166</v>
      </c>
      <c r="U69" s="198" t="s">
        <v>635</v>
      </c>
    </row>
    <row r="70" spans="1:21">
      <c r="A70" s="97">
        <f t="shared" si="17"/>
        <v>70</v>
      </c>
      <c r="B70" s="285" t="s">
        <v>106</v>
      </c>
      <c r="C70" s="277">
        <v>7</v>
      </c>
      <c r="D70" s="277">
        <v>7</v>
      </c>
      <c r="E70" s="277">
        <v>7</v>
      </c>
      <c r="F70" s="277">
        <v>7</v>
      </c>
      <c r="G70" s="277">
        <v>7</v>
      </c>
      <c r="H70" s="277">
        <v>7</v>
      </c>
      <c r="I70" s="277">
        <v>7</v>
      </c>
      <c r="J70" s="277">
        <v>7</v>
      </c>
      <c r="K70" s="277">
        <v>7</v>
      </c>
      <c r="L70" s="277">
        <v>7</v>
      </c>
      <c r="M70" s="277">
        <v>7</v>
      </c>
      <c r="N70" s="277">
        <v>7</v>
      </c>
      <c r="O70" s="274">
        <f t="shared" si="14"/>
        <v>7</v>
      </c>
      <c r="Q70" s="97" t="s">
        <v>8</v>
      </c>
      <c r="R70" s="274">
        <f t="shared" si="15"/>
        <v>84</v>
      </c>
      <c r="S70" s="249" t="str">
        <f t="shared" si="16"/>
        <v>CFG - FTS-3.1 - Fixed NR</v>
      </c>
      <c r="T70" s="97" t="s">
        <v>166</v>
      </c>
      <c r="U70" s="198" t="s">
        <v>635</v>
      </c>
    </row>
    <row r="71" spans="1:21">
      <c r="A71" s="97">
        <f t="shared" si="17"/>
        <v>71</v>
      </c>
      <c r="B71" s="286" t="s">
        <v>167</v>
      </c>
      <c r="C71" s="281">
        <f t="shared" ref="C71:N71" si="18">SUM(C64:C70)</f>
        <v>72</v>
      </c>
      <c r="D71" s="281">
        <f t="shared" si="18"/>
        <v>73</v>
      </c>
      <c r="E71" s="281">
        <f t="shared" si="18"/>
        <v>73</v>
      </c>
      <c r="F71" s="281">
        <f t="shared" si="18"/>
        <v>73</v>
      </c>
      <c r="G71" s="281">
        <f t="shared" si="18"/>
        <v>73</v>
      </c>
      <c r="H71" s="281">
        <f t="shared" si="18"/>
        <v>74</v>
      </c>
      <c r="I71" s="281">
        <f t="shared" si="18"/>
        <v>75</v>
      </c>
      <c r="J71" s="281">
        <f t="shared" si="18"/>
        <v>75</v>
      </c>
      <c r="K71" s="281">
        <f t="shared" si="18"/>
        <v>73</v>
      </c>
      <c r="L71" s="281">
        <f t="shared" si="18"/>
        <v>74</v>
      </c>
      <c r="M71" s="281">
        <f t="shared" si="18"/>
        <v>75</v>
      </c>
      <c r="N71" s="281">
        <f t="shared" si="18"/>
        <v>76</v>
      </c>
      <c r="O71" s="281">
        <f t="shared" si="14"/>
        <v>73.833333333333329</v>
      </c>
      <c r="R71" s="274">
        <f t="shared" si="15"/>
        <v>886</v>
      </c>
    </row>
    <row r="72" spans="1:21">
      <c r="A72" s="97">
        <f t="shared" si="17"/>
        <v>72</v>
      </c>
      <c r="B72" s="284" t="s">
        <v>168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R72" s="97"/>
    </row>
    <row r="73" spans="1:21">
      <c r="A73" s="97">
        <f t="shared" si="17"/>
        <v>73</v>
      </c>
      <c r="B73" s="152" t="s">
        <v>169</v>
      </c>
      <c r="C73" s="277">
        <v>2</v>
      </c>
      <c r="D73" s="277">
        <v>2</v>
      </c>
      <c r="E73" s="277">
        <v>2</v>
      </c>
      <c r="F73" s="277">
        <v>2</v>
      </c>
      <c r="G73" s="277">
        <v>2</v>
      </c>
      <c r="H73" s="277">
        <v>2</v>
      </c>
      <c r="I73" s="277">
        <v>2</v>
      </c>
      <c r="J73" s="277">
        <v>2</v>
      </c>
      <c r="K73" s="277">
        <v>2</v>
      </c>
      <c r="L73" s="277">
        <v>2</v>
      </c>
      <c r="M73" s="277">
        <v>2</v>
      </c>
      <c r="N73" s="277">
        <v>2</v>
      </c>
      <c r="O73" s="274">
        <f t="shared" ref="O73:O87" si="19">AVERAGE(C73:N73)</f>
        <v>2</v>
      </c>
      <c r="Q73" s="97" t="s">
        <v>8</v>
      </c>
      <c r="R73" s="274">
        <f t="shared" ref="R73:R87" si="20">+SUM(C73:N73)</f>
        <v>24</v>
      </c>
    </row>
    <row r="74" spans="1:21">
      <c r="A74" s="97">
        <f t="shared" si="17"/>
        <v>74</v>
      </c>
      <c r="B74" s="152" t="s">
        <v>171</v>
      </c>
      <c r="C74" s="277">
        <v>1</v>
      </c>
      <c r="D74" s="277">
        <v>1</v>
      </c>
      <c r="E74" s="277">
        <v>1</v>
      </c>
      <c r="F74" s="277">
        <v>1</v>
      </c>
      <c r="G74" s="277">
        <v>1</v>
      </c>
      <c r="H74" s="277">
        <v>1</v>
      </c>
      <c r="I74" s="277">
        <v>1</v>
      </c>
      <c r="J74" s="277">
        <v>1</v>
      </c>
      <c r="K74" s="277">
        <v>1</v>
      </c>
      <c r="L74" s="277">
        <v>1</v>
      </c>
      <c r="M74" s="277">
        <v>1</v>
      </c>
      <c r="N74" s="277">
        <v>1</v>
      </c>
      <c r="O74" s="274">
        <f t="shared" si="19"/>
        <v>1</v>
      </c>
      <c r="Q74" s="97" t="s">
        <v>8</v>
      </c>
      <c r="R74" s="274">
        <f t="shared" si="20"/>
        <v>12</v>
      </c>
    </row>
    <row r="75" spans="1:21">
      <c r="A75" s="97">
        <f t="shared" si="17"/>
        <v>75</v>
      </c>
      <c r="B75" s="152" t="s">
        <v>172</v>
      </c>
      <c r="C75" s="277">
        <v>1</v>
      </c>
      <c r="D75" s="277">
        <v>1</v>
      </c>
      <c r="E75" s="277">
        <v>1</v>
      </c>
      <c r="F75" s="277">
        <v>1</v>
      </c>
      <c r="G75" s="277">
        <v>1</v>
      </c>
      <c r="H75" s="277">
        <v>1</v>
      </c>
      <c r="I75" s="277">
        <v>1</v>
      </c>
      <c r="J75" s="277">
        <v>1</v>
      </c>
      <c r="K75" s="277">
        <v>1</v>
      </c>
      <c r="L75" s="277">
        <v>1</v>
      </c>
      <c r="M75" s="277">
        <v>1</v>
      </c>
      <c r="N75" s="277">
        <v>1</v>
      </c>
      <c r="O75" s="274">
        <f t="shared" si="19"/>
        <v>1</v>
      </c>
      <c r="Q75" s="97" t="s">
        <v>8</v>
      </c>
      <c r="R75" s="274">
        <f t="shared" si="20"/>
        <v>12</v>
      </c>
    </row>
    <row r="76" spans="1:21">
      <c r="A76" s="97">
        <f t="shared" si="17"/>
        <v>76</v>
      </c>
      <c r="B76" s="152" t="s">
        <v>173</v>
      </c>
      <c r="C76" s="277">
        <v>1</v>
      </c>
      <c r="D76" s="277">
        <v>1</v>
      </c>
      <c r="E76" s="277">
        <v>1</v>
      </c>
      <c r="F76" s="277">
        <v>1</v>
      </c>
      <c r="G76" s="277">
        <v>1</v>
      </c>
      <c r="H76" s="277">
        <v>1</v>
      </c>
      <c r="I76" s="277">
        <v>1</v>
      </c>
      <c r="J76" s="277">
        <v>1</v>
      </c>
      <c r="K76" s="277">
        <v>1</v>
      </c>
      <c r="L76" s="277">
        <v>1</v>
      </c>
      <c r="M76" s="277">
        <v>1</v>
      </c>
      <c r="N76" s="277">
        <v>1</v>
      </c>
      <c r="O76" s="274">
        <f t="shared" si="19"/>
        <v>1</v>
      </c>
      <c r="Q76" s="97" t="s">
        <v>8</v>
      </c>
      <c r="R76" s="274">
        <f t="shared" si="20"/>
        <v>12</v>
      </c>
    </row>
    <row r="77" spans="1:21">
      <c r="A77" s="97">
        <f t="shared" si="17"/>
        <v>77</v>
      </c>
      <c r="B77" s="152" t="s">
        <v>174</v>
      </c>
      <c r="C77" s="277">
        <v>1</v>
      </c>
      <c r="D77" s="277">
        <v>1</v>
      </c>
      <c r="E77" s="277">
        <v>1</v>
      </c>
      <c r="F77" s="277">
        <v>1</v>
      </c>
      <c r="G77" s="277">
        <v>1</v>
      </c>
      <c r="H77" s="277">
        <v>1</v>
      </c>
      <c r="I77" s="277">
        <v>1</v>
      </c>
      <c r="J77" s="277">
        <v>1</v>
      </c>
      <c r="K77" s="287">
        <v>0</v>
      </c>
      <c r="L77" s="287">
        <v>0</v>
      </c>
      <c r="M77" s="277">
        <v>0</v>
      </c>
      <c r="N77" s="277">
        <v>0</v>
      </c>
      <c r="O77" s="274">
        <f t="shared" si="19"/>
        <v>0.66666666666666663</v>
      </c>
      <c r="Q77" s="97" t="s">
        <v>8</v>
      </c>
      <c r="R77" s="274">
        <f t="shared" si="20"/>
        <v>8</v>
      </c>
    </row>
    <row r="78" spans="1:21">
      <c r="A78" s="97">
        <f t="shared" si="17"/>
        <v>78</v>
      </c>
      <c r="B78" s="152" t="s">
        <v>175</v>
      </c>
      <c r="C78" s="277">
        <v>1</v>
      </c>
      <c r="D78" s="277">
        <v>1</v>
      </c>
      <c r="E78" s="277">
        <v>1</v>
      </c>
      <c r="F78" s="277">
        <v>1</v>
      </c>
      <c r="G78" s="277">
        <v>1</v>
      </c>
      <c r="H78" s="277">
        <v>1</v>
      </c>
      <c r="I78" s="277">
        <v>1</v>
      </c>
      <c r="J78" s="277">
        <v>1</v>
      </c>
      <c r="K78" s="277">
        <v>1</v>
      </c>
      <c r="L78" s="277">
        <v>1</v>
      </c>
      <c r="M78" s="277">
        <v>1</v>
      </c>
      <c r="N78" s="277">
        <v>1</v>
      </c>
      <c r="O78" s="274">
        <f t="shared" si="19"/>
        <v>1</v>
      </c>
      <c r="Q78" s="97" t="s">
        <v>8</v>
      </c>
      <c r="R78" s="274">
        <f t="shared" si="20"/>
        <v>12</v>
      </c>
    </row>
    <row r="79" spans="1:21" ht="10.5" customHeight="1">
      <c r="A79" s="97">
        <f t="shared" si="17"/>
        <v>79</v>
      </c>
      <c r="B79" s="152" t="s">
        <v>176</v>
      </c>
      <c r="C79" s="277">
        <v>1</v>
      </c>
      <c r="D79" s="277">
        <v>1</v>
      </c>
      <c r="E79" s="277">
        <v>1</v>
      </c>
      <c r="F79" s="277">
        <v>1</v>
      </c>
      <c r="G79" s="277">
        <v>1</v>
      </c>
      <c r="H79" s="277">
        <v>1</v>
      </c>
      <c r="I79" s="277">
        <v>1</v>
      </c>
      <c r="J79" s="277">
        <v>1</v>
      </c>
      <c r="K79" s="277">
        <v>1</v>
      </c>
      <c r="L79" s="277">
        <v>1</v>
      </c>
      <c r="M79" s="277">
        <v>1</v>
      </c>
      <c r="N79" s="277">
        <v>1</v>
      </c>
      <c r="O79" s="274">
        <f t="shared" si="19"/>
        <v>1</v>
      </c>
      <c r="Q79" s="97" t="s">
        <v>8</v>
      </c>
      <c r="R79" s="274">
        <f t="shared" si="20"/>
        <v>12</v>
      </c>
    </row>
    <row r="80" spans="1:21">
      <c r="A80" s="97">
        <f t="shared" si="17"/>
        <v>80</v>
      </c>
      <c r="B80" s="152" t="s">
        <v>177</v>
      </c>
      <c r="C80" s="277">
        <v>1</v>
      </c>
      <c r="D80" s="277">
        <v>1</v>
      </c>
      <c r="E80" s="277">
        <v>1</v>
      </c>
      <c r="F80" s="277">
        <v>1</v>
      </c>
      <c r="G80" s="277">
        <v>1</v>
      </c>
      <c r="H80" s="277">
        <v>1</v>
      </c>
      <c r="I80" s="277">
        <v>1</v>
      </c>
      <c r="J80" s="277">
        <v>1</v>
      </c>
      <c r="K80" s="277">
        <v>1</v>
      </c>
      <c r="L80" s="277">
        <v>1</v>
      </c>
      <c r="M80" s="277">
        <v>1</v>
      </c>
      <c r="N80" s="277">
        <v>1</v>
      </c>
      <c r="O80" s="274">
        <f t="shared" si="19"/>
        <v>1</v>
      </c>
      <c r="Q80" s="97" t="s">
        <v>7</v>
      </c>
      <c r="R80" s="274">
        <f t="shared" si="20"/>
        <v>12</v>
      </c>
    </row>
    <row r="81" spans="1:18">
      <c r="A81" s="97">
        <f t="shared" si="17"/>
        <v>81</v>
      </c>
      <c r="B81" s="152" t="s">
        <v>179</v>
      </c>
      <c r="C81" s="277">
        <v>1</v>
      </c>
      <c r="D81" s="277">
        <v>1</v>
      </c>
      <c r="E81" s="277">
        <v>1</v>
      </c>
      <c r="F81" s="277">
        <v>1</v>
      </c>
      <c r="G81" s="277">
        <v>1</v>
      </c>
      <c r="H81" s="277">
        <v>1</v>
      </c>
      <c r="I81" s="277">
        <v>1</v>
      </c>
      <c r="J81" s="277">
        <v>1</v>
      </c>
      <c r="K81" s="277">
        <v>1</v>
      </c>
      <c r="L81" s="277">
        <v>1</v>
      </c>
      <c r="M81" s="277">
        <v>1</v>
      </c>
      <c r="N81" s="277">
        <v>1</v>
      </c>
      <c r="O81" s="274">
        <f t="shared" si="19"/>
        <v>1</v>
      </c>
      <c r="Q81" s="97" t="s">
        <v>8</v>
      </c>
      <c r="R81" s="274">
        <f t="shared" si="20"/>
        <v>12</v>
      </c>
    </row>
    <row r="82" spans="1:18">
      <c r="A82" s="97">
        <f t="shared" si="17"/>
        <v>82</v>
      </c>
      <c r="B82" s="152" t="s">
        <v>180</v>
      </c>
      <c r="C82" s="277">
        <v>1</v>
      </c>
      <c r="D82" s="277">
        <v>1</v>
      </c>
      <c r="E82" s="277">
        <v>1</v>
      </c>
      <c r="F82" s="277">
        <v>1</v>
      </c>
      <c r="G82" s="277">
        <v>1</v>
      </c>
      <c r="H82" s="277">
        <v>1</v>
      </c>
      <c r="I82" s="277">
        <v>1</v>
      </c>
      <c r="J82" s="277">
        <v>1</v>
      </c>
      <c r="K82" s="277">
        <v>1</v>
      </c>
      <c r="L82" s="277">
        <v>1</v>
      </c>
      <c r="M82" s="277">
        <v>1</v>
      </c>
      <c r="N82" s="277">
        <v>1</v>
      </c>
      <c r="O82" s="274">
        <f t="shared" si="19"/>
        <v>1</v>
      </c>
      <c r="Q82" s="97" t="s">
        <v>8</v>
      </c>
      <c r="R82" s="274">
        <f t="shared" si="20"/>
        <v>12</v>
      </c>
    </row>
    <row r="83" spans="1:18">
      <c r="A83" s="97">
        <f t="shared" si="17"/>
        <v>83</v>
      </c>
      <c r="B83" s="152" t="s">
        <v>181</v>
      </c>
      <c r="C83" s="277">
        <v>1</v>
      </c>
      <c r="D83" s="277">
        <v>1</v>
      </c>
      <c r="E83" s="277">
        <v>1</v>
      </c>
      <c r="F83" s="277">
        <v>1</v>
      </c>
      <c r="G83" s="277">
        <v>1</v>
      </c>
      <c r="H83" s="277">
        <v>1</v>
      </c>
      <c r="I83" s="277">
        <v>1</v>
      </c>
      <c r="J83" s="277">
        <v>1</v>
      </c>
      <c r="K83" s="277">
        <v>1</v>
      </c>
      <c r="L83" s="277">
        <v>1</v>
      </c>
      <c r="M83" s="277">
        <v>1</v>
      </c>
      <c r="N83" s="277">
        <v>1</v>
      </c>
      <c r="O83" s="274">
        <f t="shared" si="19"/>
        <v>1</v>
      </c>
      <c r="Q83" s="97" t="s">
        <v>8</v>
      </c>
      <c r="R83" s="274">
        <f t="shared" si="20"/>
        <v>12</v>
      </c>
    </row>
    <row r="84" spans="1:18">
      <c r="A84" s="97">
        <f t="shared" si="17"/>
        <v>84</v>
      </c>
      <c r="B84" s="152" t="s">
        <v>183</v>
      </c>
      <c r="C84" s="277">
        <v>1</v>
      </c>
      <c r="D84" s="277">
        <v>1</v>
      </c>
      <c r="E84" s="277">
        <v>1</v>
      </c>
      <c r="F84" s="277">
        <v>1</v>
      </c>
      <c r="G84" s="277">
        <v>1</v>
      </c>
      <c r="H84" s="277">
        <v>1</v>
      </c>
      <c r="I84" s="277">
        <v>1</v>
      </c>
      <c r="J84" s="277">
        <v>1</v>
      </c>
      <c r="K84" s="277">
        <v>1</v>
      </c>
      <c r="L84" s="277">
        <v>1</v>
      </c>
      <c r="M84" s="277">
        <v>1</v>
      </c>
      <c r="N84" s="277">
        <v>1</v>
      </c>
      <c r="O84" s="274">
        <f t="shared" si="19"/>
        <v>1</v>
      </c>
      <c r="Q84" s="97" t="s">
        <v>7</v>
      </c>
      <c r="R84" s="274">
        <f t="shared" si="20"/>
        <v>12</v>
      </c>
    </row>
    <row r="85" spans="1:18">
      <c r="A85" s="97">
        <f t="shared" si="17"/>
        <v>85</v>
      </c>
      <c r="B85" s="152" t="s">
        <v>184</v>
      </c>
      <c r="C85" s="277">
        <v>1</v>
      </c>
      <c r="D85" s="277">
        <v>1</v>
      </c>
      <c r="E85" s="277">
        <v>1</v>
      </c>
      <c r="F85" s="277">
        <v>1</v>
      </c>
      <c r="G85" s="277">
        <v>1</v>
      </c>
      <c r="H85" s="277">
        <v>1</v>
      </c>
      <c r="I85" s="277">
        <v>1</v>
      </c>
      <c r="J85" s="277">
        <v>1</v>
      </c>
      <c r="K85" s="277">
        <v>1</v>
      </c>
      <c r="L85" s="277">
        <v>1</v>
      </c>
      <c r="M85" s="277">
        <v>1</v>
      </c>
      <c r="N85" s="277">
        <v>1</v>
      </c>
      <c r="O85" s="274">
        <f t="shared" si="19"/>
        <v>1</v>
      </c>
      <c r="Q85" s="97" t="s">
        <v>7</v>
      </c>
      <c r="R85" s="274">
        <f t="shared" si="20"/>
        <v>12</v>
      </c>
    </row>
    <row r="86" spans="1:18">
      <c r="A86" s="97">
        <f t="shared" si="17"/>
        <v>86</v>
      </c>
      <c r="B86" s="288" t="s">
        <v>185</v>
      </c>
      <c r="C86" s="277">
        <v>1</v>
      </c>
      <c r="D86" s="277">
        <v>1</v>
      </c>
      <c r="E86" s="277">
        <v>1</v>
      </c>
      <c r="F86" s="277">
        <v>1</v>
      </c>
      <c r="G86" s="277">
        <v>1</v>
      </c>
      <c r="H86" s="277">
        <v>1</v>
      </c>
      <c r="I86" s="277">
        <v>1</v>
      </c>
      <c r="J86" s="277">
        <v>1</v>
      </c>
      <c r="K86" s="277">
        <v>1</v>
      </c>
      <c r="L86" s="277">
        <v>1</v>
      </c>
      <c r="M86" s="277">
        <v>1</v>
      </c>
      <c r="N86" s="277">
        <v>1</v>
      </c>
      <c r="O86" s="283">
        <f t="shared" si="19"/>
        <v>1</v>
      </c>
      <c r="Q86" s="97" t="s">
        <v>8</v>
      </c>
      <c r="R86" s="274">
        <f t="shared" si="20"/>
        <v>12</v>
      </c>
    </row>
    <row r="87" spans="1:18">
      <c r="A87" s="97">
        <f t="shared" si="17"/>
        <v>87</v>
      </c>
      <c r="B87" s="286" t="s">
        <v>186</v>
      </c>
      <c r="C87" s="281">
        <f>SUM(C73:C86)</f>
        <v>15</v>
      </c>
      <c r="D87" s="281">
        <f t="shared" ref="D87:N87" si="21">SUM(D73:D86)</f>
        <v>15</v>
      </c>
      <c r="E87" s="281">
        <f t="shared" si="21"/>
        <v>15</v>
      </c>
      <c r="F87" s="281">
        <f t="shared" si="21"/>
        <v>15</v>
      </c>
      <c r="G87" s="281">
        <f t="shared" si="21"/>
        <v>15</v>
      </c>
      <c r="H87" s="281">
        <f t="shared" si="21"/>
        <v>15</v>
      </c>
      <c r="I87" s="281">
        <f t="shared" si="21"/>
        <v>15</v>
      </c>
      <c r="J87" s="281">
        <f t="shared" si="21"/>
        <v>15</v>
      </c>
      <c r="K87" s="281">
        <f t="shared" si="21"/>
        <v>14</v>
      </c>
      <c r="L87" s="281">
        <f t="shared" si="21"/>
        <v>14</v>
      </c>
      <c r="M87" s="281">
        <f t="shared" si="21"/>
        <v>14</v>
      </c>
      <c r="N87" s="281">
        <f t="shared" si="21"/>
        <v>14</v>
      </c>
      <c r="O87" s="274">
        <f t="shared" si="19"/>
        <v>14.666666666666666</v>
      </c>
      <c r="R87" s="274">
        <f t="shared" si="20"/>
        <v>176</v>
      </c>
    </row>
    <row r="88" spans="1:18">
      <c r="A88" s="97">
        <f t="shared" si="17"/>
        <v>88</v>
      </c>
      <c r="B88" s="284" t="s">
        <v>187</v>
      </c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R88" s="97"/>
    </row>
    <row r="89" spans="1:18">
      <c r="A89" s="97">
        <f t="shared" si="17"/>
        <v>89</v>
      </c>
      <c r="B89" s="288" t="s">
        <v>179</v>
      </c>
      <c r="C89" s="277">
        <v>0</v>
      </c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4"/>
      <c r="Q89" s="97" t="s">
        <v>8</v>
      </c>
      <c r="R89" s="274">
        <f>+SUM(C89:N89)</f>
        <v>0</v>
      </c>
    </row>
    <row r="90" spans="1:18">
      <c r="A90" s="97">
        <f t="shared" si="17"/>
        <v>90</v>
      </c>
      <c r="B90" s="152" t="s">
        <v>188</v>
      </c>
      <c r="C90" s="277">
        <v>1</v>
      </c>
      <c r="D90" s="277">
        <v>1</v>
      </c>
      <c r="E90" s="277">
        <v>1</v>
      </c>
      <c r="F90" s="277">
        <v>1</v>
      </c>
      <c r="G90" s="277">
        <v>1</v>
      </c>
      <c r="H90" s="277">
        <v>1</v>
      </c>
      <c r="I90" s="277">
        <v>1</v>
      </c>
      <c r="J90" s="277">
        <v>1</v>
      </c>
      <c r="K90" s="277">
        <v>1</v>
      </c>
      <c r="L90" s="277">
        <v>1</v>
      </c>
      <c r="M90" s="277">
        <v>1</v>
      </c>
      <c r="N90" s="277">
        <v>1</v>
      </c>
      <c r="O90" s="274">
        <f>AVERAGE(C90:N90)</f>
        <v>1</v>
      </c>
      <c r="Q90" s="97" t="s">
        <v>8</v>
      </c>
      <c r="R90" s="274">
        <f>+SUM(C90:N90)</f>
        <v>12</v>
      </c>
    </row>
    <row r="91" spans="1:18">
      <c r="A91" s="97">
        <f t="shared" si="17"/>
        <v>91</v>
      </c>
      <c r="B91" s="152" t="s">
        <v>189</v>
      </c>
      <c r="C91" s="277">
        <v>1</v>
      </c>
      <c r="D91" s="277">
        <v>1</v>
      </c>
      <c r="E91" s="277">
        <v>1</v>
      </c>
      <c r="F91" s="277">
        <v>1</v>
      </c>
      <c r="G91" s="277">
        <v>1</v>
      </c>
      <c r="H91" s="277">
        <v>1</v>
      </c>
      <c r="I91" s="277">
        <v>1</v>
      </c>
      <c r="J91" s="277">
        <v>1</v>
      </c>
      <c r="K91" s="277">
        <v>1</v>
      </c>
      <c r="L91" s="277">
        <v>1</v>
      </c>
      <c r="M91" s="277">
        <v>1</v>
      </c>
      <c r="N91" s="277">
        <v>1</v>
      </c>
      <c r="O91" s="274">
        <f>AVERAGE(C91:N91)</f>
        <v>1</v>
      </c>
      <c r="Q91" s="97" t="s">
        <v>7</v>
      </c>
      <c r="R91" s="274">
        <f>+SUM(C91:N91)</f>
        <v>12</v>
      </c>
    </row>
    <row r="92" spans="1:18">
      <c r="A92" s="97">
        <f t="shared" si="17"/>
        <v>92</v>
      </c>
      <c r="B92" s="152" t="s">
        <v>217</v>
      </c>
      <c r="C92" s="277">
        <v>1</v>
      </c>
      <c r="D92" s="277">
        <v>1</v>
      </c>
      <c r="E92" s="277">
        <v>1</v>
      </c>
      <c r="F92" s="277">
        <v>1</v>
      </c>
      <c r="G92" s="277">
        <v>1</v>
      </c>
      <c r="H92" s="277">
        <v>1</v>
      </c>
      <c r="I92" s="277">
        <v>1</v>
      </c>
      <c r="J92" s="277">
        <v>1</v>
      </c>
      <c r="K92" s="277">
        <v>1</v>
      </c>
      <c r="L92" s="277">
        <v>1</v>
      </c>
      <c r="M92" s="277">
        <v>1</v>
      </c>
      <c r="N92" s="277">
        <v>1</v>
      </c>
      <c r="O92" s="274">
        <f>AVERAGE(C92:N92)</f>
        <v>1</v>
      </c>
      <c r="Q92" s="97" t="s">
        <v>7</v>
      </c>
      <c r="R92" s="274">
        <f>+SUM(C92:N92)</f>
        <v>12</v>
      </c>
    </row>
    <row r="93" spans="1:18">
      <c r="A93" s="97">
        <f t="shared" si="17"/>
        <v>93</v>
      </c>
      <c r="B93" s="286" t="s">
        <v>191</v>
      </c>
      <c r="C93" s="281">
        <f>SUM(C89:C92)</f>
        <v>3</v>
      </c>
      <c r="D93" s="281">
        <f t="shared" ref="D93:O93" si="22">SUM(D89:D92)</f>
        <v>3</v>
      </c>
      <c r="E93" s="281">
        <f t="shared" si="22"/>
        <v>3</v>
      </c>
      <c r="F93" s="281">
        <f t="shared" si="22"/>
        <v>3</v>
      </c>
      <c r="G93" s="281">
        <f t="shared" si="22"/>
        <v>3</v>
      </c>
      <c r="H93" s="281">
        <f t="shared" si="22"/>
        <v>3</v>
      </c>
      <c r="I93" s="281">
        <f t="shared" si="22"/>
        <v>3</v>
      </c>
      <c r="J93" s="281">
        <f t="shared" si="22"/>
        <v>3</v>
      </c>
      <c r="K93" s="281">
        <f t="shared" si="22"/>
        <v>3</v>
      </c>
      <c r="L93" s="281">
        <f t="shared" si="22"/>
        <v>3</v>
      </c>
      <c r="M93" s="281">
        <f t="shared" si="22"/>
        <v>3</v>
      </c>
      <c r="N93" s="281">
        <f t="shared" si="22"/>
        <v>3</v>
      </c>
      <c r="O93" s="281">
        <f t="shared" si="22"/>
        <v>3</v>
      </c>
      <c r="R93" s="274">
        <f>+SUM(C93:N93)</f>
        <v>36</v>
      </c>
    </row>
    <row r="94" spans="1:18">
      <c r="A94" s="97">
        <f t="shared" si="17"/>
        <v>94</v>
      </c>
      <c r="B94" s="28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</row>
    <row r="95" spans="1:18">
      <c r="A95" s="97">
        <f t="shared" si="17"/>
        <v>95</v>
      </c>
      <c r="B95" s="152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4">
        <v>0</v>
      </c>
      <c r="Q95" s="97" t="s">
        <v>8</v>
      </c>
    </row>
    <row r="96" spans="1:18">
      <c r="A96" s="97">
        <f t="shared" si="17"/>
        <v>96</v>
      </c>
      <c r="B96" s="153" t="s">
        <v>172</v>
      </c>
      <c r="C96" s="277">
        <v>0</v>
      </c>
      <c r="D96" s="277">
        <v>0</v>
      </c>
      <c r="E96" s="277">
        <v>0</v>
      </c>
      <c r="F96" s="277">
        <v>0</v>
      </c>
      <c r="G96" s="277">
        <v>0</v>
      </c>
      <c r="H96" s="277">
        <v>0</v>
      </c>
      <c r="I96" s="277">
        <v>0</v>
      </c>
      <c r="J96" s="277">
        <v>0</v>
      </c>
      <c r="K96" s="277">
        <v>0</v>
      </c>
      <c r="L96" s="277">
        <v>0</v>
      </c>
      <c r="M96" s="277">
        <v>0</v>
      </c>
      <c r="N96" s="277"/>
      <c r="O96" s="274">
        <f>AVERAGE(C96:N96)</f>
        <v>0</v>
      </c>
      <c r="Q96" s="97" t="s">
        <v>8</v>
      </c>
      <c r="R96" s="274">
        <f>+SUM(C96:N96)</f>
        <v>0</v>
      </c>
    </row>
    <row r="97" spans="1:18">
      <c r="A97" s="97">
        <f t="shared" si="17"/>
        <v>97</v>
      </c>
      <c r="B97" s="286" t="s">
        <v>193</v>
      </c>
      <c r="C97" s="281">
        <f t="shared" ref="C97:N97" si="23">SUM(C95:C96)</f>
        <v>0</v>
      </c>
      <c r="D97" s="281">
        <f t="shared" si="23"/>
        <v>0</v>
      </c>
      <c r="E97" s="281">
        <f t="shared" si="23"/>
        <v>0</v>
      </c>
      <c r="F97" s="281">
        <f t="shared" si="23"/>
        <v>0</v>
      </c>
      <c r="G97" s="281">
        <f t="shared" si="23"/>
        <v>0</v>
      </c>
      <c r="H97" s="281">
        <f t="shared" si="23"/>
        <v>0</v>
      </c>
      <c r="I97" s="281">
        <f t="shared" si="23"/>
        <v>0</v>
      </c>
      <c r="J97" s="281">
        <f t="shared" si="23"/>
        <v>0</v>
      </c>
      <c r="K97" s="281">
        <f t="shared" si="23"/>
        <v>0</v>
      </c>
      <c r="L97" s="281">
        <f t="shared" si="23"/>
        <v>0</v>
      </c>
      <c r="M97" s="281">
        <f t="shared" si="23"/>
        <v>0</v>
      </c>
      <c r="N97" s="281">
        <f t="shared" si="23"/>
        <v>0</v>
      </c>
      <c r="O97" s="281">
        <f>AVERAGE(C97:N97)</f>
        <v>0</v>
      </c>
      <c r="R97" s="274">
        <f>+SUM(C97:N97)</f>
        <v>0</v>
      </c>
    </row>
    <row r="98" spans="1:18">
      <c r="A98" s="97">
        <f t="shared" si="17"/>
        <v>98</v>
      </c>
      <c r="B98" s="286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R98" s="97"/>
    </row>
    <row r="99" spans="1:18">
      <c r="A99" s="97">
        <f t="shared" si="17"/>
        <v>99</v>
      </c>
      <c r="B99" s="289" t="s">
        <v>194</v>
      </c>
      <c r="C99" s="290">
        <f t="shared" ref="C99:N99" si="24">+C15+C24+C62+C71+C87+C93+C97</f>
        <v>81511</v>
      </c>
      <c r="D99" s="290">
        <f t="shared" si="24"/>
        <v>81671</v>
      </c>
      <c r="E99" s="290">
        <f t="shared" si="24"/>
        <v>81896</v>
      </c>
      <c r="F99" s="290">
        <f t="shared" si="24"/>
        <v>82601</v>
      </c>
      <c r="G99" s="290">
        <f t="shared" si="24"/>
        <v>82541</v>
      </c>
      <c r="H99" s="290">
        <f t="shared" si="24"/>
        <v>82805</v>
      </c>
      <c r="I99" s="290">
        <f t="shared" si="24"/>
        <v>83509</v>
      </c>
      <c r="J99" s="290">
        <f t="shared" si="24"/>
        <v>83116</v>
      </c>
      <c r="K99" s="290">
        <f t="shared" si="24"/>
        <v>83258</v>
      </c>
      <c r="L99" s="290">
        <f>+L15+L24+L62+L71+L87+L93+L97</f>
        <v>83405</v>
      </c>
      <c r="M99" s="290">
        <f t="shared" si="24"/>
        <v>83758</v>
      </c>
      <c r="N99" s="290">
        <f t="shared" si="24"/>
        <v>84196</v>
      </c>
      <c r="O99" s="291">
        <f>+O15+O24+O62+O71+O87+O93+O97</f>
        <v>82855.583333333328</v>
      </c>
      <c r="R99" s="97"/>
    </row>
    <row r="100" spans="1:18">
      <c r="A100" s="97">
        <f t="shared" si="17"/>
        <v>100</v>
      </c>
      <c r="B100" s="292" t="s">
        <v>195</v>
      </c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R100" s="97"/>
    </row>
    <row r="101" spans="1:18">
      <c r="A101" s="97">
        <f t="shared" si="17"/>
        <v>101</v>
      </c>
      <c r="B101" s="152" t="s">
        <v>197</v>
      </c>
      <c r="C101" s="277">
        <v>1</v>
      </c>
      <c r="D101" s="277">
        <v>1</v>
      </c>
      <c r="E101" s="277">
        <v>1</v>
      </c>
      <c r="F101" s="277">
        <v>1</v>
      </c>
      <c r="G101" s="277">
        <v>1</v>
      </c>
      <c r="H101" s="277">
        <v>1</v>
      </c>
      <c r="I101" s="277">
        <v>1</v>
      </c>
      <c r="J101" s="277">
        <v>1</v>
      </c>
      <c r="K101" s="277">
        <v>1</v>
      </c>
      <c r="L101" s="277">
        <v>1</v>
      </c>
      <c r="M101" s="277">
        <v>1</v>
      </c>
      <c r="N101" s="277">
        <v>1</v>
      </c>
      <c r="O101" s="274">
        <f>AVERAGE(C101:N101)</f>
        <v>1</v>
      </c>
      <c r="Q101" s="97" t="s">
        <v>8</v>
      </c>
      <c r="R101" s="274">
        <f>+SUM(C101:N101)</f>
        <v>12</v>
      </c>
    </row>
    <row r="102" spans="1:18">
      <c r="A102" s="97">
        <f t="shared" si="17"/>
        <v>102</v>
      </c>
      <c r="B102" s="153" t="s">
        <v>198</v>
      </c>
      <c r="C102" s="277">
        <v>1</v>
      </c>
      <c r="D102" s="277">
        <v>1</v>
      </c>
      <c r="E102" s="277">
        <v>1</v>
      </c>
      <c r="F102" s="277">
        <v>1</v>
      </c>
      <c r="G102" s="277">
        <v>1</v>
      </c>
      <c r="H102" s="277">
        <v>1</v>
      </c>
      <c r="I102" s="277">
        <v>1</v>
      </c>
      <c r="J102" s="277">
        <v>1</v>
      </c>
      <c r="K102" s="277">
        <v>1</v>
      </c>
      <c r="L102" s="277">
        <v>1</v>
      </c>
      <c r="M102" s="277">
        <v>1</v>
      </c>
      <c r="N102" s="277">
        <v>1</v>
      </c>
      <c r="O102" s="283">
        <f>AVERAGE(C102:N102)</f>
        <v>1</v>
      </c>
      <c r="Q102" s="97" t="s">
        <v>8</v>
      </c>
      <c r="R102" s="274">
        <f>+SUM(C102:N102)</f>
        <v>12</v>
      </c>
    </row>
    <row r="103" spans="1:18">
      <c r="A103" s="97">
        <f t="shared" si="17"/>
        <v>103</v>
      </c>
      <c r="B103" s="286" t="s">
        <v>199</v>
      </c>
      <c r="C103" s="281">
        <f t="shared" ref="C103:N103" si="25">SUM(C101:C102)</f>
        <v>2</v>
      </c>
      <c r="D103" s="281">
        <f t="shared" si="25"/>
        <v>2</v>
      </c>
      <c r="E103" s="281">
        <f t="shared" si="25"/>
        <v>2</v>
      </c>
      <c r="F103" s="281">
        <f t="shared" si="25"/>
        <v>2</v>
      </c>
      <c r="G103" s="281">
        <f t="shared" si="25"/>
        <v>2</v>
      </c>
      <c r="H103" s="281">
        <f t="shared" si="25"/>
        <v>2</v>
      </c>
      <c r="I103" s="281">
        <f>SUM(I101:I102)</f>
        <v>2</v>
      </c>
      <c r="J103" s="281">
        <f t="shared" si="25"/>
        <v>2</v>
      </c>
      <c r="K103" s="281">
        <f t="shared" si="25"/>
        <v>2</v>
      </c>
      <c r="L103" s="281">
        <f t="shared" si="25"/>
        <v>2</v>
      </c>
      <c r="M103" s="281">
        <f t="shared" si="25"/>
        <v>2</v>
      </c>
      <c r="N103" s="281">
        <f t="shared" si="25"/>
        <v>2</v>
      </c>
      <c r="O103" s="274">
        <f>AVERAGE(C103:N103)</f>
        <v>2</v>
      </c>
      <c r="R103" s="274">
        <f>+SUM(C103:N103)</f>
        <v>24</v>
      </c>
    </row>
    <row r="104" spans="1:18">
      <c r="A104" s="97">
        <f t="shared" si="17"/>
        <v>104</v>
      </c>
      <c r="B104" s="284" t="s">
        <v>200</v>
      </c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R104" s="97"/>
    </row>
    <row r="105" spans="1:18">
      <c r="A105" s="97">
        <f t="shared" si="17"/>
        <v>105</v>
      </c>
      <c r="B105" s="152" t="s">
        <v>201</v>
      </c>
      <c r="C105" s="277">
        <v>0</v>
      </c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4">
        <f>AVERAGE(C105:N105)</f>
        <v>0</v>
      </c>
      <c r="Q105" s="97" t="s">
        <v>218</v>
      </c>
      <c r="R105" s="274">
        <f>+SUM(C105:N105)</f>
        <v>0</v>
      </c>
    </row>
    <row r="106" spans="1:18">
      <c r="A106" s="97">
        <f t="shared" si="17"/>
        <v>106</v>
      </c>
      <c r="B106" s="152" t="s">
        <v>202</v>
      </c>
      <c r="C106" s="277">
        <v>1</v>
      </c>
      <c r="D106" s="277">
        <v>1</v>
      </c>
      <c r="E106" s="277">
        <v>1</v>
      </c>
      <c r="F106" s="277">
        <v>1</v>
      </c>
      <c r="G106" s="277">
        <v>1</v>
      </c>
      <c r="H106" s="277">
        <v>1</v>
      </c>
      <c r="I106" s="277">
        <v>1</v>
      </c>
      <c r="J106" s="277">
        <v>1</v>
      </c>
      <c r="K106" s="277">
        <v>1</v>
      </c>
      <c r="L106" s="277">
        <v>1</v>
      </c>
      <c r="M106" s="277">
        <v>1</v>
      </c>
      <c r="N106" s="277">
        <v>1</v>
      </c>
      <c r="O106" s="274">
        <f>AVERAGE(C106:N106)</f>
        <v>1</v>
      </c>
      <c r="Q106" s="97" t="s">
        <v>8</v>
      </c>
      <c r="R106" s="274">
        <f>+SUM(C106:N106)</f>
        <v>12</v>
      </c>
    </row>
    <row r="107" spans="1:18">
      <c r="A107" s="97">
        <f t="shared" si="17"/>
        <v>107</v>
      </c>
      <c r="B107" s="153" t="s">
        <v>203</v>
      </c>
      <c r="C107" s="277">
        <v>1</v>
      </c>
      <c r="D107" s="277">
        <v>1</v>
      </c>
      <c r="E107" s="277">
        <v>1</v>
      </c>
      <c r="F107" s="277">
        <v>1</v>
      </c>
      <c r="G107" s="277">
        <v>1</v>
      </c>
      <c r="H107" s="277">
        <v>1</v>
      </c>
      <c r="I107" s="277">
        <v>1</v>
      </c>
      <c r="J107" s="277">
        <v>1</v>
      </c>
      <c r="K107" s="277">
        <v>1</v>
      </c>
      <c r="L107" s="277">
        <v>1</v>
      </c>
      <c r="M107" s="277">
        <v>1</v>
      </c>
      <c r="N107" s="277">
        <v>1</v>
      </c>
      <c r="O107" s="283">
        <f>AVERAGE(C107:N107)</f>
        <v>1</v>
      </c>
      <c r="Q107" s="97" t="s">
        <v>8</v>
      </c>
      <c r="R107" s="274">
        <f>+SUM(C107:N107)</f>
        <v>12</v>
      </c>
    </row>
    <row r="108" spans="1:18">
      <c r="A108" s="97">
        <f t="shared" si="17"/>
        <v>108</v>
      </c>
      <c r="B108" s="286" t="s">
        <v>204</v>
      </c>
      <c r="C108" s="281">
        <f>SUM(C105:C107)</f>
        <v>2</v>
      </c>
      <c r="D108" s="281">
        <f t="shared" ref="D108:N108" si="26">SUM(D105:D107)</f>
        <v>2</v>
      </c>
      <c r="E108" s="281">
        <f t="shared" si="26"/>
        <v>2</v>
      </c>
      <c r="F108" s="281">
        <f t="shared" si="26"/>
        <v>2</v>
      </c>
      <c r="G108" s="281">
        <f t="shared" si="26"/>
        <v>2</v>
      </c>
      <c r="H108" s="281">
        <f t="shared" si="26"/>
        <v>2</v>
      </c>
      <c r="I108" s="281">
        <f t="shared" si="26"/>
        <v>2</v>
      </c>
      <c r="J108" s="281">
        <f t="shared" si="26"/>
        <v>2</v>
      </c>
      <c r="K108" s="281">
        <f t="shared" si="26"/>
        <v>2</v>
      </c>
      <c r="L108" s="281">
        <f t="shared" si="26"/>
        <v>2</v>
      </c>
      <c r="M108" s="281">
        <f t="shared" si="26"/>
        <v>2</v>
      </c>
      <c r="N108" s="281">
        <f t="shared" si="26"/>
        <v>2</v>
      </c>
      <c r="O108" s="274">
        <f>AVERAGE(C108:N108)</f>
        <v>2</v>
      </c>
      <c r="R108" s="274">
        <f>+SUM(C108:N108)</f>
        <v>24</v>
      </c>
    </row>
    <row r="109" spans="1:18">
      <c r="A109" s="97">
        <f t="shared" si="17"/>
        <v>109</v>
      </c>
      <c r="B109" s="286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</row>
    <row r="110" spans="1:18">
      <c r="A110" s="97">
        <f t="shared" si="17"/>
        <v>110</v>
      </c>
      <c r="B110" s="289" t="s">
        <v>205</v>
      </c>
      <c r="C110" s="290">
        <f t="shared" ref="C110:O110" si="27">+C103+C108</f>
        <v>4</v>
      </c>
      <c r="D110" s="290">
        <f t="shared" si="27"/>
        <v>4</v>
      </c>
      <c r="E110" s="290">
        <f t="shared" si="27"/>
        <v>4</v>
      </c>
      <c r="F110" s="290">
        <f t="shared" si="27"/>
        <v>4</v>
      </c>
      <c r="G110" s="290">
        <f t="shared" si="27"/>
        <v>4</v>
      </c>
      <c r="H110" s="290">
        <f t="shared" si="27"/>
        <v>4</v>
      </c>
      <c r="I110" s="290">
        <f t="shared" si="27"/>
        <v>4</v>
      </c>
      <c r="J110" s="290">
        <f t="shared" si="27"/>
        <v>4</v>
      </c>
      <c r="K110" s="290">
        <f t="shared" si="27"/>
        <v>4</v>
      </c>
      <c r="L110" s="290">
        <f t="shared" si="27"/>
        <v>4</v>
      </c>
      <c r="M110" s="290">
        <f t="shared" si="27"/>
        <v>4</v>
      </c>
      <c r="N110" s="290">
        <f t="shared" si="27"/>
        <v>4</v>
      </c>
      <c r="O110" s="291">
        <f t="shared" si="27"/>
        <v>4</v>
      </c>
      <c r="R110" s="274">
        <f>+SUM(C110:N110)</f>
        <v>48</v>
      </c>
    </row>
    <row r="111" spans="1:18">
      <c r="A111" s="97">
        <f t="shared" si="17"/>
        <v>111</v>
      </c>
      <c r="B111" s="293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</row>
    <row r="112" spans="1:18">
      <c r="A112" s="97">
        <f t="shared" si="17"/>
        <v>112</v>
      </c>
      <c r="B112" s="295" t="s">
        <v>219</v>
      </c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</row>
    <row r="113" spans="1:18">
      <c r="A113" s="97">
        <f t="shared" si="17"/>
        <v>113</v>
      </c>
      <c r="B113" s="296" t="s">
        <v>138</v>
      </c>
      <c r="C113" s="277">
        <v>178</v>
      </c>
      <c r="D113" s="277">
        <v>180</v>
      </c>
      <c r="E113" s="277">
        <v>177</v>
      </c>
      <c r="F113" s="277">
        <v>188</v>
      </c>
      <c r="G113" s="287">
        <f>229-53</f>
        <v>176</v>
      </c>
      <c r="H113" s="277">
        <v>178</v>
      </c>
      <c r="I113" s="277">
        <v>179</v>
      </c>
      <c r="J113" s="277">
        <v>180</v>
      </c>
      <c r="K113" s="277">
        <v>179</v>
      </c>
      <c r="L113" s="277">
        <v>182</v>
      </c>
      <c r="M113" s="277">
        <v>177</v>
      </c>
      <c r="N113" s="277">
        <v>175</v>
      </c>
      <c r="O113" s="274">
        <f t="shared" ref="O113:O118" si="28">AVERAGE(C113:N113)</f>
        <v>179.08333333333334</v>
      </c>
      <c r="R113" s="274">
        <f t="shared" ref="R113:R119" si="29">+SUM(C113:N113)</f>
        <v>2149</v>
      </c>
    </row>
    <row r="114" spans="1:18">
      <c r="A114" s="97">
        <f t="shared" si="17"/>
        <v>114</v>
      </c>
      <c r="B114" s="296" t="s">
        <v>141</v>
      </c>
      <c r="C114" s="277">
        <v>946</v>
      </c>
      <c r="D114" s="277">
        <v>955</v>
      </c>
      <c r="E114" s="277">
        <v>943</v>
      </c>
      <c r="F114" s="277">
        <v>953</v>
      </c>
      <c r="G114" s="287">
        <f>1266-317</f>
        <v>949</v>
      </c>
      <c r="H114" s="277">
        <v>945</v>
      </c>
      <c r="I114" s="277">
        <v>943</v>
      </c>
      <c r="J114" s="277">
        <v>943</v>
      </c>
      <c r="K114" s="277">
        <v>956</v>
      </c>
      <c r="L114" s="277">
        <v>989</v>
      </c>
      <c r="M114" s="277">
        <v>957</v>
      </c>
      <c r="N114" s="277">
        <v>954</v>
      </c>
      <c r="O114" s="274">
        <f t="shared" si="28"/>
        <v>952.75</v>
      </c>
      <c r="R114" s="274">
        <f t="shared" si="29"/>
        <v>11433</v>
      </c>
    </row>
    <row r="115" spans="1:18">
      <c r="A115" s="97">
        <f t="shared" si="17"/>
        <v>115</v>
      </c>
      <c r="B115" s="296" t="s">
        <v>145</v>
      </c>
      <c r="C115" s="277">
        <v>1166</v>
      </c>
      <c r="D115" s="277">
        <v>1179</v>
      </c>
      <c r="E115" s="277">
        <v>1175</v>
      </c>
      <c r="F115" s="277">
        <v>1185</v>
      </c>
      <c r="G115" s="287">
        <f>1658-487</f>
        <v>1171</v>
      </c>
      <c r="H115" s="277">
        <v>1170</v>
      </c>
      <c r="I115" s="277">
        <v>1173</v>
      </c>
      <c r="J115" s="277">
        <v>1175</v>
      </c>
      <c r="K115" s="277">
        <v>1185</v>
      </c>
      <c r="L115" s="287">
        <v>1230</v>
      </c>
      <c r="M115" s="277">
        <v>1189</v>
      </c>
      <c r="N115" s="277">
        <v>1178</v>
      </c>
      <c r="O115" s="274">
        <f t="shared" si="28"/>
        <v>1181.3333333333333</v>
      </c>
      <c r="R115" s="274">
        <f t="shared" si="29"/>
        <v>14176</v>
      </c>
    </row>
    <row r="116" spans="1:18">
      <c r="A116" s="97">
        <f t="shared" si="17"/>
        <v>116</v>
      </c>
      <c r="B116" s="296" t="s">
        <v>146</v>
      </c>
      <c r="C116" s="277">
        <v>57</v>
      </c>
      <c r="D116" s="277">
        <v>63</v>
      </c>
      <c r="E116" s="277">
        <v>52</v>
      </c>
      <c r="F116" s="277">
        <v>63</v>
      </c>
      <c r="G116" s="287">
        <f>57-6</f>
        <v>51</v>
      </c>
      <c r="H116" s="277">
        <v>65</v>
      </c>
      <c r="I116" s="277">
        <v>56</v>
      </c>
      <c r="J116" s="277">
        <v>57</v>
      </c>
      <c r="K116" s="277">
        <v>59</v>
      </c>
      <c r="L116" s="277">
        <v>56</v>
      </c>
      <c r="M116" s="277">
        <v>51</v>
      </c>
      <c r="N116" s="277">
        <v>51</v>
      </c>
      <c r="O116" s="274">
        <f t="shared" si="28"/>
        <v>56.75</v>
      </c>
      <c r="R116" s="274">
        <f t="shared" si="29"/>
        <v>681</v>
      </c>
    </row>
    <row r="117" spans="1:18">
      <c r="A117" s="97">
        <f t="shared" si="17"/>
        <v>117</v>
      </c>
      <c r="B117" s="296" t="s">
        <v>149</v>
      </c>
      <c r="C117" s="277">
        <v>18</v>
      </c>
      <c r="D117" s="277">
        <v>18</v>
      </c>
      <c r="E117" s="277">
        <v>18</v>
      </c>
      <c r="F117" s="277">
        <v>18</v>
      </c>
      <c r="G117" s="287">
        <v>18</v>
      </c>
      <c r="H117" s="277">
        <v>18</v>
      </c>
      <c r="I117" s="277">
        <v>18</v>
      </c>
      <c r="J117" s="277">
        <v>18</v>
      </c>
      <c r="K117" s="277">
        <v>18</v>
      </c>
      <c r="L117" s="277">
        <v>18</v>
      </c>
      <c r="M117" s="277">
        <v>18</v>
      </c>
      <c r="N117" s="277">
        <v>18</v>
      </c>
      <c r="O117" s="274">
        <f t="shared" si="28"/>
        <v>18</v>
      </c>
      <c r="R117" s="274">
        <f t="shared" si="29"/>
        <v>216</v>
      </c>
    </row>
    <row r="118" spans="1:18">
      <c r="A118" s="97">
        <f t="shared" si="17"/>
        <v>118</v>
      </c>
      <c r="B118" s="296" t="s">
        <v>220</v>
      </c>
      <c r="C118" s="277">
        <v>7</v>
      </c>
      <c r="D118" s="277">
        <v>7</v>
      </c>
      <c r="E118" s="277">
        <v>7</v>
      </c>
      <c r="F118" s="277">
        <v>7</v>
      </c>
      <c r="G118" s="287">
        <v>7</v>
      </c>
      <c r="H118" s="277">
        <v>7</v>
      </c>
      <c r="I118" s="277">
        <v>7</v>
      </c>
      <c r="J118" s="277">
        <v>7</v>
      </c>
      <c r="K118" s="277">
        <v>7</v>
      </c>
      <c r="L118" s="277">
        <v>7</v>
      </c>
      <c r="M118" s="277">
        <v>7</v>
      </c>
      <c r="N118" s="277">
        <v>7</v>
      </c>
      <c r="O118" s="274">
        <f t="shared" si="28"/>
        <v>7</v>
      </c>
      <c r="R118" s="274">
        <f t="shared" si="29"/>
        <v>84</v>
      </c>
    </row>
    <row r="119" spans="1:18">
      <c r="A119" s="97">
        <f t="shared" si="17"/>
        <v>119</v>
      </c>
      <c r="B119" s="297" t="s">
        <v>221</v>
      </c>
      <c r="C119" s="294">
        <f t="shared" ref="C119:O119" si="30">+SUM(C113:C118)</f>
        <v>2372</v>
      </c>
      <c r="D119" s="294">
        <f t="shared" si="30"/>
        <v>2402</v>
      </c>
      <c r="E119" s="294">
        <f t="shared" si="30"/>
        <v>2372</v>
      </c>
      <c r="F119" s="294">
        <f t="shared" si="30"/>
        <v>2414</v>
      </c>
      <c r="G119" s="294">
        <f t="shared" si="30"/>
        <v>2372</v>
      </c>
      <c r="H119" s="294">
        <f t="shared" si="30"/>
        <v>2383</v>
      </c>
      <c r="I119" s="294">
        <f t="shared" si="30"/>
        <v>2376</v>
      </c>
      <c r="J119" s="294">
        <f t="shared" si="30"/>
        <v>2380</v>
      </c>
      <c r="K119" s="294">
        <f t="shared" si="30"/>
        <v>2404</v>
      </c>
      <c r="L119" s="294">
        <f t="shared" si="30"/>
        <v>2482</v>
      </c>
      <c r="M119" s="294">
        <f t="shared" si="30"/>
        <v>2399</v>
      </c>
      <c r="N119" s="294">
        <f t="shared" si="30"/>
        <v>2383</v>
      </c>
      <c r="O119" s="294">
        <f t="shared" si="30"/>
        <v>2394.9166666666665</v>
      </c>
      <c r="R119" s="274">
        <f t="shared" si="29"/>
        <v>28739</v>
      </c>
    </row>
    <row r="120" spans="1:18">
      <c r="A120" s="97">
        <f t="shared" si="17"/>
        <v>120</v>
      </c>
      <c r="B120" s="297"/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</row>
    <row r="121" spans="1:18">
      <c r="A121" s="97">
        <f t="shared" si="17"/>
        <v>121</v>
      </c>
      <c r="B121" s="295" t="s">
        <v>222</v>
      </c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</row>
    <row r="122" spans="1:18">
      <c r="A122" s="97">
        <f t="shared" si="17"/>
        <v>122</v>
      </c>
      <c r="B122" s="296" t="s">
        <v>146</v>
      </c>
      <c r="C122" s="277">
        <v>37</v>
      </c>
      <c r="D122" s="277">
        <v>38</v>
      </c>
      <c r="E122" s="277">
        <v>38</v>
      </c>
      <c r="F122" s="277">
        <v>38</v>
      </c>
      <c r="G122" s="277">
        <v>40</v>
      </c>
      <c r="H122" s="277">
        <v>36</v>
      </c>
      <c r="I122" s="277">
        <v>36</v>
      </c>
      <c r="J122" s="277">
        <v>39</v>
      </c>
      <c r="K122" s="277">
        <v>39</v>
      </c>
      <c r="L122" s="277">
        <v>39</v>
      </c>
      <c r="M122" s="277">
        <v>39</v>
      </c>
      <c r="N122" s="277">
        <v>39</v>
      </c>
      <c r="O122" s="274">
        <f>AVERAGE(C122:N122)</f>
        <v>38.166666666666664</v>
      </c>
      <c r="R122" s="274">
        <f>+SUM(C122:N122)</f>
        <v>458</v>
      </c>
    </row>
    <row r="123" spans="1:18">
      <c r="A123" s="97">
        <f t="shared" si="17"/>
        <v>123</v>
      </c>
      <c r="B123" s="296" t="s">
        <v>149</v>
      </c>
      <c r="C123" s="277">
        <v>17</v>
      </c>
      <c r="D123" s="277">
        <v>17</v>
      </c>
      <c r="E123" s="277">
        <v>17</v>
      </c>
      <c r="F123" s="277">
        <v>17</v>
      </c>
      <c r="G123" s="277">
        <v>17</v>
      </c>
      <c r="H123" s="277">
        <v>17</v>
      </c>
      <c r="I123" s="277">
        <v>17</v>
      </c>
      <c r="J123" s="277">
        <v>17</v>
      </c>
      <c r="K123" s="277">
        <v>17</v>
      </c>
      <c r="L123" s="277">
        <v>17</v>
      </c>
      <c r="M123" s="277">
        <v>17</v>
      </c>
      <c r="N123" s="277">
        <v>17</v>
      </c>
      <c r="O123" s="274">
        <f>AVERAGE(C123:N123)</f>
        <v>17</v>
      </c>
      <c r="R123" s="274">
        <f>+SUM(C123:N123)</f>
        <v>204</v>
      </c>
    </row>
    <row r="124" spans="1:18">
      <c r="A124" s="97">
        <f t="shared" si="17"/>
        <v>124</v>
      </c>
      <c r="B124" s="297" t="s">
        <v>223</v>
      </c>
      <c r="C124" s="274">
        <f t="shared" ref="C124:O124" si="31">+SUM(C122:C123)</f>
        <v>54</v>
      </c>
      <c r="D124" s="274">
        <f t="shared" si="31"/>
        <v>55</v>
      </c>
      <c r="E124" s="274">
        <f t="shared" si="31"/>
        <v>55</v>
      </c>
      <c r="F124" s="274">
        <f t="shared" si="31"/>
        <v>55</v>
      </c>
      <c r="G124" s="274">
        <f t="shared" si="31"/>
        <v>57</v>
      </c>
      <c r="H124" s="274">
        <f t="shared" si="31"/>
        <v>53</v>
      </c>
      <c r="I124" s="274">
        <f t="shared" si="31"/>
        <v>53</v>
      </c>
      <c r="J124" s="274">
        <f t="shared" si="31"/>
        <v>56</v>
      </c>
      <c r="K124" s="274">
        <f t="shared" si="31"/>
        <v>56</v>
      </c>
      <c r="L124" s="274">
        <f t="shared" si="31"/>
        <v>56</v>
      </c>
      <c r="M124" s="274">
        <f t="shared" si="31"/>
        <v>56</v>
      </c>
      <c r="N124" s="274">
        <f t="shared" si="31"/>
        <v>56</v>
      </c>
      <c r="O124" s="274">
        <f t="shared" si="31"/>
        <v>55.166666666666664</v>
      </c>
      <c r="R124" s="274">
        <f>+SUM(C124:N124)</f>
        <v>662</v>
      </c>
    </row>
    <row r="125" spans="1:18">
      <c r="A125" s="97">
        <f t="shared" si="17"/>
        <v>125</v>
      </c>
      <c r="B125" s="297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</row>
    <row r="126" spans="1:18">
      <c r="A126" s="97">
        <f t="shared" si="17"/>
        <v>126</v>
      </c>
      <c r="B126" s="289" t="s">
        <v>206</v>
      </c>
      <c r="C126" s="290">
        <f t="shared" ref="C126:O126" si="32">+C99+C110</f>
        <v>81515</v>
      </c>
      <c r="D126" s="290">
        <f t="shared" si="32"/>
        <v>81675</v>
      </c>
      <c r="E126" s="290">
        <f t="shared" si="32"/>
        <v>81900</v>
      </c>
      <c r="F126" s="290">
        <f t="shared" si="32"/>
        <v>82605</v>
      </c>
      <c r="G126" s="290">
        <f t="shared" si="32"/>
        <v>82545</v>
      </c>
      <c r="H126" s="290">
        <f t="shared" si="32"/>
        <v>82809</v>
      </c>
      <c r="I126" s="290">
        <f t="shared" si="32"/>
        <v>83513</v>
      </c>
      <c r="J126" s="290">
        <f t="shared" si="32"/>
        <v>83120</v>
      </c>
      <c r="K126" s="290">
        <f t="shared" si="32"/>
        <v>83262</v>
      </c>
      <c r="L126" s="290">
        <f>+L99+L110</f>
        <v>83409</v>
      </c>
      <c r="M126" s="290">
        <f t="shared" si="32"/>
        <v>83762</v>
      </c>
      <c r="N126" s="290">
        <f t="shared" si="32"/>
        <v>84200</v>
      </c>
      <c r="O126" s="291">
        <f t="shared" si="32"/>
        <v>82859.583333333328</v>
      </c>
      <c r="R126" s="274">
        <f>+SUM(C126:N126)</f>
        <v>994315</v>
      </c>
    </row>
    <row r="127" spans="1:18">
      <c r="A127" s="97">
        <f t="shared" si="17"/>
        <v>127</v>
      </c>
      <c r="B127" s="275" t="s">
        <v>123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</row>
    <row r="128" spans="1:18">
      <c r="A128" s="97">
        <f t="shared" si="17"/>
        <v>128</v>
      </c>
      <c r="B128" s="276" t="s">
        <v>100</v>
      </c>
      <c r="C128" s="274">
        <f t="shared" ref="C128:C138" si="33">+C4</f>
        <v>1167</v>
      </c>
      <c r="D128" s="274">
        <f t="shared" ref="D128:D138" si="34">AVERAGE(C4:D4)</f>
        <v>1166</v>
      </c>
      <c r="E128" s="274">
        <f t="shared" ref="E128:E138" si="35">AVERAGE(C4:E4)</f>
        <v>1165.6666666666667</v>
      </c>
      <c r="F128" s="274">
        <f t="shared" ref="F128:F138" si="36">AVERAGE(C4:F4)</f>
        <v>1165</v>
      </c>
      <c r="G128" s="274">
        <f t="shared" ref="G128:G138" si="37">AVERAGE(C4:G4)</f>
        <v>1162.4000000000001</v>
      </c>
      <c r="H128" s="274">
        <f t="shared" ref="H128:H138" si="38">AVERAGE(C4:H4)</f>
        <v>1160.5</v>
      </c>
      <c r="I128" s="274">
        <f t="shared" ref="I128:I138" si="39">AVERAGE(C4:I4)</f>
        <v>1158.8571428571429</v>
      </c>
      <c r="J128" s="274">
        <f t="shared" ref="J128:J138" si="40">AVERAGE(C4:J4)</f>
        <v>1157.375</v>
      </c>
      <c r="K128" s="274">
        <f t="shared" ref="K128:K138" si="41">AVERAGE(C4:K4)</f>
        <v>1155.1111111111111</v>
      </c>
      <c r="L128" s="274">
        <f t="shared" ref="L128:L138" si="42">AVERAGE(C4:L4)</f>
        <v>1153.2</v>
      </c>
      <c r="M128" s="274">
        <f t="shared" ref="M128:M138" si="43">AVERAGE(C4:M4)</f>
        <v>1151.909090909091</v>
      </c>
      <c r="N128" s="274">
        <f t="shared" ref="N128:N138" si="44">AVERAGE(C4:N4)</f>
        <v>1151.3333333333333</v>
      </c>
      <c r="O128" s="274">
        <f t="shared" ref="O128:O137" si="45">SUM(C128:N128)</f>
        <v>13914.352344877347</v>
      </c>
    </row>
    <row r="129" spans="1:18">
      <c r="A129" s="97">
        <f t="shared" si="17"/>
        <v>129</v>
      </c>
      <c r="B129" s="276" t="s">
        <v>101</v>
      </c>
      <c r="C129" s="274">
        <f t="shared" si="33"/>
        <v>2273</v>
      </c>
      <c r="D129" s="274">
        <f t="shared" si="34"/>
        <v>2277</v>
      </c>
      <c r="E129" s="274">
        <f t="shared" si="35"/>
        <v>2277.6666666666665</v>
      </c>
      <c r="F129" s="274">
        <f t="shared" si="36"/>
        <v>2278.75</v>
      </c>
      <c r="G129" s="274">
        <f t="shared" si="37"/>
        <v>2275.1999999999998</v>
      </c>
      <c r="H129" s="274">
        <f t="shared" si="38"/>
        <v>2269.3333333333335</v>
      </c>
      <c r="I129" s="274">
        <f t="shared" si="39"/>
        <v>2266.8571428571427</v>
      </c>
      <c r="J129" s="274">
        <f t="shared" si="40"/>
        <v>2263.5</v>
      </c>
      <c r="K129" s="274">
        <f t="shared" si="41"/>
        <v>2261.5555555555557</v>
      </c>
      <c r="L129" s="274">
        <f t="shared" si="42"/>
        <v>2258.1</v>
      </c>
      <c r="M129" s="274">
        <f t="shared" si="43"/>
        <v>2254.909090909091</v>
      </c>
      <c r="N129" s="274">
        <f t="shared" si="44"/>
        <v>2253.75</v>
      </c>
      <c r="O129" s="274">
        <f t="shared" si="45"/>
        <v>27209.621789321787</v>
      </c>
    </row>
    <row r="130" spans="1:18">
      <c r="A130" s="97">
        <f t="shared" si="17"/>
        <v>130</v>
      </c>
      <c r="B130" s="276" t="s">
        <v>102</v>
      </c>
      <c r="C130" s="274">
        <f t="shared" si="33"/>
        <v>11943</v>
      </c>
      <c r="D130" s="274">
        <f t="shared" si="34"/>
        <v>11987.5</v>
      </c>
      <c r="E130" s="274">
        <f t="shared" si="35"/>
        <v>12030.666666666666</v>
      </c>
      <c r="F130" s="274">
        <f t="shared" si="36"/>
        <v>12087.5</v>
      </c>
      <c r="G130" s="274">
        <f t="shared" si="37"/>
        <v>12121.2</v>
      </c>
      <c r="H130" s="274">
        <f t="shared" si="38"/>
        <v>12152.166666666666</v>
      </c>
      <c r="I130" s="274">
        <f t="shared" si="39"/>
        <v>12180.428571428571</v>
      </c>
      <c r="J130" s="274">
        <f t="shared" si="40"/>
        <v>12216.375</v>
      </c>
      <c r="K130" s="274">
        <f t="shared" si="41"/>
        <v>12248.111111111111</v>
      </c>
      <c r="L130" s="274">
        <f t="shared" si="42"/>
        <v>12276.8</v>
      </c>
      <c r="M130" s="274">
        <f t="shared" si="43"/>
        <v>12309.454545454546</v>
      </c>
      <c r="N130" s="274">
        <f t="shared" si="44"/>
        <v>12342.333333333334</v>
      </c>
      <c r="O130" s="274">
        <f t="shared" si="45"/>
        <v>145895.53589466092</v>
      </c>
    </row>
    <row r="131" spans="1:18">
      <c r="A131" s="97">
        <f t="shared" ref="A131:A194" si="46">+A130+1</f>
        <v>131</v>
      </c>
      <c r="B131" s="276" t="s">
        <v>103</v>
      </c>
      <c r="C131" s="274">
        <f t="shared" si="33"/>
        <v>731</v>
      </c>
      <c r="D131" s="274">
        <f t="shared" si="34"/>
        <v>729.5</v>
      </c>
      <c r="E131" s="274">
        <f t="shared" si="35"/>
        <v>727.66666666666663</v>
      </c>
      <c r="F131" s="274">
        <f t="shared" si="36"/>
        <v>728.5</v>
      </c>
      <c r="G131" s="274">
        <f t="shared" si="37"/>
        <v>729</v>
      </c>
      <c r="H131" s="274">
        <f t="shared" si="38"/>
        <v>729</v>
      </c>
      <c r="I131" s="274">
        <f t="shared" si="39"/>
        <v>728.14285714285711</v>
      </c>
      <c r="J131" s="274">
        <f t="shared" si="40"/>
        <v>728</v>
      </c>
      <c r="K131" s="274">
        <f t="shared" si="41"/>
        <v>728</v>
      </c>
      <c r="L131" s="274">
        <f t="shared" si="42"/>
        <v>728.2</v>
      </c>
      <c r="M131" s="274">
        <f t="shared" si="43"/>
        <v>728.27272727272725</v>
      </c>
      <c r="N131" s="274">
        <f t="shared" si="44"/>
        <v>728.5</v>
      </c>
      <c r="O131" s="274">
        <f t="shared" si="45"/>
        <v>8743.7822510822498</v>
      </c>
    </row>
    <row r="132" spans="1:18">
      <c r="A132" s="97">
        <f t="shared" si="46"/>
        <v>132</v>
      </c>
      <c r="B132" s="276" t="s">
        <v>104</v>
      </c>
      <c r="C132" s="274">
        <f t="shared" si="33"/>
        <v>482</v>
      </c>
      <c r="D132" s="274">
        <f t="shared" si="34"/>
        <v>481</v>
      </c>
      <c r="E132" s="274">
        <f t="shared" si="35"/>
        <v>481.33333333333331</v>
      </c>
      <c r="F132" s="274">
        <f t="shared" si="36"/>
        <v>481.25</v>
      </c>
      <c r="G132" s="274">
        <f t="shared" si="37"/>
        <v>481.8</v>
      </c>
      <c r="H132" s="274">
        <f t="shared" si="38"/>
        <v>481.66666666666669</v>
      </c>
      <c r="I132" s="274">
        <f t="shared" si="39"/>
        <v>482.71428571428572</v>
      </c>
      <c r="J132" s="274">
        <f t="shared" si="40"/>
        <v>482.75</v>
      </c>
      <c r="K132" s="274">
        <f t="shared" si="41"/>
        <v>482.77777777777777</v>
      </c>
      <c r="L132" s="274">
        <f t="shared" si="42"/>
        <v>482.8</v>
      </c>
      <c r="M132" s="274">
        <f t="shared" si="43"/>
        <v>482.72727272727275</v>
      </c>
      <c r="N132" s="274">
        <f t="shared" si="44"/>
        <v>482.41666666666669</v>
      </c>
      <c r="O132" s="274">
        <f t="shared" si="45"/>
        <v>5785.236002886003</v>
      </c>
    </row>
    <row r="133" spans="1:18">
      <c r="A133" s="97">
        <f t="shared" si="46"/>
        <v>133</v>
      </c>
      <c r="B133" s="279" t="s">
        <v>105</v>
      </c>
      <c r="C133" s="274">
        <f t="shared" si="33"/>
        <v>16</v>
      </c>
      <c r="D133" s="274">
        <f t="shared" si="34"/>
        <v>16</v>
      </c>
      <c r="E133" s="274">
        <f t="shared" si="35"/>
        <v>16</v>
      </c>
      <c r="F133" s="274">
        <f t="shared" si="36"/>
        <v>16</v>
      </c>
      <c r="G133" s="274">
        <f t="shared" si="37"/>
        <v>16</v>
      </c>
      <c r="H133" s="274">
        <f t="shared" si="38"/>
        <v>16</v>
      </c>
      <c r="I133" s="274">
        <f t="shared" si="39"/>
        <v>16.142857142857142</v>
      </c>
      <c r="J133" s="274">
        <f t="shared" si="40"/>
        <v>16.125</v>
      </c>
      <c r="K133" s="274">
        <f t="shared" si="41"/>
        <v>16.111111111111111</v>
      </c>
      <c r="L133" s="274">
        <f t="shared" si="42"/>
        <v>16.100000000000001</v>
      </c>
      <c r="M133" s="274">
        <f t="shared" si="43"/>
        <v>16.09090909090909</v>
      </c>
      <c r="N133" s="274">
        <f t="shared" si="44"/>
        <v>16.083333333333332</v>
      </c>
      <c r="O133" s="274">
        <f t="shared" si="45"/>
        <v>192.65321067821068</v>
      </c>
    </row>
    <row r="134" spans="1:18">
      <c r="A134" s="97">
        <f t="shared" si="46"/>
        <v>134</v>
      </c>
      <c r="B134" s="279" t="s">
        <v>106</v>
      </c>
      <c r="C134" s="274">
        <f t="shared" si="33"/>
        <v>0</v>
      </c>
      <c r="D134" s="274">
        <f t="shared" si="34"/>
        <v>0</v>
      </c>
      <c r="E134" s="274">
        <f t="shared" si="35"/>
        <v>0</v>
      </c>
      <c r="F134" s="274">
        <f t="shared" si="36"/>
        <v>0</v>
      </c>
      <c r="G134" s="274">
        <f t="shared" si="37"/>
        <v>0</v>
      </c>
      <c r="H134" s="274">
        <f t="shared" si="38"/>
        <v>0</v>
      </c>
      <c r="I134" s="274">
        <f t="shared" si="39"/>
        <v>0</v>
      </c>
      <c r="J134" s="274">
        <f t="shared" si="40"/>
        <v>0</v>
      </c>
      <c r="K134" s="274">
        <f t="shared" si="41"/>
        <v>0</v>
      </c>
      <c r="L134" s="274">
        <f t="shared" si="42"/>
        <v>0</v>
      </c>
      <c r="M134" s="274">
        <f t="shared" si="43"/>
        <v>0</v>
      </c>
      <c r="N134" s="274">
        <f t="shared" si="44"/>
        <v>0</v>
      </c>
      <c r="O134" s="274">
        <f t="shared" si="45"/>
        <v>0</v>
      </c>
    </row>
    <row r="135" spans="1:18">
      <c r="A135" s="97">
        <f t="shared" si="46"/>
        <v>135</v>
      </c>
      <c r="B135" s="279" t="s">
        <v>126</v>
      </c>
      <c r="C135" s="274">
        <f t="shared" si="33"/>
        <v>55006</v>
      </c>
      <c r="D135" s="274">
        <f t="shared" si="34"/>
        <v>55027</v>
      </c>
      <c r="E135" s="274">
        <f t="shared" si="35"/>
        <v>55083</v>
      </c>
      <c r="F135" s="274">
        <f t="shared" si="36"/>
        <v>55227.25</v>
      </c>
      <c r="G135" s="274">
        <f t="shared" si="37"/>
        <v>55264</v>
      </c>
      <c r="H135" s="274">
        <f t="shared" si="38"/>
        <v>55369</v>
      </c>
      <c r="I135" s="274">
        <f t="shared" si="39"/>
        <v>55535.857142857145</v>
      </c>
      <c r="J135" s="274">
        <f t="shared" si="40"/>
        <v>55595.25</v>
      </c>
      <c r="K135" s="274">
        <f t="shared" si="41"/>
        <v>55654.888888888891</v>
      </c>
      <c r="L135" s="274">
        <f t="shared" si="42"/>
        <v>55700.5</v>
      </c>
      <c r="M135" s="274">
        <f t="shared" si="43"/>
        <v>55770.090909090912</v>
      </c>
      <c r="N135" s="274">
        <f t="shared" si="44"/>
        <v>55854.666666666664</v>
      </c>
      <c r="O135" s="274">
        <f t="shared" si="45"/>
        <v>665087.5036075036</v>
      </c>
    </row>
    <row r="136" spans="1:18">
      <c r="A136" s="97">
        <f t="shared" si="46"/>
        <v>136</v>
      </c>
      <c r="B136" s="279" t="s">
        <v>128</v>
      </c>
      <c r="C136" s="274">
        <f t="shared" si="33"/>
        <v>504</v>
      </c>
      <c r="D136" s="274">
        <f t="shared" si="34"/>
        <v>509</v>
      </c>
      <c r="E136" s="274">
        <f t="shared" si="35"/>
        <v>511</v>
      </c>
      <c r="F136" s="274">
        <f t="shared" si="36"/>
        <v>516.5</v>
      </c>
      <c r="G136" s="274">
        <f t="shared" si="37"/>
        <v>569.79999999999995</v>
      </c>
      <c r="H136" s="274">
        <f t="shared" si="38"/>
        <v>563.33333333333337</v>
      </c>
      <c r="I136" s="274">
        <f t="shared" si="39"/>
        <v>560.14285714285711</v>
      </c>
      <c r="J136" s="274">
        <f t="shared" si="40"/>
        <v>559</v>
      </c>
      <c r="K136" s="274">
        <f t="shared" si="41"/>
        <v>558.88888888888891</v>
      </c>
      <c r="L136" s="274">
        <f t="shared" si="42"/>
        <v>570.6</v>
      </c>
      <c r="M136" s="274">
        <f t="shared" si="43"/>
        <v>569.81818181818187</v>
      </c>
      <c r="N136" s="274">
        <f t="shared" si="44"/>
        <v>568.91666666666663</v>
      </c>
      <c r="O136" s="274">
        <f t="shared" si="45"/>
        <v>6560.999927849929</v>
      </c>
    </row>
    <row r="137" spans="1:18">
      <c r="A137" s="97">
        <f t="shared" si="46"/>
        <v>137</v>
      </c>
      <c r="B137" s="279" t="s">
        <v>98</v>
      </c>
      <c r="C137" s="274">
        <f t="shared" si="33"/>
        <v>564</v>
      </c>
      <c r="D137" s="274">
        <f t="shared" si="34"/>
        <v>566</v>
      </c>
      <c r="E137" s="274">
        <f t="shared" si="35"/>
        <v>566.33333333333337</v>
      </c>
      <c r="F137" s="274">
        <f t="shared" si="36"/>
        <v>567.25</v>
      </c>
      <c r="G137" s="274">
        <f t="shared" si="37"/>
        <v>566</v>
      </c>
      <c r="H137" s="274">
        <f t="shared" si="38"/>
        <v>564.66666666666663</v>
      </c>
      <c r="I137" s="274">
        <f t="shared" si="39"/>
        <v>563.14285714285711</v>
      </c>
      <c r="J137" s="274">
        <f t="shared" si="40"/>
        <v>562</v>
      </c>
      <c r="K137" s="274">
        <f t="shared" si="41"/>
        <v>561</v>
      </c>
      <c r="L137" s="274">
        <f t="shared" si="42"/>
        <v>560.5</v>
      </c>
      <c r="M137" s="274">
        <f t="shared" si="43"/>
        <v>559.90909090909088</v>
      </c>
      <c r="N137" s="274">
        <f t="shared" si="44"/>
        <v>560</v>
      </c>
      <c r="O137" s="274">
        <f t="shared" si="45"/>
        <v>6760.8019480519479</v>
      </c>
    </row>
    <row r="138" spans="1:18">
      <c r="A138" s="97">
        <f t="shared" si="46"/>
        <v>138</v>
      </c>
      <c r="B138" s="279" t="s">
        <v>93</v>
      </c>
      <c r="C138" s="283">
        <f t="shared" si="33"/>
        <v>669</v>
      </c>
      <c r="D138" s="283">
        <f t="shared" si="34"/>
        <v>668</v>
      </c>
      <c r="E138" s="283">
        <f t="shared" si="35"/>
        <v>668.66666666666663</v>
      </c>
      <c r="F138" s="283">
        <f t="shared" si="36"/>
        <v>669</v>
      </c>
      <c r="G138" s="283">
        <f t="shared" si="37"/>
        <v>669</v>
      </c>
      <c r="H138" s="283">
        <f t="shared" si="38"/>
        <v>669.33333333333337</v>
      </c>
      <c r="I138" s="283">
        <f t="shared" si="39"/>
        <v>669.28571428571433</v>
      </c>
      <c r="J138" s="283">
        <f t="shared" si="40"/>
        <v>669.25</v>
      </c>
      <c r="K138" s="283">
        <f t="shared" si="41"/>
        <v>669</v>
      </c>
      <c r="L138" s="283">
        <f t="shared" si="42"/>
        <v>669.5</v>
      </c>
      <c r="M138" s="283">
        <f t="shared" si="43"/>
        <v>669.63636363636363</v>
      </c>
      <c r="N138" s="283">
        <f t="shared" si="44"/>
        <v>669.33333333333337</v>
      </c>
      <c r="O138" s="283">
        <f>SUM(C138:N138)</f>
        <v>8029.0054112554117</v>
      </c>
    </row>
    <row r="139" spans="1:18">
      <c r="A139" s="97">
        <f t="shared" si="46"/>
        <v>139</v>
      </c>
      <c r="B139" s="280" t="s">
        <v>131</v>
      </c>
      <c r="C139" s="274">
        <f t="shared" ref="C139:O139" si="47">SUM(C128:C138)</f>
        <v>73355</v>
      </c>
      <c r="D139" s="274">
        <f t="shared" si="47"/>
        <v>73427</v>
      </c>
      <c r="E139" s="274">
        <f t="shared" si="47"/>
        <v>73528</v>
      </c>
      <c r="F139" s="274">
        <f t="shared" si="47"/>
        <v>73737</v>
      </c>
      <c r="G139" s="274">
        <f t="shared" si="47"/>
        <v>73854.400000000009</v>
      </c>
      <c r="H139" s="274">
        <f t="shared" si="47"/>
        <v>73975</v>
      </c>
      <c r="I139" s="274">
        <f t="shared" si="47"/>
        <v>74161.57142857142</v>
      </c>
      <c r="J139" s="274">
        <f t="shared" si="47"/>
        <v>74249.625</v>
      </c>
      <c r="K139" s="274">
        <f t="shared" si="47"/>
        <v>74335.444444444453</v>
      </c>
      <c r="L139" s="274">
        <f t="shared" si="47"/>
        <v>74416.3</v>
      </c>
      <c r="M139" s="274">
        <f t="shared" si="47"/>
        <v>74512.818181818177</v>
      </c>
      <c r="N139" s="274">
        <f t="shared" si="47"/>
        <v>74627.333333333328</v>
      </c>
      <c r="O139" s="274">
        <f t="shared" si="47"/>
        <v>888179.49238816742</v>
      </c>
    </row>
    <row r="140" spans="1:18">
      <c r="A140" s="97">
        <f t="shared" si="46"/>
        <v>140</v>
      </c>
      <c r="B140" s="275" t="s">
        <v>132</v>
      </c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R140" s="97"/>
    </row>
    <row r="141" spans="1:18">
      <c r="A141" s="97">
        <f t="shared" si="46"/>
        <v>141</v>
      </c>
      <c r="B141" s="276" t="s">
        <v>100</v>
      </c>
      <c r="C141" s="274">
        <f t="shared" ref="C141:C147" si="48">+C17</f>
        <v>34</v>
      </c>
      <c r="D141" s="274">
        <f t="shared" ref="D141:D147" si="49">AVERAGE(C17:D17)</f>
        <v>34</v>
      </c>
      <c r="E141" s="274">
        <f t="shared" ref="E141:E147" si="50">AVERAGE(C17:E17)</f>
        <v>34.333333333333336</v>
      </c>
      <c r="F141" s="274">
        <f t="shared" ref="F141:F147" si="51">AVERAGE(C17:F17)</f>
        <v>34.25</v>
      </c>
      <c r="G141" s="274">
        <f t="shared" ref="G141:G147" si="52">AVERAGE(C17:G17)</f>
        <v>33.6</v>
      </c>
      <c r="H141" s="274">
        <f t="shared" ref="H141:H147" si="53">AVERAGE(C17:H17)</f>
        <v>33</v>
      </c>
      <c r="I141" s="274">
        <f t="shared" ref="I141:I147" si="54">AVERAGE(C17:I17)</f>
        <v>32.428571428571431</v>
      </c>
      <c r="J141" s="274">
        <f t="shared" ref="J141:J147" si="55">AVERAGE(C17:J17)</f>
        <v>32.125</v>
      </c>
      <c r="K141" s="274">
        <f t="shared" ref="K141:K147" si="56">AVERAGE(C17:K17)</f>
        <v>31.666666666666668</v>
      </c>
      <c r="L141" s="274">
        <f t="shared" ref="L141:L147" si="57">AVERAGE(C17:L17)</f>
        <v>31.6</v>
      </c>
      <c r="M141" s="274">
        <f t="shared" ref="M141:M147" si="58">AVERAGE(C17:M17)</f>
        <v>31.636363636363637</v>
      </c>
      <c r="N141" s="274">
        <f t="shared" ref="N141:N147" si="59">AVERAGE(C17:N17)</f>
        <v>31.75</v>
      </c>
      <c r="O141" s="274">
        <f t="shared" ref="O141:O147" si="60">SUM(C141:N141)</f>
        <v>394.38993506493512</v>
      </c>
      <c r="R141" s="97"/>
    </row>
    <row r="142" spans="1:18">
      <c r="A142" s="97">
        <f t="shared" si="46"/>
        <v>142</v>
      </c>
      <c r="B142" s="276" t="s">
        <v>101</v>
      </c>
      <c r="C142" s="274">
        <f t="shared" si="48"/>
        <v>61</v>
      </c>
      <c r="D142" s="274">
        <f t="shared" si="49"/>
        <v>61.5</v>
      </c>
      <c r="E142" s="274">
        <f t="shared" si="50"/>
        <v>61.333333333333336</v>
      </c>
      <c r="F142" s="274">
        <f t="shared" si="51"/>
        <v>61.5</v>
      </c>
      <c r="G142" s="274">
        <f t="shared" si="52"/>
        <v>61.6</v>
      </c>
      <c r="H142" s="274">
        <f t="shared" si="53"/>
        <v>61.666666666666664</v>
      </c>
      <c r="I142" s="274">
        <f t="shared" si="54"/>
        <v>61.571428571428569</v>
      </c>
      <c r="J142" s="274">
        <f t="shared" si="55"/>
        <v>61.375</v>
      </c>
      <c r="K142" s="274">
        <f t="shared" si="56"/>
        <v>61.222222222222221</v>
      </c>
      <c r="L142" s="274">
        <f t="shared" si="57"/>
        <v>61.4</v>
      </c>
      <c r="M142" s="274">
        <f t="shared" si="58"/>
        <v>61.454545454545453</v>
      </c>
      <c r="N142" s="274">
        <f t="shared" si="59"/>
        <v>61.666666666666664</v>
      </c>
      <c r="O142" s="274">
        <f t="shared" si="60"/>
        <v>737.28986291486285</v>
      </c>
      <c r="R142" s="97"/>
    </row>
    <row r="143" spans="1:18">
      <c r="A143" s="97">
        <f t="shared" si="46"/>
        <v>143</v>
      </c>
      <c r="B143" s="276" t="s">
        <v>102</v>
      </c>
      <c r="C143" s="274">
        <f t="shared" si="48"/>
        <v>166</v>
      </c>
      <c r="D143" s="274">
        <f t="shared" si="49"/>
        <v>166</v>
      </c>
      <c r="E143" s="274">
        <f t="shared" si="50"/>
        <v>165.66666666666666</v>
      </c>
      <c r="F143" s="274">
        <f t="shared" si="51"/>
        <v>165.25</v>
      </c>
      <c r="G143" s="274">
        <f t="shared" si="52"/>
        <v>165.2</v>
      </c>
      <c r="H143" s="274">
        <f t="shared" si="53"/>
        <v>165.33333333333334</v>
      </c>
      <c r="I143" s="274">
        <f t="shared" si="54"/>
        <v>165.71428571428572</v>
      </c>
      <c r="J143" s="274">
        <f t="shared" si="55"/>
        <v>166</v>
      </c>
      <c r="K143" s="274">
        <f t="shared" si="56"/>
        <v>166.11111111111111</v>
      </c>
      <c r="L143" s="274">
        <f t="shared" si="57"/>
        <v>166.2</v>
      </c>
      <c r="M143" s="274">
        <f t="shared" si="58"/>
        <v>166.27272727272728</v>
      </c>
      <c r="N143" s="274">
        <f t="shared" si="59"/>
        <v>166.33333333333334</v>
      </c>
      <c r="O143" s="274">
        <f t="shared" si="60"/>
        <v>1990.0814574314572</v>
      </c>
      <c r="R143" s="97"/>
    </row>
    <row r="144" spans="1:18">
      <c r="A144" s="97">
        <f t="shared" si="46"/>
        <v>144</v>
      </c>
      <c r="B144" s="276" t="s">
        <v>103</v>
      </c>
      <c r="C144" s="274">
        <f t="shared" si="48"/>
        <v>19</v>
      </c>
      <c r="D144" s="274">
        <f t="shared" si="49"/>
        <v>19</v>
      </c>
      <c r="E144" s="274">
        <f t="shared" si="50"/>
        <v>19</v>
      </c>
      <c r="F144" s="274">
        <f t="shared" si="51"/>
        <v>19</v>
      </c>
      <c r="G144" s="274">
        <f t="shared" si="52"/>
        <v>19</v>
      </c>
      <c r="H144" s="274">
        <f t="shared" si="53"/>
        <v>18.833333333333332</v>
      </c>
      <c r="I144" s="274">
        <f t="shared" si="54"/>
        <v>18.714285714285715</v>
      </c>
      <c r="J144" s="274">
        <f t="shared" si="55"/>
        <v>18.625</v>
      </c>
      <c r="K144" s="274">
        <f t="shared" si="56"/>
        <v>18.555555555555557</v>
      </c>
      <c r="L144" s="274">
        <f t="shared" si="57"/>
        <v>18.5</v>
      </c>
      <c r="M144" s="274">
        <f t="shared" si="58"/>
        <v>18.545454545454547</v>
      </c>
      <c r="N144" s="274">
        <f t="shared" si="59"/>
        <v>18.583333333333332</v>
      </c>
      <c r="O144" s="274">
        <f t="shared" si="60"/>
        <v>225.35696248196248</v>
      </c>
      <c r="R144" s="97"/>
    </row>
    <row r="145" spans="1:18">
      <c r="A145" s="97">
        <f t="shared" si="46"/>
        <v>145</v>
      </c>
      <c r="B145" s="276" t="s">
        <v>104</v>
      </c>
      <c r="C145" s="274">
        <f t="shared" si="48"/>
        <v>9</v>
      </c>
      <c r="D145" s="274">
        <f t="shared" si="49"/>
        <v>9</v>
      </c>
      <c r="E145" s="274">
        <f t="shared" si="50"/>
        <v>9</v>
      </c>
      <c r="F145" s="274">
        <f t="shared" si="51"/>
        <v>9</v>
      </c>
      <c r="G145" s="274">
        <f t="shared" si="52"/>
        <v>9</v>
      </c>
      <c r="H145" s="274">
        <f t="shared" si="53"/>
        <v>9</v>
      </c>
      <c r="I145" s="274">
        <f t="shared" si="54"/>
        <v>9</v>
      </c>
      <c r="J145" s="274">
        <f t="shared" si="55"/>
        <v>9</v>
      </c>
      <c r="K145" s="274">
        <f t="shared" si="56"/>
        <v>9.1111111111111107</v>
      </c>
      <c r="L145" s="274">
        <f t="shared" si="57"/>
        <v>9</v>
      </c>
      <c r="M145" s="274">
        <f t="shared" si="58"/>
        <v>8.9090909090909083</v>
      </c>
      <c r="N145" s="274">
        <f t="shared" si="59"/>
        <v>8.8333333333333339</v>
      </c>
      <c r="O145" s="274">
        <f t="shared" si="60"/>
        <v>107.85353535353535</v>
      </c>
      <c r="R145" s="97"/>
    </row>
    <row r="146" spans="1:18">
      <c r="A146" s="97">
        <f t="shared" si="46"/>
        <v>146</v>
      </c>
      <c r="B146" s="279" t="s">
        <v>105</v>
      </c>
      <c r="C146" s="274">
        <f t="shared" si="48"/>
        <v>0</v>
      </c>
      <c r="D146" s="274">
        <f t="shared" si="49"/>
        <v>0</v>
      </c>
      <c r="E146" s="274">
        <f t="shared" si="50"/>
        <v>0</v>
      </c>
      <c r="F146" s="274">
        <f t="shared" si="51"/>
        <v>0</v>
      </c>
      <c r="G146" s="274">
        <f t="shared" si="52"/>
        <v>0</v>
      </c>
      <c r="H146" s="274">
        <f t="shared" si="53"/>
        <v>0</v>
      </c>
      <c r="I146" s="274">
        <f t="shared" si="54"/>
        <v>0</v>
      </c>
      <c r="J146" s="274">
        <f t="shared" si="55"/>
        <v>0</v>
      </c>
      <c r="K146" s="274">
        <f t="shared" si="56"/>
        <v>0</v>
      </c>
      <c r="L146" s="274">
        <f t="shared" si="57"/>
        <v>0</v>
      </c>
      <c r="M146" s="274">
        <f t="shared" si="58"/>
        <v>0</v>
      </c>
      <c r="N146" s="274">
        <f t="shared" si="59"/>
        <v>0</v>
      </c>
      <c r="O146" s="274">
        <f t="shared" si="60"/>
        <v>0</v>
      </c>
      <c r="R146" s="97"/>
    </row>
    <row r="147" spans="1:18">
      <c r="A147" s="97">
        <f t="shared" si="46"/>
        <v>147</v>
      </c>
      <c r="B147" s="279" t="s">
        <v>106</v>
      </c>
      <c r="C147" s="283">
        <f t="shared" si="48"/>
        <v>0</v>
      </c>
      <c r="D147" s="283">
        <f t="shared" si="49"/>
        <v>0</v>
      </c>
      <c r="E147" s="283">
        <f t="shared" si="50"/>
        <v>0</v>
      </c>
      <c r="F147" s="283">
        <f t="shared" si="51"/>
        <v>0</v>
      </c>
      <c r="G147" s="283">
        <f t="shared" si="52"/>
        <v>0</v>
      </c>
      <c r="H147" s="283">
        <f t="shared" si="53"/>
        <v>0</v>
      </c>
      <c r="I147" s="283">
        <f t="shared" si="54"/>
        <v>0</v>
      </c>
      <c r="J147" s="283">
        <f t="shared" si="55"/>
        <v>0</v>
      </c>
      <c r="K147" s="283">
        <f t="shared" si="56"/>
        <v>0</v>
      </c>
      <c r="L147" s="283">
        <f t="shared" si="57"/>
        <v>0</v>
      </c>
      <c r="M147" s="283">
        <f t="shared" si="58"/>
        <v>0</v>
      </c>
      <c r="N147" s="283">
        <f t="shared" si="59"/>
        <v>0</v>
      </c>
      <c r="O147" s="283">
        <f t="shared" si="60"/>
        <v>0</v>
      </c>
      <c r="R147" s="97"/>
    </row>
    <row r="148" spans="1:18">
      <c r="A148" s="97">
        <f t="shared" si="46"/>
        <v>148</v>
      </c>
      <c r="B148" s="280" t="s">
        <v>134</v>
      </c>
      <c r="C148" s="274">
        <f t="shared" ref="C148:O148" si="61">SUM(C141:C147)</f>
        <v>289</v>
      </c>
      <c r="D148" s="274">
        <f t="shared" si="61"/>
        <v>289.5</v>
      </c>
      <c r="E148" s="274">
        <f t="shared" si="61"/>
        <v>289.33333333333331</v>
      </c>
      <c r="F148" s="274">
        <f t="shared" si="61"/>
        <v>289</v>
      </c>
      <c r="G148" s="274">
        <f t="shared" si="61"/>
        <v>288.39999999999998</v>
      </c>
      <c r="H148" s="274">
        <f t="shared" si="61"/>
        <v>287.83333333333331</v>
      </c>
      <c r="I148" s="274">
        <f t="shared" si="61"/>
        <v>287.42857142857144</v>
      </c>
      <c r="J148" s="274">
        <f t="shared" si="61"/>
        <v>287.125</v>
      </c>
      <c r="K148" s="274">
        <f t="shared" si="61"/>
        <v>286.66666666666663</v>
      </c>
      <c r="L148" s="274">
        <f t="shared" si="61"/>
        <v>286.7</v>
      </c>
      <c r="M148" s="274">
        <f t="shared" si="61"/>
        <v>286.81818181818187</v>
      </c>
      <c r="N148" s="274">
        <f t="shared" si="61"/>
        <v>287.16666666666663</v>
      </c>
      <c r="O148" s="274">
        <f t="shared" si="61"/>
        <v>3454.971753246753</v>
      </c>
      <c r="R148" s="97"/>
    </row>
    <row r="149" spans="1:18">
      <c r="A149" s="97">
        <f t="shared" si="46"/>
        <v>149</v>
      </c>
      <c r="B149" s="284" t="s">
        <v>135</v>
      </c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R149" s="97"/>
    </row>
    <row r="150" spans="1:18">
      <c r="A150" s="97">
        <f t="shared" si="46"/>
        <v>150</v>
      </c>
      <c r="B150" s="276" t="s">
        <v>100</v>
      </c>
      <c r="C150" s="274">
        <f t="shared" ref="C150:C185" si="62">+C26</f>
        <v>12</v>
      </c>
      <c r="D150" s="274">
        <f t="shared" ref="D150:D185" si="63">AVERAGE(C26:D26)</f>
        <v>12</v>
      </c>
      <c r="E150" s="274">
        <f t="shared" ref="E150:E185" si="64">AVERAGE(C26:E26)</f>
        <v>12</v>
      </c>
      <c r="F150" s="274">
        <f t="shared" ref="F150:F185" si="65">AVERAGE(C26:F26)</f>
        <v>12</v>
      </c>
      <c r="G150" s="274">
        <f t="shared" ref="G150:G185" si="66">AVERAGE(C26:G26)</f>
        <v>11.8</v>
      </c>
      <c r="H150" s="274">
        <f t="shared" ref="H150:H185" si="67">AVERAGE(C26:H26)</f>
        <v>11.666666666666666</v>
      </c>
      <c r="I150" s="274">
        <f t="shared" ref="I150:I185" si="68">AVERAGE(C26:I26)</f>
        <v>11.571428571428571</v>
      </c>
      <c r="J150" s="274">
        <f t="shared" ref="J150:J185" si="69">AVERAGE(C26:J26)</f>
        <v>11.5</v>
      </c>
      <c r="K150" s="274">
        <f t="shared" ref="K150:K185" si="70">AVERAGE(C26:K26)</f>
        <v>11.444444444444445</v>
      </c>
      <c r="L150" s="274">
        <f t="shared" ref="L150:L185" si="71">AVERAGE(C26:L26)</f>
        <v>11.4</v>
      </c>
      <c r="M150" s="274">
        <f t="shared" ref="M150:M185" si="72">AVERAGE(C26:M26)</f>
        <v>11.363636363636363</v>
      </c>
      <c r="N150" s="274">
        <f t="shared" ref="N150:N185" si="73">AVERAGE(C26:N26)</f>
        <v>11.25</v>
      </c>
      <c r="O150" s="274">
        <f t="shared" ref="O150:O182" si="74">SUM(C150:N150)</f>
        <v>139.99617604617606</v>
      </c>
      <c r="R150" s="97"/>
    </row>
    <row r="151" spans="1:18">
      <c r="A151" s="97">
        <f t="shared" si="46"/>
        <v>151</v>
      </c>
      <c r="B151" s="276" t="s">
        <v>101</v>
      </c>
      <c r="C151" s="274">
        <f t="shared" si="62"/>
        <v>7</v>
      </c>
      <c r="D151" s="274">
        <f t="shared" si="63"/>
        <v>7</v>
      </c>
      <c r="E151" s="274">
        <f t="shared" si="64"/>
        <v>7</v>
      </c>
      <c r="F151" s="274">
        <f t="shared" si="65"/>
        <v>7</v>
      </c>
      <c r="G151" s="274">
        <f t="shared" si="66"/>
        <v>7</v>
      </c>
      <c r="H151" s="274">
        <f t="shared" si="67"/>
        <v>6.833333333333333</v>
      </c>
      <c r="I151" s="274">
        <f t="shared" si="68"/>
        <v>6.7142857142857144</v>
      </c>
      <c r="J151" s="274">
        <f t="shared" si="69"/>
        <v>6.625</v>
      </c>
      <c r="K151" s="274">
        <f t="shared" si="70"/>
        <v>6.5555555555555554</v>
      </c>
      <c r="L151" s="274">
        <f t="shared" si="71"/>
        <v>6.5</v>
      </c>
      <c r="M151" s="274">
        <f t="shared" si="72"/>
        <v>6.5454545454545459</v>
      </c>
      <c r="N151" s="274">
        <f t="shared" si="73"/>
        <v>6.583333333333333</v>
      </c>
      <c r="O151" s="274">
        <f t="shared" si="74"/>
        <v>81.356962481962483</v>
      </c>
      <c r="R151" s="97"/>
    </row>
    <row r="152" spans="1:18">
      <c r="A152" s="97">
        <f t="shared" si="46"/>
        <v>152</v>
      </c>
      <c r="B152" s="276" t="s">
        <v>102</v>
      </c>
      <c r="C152" s="274">
        <f t="shared" si="62"/>
        <v>230</v>
      </c>
      <c r="D152" s="274">
        <f t="shared" si="63"/>
        <v>229</v>
      </c>
      <c r="E152" s="274">
        <f t="shared" si="64"/>
        <v>228.66666666666666</v>
      </c>
      <c r="F152" s="274">
        <f t="shared" si="65"/>
        <v>229.25</v>
      </c>
      <c r="G152" s="274">
        <f t="shared" si="66"/>
        <v>229.6</v>
      </c>
      <c r="H152" s="274">
        <f t="shared" si="67"/>
        <v>229.83333333333334</v>
      </c>
      <c r="I152" s="274">
        <f t="shared" si="68"/>
        <v>230</v>
      </c>
      <c r="J152" s="274">
        <f t="shared" si="69"/>
        <v>230.25</v>
      </c>
      <c r="K152" s="274">
        <f t="shared" si="70"/>
        <v>230.55555555555554</v>
      </c>
      <c r="L152" s="274">
        <f t="shared" si="71"/>
        <v>230.4</v>
      </c>
      <c r="M152" s="274">
        <f t="shared" si="72"/>
        <v>230.09090909090909</v>
      </c>
      <c r="N152" s="274">
        <f t="shared" si="73"/>
        <v>230</v>
      </c>
      <c r="O152" s="274">
        <f t="shared" si="74"/>
        <v>2757.6464646464647</v>
      </c>
      <c r="R152" s="97"/>
    </row>
    <row r="153" spans="1:18">
      <c r="A153" s="97">
        <f t="shared" si="46"/>
        <v>153</v>
      </c>
      <c r="B153" s="276" t="s">
        <v>103</v>
      </c>
      <c r="C153" s="274">
        <f t="shared" si="62"/>
        <v>94</v>
      </c>
      <c r="D153" s="274">
        <f t="shared" si="63"/>
        <v>93</v>
      </c>
      <c r="E153" s="274">
        <f t="shared" si="64"/>
        <v>93</v>
      </c>
      <c r="F153" s="274">
        <f t="shared" si="65"/>
        <v>93.5</v>
      </c>
      <c r="G153" s="274">
        <f t="shared" si="66"/>
        <v>93.6</v>
      </c>
      <c r="H153" s="274">
        <f t="shared" si="67"/>
        <v>93.833333333333329</v>
      </c>
      <c r="I153" s="274">
        <f t="shared" si="68"/>
        <v>94</v>
      </c>
      <c r="J153" s="274">
        <f t="shared" si="69"/>
        <v>94.25</v>
      </c>
      <c r="K153" s="274">
        <f t="shared" si="70"/>
        <v>94.222222222222229</v>
      </c>
      <c r="L153" s="274">
        <f t="shared" si="71"/>
        <v>94.4</v>
      </c>
      <c r="M153" s="274">
        <f t="shared" si="72"/>
        <v>94.63636363636364</v>
      </c>
      <c r="N153" s="274">
        <f t="shared" si="73"/>
        <v>95</v>
      </c>
      <c r="O153" s="274">
        <f t="shared" si="74"/>
        <v>1127.4419191919192</v>
      </c>
      <c r="R153" s="97"/>
    </row>
    <row r="154" spans="1:18">
      <c r="A154" s="97">
        <f t="shared" si="46"/>
        <v>154</v>
      </c>
      <c r="B154" s="276" t="s">
        <v>104</v>
      </c>
      <c r="C154" s="274">
        <f t="shared" si="62"/>
        <v>194</v>
      </c>
      <c r="D154" s="274">
        <f t="shared" si="63"/>
        <v>195</v>
      </c>
      <c r="E154" s="274">
        <f t="shared" si="64"/>
        <v>196.66666666666666</v>
      </c>
      <c r="F154" s="274">
        <f t="shared" si="65"/>
        <v>197</v>
      </c>
      <c r="G154" s="274">
        <f t="shared" si="66"/>
        <v>197.4</v>
      </c>
      <c r="H154" s="274">
        <f t="shared" si="67"/>
        <v>197.66666666666666</v>
      </c>
      <c r="I154" s="274">
        <f t="shared" si="68"/>
        <v>198.14285714285714</v>
      </c>
      <c r="J154" s="274">
        <f t="shared" si="69"/>
        <v>199</v>
      </c>
      <c r="K154" s="274">
        <f t="shared" si="70"/>
        <v>199.44444444444446</v>
      </c>
      <c r="L154" s="274">
        <f t="shared" si="71"/>
        <v>199.7</v>
      </c>
      <c r="M154" s="274">
        <f t="shared" si="72"/>
        <v>200.45454545454547</v>
      </c>
      <c r="N154" s="274">
        <f t="shared" si="73"/>
        <v>201.25</v>
      </c>
      <c r="O154" s="274">
        <f t="shared" si="74"/>
        <v>2375.7251803751801</v>
      </c>
      <c r="R154" s="97"/>
    </row>
    <row r="155" spans="1:18">
      <c r="A155" s="97">
        <f t="shared" si="46"/>
        <v>155</v>
      </c>
      <c r="B155" s="279" t="s">
        <v>105</v>
      </c>
      <c r="C155" s="274">
        <f t="shared" si="62"/>
        <v>265</v>
      </c>
      <c r="D155" s="274">
        <f t="shared" si="63"/>
        <v>266</v>
      </c>
      <c r="E155" s="274">
        <f t="shared" si="64"/>
        <v>266.66666666666669</v>
      </c>
      <c r="F155" s="274">
        <f t="shared" si="65"/>
        <v>268</v>
      </c>
      <c r="G155" s="274">
        <f t="shared" si="66"/>
        <v>268</v>
      </c>
      <c r="H155" s="274">
        <f t="shared" si="67"/>
        <v>268.33333333333331</v>
      </c>
      <c r="I155" s="274">
        <f t="shared" si="68"/>
        <v>269.28571428571428</v>
      </c>
      <c r="J155" s="274">
        <f t="shared" si="69"/>
        <v>269.75</v>
      </c>
      <c r="K155" s="274">
        <f t="shared" si="70"/>
        <v>269.88888888888891</v>
      </c>
      <c r="L155" s="274">
        <f t="shared" si="71"/>
        <v>270.10000000000002</v>
      </c>
      <c r="M155" s="274">
        <f t="shared" si="72"/>
        <v>270.54545454545456</v>
      </c>
      <c r="N155" s="274">
        <f t="shared" si="73"/>
        <v>270.91666666666669</v>
      </c>
      <c r="O155" s="274">
        <f t="shared" si="74"/>
        <v>3222.4867243867243</v>
      </c>
      <c r="R155" s="97"/>
    </row>
    <row r="156" spans="1:18">
      <c r="A156" s="97">
        <f t="shared" si="46"/>
        <v>156</v>
      </c>
      <c r="B156" s="279" t="s">
        <v>106</v>
      </c>
      <c r="C156" s="274">
        <f t="shared" si="62"/>
        <v>330</v>
      </c>
      <c r="D156" s="274">
        <f t="shared" si="63"/>
        <v>329.5</v>
      </c>
      <c r="E156" s="274">
        <f t="shared" si="64"/>
        <v>329.66666666666669</v>
      </c>
      <c r="F156" s="274">
        <f t="shared" si="65"/>
        <v>330.75</v>
      </c>
      <c r="G156" s="274">
        <f t="shared" si="66"/>
        <v>331.4</v>
      </c>
      <c r="H156" s="274">
        <f t="shared" si="67"/>
        <v>331.16666666666669</v>
      </c>
      <c r="I156" s="274">
        <f t="shared" si="68"/>
        <v>331.14285714285717</v>
      </c>
      <c r="J156" s="274">
        <f t="shared" si="69"/>
        <v>331.125</v>
      </c>
      <c r="K156" s="274">
        <f t="shared" si="70"/>
        <v>330.88888888888891</v>
      </c>
      <c r="L156" s="274">
        <f t="shared" si="71"/>
        <v>330.7</v>
      </c>
      <c r="M156" s="274">
        <f t="shared" si="72"/>
        <v>330.36363636363637</v>
      </c>
      <c r="N156" s="274">
        <f t="shared" si="73"/>
        <v>330.58333333333331</v>
      </c>
      <c r="O156" s="274">
        <f t="shared" si="74"/>
        <v>3967.2870490620489</v>
      </c>
      <c r="R156" s="97"/>
    </row>
    <row r="157" spans="1:18">
      <c r="A157" s="97">
        <f t="shared" si="46"/>
        <v>157</v>
      </c>
      <c r="B157" s="279" t="s">
        <v>107</v>
      </c>
      <c r="C157" s="274">
        <f t="shared" si="62"/>
        <v>208</v>
      </c>
      <c r="D157" s="274">
        <f t="shared" si="63"/>
        <v>208</v>
      </c>
      <c r="E157" s="274">
        <f t="shared" si="64"/>
        <v>208</v>
      </c>
      <c r="F157" s="274">
        <f t="shared" si="65"/>
        <v>209</v>
      </c>
      <c r="G157" s="274">
        <f t="shared" si="66"/>
        <v>208.8</v>
      </c>
      <c r="H157" s="274">
        <f t="shared" si="67"/>
        <v>209</v>
      </c>
      <c r="I157" s="274">
        <f t="shared" si="68"/>
        <v>209.28571428571428</v>
      </c>
      <c r="J157" s="274">
        <f t="shared" si="69"/>
        <v>210</v>
      </c>
      <c r="K157" s="274">
        <f t="shared" si="70"/>
        <v>210</v>
      </c>
      <c r="L157" s="274">
        <f t="shared" si="71"/>
        <v>210.2</v>
      </c>
      <c r="M157" s="274">
        <f t="shared" si="72"/>
        <v>210.18181818181819</v>
      </c>
      <c r="N157" s="274">
        <f t="shared" si="73"/>
        <v>210.16666666666666</v>
      </c>
      <c r="O157" s="274">
        <f t="shared" si="74"/>
        <v>2510.6341991341988</v>
      </c>
      <c r="R157" s="97"/>
    </row>
    <row r="158" spans="1:18">
      <c r="A158" s="97">
        <f t="shared" si="46"/>
        <v>158</v>
      </c>
      <c r="B158" s="279" t="s">
        <v>111</v>
      </c>
      <c r="C158" s="274">
        <f t="shared" si="62"/>
        <v>34</v>
      </c>
      <c r="D158" s="274">
        <f t="shared" si="63"/>
        <v>34</v>
      </c>
      <c r="E158" s="274">
        <f t="shared" si="64"/>
        <v>34</v>
      </c>
      <c r="F158" s="274">
        <f t="shared" si="65"/>
        <v>34</v>
      </c>
      <c r="G158" s="274">
        <f t="shared" si="66"/>
        <v>34</v>
      </c>
      <c r="H158" s="274">
        <f t="shared" si="67"/>
        <v>34</v>
      </c>
      <c r="I158" s="274">
        <f t="shared" si="68"/>
        <v>34.285714285714285</v>
      </c>
      <c r="J158" s="274">
        <f t="shared" si="69"/>
        <v>34.25</v>
      </c>
      <c r="K158" s="274">
        <f t="shared" si="70"/>
        <v>34.222222222222221</v>
      </c>
      <c r="L158" s="274">
        <f t="shared" si="71"/>
        <v>34.299999999999997</v>
      </c>
      <c r="M158" s="274">
        <f t="shared" si="72"/>
        <v>34.363636363636367</v>
      </c>
      <c r="N158" s="274">
        <f t="shared" si="73"/>
        <v>34.5</v>
      </c>
      <c r="O158" s="274">
        <f t="shared" si="74"/>
        <v>409.92157287157289</v>
      </c>
      <c r="R158" s="97"/>
    </row>
    <row r="159" spans="1:18">
      <c r="A159" s="97">
        <f t="shared" si="46"/>
        <v>159</v>
      </c>
      <c r="B159" s="279" t="s">
        <v>112</v>
      </c>
      <c r="C159" s="274">
        <f t="shared" si="62"/>
        <v>26</v>
      </c>
      <c r="D159" s="274">
        <f t="shared" si="63"/>
        <v>26</v>
      </c>
      <c r="E159" s="274">
        <f t="shared" si="64"/>
        <v>26</v>
      </c>
      <c r="F159" s="274">
        <f t="shared" si="65"/>
        <v>26</v>
      </c>
      <c r="G159" s="274">
        <f t="shared" si="66"/>
        <v>26</v>
      </c>
      <c r="H159" s="274">
        <f t="shared" si="67"/>
        <v>26</v>
      </c>
      <c r="I159" s="274">
        <f t="shared" si="68"/>
        <v>26</v>
      </c>
      <c r="J159" s="274">
        <f t="shared" si="69"/>
        <v>26.125</v>
      </c>
      <c r="K159" s="274">
        <f t="shared" si="70"/>
        <v>26</v>
      </c>
      <c r="L159" s="274">
        <f t="shared" si="71"/>
        <v>26</v>
      </c>
      <c r="M159" s="274">
        <f t="shared" si="72"/>
        <v>26</v>
      </c>
      <c r="N159" s="274">
        <f t="shared" si="73"/>
        <v>26</v>
      </c>
      <c r="O159" s="274">
        <f t="shared" si="74"/>
        <v>312.125</v>
      </c>
      <c r="R159" s="97"/>
    </row>
    <row r="160" spans="1:18">
      <c r="A160" s="97">
        <f t="shared" si="46"/>
        <v>160</v>
      </c>
      <c r="B160" s="279" t="s">
        <v>113</v>
      </c>
      <c r="C160" s="274">
        <f t="shared" si="62"/>
        <v>22</v>
      </c>
      <c r="D160" s="274">
        <f t="shared" si="63"/>
        <v>22</v>
      </c>
      <c r="E160" s="274">
        <f t="shared" si="64"/>
        <v>22</v>
      </c>
      <c r="F160" s="274">
        <f t="shared" si="65"/>
        <v>22</v>
      </c>
      <c r="G160" s="274">
        <f t="shared" si="66"/>
        <v>22</v>
      </c>
      <c r="H160" s="274">
        <f t="shared" si="67"/>
        <v>22</v>
      </c>
      <c r="I160" s="274">
        <f t="shared" si="68"/>
        <v>22</v>
      </c>
      <c r="J160" s="274">
        <f t="shared" si="69"/>
        <v>22.375</v>
      </c>
      <c r="K160" s="274">
        <f t="shared" si="70"/>
        <v>22.444444444444443</v>
      </c>
      <c r="L160" s="274">
        <f t="shared" si="71"/>
        <v>22.5</v>
      </c>
      <c r="M160" s="274">
        <f t="shared" si="72"/>
        <v>22.545454545454547</v>
      </c>
      <c r="N160" s="274">
        <f t="shared" si="73"/>
        <v>22.583333333333332</v>
      </c>
      <c r="O160" s="274">
        <f t="shared" si="74"/>
        <v>266.44823232323233</v>
      </c>
      <c r="R160" s="97"/>
    </row>
    <row r="161" spans="1:18">
      <c r="A161" s="97">
        <f t="shared" si="46"/>
        <v>161</v>
      </c>
      <c r="B161" s="279" t="s">
        <v>114</v>
      </c>
      <c r="C161" s="274">
        <f t="shared" si="62"/>
        <v>17</v>
      </c>
      <c r="D161" s="274">
        <f t="shared" si="63"/>
        <v>17</v>
      </c>
      <c r="E161" s="274">
        <f t="shared" si="64"/>
        <v>17</v>
      </c>
      <c r="F161" s="274">
        <f t="shared" si="65"/>
        <v>17</v>
      </c>
      <c r="G161" s="274">
        <f t="shared" si="66"/>
        <v>17</v>
      </c>
      <c r="H161" s="274">
        <f t="shared" si="67"/>
        <v>17</v>
      </c>
      <c r="I161" s="274">
        <f t="shared" si="68"/>
        <v>17.285714285714285</v>
      </c>
      <c r="J161" s="274">
        <f t="shared" si="69"/>
        <v>17.375</v>
      </c>
      <c r="K161" s="274">
        <f t="shared" si="70"/>
        <v>17.333333333333332</v>
      </c>
      <c r="L161" s="274">
        <f t="shared" si="71"/>
        <v>17.3</v>
      </c>
      <c r="M161" s="274">
        <f t="shared" si="72"/>
        <v>17.181818181818183</v>
      </c>
      <c r="N161" s="274">
        <f t="shared" si="73"/>
        <v>17.25</v>
      </c>
      <c r="O161" s="274">
        <f t="shared" si="74"/>
        <v>205.72586580086582</v>
      </c>
      <c r="R161" s="97"/>
    </row>
    <row r="162" spans="1:18">
      <c r="A162" s="97">
        <f t="shared" si="46"/>
        <v>162</v>
      </c>
      <c r="B162" s="279" t="s">
        <v>115</v>
      </c>
      <c r="C162" s="274">
        <f t="shared" si="62"/>
        <v>7</v>
      </c>
      <c r="D162" s="274">
        <f t="shared" si="63"/>
        <v>7</v>
      </c>
      <c r="E162" s="274">
        <f t="shared" si="64"/>
        <v>7</v>
      </c>
      <c r="F162" s="274">
        <f t="shared" si="65"/>
        <v>7</v>
      </c>
      <c r="G162" s="274">
        <f t="shared" si="66"/>
        <v>7</v>
      </c>
      <c r="H162" s="274">
        <f t="shared" si="67"/>
        <v>7</v>
      </c>
      <c r="I162" s="274">
        <f t="shared" si="68"/>
        <v>7</v>
      </c>
      <c r="J162" s="274">
        <f t="shared" si="69"/>
        <v>6.875</v>
      </c>
      <c r="K162" s="274">
        <f t="shared" si="70"/>
        <v>6.7777777777777777</v>
      </c>
      <c r="L162" s="274">
        <f t="shared" si="71"/>
        <v>6.7</v>
      </c>
      <c r="M162" s="274">
        <f t="shared" si="72"/>
        <v>6.6363636363636367</v>
      </c>
      <c r="N162" s="274">
        <f t="shared" si="73"/>
        <v>6.583333333333333</v>
      </c>
      <c r="O162" s="274">
        <f t="shared" si="74"/>
        <v>82.572474747474743</v>
      </c>
      <c r="R162" s="97"/>
    </row>
    <row r="163" spans="1:18">
      <c r="A163" s="97">
        <f t="shared" si="46"/>
        <v>163</v>
      </c>
      <c r="B163" s="279" t="s">
        <v>116</v>
      </c>
      <c r="C163" s="274">
        <f t="shared" si="62"/>
        <v>3</v>
      </c>
      <c r="D163" s="274">
        <f t="shared" si="63"/>
        <v>3</v>
      </c>
      <c r="E163" s="274">
        <f t="shared" si="64"/>
        <v>3</v>
      </c>
      <c r="F163" s="274">
        <f t="shared" si="65"/>
        <v>3</v>
      </c>
      <c r="G163" s="274">
        <f t="shared" si="66"/>
        <v>3</v>
      </c>
      <c r="H163" s="274">
        <f t="shared" si="67"/>
        <v>3</v>
      </c>
      <c r="I163" s="274">
        <f t="shared" si="68"/>
        <v>3</v>
      </c>
      <c r="J163" s="274">
        <f t="shared" si="69"/>
        <v>3</v>
      </c>
      <c r="K163" s="274">
        <f t="shared" si="70"/>
        <v>3</v>
      </c>
      <c r="L163" s="274">
        <f t="shared" si="71"/>
        <v>3</v>
      </c>
      <c r="M163" s="274">
        <f t="shared" si="72"/>
        <v>3</v>
      </c>
      <c r="N163" s="274">
        <f t="shared" si="73"/>
        <v>3</v>
      </c>
      <c r="O163" s="274">
        <f t="shared" si="74"/>
        <v>36</v>
      </c>
      <c r="R163" s="97"/>
    </row>
    <row r="164" spans="1:18">
      <c r="A164" s="97">
        <f t="shared" si="46"/>
        <v>164</v>
      </c>
      <c r="B164" s="279" t="s">
        <v>117</v>
      </c>
      <c r="C164" s="274">
        <f t="shared" si="62"/>
        <v>2</v>
      </c>
      <c r="D164" s="274">
        <f t="shared" si="63"/>
        <v>2</v>
      </c>
      <c r="E164" s="274">
        <f t="shared" si="64"/>
        <v>2</v>
      </c>
      <c r="F164" s="274">
        <f t="shared" si="65"/>
        <v>1.75</v>
      </c>
      <c r="G164" s="274">
        <f t="shared" si="66"/>
        <v>1.6</v>
      </c>
      <c r="H164" s="274">
        <f t="shared" si="67"/>
        <v>1.5</v>
      </c>
      <c r="I164" s="274">
        <f t="shared" si="68"/>
        <v>1.4285714285714286</v>
      </c>
      <c r="J164" s="274">
        <f t="shared" si="69"/>
        <v>1.375</v>
      </c>
      <c r="K164" s="274">
        <f t="shared" si="70"/>
        <v>1.3333333333333333</v>
      </c>
      <c r="L164" s="274">
        <f t="shared" si="71"/>
        <v>1.3</v>
      </c>
      <c r="M164" s="274">
        <f t="shared" si="72"/>
        <v>1.2727272727272727</v>
      </c>
      <c r="N164" s="274">
        <f t="shared" si="73"/>
        <v>1.25</v>
      </c>
      <c r="O164" s="274">
        <f t="shared" si="74"/>
        <v>18.809632034632035</v>
      </c>
      <c r="R164" s="97"/>
    </row>
    <row r="165" spans="1:18">
      <c r="A165" s="97">
        <f t="shared" si="46"/>
        <v>165</v>
      </c>
      <c r="B165" s="279" t="s">
        <v>118</v>
      </c>
      <c r="C165" s="274">
        <f t="shared" si="62"/>
        <v>4</v>
      </c>
      <c r="D165" s="274">
        <f t="shared" si="63"/>
        <v>4</v>
      </c>
      <c r="E165" s="274">
        <f t="shared" si="64"/>
        <v>4</v>
      </c>
      <c r="F165" s="274">
        <f t="shared" si="65"/>
        <v>4</v>
      </c>
      <c r="G165" s="274">
        <f t="shared" si="66"/>
        <v>4.2</v>
      </c>
      <c r="H165" s="274">
        <f t="shared" si="67"/>
        <v>4.333333333333333</v>
      </c>
      <c r="I165" s="274">
        <f>AVERAGE(C41:I41)</f>
        <v>4.4285714285714288</v>
      </c>
      <c r="J165" s="274">
        <f t="shared" si="69"/>
        <v>4.5</v>
      </c>
      <c r="K165" s="274">
        <f t="shared" si="70"/>
        <v>4.5555555555555554</v>
      </c>
      <c r="L165" s="274">
        <f t="shared" si="71"/>
        <v>4.5999999999999996</v>
      </c>
      <c r="M165" s="274">
        <f t="shared" si="72"/>
        <v>4.6363636363636367</v>
      </c>
      <c r="N165" s="274">
        <f t="shared" si="73"/>
        <v>4.666666666666667</v>
      </c>
      <c r="O165" s="274">
        <f t="shared" si="74"/>
        <v>51.920490620490618</v>
      </c>
      <c r="R165" s="97"/>
    </row>
    <row r="166" spans="1:18">
      <c r="A166" s="97">
        <f t="shared" si="46"/>
        <v>166</v>
      </c>
      <c r="B166" s="279" t="s">
        <v>314</v>
      </c>
      <c r="C166" s="274">
        <f t="shared" si="62"/>
        <v>0</v>
      </c>
      <c r="D166" s="274">
        <f t="shared" si="63"/>
        <v>0</v>
      </c>
      <c r="E166" s="274">
        <f t="shared" si="64"/>
        <v>0</v>
      </c>
      <c r="F166" s="274">
        <f>AVERAGE(C42:F42)</f>
        <v>0.33333333333333331</v>
      </c>
      <c r="G166" s="274">
        <f t="shared" si="66"/>
        <v>0.5</v>
      </c>
      <c r="H166" s="274">
        <f t="shared" si="67"/>
        <v>0.6</v>
      </c>
      <c r="I166" s="274">
        <f t="shared" si="68"/>
        <v>0.66666666666666663</v>
      </c>
      <c r="J166" s="274">
        <f t="shared" si="69"/>
        <v>0.7142857142857143</v>
      </c>
      <c r="K166" s="274">
        <f t="shared" si="70"/>
        <v>0.75</v>
      </c>
      <c r="L166" s="274">
        <f t="shared" si="71"/>
        <v>0.77777777777777779</v>
      </c>
      <c r="M166" s="274">
        <f t="shared" si="72"/>
        <v>0.8</v>
      </c>
      <c r="N166" s="274">
        <f t="shared" si="73"/>
        <v>0.81818181818181823</v>
      </c>
      <c r="O166" s="274">
        <f t="shared" si="74"/>
        <v>5.9602453102453099</v>
      </c>
      <c r="R166" s="97"/>
    </row>
    <row r="167" spans="1:18">
      <c r="A167" s="97">
        <f t="shared" si="46"/>
        <v>167</v>
      </c>
      <c r="B167" s="279" t="s">
        <v>99</v>
      </c>
      <c r="C167" s="274">
        <f t="shared" si="62"/>
        <v>889</v>
      </c>
      <c r="D167" s="274">
        <f t="shared" si="63"/>
        <v>888.5</v>
      </c>
      <c r="E167" s="274">
        <f t="shared" si="64"/>
        <v>888.33333333333337</v>
      </c>
      <c r="F167" s="274">
        <f t="shared" si="65"/>
        <v>889.75</v>
      </c>
      <c r="G167" s="274">
        <f t="shared" si="66"/>
        <v>889.4</v>
      </c>
      <c r="H167" s="274">
        <f t="shared" si="67"/>
        <v>889</v>
      </c>
      <c r="I167" s="274">
        <f t="shared" si="68"/>
        <v>888.85714285714289</v>
      </c>
      <c r="J167" s="274">
        <f t="shared" si="69"/>
        <v>888.375</v>
      </c>
      <c r="K167" s="274">
        <f t="shared" si="70"/>
        <v>888.55555555555554</v>
      </c>
      <c r="L167" s="274">
        <f t="shared" si="71"/>
        <v>898</v>
      </c>
      <c r="M167" s="274">
        <f t="shared" si="72"/>
        <v>897.36363636363637</v>
      </c>
      <c r="N167" s="274">
        <f t="shared" si="73"/>
        <v>897.08333333333337</v>
      </c>
      <c r="O167" s="274">
        <f t="shared" si="74"/>
        <v>10692.218001443003</v>
      </c>
      <c r="R167" s="97"/>
    </row>
    <row r="168" spans="1:18">
      <c r="A168" s="97">
        <f t="shared" si="46"/>
        <v>168</v>
      </c>
      <c r="B168" s="279" t="s">
        <v>138</v>
      </c>
      <c r="C168" s="274">
        <f t="shared" si="62"/>
        <v>362</v>
      </c>
      <c r="D168" s="274">
        <f t="shared" si="63"/>
        <v>363</v>
      </c>
      <c r="E168" s="274">
        <f t="shared" si="64"/>
        <v>361.66666666666669</v>
      </c>
      <c r="F168" s="274">
        <f t="shared" si="65"/>
        <v>364.25</v>
      </c>
      <c r="G168" s="274">
        <f t="shared" si="66"/>
        <v>362.2</v>
      </c>
      <c r="H168" s="274">
        <f t="shared" si="67"/>
        <v>361.66666666666669</v>
      </c>
      <c r="I168" s="274">
        <f t="shared" si="68"/>
        <v>361.71428571428572</v>
      </c>
      <c r="J168" s="274">
        <f t="shared" si="69"/>
        <v>362</v>
      </c>
      <c r="K168" s="274">
        <f t="shared" si="70"/>
        <v>361.88888888888891</v>
      </c>
      <c r="L168" s="274">
        <f t="shared" si="71"/>
        <v>363.9</v>
      </c>
      <c r="M168" s="274">
        <f t="shared" si="72"/>
        <v>363.72727272727275</v>
      </c>
      <c r="N168" s="274">
        <f t="shared" si="73"/>
        <v>363.5</v>
      </c>
      <c r="O168" s="274">
        <f t="shared" si="74"/>
        <v>4351.5137806637804</v>
      </c>
      <c r="R168" s="97"/>
    </row>
    <row r="169" spans="1:18">
      <c r="A169" s="97">
        <f t="shared" si="46"/>
        <v>169</v>
      </c>
      <c r="B169" s="279" t="s">
        <v>140</v>
      </c>
      <c r="C169" s="274">
        <f t="shared" si="62"/>
        <v>2050</v>
      </c>
      <c r="D169" s="274">
        <f t="shared" si="63"/>
        <v>2056</v>
      </c>
      <c r="E169" s="274">
        <f t="shared" si="64"/>
        <v>2056.3333333333335</v>
      </c>
      <c r="F169" s="274">
        <f t="shared" si="65"/>
        <v>2061.5</v>
      </c>
      <c r="G169" s="274">
        <f t="shared" si="66"/>
        <v>2067.6</v>
      </c>
      <c r="H169" s="274">
        <f t="shared" si="67"/>
        <v>2072.1666666666665</v>
      </c>
      <c r="I169" s="274">
        <f t="shared" si="68"/>
        <v>2074.1428571428573</v>
      </c>
      <c r="J169" s="274">
        <f t="shared" si="69"/>
        <v>2077.125</v>
      </c>
      <c r="K169" s="274">
        <f t="shared" si="70"/>
        <v>2079.8888888888887</v>
      </c>
      <c r="L169" s="274">
        <f t="shared" si="71"/>
        <v>2072.3000000000002</v>
      </c>
      <c r="M169" s="274">
        <f t="shared" si="72"/>
        <v>2076.6363636363635</v>
      </c>
      <c r="N169" s="274">
        <f t="shared" si="73"/>
        <v>2080.3333333333335</v>
      </c>
      <c r="O169" s="274">
        <f t="shared" si="74"/>
        <v>24824.026443001439</v>
      </c>
      <c r="R169" s="97"/>
    </row>
    <row r="170" spans="1:18">
      <c r="A170" s="97">
        <f t="shared" si="46"/>
        <v>170</v>
      </c>
      <c r="B170" s="279" t="s">
        <v>141</v>
      </c>
      <c r="C170" s="274">
        <f t="shared" si="62"/>
        <v>780</v>
      </c>
      <c r="D170" s="274">
        <f t="shared" si="63"/>
        <v>779.5</v>
      </c>
      <c r="E170" s="274">
        <f t="shared" si="64"/>
        <v>781</v>
      </c>
      <c r="F170" s="274">
        <f t="shared" si="65"/>
        <v>779.75</v>
      </c>
      <c r="G170" s="274">
        <f t="shared" si="66"/>
        <v>781.4</v>
      </c>
      <c r="H170" s="274">
        <f t="shared" si="67"/>
        <v>781.66666666666663</v>
      </c>
      <c r="I170" s="274">
        <f t="shared" si="68"/>
        <v>783.28571428571433</v>
      </c>
      <c r="J170" s="274">
        <f t="shared" si="69"/>
        <v>784.25</v>
      </c>
      <c r="K170" s="274">
        <f t="shared" si="70"/>
        <v>785.33333333333337</v>
      </c>
      <c r="L170" s="274">
        <f t="shared" si="71"/>
        <v>784.1</v>
      </c>
      <c r="M170" s="274">
        <f t="shared" si="72"/>
        <v>785</v>
      </c>
      <c r="N170" s="274">
        <f t="shared" si="73"/>
        <v>786.58333333333337</v>
      </c>
      <c r="O170" s="274">
        <f t="shared" si="74"/>
        <v>9391.8690476190477</v>
      </c>
      <c r="R170" s="97"/>
    </row>
    <row r="171" spans="1:18">
      <c r="A171" s="97">
        <f t="shared" si="46"/>
        <v>171</v>
      </c>
      <c r="B171" s="279" t="s">
        <v>142</v>
      </c>
      <c r="C171" s="274">
        <f t="shared" si="62"/>
        <v>237</v>
      </c>
      <c r="D171" s="274">
        <f t="shared" si="63"/>
        <v>236</v>
      </c>
      <c r="E171" s="274">
        <f t="shared" si="64"/>
        <v>236</v>
      </c>
      <c r="F171" s="274">
        <f t="shared" si="65"/>
        <v>237.5</v>
      </c>
      <c r="G171" s="274">
        <f t="shared" si="66"/>
        <v>237</v>
      </c>
      <c r="H171" s="274">
        <f t="shared" si="67"/>
        <v>236.66666666666666</v>
      </c>
      <c r="I171" s="274">
        <f t="shared" si="68"/>
        <v>236.85714285714286</v>
      </c>
      <c r="J171" s="274">
        <f t="shared" si="69"/>
        <v>237.125</v>
      </c>
      <c r="K171" s="274">
        <f t="shared" si="70"/>
        <v>237.33333333333334</v>
      </c>
      <c r="L171" s="274">
        <f t="shared" si="71"/>
        <v>240</v>
      </c>
      <c r="M171" s="274">
        <f t="shared" si="72"/>
        <v>240.63636363636363</v>
      </c>
      <c r="N171" s="274">
        <f t="shared" si="73"/>
        <v>240.83333333333334</v>
      </c>
      <c r="O171" s="274">
        <f t="shared" si="74"/>
        <v>2852.9518398268401</v>
      </c>
      <c r="R171" s="97"/>
    </row>
    <row r="172" spans="1:18">
      <c r="A172" s="97">
        <f t="shared" si="46"/>
        <v>172</v>
      </c>
      <c r="B172" s="279" t="s">
        <v>143</v>
      </c>
      <c r="C172" s="274">
        <f t="shared" si="62"/>
        <v>666</v>
      </c>
      <c r="D172" s="274">
        <f t="shared" si="63"/>
        <v>666</v>
      </c>
      <c r="E172" s="274">
        <f t="shared" si="64"/>
        <v>661.33333333333337</v>
      </c>
      <c r="F172" s="274">
        <f t="shared" si="65"/>
        <v>661.75</v>
      </c>
      <c r="G172" s="274">
        <f t="shared" si="66"/>
        <v>661.2</v>
      </c>
      <c r="H172" s="274">
        <f t="shared" si="67"/>
        <v>660.66666666666663</v>
      </c>
      <c r="I172" s="274">
        <f t="shared" si="68"/>
        <v>659.14285714285711</v>
      </c>
      <c r="J172" s="274">
        <f t="shared" si="69"/>
        <v>659</v>
      </c>
      <c r="K172" s="274">
        <f t="shared" si="70"/>
        <v>658.55555555555554</v>
      </c>
      <c r="L172" s="274">
        <f t="shared" si="71"/>
        <v>657.8</v>
      </c>
      <c r="M172" s="274">
        <f t="shared" si="72"/>
        <v>656.81818181818187</v>
      </c>
      <c r="N172" s="274">
        <f t="shared" si="73"/>
        <v>656.08333333333337</v>
      </c>
      <c r="O172" s="274">
        <f t="shared" si="74"/>
        <v>7924.3499278499285</v>
      </c>
      <c r="R172" s="97"/>
    </row>
    <row r="173" spans="1:18">
      <c r="A173" s="97">
        <f t="shared" si="46"/>
        <v>173</v>
      </c>
      <c r="B173" s="279" t="s">
        <v>145</v>
      </c>
      <c r="C173" s="274">
        <f t="shared" si="62"/>
        <v>0</v>
      </c>
      <c r="D173" s="274">
        <f t="shared" si="63"/>
        <v>0</v>
      </c>
      <c r="E173" s="274">
        <f t="shared" si="64"/>
        <v>0</v>
      </c>
      <c r="F173" s="274">
        <f t="shared" si="65"/>
        <v>0</v>
      </c>
      <c r="G173" s="274">
        <f t="shared" si="66"/>
        <v>0</v>
      </c>
      <c r="H173" s="274">
        <f t="shared" si="67"/>
        <v>0</v>
      </c>
      <c r="I173" s="274">
        <f t="shared" si="68"/>
        <v>0</v>
      </c>
      <c r="J173" s="274">
        <f t="shared" si="69"/>
        <v>0</v>
      </c>
      <c r="K173" s="274">
        <f t="shared" si="70"/>
        <v>0</v>
      </c>
      <c r="L173" s="274">
        <f t="shared" si="71"/>
        <v>0</v>
      </c>
      <c r="M173" s="274">
        <f t="shared" si="72"/>
        <v>0</v>
      </c>
      <c r="N173" s="274">
        <f t="shared" si="73"/>
        <v>0</v>
      </c>
      <c r="O173" s="274">
        <f t="shared" si="74"/>
        <v>0</v>
      </c>
      <c r="R173" s="97"/>
    </row>
    <row r="174" spans="1:18">
      <c r="A174" s="97">
        <f t="shared" si="46"/>
        <v>174</v>
      </c>
      <c r="B174" s="279" t="s">
        <v>146</v>
      </c>
      <c r="C174" s="274">
        <f t="shared" si="62"/>
        <v>1225</v>
      </c>
      <c r="D174" s="274">
        <f t="shared" si="63"/>
        <v>1228</v>
      </c>
      <c r="E174" s="274">
        <f t="shared" si="64"/>
        <v>1231</v>
      </c>
      <c r="F174" s="274">
        <f t="shared" si="65"/>
        <v>1234.25</v>
      </c>
      <c r="G174" s="274">
        <f t="shared" si="66"/>
        <v>1236.8</v>
      </c>
      <c r="H174" s="274">
        <f t="shared" si="67"/>
        <v>1239.8333333333333</v>
      </c>
      <c r="I174" s="274">
        <f t="shared" si="68"/>
        <v>1240.2857142857142</v>
      </c>
      <c r="J174" s="274">
        <f t="shared" si="69"/>
        <v>1240</v>
      </c>
      <c r="K174" s="274">
        <f t="shared" si="70"/>
        <v>1240.5555555555557</v>
      </c>
      <c r="L174" s="274">
        <f t="shared" si="71"/>
        <v>1241.2</v>
      </c>
      <c r="M174" s="274">
        <f t="shared" si="72"/>
        <v>1242.4545454545455</v>
      </c>
      <c r="N174" s="274">
        <f t="shared" si="73"/>
        <v>1243.5833333333333</v>
      </c>
      <c r="O174" s="274">
        <f t="shared" si="74"/>
        <v>14842.962481962484</v>
      </c>
      <c r="R174" s="97"/>
    </row>
    <row r="175" spans="1:18">
      <c r="A175" s="97">
        <f t="shared" si="46"/>
        <v>175</v>
      </c>
      <c r="B175" s="279" t="s">
        <v>148</v>
      </c>
      <c r="C175" s="274">
        <f t="shared" si="62"/>
        <v>0</v>
      </c>
      <c r="D175" s="274">
        <f t="shared" si="63"/>
        <v>0</v>
      </c>
      <c r="E175" s="274">
        <f t="shared" si="64"/>
        <v>0</v>
      </c>
      <c r="F175" s="274">
        <f t="shared" si="65"/>
        <v>0</v>
      </c>
      <c r="G175" s="274">
        <f t="shared" si="66"/>
        <v>0</v>
      </c>
      <c r="H175" s="274">
        <f t="shared" si="67"/>
        <v>0</v>
      </c>
      <c r="I175" s="274">
        <f t="shared" si="68"/>
        <v>0</v>
      </c>
      <c r="J175" s="274">
        <f t="shared" si="69"/>
        <v>0</v>
      </c>
      <c r="K175" s="274">
        <f t="shared" si="70"/>
        <v>0</v>
      </c>
      <c r="L175" s="274">
        <f t="shared" si="71"/>
        <v>0</v>
      </c>
      <c r="M175" s="274">
        <f t="shared" si="72"/>
        <v>0</v>
      </c>
      <c r="N175" s="274">
        <f t="shared" si="73"/>
        <v>0</v>
      </c>
      <c r="O175" s="274">
        <f t="shared" si="74"/>
        <v>0</v>
      </c>
      <c r="R175" s="97"/>
    </row>
    <row r="176" spans="1:18">
      <c r="A176" s="97">
        <f t="shared" si="46"/>
        <v>176</v>
      </c>
      <c r="B176" s="279" t="s">
        <v>149</v>
      </c>
      <c r="C176" s="274">
        <f t="shared" si="62"/>
        <v>18</v>
      </c>
      <c r="D176" s="274">
        <f t="shared" si="63"/>
        <v>18</v>
      </c>
      <c r="E176" s="274">
        <f t="shared" si="64"/>
        <v>18</v>
      </c>
      <c r="F176" s="274">
        <f t="shared" si="65"/>
        <v>18</v>
      </c>
      <c r="G176" s="274">
        <f t="shared" si="66"/>
        <v>18</v>
      </c>
      <c r="H176" s="274">
        <f t="shared" si="67"/>
        <v>18</v>
      </c>
      <c r="I176" s="274">
        <f t="shared" si="68"/>
        <v>18</v>
      </c>
      <c r="J176" s="274">
        <f t="shared" si="69"/>
        <v>18</v>
      </c>
      <c r="K176" s="274">
        <f t="shared" si="70"/>
        <v>18</v>
      </c>
      <c r="L176" s="274">
        <f t="shared" si="71"/>
        <v>18</v>
      </c>
      <c r="M176" s="274">
        <f t="shared" si="72"/>
        <v>18</v>
      </c>
      <c r="N176" s="274">
        <f t="shared" si="73"/>
        <v>18</v>
      </c>
      <c r="O176" s="274">
        <f t="shared" si="74"/>
        <v>216</v>
      </c>
      <c r="R176" s="97"/>
    </row>
    <row r="177" spans="1:18">
      <c r="A177" s="97">
        <f t="shared" si="46"/>
        <v>177</v>
      </c>
      <c r="B177" s="279" t="s">
        <v>151</v>
      </c>
      <c r="C177" s="274">
        <f t="shared" si="62"/>
        <v>40</v>
      </c>
      <c r="D177" s="274">
        <f t="shared" si="63"/>
        <v>40</v>
      </c>
      <c r="E177" s="274">
        <f t="shared" si="64"/>
        <v>40</v>
      </c>
      <c r="F177" s="274">
        <f t="shared" si="65"/>
        <v>40.5</v>
      </c>
      <c r="G177" s="274">
        <f t="shared" si="66"/>
        <v>39.6</v>
      </c>
      <c r="H177" s="274">
        <f t="shared" si="67"/>
        <v>39</v>
      </c>
      <c r="I177" s="274">
        <f t="shared" si="68"/>
        <v>38.428571428571431</v>
      </c>
      <c r="J177" s="274">
        <f t="shared" si="69"/>
        <v>38.125</v>
      </c>
      <c r="K177" s="274">
        <f t="shared" si="70"/>
        <v>37.444444444444443</v>
      </c>
      <c r="L177" s="274">
        <f t="shared" si="71"/>
        <v>36.9</v>
      </c>
      <c r="M177" s="274">
        <f t="shared" si="72"/>
        <v>36.454545454545453</v>
      </c>
      <c r="N177" s="274">
        <f t="shared" si="73"/>
        <v>36.083333333333336</v>
      </c>
      <c r="O177" s="274">
        <f t="shared" si="74"/>
        <v>462.5358946608946</v>
      </c>
      <c r="R177" s="97"/>
    </row>
    <row r="178" spans="1:18">
      <c r="A178" s="97">
        <f t="shared" si="46"/>
        <v>178</v>
      </c>
      <c r="B178" s="279" t="s">
        <v>153</v>
      </c>
      <c r="C178" s="274">
        <f t="shared" si="62"/>
        <v>0</v>
      </c>
      <c r="D178" s="274">
        <f t="shared" si="63"/>
        <v>0</v>
      </c>
      <c r="E178" s="274">
        <f t="shared" si="64"/>
        <v>0</v>
      </c>
      <c r="F178" s="274">
        <f t="shared" si="65"/>
        <v>0</v>
      </c>
      <c r="G178" s="274">
        <f t="shared" si="66"/>
        <v>0</v>
      </c>
      <c r="H178" s="274">
        <f t="shared" si="67"/>
        <v>0</v>
      </c>
      <c r="I178" s="274">
        <f t="shared" si="68"/>
        <v>0</v>
      </c>
      <c r="J178" s="274">
        <f t="shared" si="69"/>
        <v>0</v>
      </c>
      <c r="K178" s="274">
        <f t="shared" si="70"/>
        <v>0</v>
      </c>
      <c r="L178" s="274">
        <f t="shared" si="71"/>
        <v>0</v>
      </c>
      <c r="M178" s="274">
        <f t="shared" si="72"/>
        <v>0</v>
      </c>
      <c r="N178" s="274">
        <f t="shared" si="73"/>
        <v>0</v>
      </c>
      <c r="O178" s="274">
        <f>SUM(C178:N178)</f>
        <v>0</v>
      </c>
      <c r="R178" s="97"/>
    </row>
    <row r="179" spans="1:18">
      <c r="A179" s="97">
        <f t="shared" si="46"/>
        <v>179</v>
      </c>
      <c r="B179" s="279" t="s">
        <v>207</v>
      </c>
      <c r="C179" s="274">
        <f t="shared" si="62"/>
        <v>2</v>
      </c>
      <c r="D179" s="274">
        <f t="shared" si="63"/>
        <v>2</v>
      </c>
      <c r="E179" s="274">
        <f t="shared" si="64"/>
        <v>2</v>
      </c>
      <c r="F179" s="274">
        <f t="shared" si="65"/>
        <v>2</v>
      </c>
      <c r="G179" s="274">
        <f t="shared" si="66"/>
        <v>2</v>
      </c>
      <c r="H179" s="274">
        <f t="shared" si="67"/>
        <v>2</v>
      </c>
      <c r="I179" s="274">
        <f t="shared" si="68"/>
        <v>2</v>
      </c>
      <c r="J179" s="274">
        <f t="shared" si="69"/>
        <v>2</v>
      </c>
      <c r="K179" s="274">
        <f t="shared" si="70"/>
        <v>2</v>
      </c>
      <c r="L179" s="274">
        <f t="shared" si="71"/>
        <v>2</v>
      </c>
      <c r="M179" s="274">
        <f t="shared" si="72"/>
        <v>2</v>
      </c>
      <c r="N179" s="274">
        <f t="shared" si="73"/>
        <v>2</v>
      </c>
      <c r="O179" s="274">
        <f>SUM(C179:N179)</f>
        <v>24</v>
      </c>
      <c r="R179" s="97"/>
    </row>
    <row r="180" spans="1:18">
      <c r="A180" s="97">
        <f t="shared" si="46"/>
        <v>180</v>
      </c>
      <c r="B180" s="279" t="s">
        <v>155</v>
      </c>
      <c r="C180" s="274">
        <f t="shared" si="62"/>
        <v>4</v>
      </c>
      <c r="D180" s="274">
        <f t="shared" si="63"/>
        <v>4</v>
      </c>
      <c r="E180" s="274">
        <f t="shared" si="64"/>
        <v>4</v>
      </c>
      <c r="F180" s="274">
        <f t="shared" si="65"/>
        <v>4</v>
      </c>
      <c r="G180" s="274">
        <f t="shared" si="66"/>
        <v>4</v>
      </c>
      <c r="H180" s="274">
        <f t="shared" si="67"/>
        <v>4</v>
      </c>
      <c r="I180" s="274">
        <f t="shared" si="68"/>
        <v>4</v>
      </c>
      <c r="J180" s="274">
        <f t="shared" si="69"/>
        <v>4</v>
      </c>
      <c r="K180" s="274">
        <f t="shared" si="70"/>
        <v>4</v>
      </c>
      <c r="L180" s="274">
        <f t="shared" si="71"/>
        <v>4</v>
      </c>
      <c r="M180" s="274">
        <f t="shared" si="72"/>
        <v>4</v>
      </c>
      <c r="N180" s="274">
        <f t="shared" si="73"/>
        <v>4</v>
      </c>
      <c r="O180" s="274">
        <f t="shared" si="74"/>
        <v>48</v>
      </c>
      <c r="R180" s="97"/>
    </row>
    <row r="181" spans="1:18">
      <c r="A181" s="97">
        <f t="shared" si="46"/>
        <v>181</v>
      </c>
      <c r="B181" s="279" t="s">
        <v>157</v>
      </c>
      <c r="C181" s="274">
        <f t="shared" si="62"/>
        <v>16</v>
      </c>
      <c r="D181" s="274">
        <f t="shared" si="63"/>
        <v>15.5</v>
      </c>
      <c r="E181" s="274">
        <f t="shared" si="64"/>
        <v>15.333333333333334</v>
      </c>
      <c r="F181" s="274">
        <f t="shared" si="65"/>
        <v>15.25</v>
      </c>
      <c r="G181" s="274">
        <f t="shared" si="66"/>
        <v>15.4</v>
      </c>
      <c r="H181" s="274">
        <f t="shared" si="67"/>
        <v>15.666666666666666</v>
      </c>
      <c r="I181" s="274">
        <f t="shared" si="68"/>
        <v>15.857142857142858</v>
      </c>
      <c r="J181" s="274">
        <f t="shared" si="69"/>
        <v>16</v>
      </c>
      <c r="K181" s="274">
        <f t="shared" si="70"/>
        <v>16.111111111111111</v>
      </c>
      <c r="L181" s="274">
        <f t="shared" si="71"/>
        <v>16.2</v>
      </c>
      <c r="M181" s="274">
        <f t="shared" si="72"/>
        <v>16.363636363636363</v>
      </c>
      <c r="N181" s="274">
        <f t="shared" si="73"/>
        <v>16.5</v>
      </c>
      <c r="O181" s="274">
        <f t="shared" si="74"/>
        <v>190.18189033189034</v>
      </c>
      <c r="R181" s="97"/>
    </row>
    <row r="182" spans="1:18">
      <c r="A182" s="97">
        <f t="shared" si="46"/>
        <v>182</v>
      </c>
      <c r="B182" s="279" t="s">
        <v>159</v>
      </c>
      <c r="C182" s="274">
        <f t="shared" si="62"/>
        <v>7</v>
      </c>
      <c r="D182" s="274">
        <f t="shared" si="63"/>
        <v>7</v>
      </c>
      <c r="E182" s="274">
        <f t="shared" si="64"/>
        <v>7</v>
      </c>
      <c r="F182" s="274">
        <f t="shared" si="65"/>
        <v>7</v>
      </c>
      <c r="G182" s="274">
        <f t="shared" si="66"/>
        <v>7</v>
      </c>
      <c r="H182" s="274">
        <f t="shared" si="67"/>
        <v>7</v>
      </c>
      <c r="I182" s="274">
        <f t="shared" si="68"/>
        <v>7</v>
      </c>
      <c r="J182" s="274">
        <f t="shared" si="69"/>
        <v>7</v>
      </c>
      <c r="K182" s="274">
        <f t="shared" si="70"/>
        <v>7</v>
      </c>
      <c r="L182" s="274">
        <f t="shared" si="71"/>
        <v>7</v>
      </c>
      <c r="M182" s="274">
        <f t="shared" si="72"/>
        <v>7</v>
      </c>
      <c r="N182" s="274">
        <f t="shared" si="73"/>
        <v>7</v>
      </c>
      <c r="O182" s="274">
        <f t="shared" si="74"/>
        <v>84</v>
      </c>
      <c r="R182" s="97"/>
    </row>
    <row r="183" spans="1:18">
      <c r="A183" s="97">
        <f t="shared" si="46"/>
        <v>183</v>
      </c>
      <c r="B183" s="276" t="s">
        <v>95</v>
      </c>
      <c r="C183" s="274">
        <f t="shared" si="62"/>
        <v>23</v>
      </c>
      <c r="D183" s="274">
        <f t="shared" si="63"/>
        <v>23</v>
      </c>
      <c r="E183" s="274">
        <f t="shared" si="64"/>
        <v>23</v>
      </c>
      <c r="F183" s="274">
        <f t="shared" si="65"/>
        <v>23</v>
      </c>
      <c r="G183" s="274">
        <f t="shared" si="66"/>
        <v>23</v>
      </c>
      <c r="H183" s="274">
        <f t="shared" si="67"/>
        <v>23</v>
      </c>
      <c r="I183" s="274">
        <f t="shared" si="68"/>
        <v>23</v>
      </c>
      <c r="J183" s="274">
        <f t="shared" si="69"/>
        <v>23</v>
      </c>
      <c r="K183" s="274">
        <f t="shared" si="70"/>
        <v>22.888888888888889</v>
      </c>
      <c r="L183" s="274">
        <f t="shared" si="71"/>
        <v>22.8</v>
      </c>
      <c r="M183" s="274">
        <f t="shared" si="72"/>
        <v>22.727272727272727</v>
      </c>
      <c r="N183" s="274">
        <f t="shared" si="73"/>
        <v>22.666666666666668</v>
      </c>
      <c r="O183" s="274">
        <f>SUM(C183:N183)</f>
        <v>275.0828282828283</v>
      </c>
      <c r="R183" s="97"/>
    </row>
    <row r="184" spans="1:18">
      <c r="A184" s="97">
        <f t="shared" si="46"/>
        <v>184</v>
      </c>
      <c r="B184" s="276" t="s">
        <v>96</v>
      </c>
      <c r="C184" s="274">
        <f t="shared" si="62"/>
        <v>1</v>
      </c>
      <c r="D184" s="274">
        <f t="shared" si="63"/>
        <v>1</v>
      </c>
      <c r="E184" s="274">
        <f t="shared" si="64"/>
        <v>1</v>
      </c>
      <c r="F184" s="274">
        <f t="shared" si="65"/>
        <v>1</v>
      </c>
      <c r="G184" s="274">
        <f t="shared" si="66"/>
        <v>1</v>
      </c>
      <c r="H184" s="274">
        <f t="shared" si="67"/>
        <v>1</v>
      </c>
      <c r="I184" s="274">
        <f t="shared" si="68"/>
        <v>1</v>
      </c>
      <c r="J184" s="274">
        <f t="shared" si="69"/>
        <v>1</v>
      </c>
      <c r="K184" s="274">
        <f t="shared" si="70"/>
        <v>1</v>
      </c>
      <c r="L184" s="274">
        <f t="shared" si="71"/>
        <v>1</v>
      </c>
      <c r="M184" s="274">
        <f t="shared" si="72"/>
        <v>1</v>
      </c>
      <c r="N184" s="274">
        <f t="shared" si="73"/>
        <v>1</v>
      </c>
      <c r="O184" s="274">
        <f>SUM(C184:N184)</f>
        <v>12</v>
      </c>
      <c r="R184" s="97"/>
    </row>
    <row r="185" spans="1:18">
      <c r="A185" s="97">
        <f t="shared" si="46"/>
        <v>185</v>
      </c>
      <c r="B185" s="285" t="s">
        <v>97</v>
      </c>
      <c r="C185" s="283">
        <f t="shared" si="62"/>
        <v>2</v>
      </c>
      <c r="D185" s="283">
        <f t="shared" si="63"/>
        <v>2</v>
      </c>
      <c r="E185" s="283">
        <f t="shared" si="64"/>
        <v>2</v>
      </c>
      <c r="F185" s="283">
        <f t="shared" si="65"/>
        <v>2</v>
      </c>
      <c r="G185" s="283">
        <f t="shared" si="66"/>
        <v>2</v>
      </c>
      <c r="H185" s="283">
        <f t="shared" si="67"/>
        <v>2</v>
      </c>
      <c r="I185" s="283">
        <f t="shared" si="68"/>
        <v>2</v>
      </c>
      <c r="J185" s="283">
        <f t="shared" si="69"/>
        <v>2</v>
      </c>
      <c r="K185" s="283">
        <f t="shared" si="70"/>
        <v>2</v>
      </c>
      <c r="L185" s="283">
        <f t="shared" si="71"/>
        <v>2</v>
      </c>
      <c r="M185" s="283">
        <f t="shared" si="72"/>
        <v>2</v>
      </c>
      <c r="N185" s="283">
        <f t="shared" si="73"/>
        <v>2</v>
      </c>
      <c r="O185" s="283">
        <f>SUM(C185:N185)</f>
        <v>24</v>
      </c>
      <c r="R185" s="97"/>
    </row>
    <row r="186" spans="1:18">
      <c r="A186" s="97">
        <f t="shared" si="46"/>
        <v>186</v>
      </c>
      <c r="B186" s="286" t="s">
        <v>164</v>
      </c>
      <c r="C186" s="274">
        <f t="shared" ref="C186:O186" si="75">SUM(C150:C185)</f>
        <v>7777</v>
      </c>
      <c r="D186" s="274">
        <f t="shared" si="75"/>
        <v>7784</v>
      </c>
      <c r="E186" s="274">
        <f t="shared" si="75"/>
        <v>7784.6666666666661</v>
      </c>
      <c r="F186" s="274">
        <f t="shared" si="75"/>
        <v>7803.083333333333</v>
      </c>
      <c r="G186" s="274">
        <f t="shared" si="75"/>
        <v>7810.4999999999991</v>
      </c>
      <c r="H186" s="274">
        <f t="shared" si="75"/>
        <v>7817.1</v>
      </c>
      <c r="I186" s="274">
        <f t="shared" si="75"/>
        <v>7821.8095238095239</v>
      </c>
      <c r="J186" s="274">
        <f t="shared" si="75"/>
        <v>7828.0892857142862</v>
      </c>
      <c r="K186" s="274">
        <f t="shared" si="75"/>
        <v>7831.9722222222217</v>
      </c>
      <c r="L186" s="274">
        <f t="shared" si="75"/>
        <v>7837.0777777777785</v>
      </c>
      <c r="M186" s="274">
        <f t="shared" si="75"/>
        <v>7842.8000000000011</v>
      </c>
      <c r="N186" s="274">
        <f t="shared" si="75"/>
        <v>7849.6515151515141</v>
      </c>
      <c r="O186" s="274">
        <f t="shared" si="75"/>
        <v>93787.750324675319</v>
      </c>
      <c r="R186" s="97"/>
    </row>
    <row r="187" spans="1:18">
      <c r="A187" s="97">
        <f t="shared" si="46"/>
        <v>187</v>
      </c>
      <c r="B187" s="284" t="s">
        <v>165</v>
      </c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R187" s="97"/>
    </row>
    <row r="188" spans="1:18">
      <c r="A188" s="97">
        <f t="shared" si="46"/>
        <v>188</v>
      </c>
      <c r="B188" s="276" t="s">
        <v>100</v>
      </c>
      <c r="C188" s="274">
        <f t="shared" ref="C188:C194" si="76">+C64</f>
        <v>0</v>
      </c>
      <c r="D188" s="274">
        <f t="shared" ref="D188:D194" si="77">AVERAGE(C64:D64)</f>
        <v>0</v>
      </c>
      <c r="E188" s="274">
        <f t="shared" ref="E188:E194" si="78">AVERAGE(C64:E64)</f>
        <v>0</v>
      </c>
      <c r="F188" s="274">
        <f t="shared" ref="F188:F194" si="79">AVERAGE(C64:F64)</f>
        <v>0</v>
      </c>
      <c r="G188" s="274">
        <f t="shared" ref="G188:G194" si="80">AVERAGE(C64:G64)</f>
        <v>0</v>
      </c>
      <c r="H188" s="274">
        <f t="shared" ref="H188:H194" si="81">AVERAGE(C64:H64)</f>
        <v>0</v>
      </c>
      <c r="I188" s="274">
        <f t="shared" ref="I188:I194" si="82">AVERAGE(C64:I64)</f>
        <v>0</v>
      </c>
      <c r="J188" s="274">
        <f t="shared" ref="J188:J194" si="83">AVERAGE(C64:J64)</f>
        <v>0</v>
      </c>
      <c r="K188" s="274">
        <f t="shared" ref="K188:K194" si="84">AVERAGE(C64:K64)</f>
        <v>0</v>
      </c>
      <c r="L188" s="274">
        <f t="shared" ref="L188:L194" si="85">AVERAGE(C64:L64)</f>
        <v>0</v>
      </c>
      <c r="M188" s="274">
        <f t="shared" ref="M188:M194" si="86">AVERAGE(C64:M64)</f>
        <v>0</v>
      </c>
      <c r="N188" s="274">
        <f t="shared" ref="N188:N194" si="87">AVERAGE(C64:N64)</f>
        <v>0</v>
      </c>
      <c r="O188" s="274">
        <f t="shared" ref="O188:O194" si="88">SUM(C188:N188)</f>
        <v>0</v>
      </c>
      <c r="R188" s="97"/>
    </row>
    <row r="189" spans="1:18">
      <c r="A189" s="97">
        <f t="shared" si="46"/>
        <v>189</v>
      </c>
      <c r="B189" s="276" t="s">
        <v>101</v>
      </c>
      <c r="C189" s="274">
        <f t="shared" si="76"/>
        <v>1</v>
      </c>
      <c r="D189" s="274">
        <f t="shared" si="77"/>
        <v>1</v>
      </c>
      <c r="E189" s="274">
        <f t="shared" si="78"/>
        <v>1</v>
      </c>
      <c r="F189" s="274">
        <f t="shared" si="79"/>
        <v>1</v>
      </c>
      <c r="G189" s="274">
        <f t="shared" si="80"/>
        <v>1</v>
      </c>
      <c r="H189" s="274">
        <f t="shared" si="81"/>
        <v>1</v>
      </c>
      <c r="I189" s="274">
        <f t="shared" si="82"/>
        <v>1</v>
      </c>
      <c r="J189" s="274">
        <f t="shared" si="83"/>
        <v>1</v>
      </c>
      <c r="K189" s="274">
        <f t="shared" si="84"/>
        <v>1</v>
      </c>
      <c r="L189" s="274">
        <f t="shared" si="85"/>
        <v>1</v>
      </c>
      <c r="M189" s="274">
        <f t="shared" si="86"/>
        <v>1</v>
      </c>
      <c r="N189" s="274">
        <f t="shared" si="87"/>
        <v>1</v>
      </c>
      <c r="O189" s="274">
        <f t="shared" si="88"/>
        <v>12</v>
      </c>
      <c r="R189" s="97"/>
    </row>
    <row r="190" spans="1:18">
      <c r="A190" s="97">
        <f t="shared" si="46"/>
        <v>190</v>
      </c>
      <c r="B190" s="276" t="s">
        <v>102</v>
      </c>
      <c r="C190" s="274">
        <f t="shared" si="76"/>
        <v>32</v>
      </c>
      <c r="D190" s="274">
        <f t="shared" si="77"/>
        <v>32</v>
      </c>
      <c r="E190" s="274">
        <f t="shared" si="78"/>
        <v>32</v>
      </c>
      <c r="F190" s="274">
        <f t="shared" si="79"/>
        <v>32</v>
      </c>
      <c r="G190" s="274">
        <f t="shared" si="80"/>
        <v>32</v>
      </c>
      <c r="H190" s="274">
        <f t="shared" si="81"/>
        <v>32</v>
      </c>
      <c r="I190" s="274">
        <f t="shared" si="82"/>
        <v>32</v>
      </c>
      <c r="J190" s="274">
        <f t="shared" si="83"/>
        <v>32</v>
      </c>
      <c r="K190" s="274">
        <f t="shared" si="84"/>
        <v>32</v>
      </c>
      <c r="L190" s="274">
        <f t="shared" si="85"/>
        <v>32.1</v>
      </c>
      <c r="M190" s="274">
        <f t="shared" si="86"/>
        <v>32.18181818181818</v>
      </c>
      <c r="N190" s="274">
        <f t="shared" si="87"/>
        <v>32.333333333333336</v>
      </c>
      <c r="O190" s="274">
        <f t="shared" si="88"/>
        <v>384.61515151515152</v>
      </c>
      <c r="R190" s="97"/>
    </row>
    <row r="191" spans="1:18">
      <c r="A191" s="97">
        <f t="shared" si="46"/>
        <v>191</v>
      </c>
      <c r="B191" s="276" t="s">
        <v>103</v>
      </c>
      <c r="C191" s="274">
        <f t="shared" si="76"/>
        <v>5</v>
      </c>
      <c r="D191" s="274">
        <f t="shared" si="77"/>
        <v>5</v>
      </c>
      <c r="E191" s="274">
        <f t="shared" si="78"/>
        <v>5</v>
      </c>
      <c r="F191" s="274">
        <f t="shared" si="79"/>
        <v>5</v>
      </c>
      <c r="G191" s="274">
        <f t="shared" si="80"/>
        <v>5</v>
      </c>
      <c r="H191" s="274">
        <f t="shared" si="81"/>
        <v>5.166666666666667</v>
      </c>
      <c r="I191" s="274">
        <f t="shared" si="82"/>
        <v>5.2857142857142856</v>
      </c>
      <c r="J191" s="274">
        <f t="shared" si="83"/>
        <v>5.375</v>
      </c>
      <c r="K191" s="274">
        <f t="shared" si="84"/>
        <v>5.333333333333333</v>
      </c>
      <c r="L191" s="274">
        <f t="shared" si="85"/>
        <v>5.3</v>
      </c>
      <c r="M191" s="274">
        <f t="shared" si="86"/>
        <v>5.2727272727272725</v>
      </c>
      <c r="N191" s="274">
        <f t="shared" si="87"/>
        <v>5.25</v>
      </c>
      <c r="O191" s="274">
        <f t="shared" si="88"/>
        <v>61.983441558441562</v>
      </c>
      <c r="R191" s="97"/>
    </row>
    <row r="192" spans="1:18">
      <c r="A192" s="97">
        <f t="shared" si="46"/>
        <v>192</v>
      </c>
      <c r="B192" s="276" t="s">
        <v>104</v>
      </c>
      <c r="C192" s="274">
        <f t="shared" si="76"/>
        <v>11</v>
      </c>
      <c r="D192" s="274">
        <f t="shared" si="77"/>
        <v>11</v>
      </c>
      <c r="E192" s="274">
        <f t="shared" si="78"/>
        <v>11</v>
      </c>
      <c r="F192" s="274">
        <f t="shared" si="79"/>
        <v>11</v>
      </c>
      <c r="G192" s="274">
        <f t="shared" si="80"/>
        <v>11</v>
      </c>
      <c r="H192" s="274">
        <f t="shared" si="81"/>
        <v>11</v>
      </c>
      <c r="I192" s="274">
        <f t="shared" si="82"/>
        <v>11</v>
      </c>
      <c r="J192" s="274">
        <f t="shared" si="83"/>
        <v>11</v>
      </c>
      <c r="K192" s="274">
        <f t="shared" si="84"/>
        <v>10.888888888888889</v>
      </c>
      <c r="L192" s="274">
        <f t="shared" si="85"/>
        <v>10.8</v>
      </c>
      <c r="M192" s="274">
        <f t="shared" si="86"/>
        <v>10.727272727272727</v>
      </c>
      <c r="N192" s="274">
        <f t="shared" si="87"/>
        <v>10.666666666666666</v>
      </c>
      <c r="O192" s="274">
        <f t="shared" si="88"/>
        <v>131.08282828282827</v>
      </c>
      <c r="R192" s="97"/>
    </row>
    <row r="193" spans="1:18">
      <c r="A193" s="97">
        <f t="shared" si="46"/>
        <v>193</v>
      </c>
      <c r="B193" s="279" t="s">
        <v>105</v>
      </c>
      <c r="C193" s="274">
        <f t="shared" si="76"/>
        <v>16</v>
      </c>
      <c r="D193" s="274">
        <f t="shared" si="77"/>
        <v>16.5</v>
      </c>
      <c r="E193" s="274">
        <f t="shared" si="78"/>
        <v>16.666666666666668</v>
      </c>
      <c r="F193" s="274">
        <f t="shared" si="79"/>
        <v>16.75</v>
      </c>
      <c r="G193" s="274">
        <f t="shared" si="80"/>
        <v>16.8</v>
      </c>
      <c r="H193" s="274">
        <f t="shared" si="81"/>
        <v>16.833333333333332</v>
      </c>
      <c r="I193" s="274">
        <f t="shared" si="82"/>
        <v>17</v>
      </c>
      <c r="J193" s="274">
        <f t="shared" si="83"/>
        <v>17.125</v>
      </c>
      <c r="K193" s="274">
        <f t="shared" si="84"/>
        <v>17.222222222222221</v>
      </c>
      <c r="L193" s="274">
        <f t="shared" si="85"/>
        <v>17.3</v>
      </c>
      <c r="M193" s="274">
        <f t="shared" si="86"/>
        <v>17.454545454545453</v>
      </c>
      <c r="N193" s="274">
        <f t="shared" si="87"/>
        <v>17.583333333333332</v>
      </c>
      <c r="O193" s="274">
        <f t="shared" si="88"/>
        <v>203.23510101010103</v>
      </c>
      <c r="R193" s="97"/>
    </row>
    <row r="194" spans="1:18">
      <c r="A194" s="97">
        <f t="shared" si="46"/>
        <v>194</v>
      </c>
      <c r="B194" s="285" t="s">
        <v>106</v>
      </c>
      <c r="C194" s="283">
        <f t="shared" si="76"/>
        <v>7</v>
      </c>
      <c r="D194" s="283">
        <f t="shared" si="77"/>
        <v>7</v>
      </c>
      <c r="E194" s="283">
        <f t="shared" si="78"/>
        <v>7</v>
      </c>
      <c r="F194" s="283">
        <f t="shared" si="79"/>
        <v>7</v>
      </c>
      <c r="G194" s="283">
        <f t="shared" si="80"/>
        <v>7</v>
      </c>
      <c r="H194" s="283">
        <f t="shared" si="81"/>
        <v>7</v>
      </c>
      <c r="I194" s="283">
        <f t="shared" si="82"/>
        <v>7</v>
      </c>
      <c r="J194" s="283">
        <f t="shared" si="83"/>
        <v>7</v>
      </c>
      <c r="K194" s="283">
        <f t="shared" si="84"/>
        <v>7</v>
      </c>
      <c r="L194" s="283">
        <f t="shared" si="85"/>
        <v>7</v>
      </c>
      <c r="M194" s="283">
        <f t="shared" si="86"/>
        <v>7</v>
      </c>
      <c r="N194" s="283">
        <f t="shared" si="87"/>
        <v>7</v>
      </c>
      <c r="O194" s="283">
        <f t="shared" si="88"/>
        <v>84</v>
      </c>
      <c r="R194" s="97"/>
    </row>
    <row r="195" spans="1:18">
      <c r="A195" s="97">
        <f t="shared" ref="A195:A244" si="89">+A194+1</f>
        <v>195</v>
      </c>
      <c r="B195" s="286" t="s">
        <v>167</v>
      </c>
      <c r="C195" s="274">
        <f t="shared" ref="C195:O195" si="90">SUM(C188:C194)</f>
        <v>72</v>
      </c>
      <c r="D195" s="274">
        <f t="shared" si="90"/>
        <v>72.5</v>
      </c>
      <c r="E195" s="274">
        <f t="shared" si="90"/>
        <v>72.666666666666671</v>
      </c>
      <c r="F195" s="274">
        <f t="shared" si="90"/>
        <v>72.75</v>
      </c>
      <c r="G195" s="274">
        <f t="shared" si="90"/>
        <v>72.8</v>
      </c>
      <c r="H195" s="274">
        <f t="shared" si="90"/>
        <v>73</v>
      </c>
      <c r="I195" s="274">
        <f t="shared" si="90"/>
        <v>73.285714285714278</v>
      </c>
      <c r="J195" s="274">
        <f t="shared" si="90"/>
        <v>73.5</v>
      </c>
      <c r="K195" s="274">
        <f t="shared" si="90"/>
        <v>73.444444444444457</v>
      </c>
      <c r="L195" s="274">
        <f t="shared" si="90"/>
        <v>73.5</v>
      </c>
      <c r="M195" s="274">
        <f t="shared" si="90"/>
        <v>73.636363636363626</v>
      </c>
      <c r="N195" s="274">
        <f t="shared" si="90"/>
        <v>73.833333333333329</v>
      </c>
      <c r="O195" s="274">
        <f t="shared" si="90"/>
        <v>876.91652236652237</v>
      </c>
      <c r="R195" s="97"/>
    </row>
    <row r="196" spans="1:18">
      <c r="A196" s="97">
        <f t="shared" si="89"/>
        <v>196</v>
      </c>
      <c r="B196" s="284" t="s">
        <v>168</v>
      </c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R196" s="97"/>
    </row>
    <row r="197" spans="1:18">
      <c r="A197" s="97">
        <f t="shared" si="89"/>
        <v>197</v>
      </c>
      <c r="B197" s="152" t="s">
        <v>169</v>
      </c>
      <c r="C197" s="274">
        <f t="shared" ref="C197:C204" si="91">+C73</f>
        <v>2</v>
      </c>
      <c r="D197" s="274">
        <f>AVERAGE(C73:D73)</f>
        <v>2</v>
      </c>
      <c r="E197" s="274">
        <f>AVERAGE(C73:E73)</f>
        <v>2</v>
      </c>
      <c r="F197" s="274">
        <f>AVERAGE(C73:F73)</f>
        <v>2</v>
      </c>
      <c r="G197" s="274">
        <f>AVERAGE(C73:G73)</f>
        <v>2</v>
      </c>
      <c r="H197" s="274">
        <f>AVERAGE(C73:H73)</f>
        <v>2</v>
      </c>
      <c r="I197" s="274">
        <f>AVERAGE(C73:I73)</f>
        <v>2</v>
      </c>
      <c r="J197" s="274">
        <f>AVERAGE(C73:J73)</f>
        <v>2</v>
      </c>
      <c r="K197" s="274">
        <f>AVERAGE(C73:K73)</f>
        <v>2</v>
      </c>
      <c r="L197" s="274">
        <f>AVERAGE(C73:L73)</f>
        <v>2</v>
      </c>
      <c r="M197" s="274">
        <f>AVERAGE(C73:M73)</f>
        <v>2</v>
      </c>
      <c r="N197" s="274">
        <f>AVERAGE(C73:N73)</f>
        <v>2</v>
      </c>
      <c r="O197" s="274">
        <f t="shared" ref="O197:O205" si="92">SUM(C197:N197)</f>
        <v>24</v>
      </c>
      <c r="R197" s="97"/>
    </row>
    <row r="198" spans="1:18">
      <c r="A198" s="97">
        <f t="shared" si="89"/>
        <v>198</v>
      </c>
      <c r="B198" s="152" t="s">
        <v>171</v>
      </c>
      <c r="C198" s="274">
        <f t="shared" si="91"/>
        <v>1</v>
      </c>
      <c r="D198" s="274">
        <f>AVERAGE(C74:D74)</f>
        <v>1</v>
      </c>
      <c r="E198" s="274">
        <f>AVERAGE(C74:E74)</f>
        <v>1</v>
      </c>
      <c r="F198" s="274">
        <f>AVERAGE(C74:F74)</f>
        <v>1</v>
      </c>
      <c r="G198" s="274">
        <f>AVERAGE(C74:G74)</f>
        <v>1</v>
      </c>
      <c r="H198" s="274">
        <f>AVERAGE(C74:H74)</f>
        <v>1</v>
      </c>
      <c r="I198" s="274">
        <f>AVERAGE(C74:I74)</f>
        <v>1</v>
      </c>
      <c r="J198" s="274">
        <f>AVERAGE(C74:J74)</f>
        <v>1</v>
      </c>
      <c r="K198" s="274">
        <f>AVERAGE(C74:K74)</f>
        <v>1</v>
      </c>
      <c r="L198" s="274">
        <f>AVERAGE(C74:L74)</f>
        <v>1</v>
      </c>
      <c r="M198" s="274">
        <f>AVERAGE(C74:M74)</f>
        <v>1</v>
      </c>
      <c r="N198" s="274">
        <f>AVERAGE(C74:N74)</f>
        <v>1</v>
      </c>
      <c r="O198" s="274">
        <f t="shared" si="92"/>
        <v>12</v>
      </c>
      <c r="R198" s="97"/>
    </row>
    <row r="199" spans="1:18">
      <c r="A199" s="97">
        <f t="shared" si="89"/>
        <v>199</v>
      </c>
      <c r="B199" s="152" t="s">
        <v>172</v>
      </c>
      <c r="C199" s="274">
        <f t="shared" si="91"/>
        <v>1</v>
      </c>
      <c r="D199" s="274">
        <f>AVERAGE(C75:D75)</f>
        <v>1</v>
      </c>
      <c r="E199" s="274">
        <f>AVERAGE(C75:E75)</f>
        <v>1</v>
      </c>
      <c r="F199" s="274">
        <f>AVERAGE(C75:F75)</f>
        <v>1</v>
      </c>
      <c r="G199" s="274">
        <f>AVERAGE(C75:G75)</f>
        <v>1</v>
      </c>
      <c r="H199" s="274">
        <f>AVERAGE(C75:H75)</f>
        <v>1</v>
      </c>
      <c r="I199" s="274">
        <f>AVERAGE(C75:I75)</f>
        <v>1</v>
      </c>
      <c r="J199" s="274">
        <f>AVERAGE(C75:J75)</f>
        <v>1</v>
      </c>
      <c r="K199" s="274">
        <f>AVERAGE(C75:K75)</f>
        <v>1</v>
      </c>
      <c r="L199" s="274">
        <f>AVERAGE(C75:L75)</f>
        <v>1</v>
      </c>
      <c r="M199" s="274">
        <f>AVERAGE(C75:M75)</f>
        <v>1</v>
      </c>
      <c r="N199" s="274">
        <f>AVERAGE(C75:N75)</f>
        <v>1</v>
      </c>
      <c r="O199" s="274">
        <f t="shared" si="92"/>
        <v>12</v>
      </c>
      <c r="R199" s="97"/>
    </row>
    <row r="200" spans="1:18">
      <c r="A200" s="97">
        <f t="shared" si="89"/>
        <v>200</v>
      </c>
      <c r="B200" s="152" t="s">
        <v>173</v>
      </c>
      <c r="C200" s="274">
        <f t="shared" si="91"/>
        <v>1</v>
      </c>
      <c r="D200" s="274">
        <f>AVERAGE(C76:D76)</f>
        <v>1</v>
      </c>
      <c r="E200" s="274">
        <f>AVERAGE(C76:E76)</f>
        <v>1</v>
      </c>
      <c r="F200" s="274">
        <f>AVERAGE(C76:F76)</f>
        <v>1</v>
      </c>
      <c r="G200" s="274">
        <f>AVERAGE(C76:G76)</f>
        <v>1</v>
      </c>
      <c r="H200" s="274">
        <f>AVERAGE(C76:H76)</f>
        <v>1</v>
      </c>
      <c r="I200" s="274">
        <f>AVERAGE(C76:I76)</f>
        <v>1</v>
      </c>
      <c r="J200" s="274">
        <f>AVERAGE(C76:J76)</f>
        <v>1</v>
      </c>
      <c r="K200" s="274">
        <f>AVERAGE(C76:K76)</f>
        <v>1</v>
      </c>
      <c r="L200" s="274">
        <f>AVERAGE(C76:L76)</f>
        <v>1</v>
      </c>
      <c r="M200" s="274">
        <f>AVERAGE(C76:M76)</f>
        <v>1</v>
      </c>
      <c r="N200" s="274">
        <f>AVERAGE(C76:N76)</f>
        <v>1</v>
      </c>
      <c r="O200" s="274">
        <f t="shared" si="92"/>
        <v>12</v>
      </c>
      <c r="R200" s="97"/>
    </row>
    <row r="201" spans="1:18">
      <c r="A201" s="97">
        <f t="shared" si="89"/>
        <v>201</v>
      </c>
      <c r="B201" s="152" t="s">
        <v>174</v>
      </c>
      <c r="C201" s="274">
        <f t="shared" si="91"/>
        <v>1</v>
      </c>
      <c r="D201" s="274">
        <f>AVERAGE(C77:D77)</f>
        <v>1</v>
      </c>
      <c r="E201" s="274">
        <f>AVERAGE(C77:E77)</f>
        <v>1</v>
      </c>
      <c r="F201" s="274">
        <f>AVERAGE(C77:F77)</f>
        <v>1</v>
      </c>
      <c r="G201" s="274">
        <f>AVERAGE(C77:G77)</f>
        <v>1</v>
      </c>
      <c r="H201" s="274">
        <f>AVERAGE(C77:H77)</f>
        <v>1</v>
      </c>
      <c r="I201" s="274">
        <f>AVERAGE(C77:I77)</f>
        <v>1</v>
      </c>
      <c r="J201" s="274">
        <f>AVERAGE(C77:J77)</f>
        <v>1</v>
      </c>
      <c r="K201" s="274">
        <f>AVERAGE(C77:K77)</f>
        <v>0.88888888888888884</v>
      </c>
      <c r="L201" s="274">
        <f>AVERAGE(C77:L77)</f>
        <v>0.8</v>
      </c>
      <c r="M201" s="274">
        <f>AVERAGE(C77:M77)</f>
        <v>0.72727272727272729</v>
      </c>
      <c r="N201" s="274">
        <f>AVERAGE(C77:N77)</f>
        <v>0.66666666666666663</v>
      </c>
      <c r="O201" s="274">
        <f t="shared" si="92"/>
        <v>11.082828282828283</v>
      </c>
      <c r="R201" s="97"/>
    </row>
    <row r="202" spans="1:18">
      <c r="A202" s="97">
        <f t="shared" si="89"/>
        <v>202</v>
      </c>
      <c r="B202" s="152" t="s">
        <v>175</v>
      </c>
      <c r="C202" s="274">
        <f t="shared" si="91"/>
        <v>1</v>
      </c>
      <c r="D202" s="274">
        <f>IFERROR(AVERAGE($C$78:D78),0)</f>
        <v>1</v>
      </c>
      <c r="E202" s="274">
        <f>IFERROR(AVERAGE($C$78:E78),0)</f>
        <v>1</v>
      </c>
      <c r="F202" s="274">
        <f>IFERROR(AVERAGE($C$78:F78),0)</f>
        <v>1</v>
      </c>
      <c r="G202" s="274">
        <f>IFERROR(AVERAGE($C$78:G78),0)</f>
        <v>1</v>
      </c>
      <c r="H202" s="274">
        <f>IFERROR(AVERAGE($C$78:H78),0)</f>
        <v>1</v>
      </c>
      <c r="I202" s="274">
        <f>IFERROR(AVERAGE($C$78:I78),0)</f>
        <v>1</v>
      </c>
      <c r="J202" s="274">
        <f>IFERROR(AVERAGE($C$78:J78),0)</f>
        <v>1</v>
      </c>
      <c r="K202" s="274">
        <f>IFERROR(AVERAGE($C$78:K78),0)</f>
        <v>1</v>
      </c>
      <c r="L202" s="274">
        <f>IFERROR(AVERAGE($C$78:L78),0)</f>
        <v>1</v>
      </c>
      <c r="M202" s="274">
        <f>IFERROR(AVERAGE($C$78:M78),0)</f>
        <v>1</v>
      </c>
      <c r="N202" s="274">
        <f>IFERROR(AVERAGE($C$78:N78),0)</f>
        <v>1</v>
      </c>
      <c r="O202" s="274">
        <f>IFERROR(AVERAGE($C$78:O78),0)</f>
        <v>1</v>
      </c>
      <c r="R202" s="97"/>
    </row>
    <row r="203" spans="1:18">
      <c r="A203" s="97">
        <f t="shared" si="89"/>
        <v>203</v>
      </c>
      <c r="B203" s="152" t="s">
        <v>176</v>
      </c>
      <c r="C203" s="274">
        <f t="shared" si="91"/>
        <v>1</v>
      </c>
      <c r="D203" s="274">
        <f>AVERAGE(C79:D79)</f>
        <v>1</v>
      </c>
      <c r="E203" s="274">
        <f>AVERAGE(C79:E79)</f>
        <v>1</v>
      </c>
      <c r="F203" s="274">
        <f>AVERAGE(C79:F79)</f>
        <v>1</v>
      </c>
      <c r="G203" s="274">
        <f>AVERAGE(C79:G79)</f>
        <v>1</v>
      </c>
      <c r="H203" s="274">
        <f>AVERAGE(C79:H79)</f>
        <v>1</v>
      </c>
      <c r="I203" s="274">
        <f>AVERAGE(C79:I79)</f>
        <v>1</v>
      </c>
      <c r="J203" s="274">
        <f>AVERAGE(C79:J79)</f>
        <v>1</v>
      </c>
      <c r="K203" s="274">
        <f>AVERAGE(C79:K79)</f>
        <v>1</v>
      </c>
      <c r="L203" s="274">
        <f>AVERAGE(C79:L79)</f>
        <v>1</v>
      </c>
      <c r="M203" s="274">
        <f>AVERAGE(C79:M79)</f>
        <v>1</v>
      </c>
      <c r="N203" s="274">
        <f>AVERAGE(C79:N79)</f>
        <v>1</v>
      </c>
      <c r="O203" s="274">
        <f t="shared" si="92"/>
        <v>12</v>
      </c>
      <c r="R203" s="97"/>
    </row>
    <row r="204" spans="1:18">
      <c r="A204" s="97">
        <f t="shared" si="89"/>
        <v>204</v>
      </c>
      <c r="B204" s="152" t="s">
        <v>177</v>
      </c>
      <c r="C204" s="274">
        <f t="shared" si="91"/>
        <v>1</v>
      </c>
      <c r="D204" s="274">
        <f>AVERAGE(C80:D80)</f>
        <v>1</v>
      </c>
      <c r="E204" s="274">
        <f>AVERAGE(C80:E80)</f>
        <v>1</v>
      </c>
      <c r="F204" s="274">
        <f>AVERAGE(C80:F80)</f>
        <v>1</v>
      </c>
      <c r="G204" s="274">
        <f>AVERAGE(C80:G80)</f>
        <v>1</v>
      </c>
      <c r="H204" s="274">
        <f>AVERAGE(C80:H80)</f>
        <v>1</v>
      </c>
      <c r="I204" s="274">
        <f>AVERAGE(C80:I80)</f>
        <v>1</v>
      </c>
      <c r="J204" s="274">
        <f>AVERAGE(C80:J80)</f>
        <v>1</v>
      </c>
      <c r="K204" s="274">
        <f>AVERAGE(C80:K80)</f>
        <v>1</v>
      </c>
      <c r="L204" s="274">
        <f>AVERAGE(C80:L80)</f>
        <v>1</v>
      </c>
      <c r="M204" s="274">
        <f>AVERAGE(C80:M80)</f>
        <v>1</v>
      </c>
      <c r="N204" s="274">
        <f>AVERAGE(C80:N80)</f>
        <v>1</v>
      </c>
      <c r="O204" s="274">
        <f t="shared" si="92"/>
        <v>12</v>
      </c>
      <c r="R204" s="97"/>
    </row>
    <row r="205" spans="1:18">
      <c r="A205" s="97">
        <f t="shared" si="89"/>
        <v>205</v>
      </c>
      <c r="B205" s="288" t="s">
        <v>179</v>
      </c>
      <c r="C205" s="283">
        <f>+C86</f>
        <v>1</v>
      </c>
      <c r="D205" s="283">
        <f>AVERAGE(C86:D86)</f>
        <v>1</v>
      </c>
      <c r="E205" s="283">
        <f>AVERAGE(C86:E86)</f>
        <v>1</v>
      </c>
      <c r="F205" s="283">
        <f>AVERAGE(C86:F86)</f>
        <v>1</v>
      </c>
      <c r="G205" s="283">
        <f>AVERAGE(C86:G86)</f>
        <v>1</v>
      </c>
      <c r="H205" s="283">
        <f>AVERAGE(C86:H86)</f>
        <v>1</v>
      </c>
      <c r="I205" s="283">
        <f>AVERAGE(C86:I86)</f>
        <v>1</v>
      </c>
      <c r="J205" s="283">
        <f>AVERAGE(C86:J86)</f>
        <v>1</v>
      </c>
      <c r="K205" s="283">
        <f>AVERAGE(C86:K86)</f>
        <v>1</v>
      </c>
      <c r="L205" s="283">
        <f>AVERAGE(C86:L86)</f>
        <v>1</v>
      </c>
      <c r="M205" s="283">
        <f>AVERAGE(C86:M86)</f>
        <v>1</v>
      </c>
      <c r="N205" s="283">
        <f>AVERAGE(C86:N86)</f>
        <v>1</v>
      </c>
      <c r="O205" s="283">
        <f t="shared" si="92"/>
        <v>12</v>
      </c>
      <c r="R205" s="97"/>
    </row>
    <row r="206" spans="1:18">
      <c r="A206" s="97">
        <f t="shared" si="89"/>
        <v>206</v>
      </c>
      <c r="B206" s="286" t="s">
        <v>186</v>
      </c>
      <c r="C206" s="274">
        <f t="shared" ref="C206:O206" si="93">SUM(C197:C205)</f>
        <v>10</v>
      </c>
      <c r="D206" s="274">
        <f t="shared" si="93"/>
        <v>10</v>
      </c>
      <c r="E206" s="274">
        <f t="shared" si="93"/>
        <v>10</v>
      </c>
      <c r="F206" s="274">
        <f t="shared" si="93"/>
        <v>10</v>
      </c>
      <c r="G206" s="274">
        <f t="shared" si="93"/>
        <v>10</v>
      </c>
      <c r="H206" s="274">
        <f t="shared" si="93"/>
        <v>10</v>
      </c>
      <c r="I206" s="274">
        <f t="shared" si="93"/>
        <v>10</v>
      </c>
      <c r="J206" s="274">
        <f t="shared" si="93"/>
        <v>10</v>
      </c>
      <c r="K206" s="274">
        <f t="shared" si="93"/>
        <v>9.8888888888888893</v>
      </c>
      <c r="L206" s="274">
        <f t="shared" si="93"/>
        <v>9.8000000000000007</v>
      </c>
      <c r="M206" s="274">
        <f t="shared" si="93"/>
        <v>9.7272727272727266</v>
      </c>
      <c r="N206" s="274">
        <f t="shared" si="93"/>
        <v>9.6666666666666679</v>
      </c>
      <c r="O206" s="274">
        <f t="shared" si="93"/>
        <v>108.08282828282829</v>
      </c>
      <c r="R206" s="97"/>
    </row>
    <row r="207" spans="1:18">
      <c r="A207" s="97">
        <f t="shared" si="89"/>
        <v>207</v>
      </c>
      <c r="B207" s="284" t="s">
        <v>187</v>
      </c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R207" s="97"/>
    </row>
    <row r="208" spans="1:18">
      <c r="A208" s="97">
        <f t="shared" si="89"/>
        <v>208</v>
      </c>
      <c r="B208" s="288" t="s">
        <v>179</v>
      </c>
      <c r="C208" s="274">
        <v>0</v>
      </c>
      <c r="D208" s="274">
        <v>0</v>
      </c>
      <c r="E208" s="274">
        <v>0</v>
      </c>
      <c r="F208" s="274">
        <v>0</v>
      </c>
      <c r="G208" s="274">
        <v>0</v>
      </c>
      <c r="H208" s="274">
        <v>0</v>
      </c>
      <c r="I208" s="274">
        <v>0</v>
      </c>
      <c r="J208" s="274">
        <v>0</v>
      </c>
      <c r="K208" s="274">
        <v>0</v>
      </c>
      <c r="L208" s="274">
        <v>0</v>
      </c>
      <c r="M208" s="274">
        <v>0</v>
      </c>
      <c r="N208" s="274">
        <v>0</v>
      </c>
      <c r="O208" s="274">
        <f>SUM(C208:N208)</f>
        <v>0</v>
      </c>
      <c r="R208" s="97"/>
    </row>
    <row r="209" spans="1:18">
      <c r="A209" s="97">
        <f t="shared" si="89"/>
        <v>209</v>
      </c>
      <c r="B209" s="152" t="s">
        <v>188</v>
      </c>
      <c r="C209" s="274">
        <f>+C90</f>
        <v>1</v>
      </c>
      <c r="D209" s="274">
        <f>AVERAGE(C90:D90)</f>
        <v>1</v>
      </c>
      <c r="E209" s="274">
        <f>AVERAGE(C90:E90)</f>
        <v>1</v>
      </c>
      <c r="F209" s="274">
        <f>AVERAGE(C90:F90)</f>
        <v>1</v>
      </c>
      <c r="G209" s="274">
        <f>AVERAGE(C90:G90)</f>
        <v>1</v>
      </c>
      <c r="H209" s="274">
        <f>AVERAGE(C90:H90)</f>
        <v>1</v>
      </c>
      <c r="I209" s="274">
        <f>AVERAGE(C90:I90)</f>
        <v>1</v>
      </c>
      <c r="J209" s="274">
        <f>AVERAGE(C90:J90)</f>
        <v>1</v>
      </c>
      <c r="K209" s="274">
        <f>AVERAGE(C90:K90)</f>
        <v>1</v>
      </c>
      <c r="L209" s="274">
        <f>AVERAGE(C90:L90)</f>
        <v>1</v>
      </c>
      <c r="M209" s="274">
        <f>AVERAGE(C90:M90)</f>
        <v>1</v>
      </c>
      <c r="N209" s="274">
        <f>AVERAGE(C90:N90)</f>
        <v>1</v>
      </c>
      <c r="O209" s="274">
        <f>SUM(C209:N209)</f>
        <v>12</v>
      </c>
      <c r="R209" s="97"/>
    </row>
    <row r="210" spans="1:18">
      <c r="A210" s="97">
        <f t="shared" si="89"/>
        <v>210</v>
      </c>
      <c r="B210" s="152" t="s">
        <v>189</v>
      </c>
      <c r="C210" s="274">
        <f>+C91</f>
        <v>1</v>
      </c>
      <c r="D210" s="274">
        <f>AVERAGE(C91:D91)</f>
        <v>1</v>
      </c>
      <c r="E210" s="274">
        <f>AVERAGE(C91:E91)</f>
        <v>1</v>
      </c>
      <c r="F210" s="274">
        <f>AVERAGE(C91:F91)</f>
        <v>1</v>
      </c>
      <c r="G210" s="274">
        <f>AVERAGE(C91:G91)</f>
        <v>1</v>
      </c>
      <c r="H210" s="274">
        <f>AVERAGE(C91:H91)</f>
        <v>1</v>
      </c>
      <c r="I210" s="274">
        <f>AVERAGE(C91:I91)</f>
        <v>1</v>
      </c>
      <c r="J210" s="274">
        <f>AVERAGE(C91:J91)</f>
        <v>1</v>
      </c>
      <c r="K210" s="274">
        <f>AVERAGE(C91:K91)</f>
        <v>1</v>
      </c>
      <c r="L210" s="274">
        <f>AVERAGE(C91:L91)</f>
        <v>1</v>
      </c>
      <c r="M210" s="274">
        <f>AVERAGE(C91:M91)</f>
        <v>1</v>
      </c>
      <c r="N210" s="274">
        <f>AVERAGE(C91:N91)</f>
        <v>1</v>
      </c>
      <c r="O210" s="274">
        <f>SUM(C210:N210)</f>
        <v>12</v>
      </c>
      <c r="R210" s="97"/>
    </row>
    <row r="211" spans="1:18">
      <c r="A211" s="97">
        <f t="shared" si="89"/>
        <v>211</v>
      </c>
      <c r="B211" s="286" t="s">
        <v>191</v>
      </c>
      <c r="C211" s="281">
        <f t="shared" ref="C211:N211" si="94">SUM(C208:C209)</f>
        <v>1</v>
      </c>
      <c r="D211" s="281">
        <f t="shared" si="94"/>
        <v>1</v>
      </c>
      <c r="E211" s="281">
        <f t="shared" si="94"/>
        <v>1</v>
      </c>
      <c r="F211" s="281">
        <f t="shared" si="94"/>
        <v>1</v>
      </c>
      <c r="G211" s="281">
        <f t="shared" si="94"/>
        <v>1</v>
      </c>
      <c r="H211" s="281">
        <f t="shared" si="94"/>
        <v>1</v>
      </c>
      <c r="I211" s="281">
        <f t="shared" si="94"/>
        <v>1</v>
      </c>
      <c r="J211" s="281">
        <f t="shared" si="94"/>
        <v>1</v>
      </c>
      <c r="K211" s="281">
        <f t="shared" si="94"/>
        <v>1</v>
      </c>
      <c r="L211" s="281">
        <f t="shared" si="94"/>
        <v>1</v>
      </c>
      <c r="M211" s="281">
        <f t="shared" si="94"/>
        <v>1</v>
      </c>
      <c r="N211" s="281">
        <f t="shared" si="94"/>
        <v>1</v>
      </c>
      <c r="O211" s="281">
        <f>SUM(C211:N211)</f>
        <v>12</v>
      </c>
      <c r="R211" s="97"/>
    </row>
    <row r="212" spans="1:18">
      <c r="A212" s="97">
        <f t="shared" si="89"/>
        <v>212</v>
      </c>
      <c r="B212" s="284" t="s">
        <v>192</v>
      </c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R212" s="97"/>
    </row>
    <row r="213" spans="1:18">
      <c r="A213" s="97">
        <f t="shared" si="89"/>
        <v>213</v>
      </c>
      <c r="B213" s="152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R213" s="97"/>
    </row>
    <row r="214" spans="1:18">
      <c r="A214" s="97">
        <f t="shared" si="89"/>
        <v>214</v>
      </c>
      <c r="B214" s="152" t="s">
        <v>172</v>
      </c>
      <c r="C214" s="283">
        <f>+C96</f>
        <v>0</v>
      </c>
      <c r="D214" s="283">
        <f>AVERAGE(C96:D96)</f>
        <v>0</v>
      </c>
      <c r="E214" s="283">
        <f>AVERAGE(C96:E96)</f>
        <v>0</v>
      </c>
      <c r="F214" s="283">
        <f>AVERAGE(C96:F96)</f>
        <v>0</v>
      </c>
      <c r="G214" s="283">
        <f>AVERAGE(C96:G96)</f>
        <v>0</v>
      </c>
      <c r="H214" s="283">
        <f>AVERAGE(C96:H96)</f>
        <v>0</v>
      </c>
      <c r="I214" s="283">
        <f>AVERAGE(C96:I96)</f>
        <v>0</v>
      </c>
      <c r="J214" s="283">
        <f>AVERAGE(C96:J96)</f>
        <v>0</v>
      </c>
      <c r="K214" s="283">
        <f>AVERAGE(C96:K96)</f>
        <v>0</v>
      </c>
      <c r="L214" s="283">
        <f>AVERAGE(C96:L96)</f>
        <v>0</v>
      </c>
      <c r="M214" s="283">
        <f>AVERAGE(C96:M96)</f>
        <v>0</v>
      </c>
      <c r="N214" s="283">
        <f>AVERAGE(C96:N96)</f>
        <v>0</v>
      </c>
      <c r="O214" s="283">
        <f>SUM(C214:N214)</f>
        <v>0</v>
      </c>
      <c r="R214" s="97"/>
    </row>
    <row r="215" spans="1:18">
      <c r="A215" s="97">
        <f t="shared" si="89"/>
        <v>215</v>
      </c>
      <c r="B215" s="286" t="s">
        <v>193</v>
      </c>
      <c r="C215" s="274">
        <f t="shared" ref="C215:O215" si="95">SUM(C213:C214)</f>
        <v>0</v>
      </c>
      <c r="D215" s="274">
        <f t="shared" si="95"/>
        <v>0</v>
      </c>
      <c r="E215" s="274">
        <f t="shared" si="95"/>
        <v>0</v>
      </c>
      <c r="F215" s="274">
        <f t="shared" si="95"/>
        <v>0</v>
      </c>
      <c r="G215" s="274">
        <f t="shared" si="95"/>
        <v>0</v>
      </c>
      <c r="H215" s="274">
        <f t="shared" si="95"/>
        <v>0</v>
      </c>
      <c r="I215" s="274">
        <f t="shared" si="95"/>
        <v>0</v>
      </c>
      <c r="J215" s="274">
        <f t="shared" si="95"/>
        <v>0</v>
      </c>
      <c r="K215" s="274">
        <f t="shared" si="95"/>
        <v>0</v>
      </c>
      <c r="L215" s="274">
        <f t="shared" si="95"/>
        <v>0</v>
      </c>
      <c r="M215" s="274">
        <f t="shared" si="95"/>
        <v>0</v>
      </c>
      <c r="N215" s="274">
        <f t="shared" si="95"/>
        <v>0</v>
      </c>
      <c r="O215" s="274">
        <f t="shared" si="95"/>
        <v>0</v>
      </c>
      <c r="R215" s="97"/>
    </row>
    <row r="216" spans="1:18">
      <c r="A216" s="97">
        <f t="shared" si="89"/>
        <v>216</v>
      </c>
      <c r="B216" s="286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R216" s="97"/>
    </row>
    <row r="217" spans="1:18">
      <c r="A217" s="97">
        <f t="shared" si="89"/>
        <v>217</v>
      </c>
      <c r="B217" s="289" t="s">
        <v>194</v>
      </c>
      <c r="C217" s="290">
        <f t="shared" ref="C217:O217" si="96">+C139+C148+C186+C195+C206+C211+C215</f>
        <v>81504</v>
      </c>
      <c r="D217" s="290">
        <f t="shared" si="96"/>
        <v>81584</v>
      </c>
      <c r="E217" s="290">
        <f t="shared" si="96"/>
        <v>81685.666666666672</v>
      </c>
      <c r="F217" s="290">
        <f t="shared" si="96"/>
        <v>81912.833333333328</v>
      </c>
      <c r="G217" s="290">
        <f t="shared" si="96"/>
        <v>82037.100000000006</v>
      </c>
      <c r="H217" s="290">
        <f t="shared" si="96"/>
        <v>82163.933333333334</v>
      </c>
      <c r="I217" s="290">
        <f t="shared" si="96"/>
        <v>82355.095238095222</v>
      </c>
      <c r="J217" s="290">
        <f t="shared" si="96"/>
        <v>82449.33928571429</v>
      </c>
      <c r="K217" s="290">
        <f t="shared" si="96"/>
        <v>82538.416666666672</v>
      </c>
      <c r="L217" s="290">
        <f t="shared" si="96"/>
        <v>82624.377777777787</v>
      </c>
      <c r="M217" s="290">
        <f t="shared" si="96"/>
        <v>82726.8</v>
      </c>
      <c r="N217" s="290">
        <f t="shared" si="96"/>
        <v>82848.65151515152</v>
      </c>
      <c r="O217" s="291">
        <f t="shared" si="96"/>
        <v>986419.21381673892</v>
      </c>
      <c r="R217" s="97"/>
    </row>
    <row r="218" spans="1:18">
      <c r="A218" s="97">
        <f t="shared" si="89"/>
        <v>218</v>
      </c>
      <c r="B218" s="292" t="s">
        <v>195</v>
      </c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4"/>
      <c r="O218" s="274"/>
      <c r="R218" s="97"/>
    </row>
    <row r="219" spans="1:18">
      <c r="A219" s="97">
        <f t="shared" si="89"/>
        <v>219</v>
      </c>
      <c r="B219" s="152" t="s">
        <v>197</v>
      </c>
      <c r="C219" s="274">
        <f>+C101</f>
        <v>1</v>
      </c>
      <c r="D219" s="274">
        <f>AVERAGE(C101:D101)</f>
        <v>1</v>
      </c>
      <c r="E219" s="274">
        <f>AVERAGE(C101:E101)</f>
        <v>1</v>
      </c>
      <c r="F219" s="274">
        <f>AVERAGE(C101:F101)</f>
        <v>1</v>
      </c>
      <c r="G219" s="274">
        <f>AVERAGE(C101:G101)</f>
        <v>1</v>
      </c>
      <c r="H219" s="274">
        <f>AVERAGE(C101:H101)</f>
        <v>1</v>
      </c>
      <c r="I219" s="274">
        <f>AVERAGE(C101:I101)</f>
        <v>1</v>
      </c>
      <c r="J219" s="274">
        <f>AVERAGE(C101:J101)</f>
        <v>1</v>
      </c>
      <c r="K219" s="274">
        <f>AVERAGE(C101:K101)</f>
        <v>1</v>
      </c>
      <c r="L219" s="274">
        <f>AVERAGE(C101:L101)</f>
        <v>1</v>
      </c>
      <c r="M219" s="274">
        <f>AVERAGE(C101:M101)</f>
        <v>1</v>
      </c>
      <c r="N219" s="274">
        <f>AVERAGE(C101:N101)</f>
        <v>1</v>
      </c>
      <c r="O219" s="274">
        <f>SUM(C219:N219)</f>
        <v>12</v>
      </c>
      <c r="R219" s="97"/>
    </row>
    <row r="220" spans="1:18">
      <c r="A220" s="97">
        <f t="shared" si="89"/>
        <v>220</v>
      </c>
      <c r="B220" s="153" t="s">
        <v>198</v>
      </c>
      <c r="C220" s="283">
        <f>+C102</f>
        <v>1</v>
      </c>
      <c r="D220" s="283">
        <f>AVERAGE(C102:D102)</f>
        <v>1</v>
      </c>
      <c r="E220" s="283">
        <f>AVERAGE(C102:E102)</f>
        <v>1</v>
      </c>
      <c r="F220" s="283">
        <f>AVERAGE(C102:F102)</f>
        <v>1</v>
      </c>
      <c r="G220" s="283">
        <f>AVERAGE(C102:G102)</f>
        <v>1</v>
      </c>
      <c r="H220" s="283">
        <f>AVERAGE(C102:H102)</f>
        <v>1</v>
      </c>
      <c r="I220" s="283">
        <f>AVERAGE(C102:I102)</f>
        <v>1</v>
      </c>
      <c r="J220" s="283">
        <f>AVERAGE(C102:J102)</f>
        <v>1</v>
      </c>
      <c r="K220" s="283">
        <f>AVERAGE(C102:K102)</f>
        <v>1</v>
      </c>
      <c r="L220" s="283">
        <f>AVERAGE(C102:L102)</f>
        <v>1</v>
      </c>
      <c r="M220" s="283">
        <f>AVERAGE(C102:M102)</f>
        <v>1</v>
      </c>
      <c r="N220" s="283">
        <f>AVERAGE(C102:N102)</f>
        <v>1</v>
      </c>
      <c r="O220" s="283">
        <f>SUM(C220:N220)</f>
        <v>12</v>
      </c>
      <c r="R220" s="97"/>
    </row>
    <row r="221" spans="1:18">
      <c r="A221" s="97">
        <f t="shared" si="89"/>
        <v>221</v>
      </c>
      <c r="B221" s="286" t="s">
        <v>199</v>
      </c>
      <c r="C221" s="274">
        <f t="shared" ref="C221:N221" si="97">SUM(C219:C220)</f>
        <v>2</v>
      </c>
      <c r="D221" s="274">
        <f t="shared" si="97"/>
        <v>2</v>
      </c>
      <c r="E221" s="274">
        <f t="shared" si="97"/>
        <v>2</v>
      </c>
      <c r="F221" s="274">
        <f t="shared" si="97"/>
        <v>2</v>
      </c>
      <c r="G221" s="274">
        <f t="shared" si="97"/>
        <v>2</v>
      </c>
      <c r="H221" s="274">
        <f t="shared" si="97"/>
        <v>2</v>
      </c>
      <c r="I221" s="274">
        <f t="shared" si="97"/>
        <v>2</v>
      </c>
      <c r="J221" s="274">
        <f t="shared" si="97"/>
        <v>2</v>
      </c>
      <c r="K221" s="274">
        <f t="shared" si="97"/>
        <v>2</v>
      </c>
      <c r="L221" s="274">
        <f t="shared" si="97"/>
        <v>2</v>
      </c>
      <c r="M221" s="274">
        <f t="shared" si="97"/>
        <v>2</v>
      </c>
      <c r="N221" s="274">
        <f t="shared" si="97"/>
        <v>2</v>
      </c>
      <c r="O221" s="274">
        <f>SUM(C221:N221)</f>
        <v>24</v>
      </c>
      <c r="R221" s="97"/>
    </row>
    <row r="222" spans="1:18">
      <c r="A222" s="97">
        <f t="shared" si="89"/>
        <v>222</v>
      </c>
      <c r="B222" s="284" t="s">
        <v>200</v>
      </c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R222" s="97"/>
    </row>
    <row r="223" spans="1:18">
      <c r="A223" s="97">
        <f t="shared" si="89"/>
        <v>223</v>
      </c>
      <c r="B223" s="152" t="s">
        <v>202</v>
      </c>
      <c r="C223" s="274">
        <f>+C106</f>
        <v>1</v>
      </c>
      <c r="D223" s="274">
        <f>AVERAGE(C106:D106)</f>
        <v>1</v>
      </c>
      <c r="E223" s="274">
        <f>AVERAGE(C106:E106)</f>
        <v>1</v>
      </c>
      <c r="F223" s="274">
        <f>AVERAGE(C106:F106)</f>
        <v>1</v>
      </c>
      <c r="G223" s="274">
        <f>AVERAGE(C106:G106)</f>
        <v>1</v>
      </c>
      <c r="H223" s="274">
        <f>AVERAGE(C106:H106)</f>
        <v>1</v>
      </c>
      <c r="I223" s="274">
        <f>AVERAGE(C106:I106)</f>
        <v>1</v>
      </c>
      <c r="J223" s="274">
        <f>AVERAGE(C106:J106)</f>
        <v>1</v>
      </c>
      <c r="K223" s="274">
        <f>AVERAGE(C106:K106)</f>
        <v>1</v>
      </c>
      <c r="L223" s="274">
        <f>AVERAGE(C106:L106)</f>
        <v>1</v>
      </c>
      <c r="M223" s="274">
        <f>AVERAGE(C106:M106)</f>
        <v>1</v>
      </c>
      <c r="N223" s="274">
        <f>AVERAGE(C106:N106)</f>
        <v>1</v>
      </c>
      <c r="O223" s="274">
        <f>SUM(C223:N223)</f>
        <v>12</v>
      </c>
      <c r="R223" s="97"/>
    </row>
    <row r="224" spans="1:18">
      <c r="A224" s="97">
        <f t="shared" si="89"/>
        <v>224</v>
      </c>
      <c r="B224" s="153" t="s">
        <v>203</v>
      </c>
      <c r="C224" s="283">
        <f>+C107</f>
        <v>1</v>
      </c>
      <c r="D224" s="283">
        <f>AVERAGE(C107:D107)</f>
        <v>1</v>
      </c>
      <c r="E224" s="283">
        <f>AVERAGE(C107:E107)</f>
        <v>1</v>
      </c>
      <c r="F224" s="283">
        <f>AVERAGE(C107:F107)</f>
        <v>1</v>
      </c>
      <c r="G224" s="283">
        <f>AVERAGE(C107:G107)</f>
        <v>1</v>
      </c>
      <c r="H224" s="283">
        <f>AVERAGE(C107:H107)</f>
        <v>1</v>
      </c>
      <c r="I224" s="283">
        <f>AVERAGE(C107:I107)</f>
        <v>1</v>
      </c>
      <c r="J224" s="283">
        <f>AVERAGE(C107:J107)</f>
        <v>1</v>
      </c>
      <c r="K224" s="283">
        <f>AVERAGE(C107:K107)</f>
        <v>1</v>
      </c>
      <c r="L224" s="283">
        <f>AVERAGE(C107:L107)</f>
        <v>1</v>
      </c>
      <c r="M224" s="283">
        <f>AVERAGE(C107:M107)</f>
        <v>1</v>
      </c>
      <c r="N224" s="283">
        <f>AVERAGE(C107:N107)</f>
        <v>1</v>
      </c>
      <c r="O224" s="283">
        <f>SUM(C224:N224)</f>
        <v>12</v>
      </c>
    </row>
    <row r="225" spans="1:15">
      <c r="A225" s="97">
        <f t="shared" si="89"/>
        <v>225</v>
      </c>
      <c r="B225" s="286" t="s">
        <v>204</v>
      </c>
      <c r="C225" s="274">
        <f t="shared" ref="C225:N225" si="98">SUM(C223:C224)</f>
        <v>2</v>
      </c>
      <c r="D225" s="274">
        <f t="shared" si="98"/>
        <v>2</v>
      </c>
      <c r="E225" s="274">
        <f t="shared" si="98"/>
        <v>2</v>
      </c>
      <c r="F225" s="274">
        <f t="shared" si="98"/>
        <v>2</v>
      </c>
      <c r="G225" s="274">
        <f t="shared" si="98"/>
        <v>2</v>
      </c>
      <c r="H225" s="274">
        <f t="shared" si="98"/>
        <v>2</v>
      </c>
      <c r="I225" s="274">
        <f t="shared" si="98"/>
        <v>2</v>
      </c>
      <c r="J225" s="274">
        <f t="shared" si="98"/>
        <v>2</v>
      </c>
      <c r="K225" s="274">
        <f t="shared" si="98"/>
        <v>2</v>
      </c>
      <c r="L225" s="274">
        <f t="shared" si="98"/>
        <v>2</v>
      </c>
      <c r="M225" s="274">
        <f t="shared" si="98"/>
        <v>2</v>
      </c>
      <c r="N225" s="274">
        <f t="shared" si="98"/>
        <v>2</v>
      </c>
      <c r="O225" s="274">
        <f>SUM(C225:N225)</f>
        <v>24</v>
      </c>
    </row>
    <row r="226" spans="1:15">
      <c r="A226" s="97">
        <f t="shared" si="89"/>
        <v>226</v>
      </c>
      <c r="B226" s="286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</row>
    <row r="227" spans="1:15">
      <c r="A227" s="97">
        <f t="shared" si="89"/>
        <v>227</v>
      </c>
      <c r="B227" s="289" t="s">
        <v>205</v>
      </c>
      <c r="C227" s="290">
        <f t="shared" ref="C227:O227" si="99">+C221+C225</f>
        <v>4</v>
      </c>
      <c r="D227" s="290">
        <f t="shared" si="99"/>
        <v>4</v>
      </c>
      <c r="E227" s="290">
        <f t="shared" si="99"/>
        <v>4</v>
      </c>
      <c r="F227" s="290">
        <f t="shared" si="99"/>
        <v>4</v>
      </c>
      <c r="G227" s="290">
        <f t="shared" si="99"/>
        <v>4</v>
      </c>
      <c r="H227" s="290">
        <f t="shared" si="99"/>
        <v>4</v>
      </c>
      <c r="I227" s="290">
        <f t="shared" si="99"/>
        <v>4</v>
      </c>
      <c r="J227" s="290">
        <f t="shared" si="99"/>
        <v>4</v>
      </c>
      <c r="K227" s="290">
        <f t="shared" si="99"/>
        <v>4</v>
      </c>
      <c r="L227" s="290">
        <f t="shared" si="99"/>
        <v>4</v>
      </c>
      <c r="M227" s="290">
        <f t="shared" si="99"/>
        <v>4</v>
      </c>
      <c r="N227" s="290">
        <f t="shared" si="99"/>
        <v>4</v>
      </c>
      <c r="O227" s="291">
        <f t="shared" si="99"/>
        <v>48</v>
      </c>
    </row>
    <row r="228" spans="1:15">
      <c r="A228" s="97">
        <f t="shared" si="89"/>
        <v>228</v>
      </c>
      <c r="B228" s="286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</row>
    <row r="229" spans="1:15">
      <c r="A229" s="97">
        <f t="shared" si="89"/>
        <v>229</v>
      </c>
      <c r="B229" s="289" t="s">
        <v>206</v>
      </c>
      <c r="C229" s="290">
        <f t="shared" ref="C229:O229" si="100">+C217+C227</f>
        <v>81508</v>
      </c>
      <c r="D229" s="290">
        <f t="shared" si="100"/>
        <v>81588</v>
      </c>
      <c r="E229" s="290">
        <f t="shared" si="100"/>
        <v>81689.666666666672</v>
      </c>
      <c r="F229" s="290">
        <f t="shared" si="100"/>
        <v>81916.833333333328</v>
      </c>
      <c r="G229" s="290">
        <f t="shared" si="100"/>
        <v>82041.100000000006</v>
      </c>
      <c r="H229" s="290">
        <f t="shared" si="100"/>
        <v>82167.933333333334</v>
      </c>
      <c r="I229" s="290">
        <f t="shared" si="100"/>
        <v>82359.095238095222</v>
      </c>
      <c r="J229" s="290">
        <f t="shared" si="100"/>
        <v>82453.33928571429</v>
      </c>
      <c r="K229" s="290">
        <f t="shared" si="100"/>
        <v>82542.416666666672</v>
      </c>
      <c r="L229" s="290">
        <f t="shared" si="100"/>
        <v>82628.377777777787</v>
      </c>
      <c r="M229" s="290">
        <f t="shared" si="100"/>
        <v>82730.8</v>
      </c>
      <c r="N229" s="290">
        <f t="shared" si="100"/>
        <v>82852.65151515152</v>
      </c>
      <c r="O229" s="291">
        <f t="shared" si="100"/>
        <v>986467.21381673892</v>
      </c>
    </row>
    <row r="230" spans="1:15">
      <c r="A230" s="97">
        <f t="shared" si="89"/>
        <v>230</v>
      </c>
    </row>
    <row r="231" spans="1:15">
      <c r="A231" s="97">
        <f t="shared" si="89"/>
        <v>231</v>
      </c>
      <c r="B231" s="295" t="s">
        <v>219</v>
      </c>
      <c r="C231" s="294"/>
      <c r="D231" s="294"/>
      <c r="E231" s="294"/>
      <c r="F231" s="294"/>
      <c r="G231" s="294"/>
      <c r="H231" s="294"/>
      <c r="I231" s="294"/>
      <c r="J231" s="294"/>
      <c r="K231" s="294"/>
      <c r="L231" s="294"/>
      <c r="M231" s="294"/>
      <c r="N231" s="294"/>
      <c r="O231" s="294"/>
    </row>
    <row r="232" spans="1:15">
      <c r="A232" s="97">
        <f t="shared" si="89"/>
        <v>232</v>
      </c>
      <c r="B232" s="296" t="s">
        <v>138</v>
      </c>
      <c r="C232" s="274">
        <f t="shared" ref="C232:C237" si="101">+C113</f>
        <v>178</v>
      </c>
      <c r="D232" s="274">
        <f>AVERAGE($C113:D113)</f>
        <v>179</v>
      </c>
      <c r="E232" s="274">
        <f>AVERAGE($C113:E113)</f>
        <v>178.33333333333334</v>
      </c>
      <c r="F232" s="274">
        <f>AVERAGE($C113:F113)</f>
        <v>180.75</v>
      </c>
      <c r="G232" s="274">
        <f>AVERAGE($C113:G113)</f>
        <v>179.8</v>
      </c>
      <c r="H232" s="274">
        <f>AVERAGE($C113:H113)</f>
        <v>179.5</v>
      </c>
      <c r="I232" s="274">
        <f>AVERAGE($C113:I113)</f>
        <v>179.42857142857142</v>
      </c>
      <c r="J232" s="274">
        <f>AVERAGE($C113:J113)</f>
        <v>179.5</v>
      </c>
      <c r="K232" s="274">
        <f>AVERAGE($C113:K113)</f>
        <v>179.44444444444446</v>
      </c>
      <c r="L232" s="274">
        <f>AVERAGE($C113:L113)</f>
        <v>179.7</v>
      </c>
      <c r="M232" s="274">
        <f>AVERAGE($C113:M113)</f>
        <v>179.45454545454547</v>
      </c>
      <c r="N232" s="274">
        <f>AVERAGE($C113:N113)</f>
        <v>179.08333333333334</v>
      </c>
      <c r="O232" s="274">
        <f t="shared" ref="O232:O237" si="102">AVERAGE(C232:N232)</f>
        <v>179.33285233285233</v>
      </c>
    </row>
    <row r="233" spans="1:15">
      <c r="A233" s="97">
        <f t="shared" si="89"/>
        <v>233</v>
      </c>
      <c r="B233" s="296" t="s">
        <v>141</v>
      </c>
      <c r="C233" s="274">
        <f t="shared" si="101"/>
        <v>946</v>
      </c>
      <c r="D233" s="274">
        <f>AVERAGE($C114:D114)</f>
        <v>950.5</v>
      </c>
      <c r="E233" s="274">
        <f>AVERAGE($C114:E114)</f>
        <v>948</v>
      </c>
      <c r="F233" s="274">
        <f>AVERAGE($C114:F114)</f>
        <v>949.25</v>
      </c>
      <c r="G233" s="274">
        <f>AVERAGE($C114:G114)</f>
        <v>949.2</v>
      </c>
      <c r="H233" s="274">
        <f>AVERAGE($C114:H114)</f>
        <v>948.5</v>
      </c>
      <c r="I233" s="274">
        <f>AVERAGE($C114:I114)</f>
        <v>947.71428571428567</v>
      </c>
      <c r="J233" s="274">
        <f>AVERAGE($C114:J114)</f>
        <v>947.125</v>
      </c>
      <c r="K233" s="274">
        <f>AVERAGE($C114:K114)</f>
        <v>948.11111111111109</v>
      </c>
      <c r="L233" s="274">
        <f>AVERAGE($C114:L114)</f>
        <v>952.2</v>
      </c>
      <c r="M233" s="274">
        <f>AVERAGE($C114:M114)</f>
        <v>952.63636363636363</v>
      </c>
      <c r="N233" s="274">
        <f>AVERAGE($C114:N114)</f>
        <v>952.75</v>
      </c>
      <c r="O233" s="274">
        <f t="shared" si="102"/>
        <v>949.33223003848013</v>
      </c>
    </row>
    <row r="234" spans="1:15">
      <c r="A234" s="97">
        <f t="shared" si="89"/>
        <v>234</v>
      </c>
      <c r="B234" s="296" t="s">
        <v>145</v>
      </c>
      <c r="C234" s="274">
        <f t="shared" si="101"/>
        <v>1166</v>
      </c>
      <c r="D234" s="274">
        <f>AVERAGE($C115:D115)</f>
        <v>1172.5</v>
      </c>
      <c r="E234" s="274">
        <f>AVERAGE($C115:E115)</f>
        <v>1173.3333333333333</v>
      </c>
      <c r="F234" s="274">
        <f>AVERAGE($C115:F115)</f>
        <v>1176.25</v>
      </c>
      <c r="G234" s="274">
        <f>AVERAGE($C115:G115)</f>
        <v>1175.2</v>
      </c>
      <c r="H234" s="274">
        <f>AVERAGE($C115:H115)</f>
        <v>1174.3333333333333</v>
      </c>
      <c r="I234" s="274">
        <f>AVERAGE($C115:I115)</f>
        <v>1174.1428571428571</v>
      </c>
      <c r="J234" s="274">
        <f>AVERAGE($C115:J115)</f>
        <v>1174.25</v>
      </c>
      <c r="K234" s="274">
        <f>AVERAGE($C115:K115)</f>
        <v>1175.4444444444443</v>
      </c>
      <c r="L234" s="274">
        <f>AVERAGE($C115:L115)</f>
        <v>1180.9000000000001</v>
      </c>
      <c r="M234" s="274">
        <f>AVERAGE($C115:M115)</f>
        <v>1181.6363636363637</v>
      </c>
      <c r="N234" s="274">
        <f>AVERAGE($C115:N115)</f>
        <v>1181.3333333333333</v>
      </c>
      <c r="O234" s="274">
        <f t="shared" si="102"/>
        <v>1175.4436387686389</v>
      </c>
    </row>
    <row r="235" spans="1:15">
      <c r="A235" s="97">
        <f t="shared" si="89"/>
        <v>235</v>
      </c>
      <c r="B235" s="296" t="s">
        <v>146</v>
      </c>
      <c r="C235" s="274">
        <f t="shared" si="101"/>
        <v>57</v>
      </c>
      <c r="D235" s="274">
        <f>AVERAGE($C116:D116)</f>
        <v>60</v>
      </c>
      <c r="E235" s="274">
        <f>AVERAGE($C116:E116)</f>
        <v>57.333333333333336</v>
      </c>
      <c r="F235" s="274">
        <f>AVERAGE($C116:F116)</f>
        <v>58.75</v>
      </c>
      <c r="G235" s="274">
        <f>AVERAGE($C116:G116)</f>
        <v>57.2</v>
      </c>
      <c r="H235" s="274">
        <f>AVERAGE($C116:H116)</f>
        <v>58.5</v>
      </c>
      <c r="I235" s="274">
        <f>AVERAGE($C116:I116)</f>
        <v>58.142857142857146</v>
      </c>
      <c r="J235" s="274">
        <f>AVERAGE($C116:J116)</f>
        <v>58</v>
      </c>
      <c r="K235" s="274">
        <f>AVERAGE($C116:K116)</f>
        <v>58.111111111111114</v>
      </c>
      <c r="L235" s="274">
        <f>AVERAGE($C116:L116)</f>
        <v>57.9</v>
      </c>
      <c r="M235" s="274">
        <f>AVERAGE($C116:M116)</f>
        <v>57.272727272727273</v>
      </c>
      <c r="N235" s="274">
        <f>AVERAGE($C116:N116)</f>
        <v>56.75</v>
      </c>
      <c r="O235" s="274">
        <f t="shared" si="102"/>
        <v>57.913335738335739</v>
      </c>
    </row>
    <row r="236" spans="1:15">
      <c r="A236" s="97">
        <f t="shared" si="89"/>
        <v>236</v>
      </c>
      <c r="B236" s="296" t="s">
        <v>149</v>
      </c>
      <c r="C236" s="274">
        <f t="shared" si="101"/>
        <v>18</v>
      </c>
      <c r="D236" s="274">
        <f>AVERAGE($C117:D117)</f>
        <v>18</v>
      </c>
      <c r="E236" s="274">
        <f>AVERAGE($C117:E117)</f>
        <v>18</v>
      </c>
      <c r="F236" s="274">
        <f>AVERAGE($C117:F117)</f>
        <v>18</v>
      </c>
      <c r="G236" s="274">
        <f>AVERAGE($C117:G117)</f>
        <v>18</v>
      </c>
      <c r="H236" s="274">
        <f>AVERAGE($C117:H117)</f>
        <v>18</v>
      </c>
      <c r="I236" s="274">
        <f>AVERAGE($C117:I117)</f>
        <v>18</v>
      </c>
      <c r="J236" s="274">
        <f>AVERAGE($C117:J117)</f>
        <v>18</v>
      </c>
      <c r="K236" s="274">
        <f>AVERAGE($C117:K117)</f>
        <v>18</v>
      </c>
      <c r="L236" s="274">
        <f>AVERAGE($C117:L117)</f>
        <v>18</v>
      </c>
      <c r="M236" s="274">
        <f>AVERAGE($C117:M117)</f>
        <v>18</v>
      </c>
      <c r="N236" s="274">
        <f>AVERAGE($C117:N117)</f>
        <v>18</v>
      </c>
      <c r="O236" s="274">
        <f t="shared" si="102"/>
        <v>18</v>
      </c>
    </row>
    <row r="237" spans="1:15">
      <c r="A237" s="97">
        <f t="shared" si="89"/>
        <v>237</v>
      </c>
      <c r="B237" s="296" t="s">
        <v>220</v>
      </c>
      <c r="C237" s="274">
        <f t="shared" si="101"/>
        <v>7</v>
      </c>
      <c r="D237" s="274">
        <f>AVERAGE($C118:D118)</f>
        <v>7</v>
      </c>
      <c r="E237" s="274">
        <f>AVERAGE($C118:E118)</f>
        <v>7</v>
      </c>
      <c r="F237" s="274">
        <f>AVERAGE($C118:F118)</f>
        <v>7</v>
      </c>
      <c r="G237" s="274">
        <f>AVERAGE($C118:G118)</f>
        <v>7</v>
      </c>
      <c r="H237" s="274">
        <f>AVERAGE($C118:H118)</f>
        <v>7</v>
      </c>
      <c r="I237" s="274">
        <f>AVERAGE($C118:I118)</f>
        <v>7</v>
      </c>
      <c r="J237" s="274">
        <f>AVERAGE($C118:J118)</f>
        <v>7</v>
      </c>
      <c r="K237" s="274">
        <f>AVERAGE($C118:K118)</f>
        <v>7</v>
      </c>
      <c r="L237" s="274">
        <f>AVERAGE($C118:L118)</f>
        <v>7</v>
      </c>
      <c r="M237" s="274">
        <f>AVERAGE($C118:M118)</f>
        <v>7</v>
      </c>
      <c r="N237" s="274">
        <f>AVERAGE($C118:N118)</f>
        <v>7</v>
      </c>
      <c r="O237" s="274">
        <f t="shared" si="102"/>
        <v>7</v>
      </c>
    </row>
    <row r="238" spans="1:15">
      <c r="A238" s="97">
        <f t="shared" si="89"/>
        <v>238</v>
      </c>
      <c r="B238" s="297" t="s">
        <v>221</v>
      </c>
      <c r="C238" s="294">
        <f t="shared" ref="C238:O238" si="103">+SUM(C232:C237)</f>
        <v>2372</v>
      </c>
      <c r="D238" s="294">
        <f t="shared" si="103"/>
        <v>2387</v>
      </c>
      <c r="E238" s="294">
        <f t="shared" si="103"/>
        <v>2382</v>
      </c>
      <c r="F238" s="294">
        <f t="shared" si="103"/>
        <v>2390</v>
      </c>
      <c r="G238" s="294">
        <f t="shared" si="103"/>
        <v>2386.3999999999996</v>
      </c>
      <c r="H238" s="294">
        <f t="shared" si="103"/>
        <v>2385.833333333333</v>
      </c>
      <c r="I238" s="294">
        <f t="shared" si="103"/>
        <v>2384.4285714285716</v>
      </c>
      <c r="J238" s="294">
        <f t="shared" si="103"/>
        <v>2383.875</v>
      </c>
      <c r="K238" s="294">
        <f t="shared" si="103"/>
        <v>2386.1111111111113</v>
      </c>
      <c r="L238" s="294">
        <f t="shared" si="103"/>
        <v>2395.7000000000003</v>
      </c>
      <c r="M238" s="294">
        <f t="shared" si="103"/>
        <v>2396.0000000000005</v>
      </c>
      <c r="N238" s="294">
        <f t="shared" si="103"/>
        <v>2394.9166666666665</v>
      </c>
      <c r="O238" s="294">
        <f t="shared" si="103"/>
        <v>2387.0220568783075</v>
      </c>
    </row>
    <row r="239" spans="1:15">
      <c r="A239" s="97">
        <f t="shared" si="89"/>
        <v>239</v>
      </c>
      <c r="B239" s="297"/>
      <c r="C239" s="294"/>
      <c r="D239" s="294"/>
      <c r="E239" s="294"/>
      <c r="F239" s="294"/>
      <c r="G239" s="294"/>
      <c r="H239" s="294"/>
      <c r="I239" s="294"/>
      <c r="J239" s="294"/>
      <c r="K239" s="294"/>
      <c r="L239" s="294"/>
      <c r="M239" s="294"/>
      <c r="N239" s="294"/>
      <c r="O239" s="294"/>
    </row>
    <row r="240" spans="1:15">
      <c r="A240" s="97">
        <f t="shared" si="89"/>
        <v>240</v>
      </c>
      <c r="B240" s="295" t="s">
        <v>222</v>
      </c>
      <c r="C240" s="294"/>
      <c r="D240" s="294"/>
      <c r="E240" s="294"/>
      <c r="F240" s="294"/>
      <c r="G240" s="294"/>
      <c r="H240" s="294"/>
      <c r="I240" s="294"/>
      <c r="J240" s="294"/>
      <c r="K240" s="294"/>
      <c r="L240" s="294"/>
      <c r="M240" s="294"/>
      <c r="N240" s="294"/>
      <c r="O240" s="294"/>
    </row>
    <row r="241" spans="1:21">
      <c r="A241" s="97">
        <f t="shared" si="89"/>
        <v>241</v>
      </c>
      <c r="B241" s="296" t="s">
        <v>146</v>
      </c>
      <c r="C241" s="274">
        <f>+C122</f>
        <v>37</v>
      </c>
      <c r="D241" s="274">
        <f>AVERAGE($C122:D122)</f>
        <v>37.5</v>
      </c>
      <c r="E241" s="274">
        <f>AVERAGE($C122:E122)</f>
        <v>37.666666666666664</v>
      </c>
      <c r="F241" s="274">
        <f>AVERAGE($C122:F122)</f>
        <v>37.75</v>
      </c>
      <c r="G241" s="274">
        <f>AVERAGE($C122:G122)</f>
        <v>38.200000000000003</v>
      </c>
      <c r="H241" s="274">
        <f>AVERAGE($C122:H122)</f>
        <v>37.833333333333336</v>
      </c>
      <c r="I241" s="274">
        <f>AVERAGE($C122:I122)</f>
        <v>37.571428571428569</v>
      </c>
      <c r="J241" s="274">
        <f>AVERAGE($C122:J122)</f>
        <v>37.75</v>
      </c>
      <c r="K241" s="274">
        <f>AVERAGE($C122:K122)</f>
        <v>37.888888888888886</v>
      </c>
      <c r="L241" s="274">
        <f>AVERAGE($C122:L122)</f>
        <v>38</v>
      </c>
      <c r="M241" s="274">
        <f>AVERAGE($C122:M122)</f>
        <v>38.090909090909093</v>
      </c>
      <c r="N241" s="274">
        <f>AVERAGE($C122:N122)</f>
        <v>38.166666666666664</v>
      </c>
      <c r="O241" s="274">
        <f>AVERAGE(C241:N241)</f>
        <v>37.784824434824444</v>
      </c>
    </row>
    <row r="242" spans="1:21">
      <c r="A242" s="97">
        <f t="shared" si="89"/>
        <v>242</v>
      </c>
      <c r="B242" s="296" t="s">
        <v>149</v>
      </c>
      <c r="C242" s="274">
        <f>+C123</f>
        <v>17</v>
      </c>
      <c r="D242" s="274">
        <f>AVERAGE($C123:D123)</f>
        <v>17</v>
      </c>
      <c r="E242" s="274">
        <f>AVERAGE($C123:E123)</f>
        <v>17</v>
      </c>
      <c r="F242" s="274">
        <f>AVERAGE($C123:F123)</f>
        <v>17</v>
      </c>
      <c r="G242" s="274">
        <f>AVERAGE($C123:G123)</f>
        <v>17</v>
      </c>
      <c r="H242" s="274">
        <f>AVERAGE($C123:H123)</f>
        <v>17</v>
      </c>
      <c r="I242" s="274">
        <f>AVERAGE($C123:I123)</f>
        <v>17</v>
      </c>
      <c r="J242" s="274">
        <f>AVERAGE($C123:J123)</f>
        <v>17</v>
      </c>
      <c r="K242" s="274">
        <f>AVERAGE($C123:K123)</f>
        <v>17</v>
      </c>
      <c r="L242" s="274">
        <f>AVERAGE($C123:L123)</f>
        <v>17</v>
      </c>
      <c r="M242" s="274">
        <f>AVERAGE($C123:M123)</f>
        <v>17</v>
      </c>
      <c r="N242" s="274">
        <f>AVERAGE($C123:N123)</f>
        <v>17</v>
      </c>
      <c r="O242" s="274">
        <f>AVERAGE(C242:N242)</f>
        <v>17</v>
      </c>
    </row>
    <row r="243" spans="1:21">
      <c r="A243" s="97">
        <f t="shared" si="89"/>
        <v>243</v>
      </c>
      <c r="B243" s="297" t="s">
        <v>223</v>
      </c>
      <c r="C243" s="274">
        <f t="shared" ref="C243:O243" si="104">+SUM(C241:C242)</f>
        <v>54</v>
      </c>
      <c r="D243" s="274">
        <f t="shared" si="104"/>
        <v>54.5</v>
      </c>
      <c r="E243" s="274">
        <f t="shared" si="104"/>
        <v>54.666666666666664</v>
      </c>
      <c r="F243" s="274">
        <f t="shared" si="104"/>
        <v>54.75</v>
      </c>
      <c r="G243" s="274">
        <f t="shared" si="104"/>
        <v>55.2</v>
      </c>
      <c r="H243" s="274">
        <f t="shared" si="104"/>
        <v>54.833333333333336</v>
      </c>
      <c r="I243" s="274">
        <f t="shared" si="104"/>
        <v>54.571428571428569</v>
      </c>
      <c r="J243" s="274">
        <f t="shared" si="104"/>
        <v>54.75</v>
      </c>
      <c r="K243" s="274">
        <f t="shared" si="104"/>
        <v>54.888888888888886</v>
      </c>
      <c r="L243" s="274">
        <f t="shared" si="104"/>
        <v>55</v>
      </c>
      <c r="M243" s="274">
        <f t="shared" si="104"/>
        <v>55.090909090909093</v>
      </c>
      <c r="N243" s="274">
        <f t="shared" si="104"/>
        <v>55.166666666666664</v>
      </c>
      <c r="O243" s="274">
        <f t="shared" si="104"/>
        <v>54.784824434824444</v>
      </c>
    </row>
    <row r="244" spans="1:21">
      <c r="A244" s="97">
        <f t="shared" si="89"/>
        <v>244</v>
      </c>
      <c r="B244" s="297"/>
      <c r="C244" s="274"/>
      <c r="D244" s="274"/>
      <c r="E244" s="274"/>
      <c r="F244" s="274"/>
      <c r="G244" s="274"/>
      <c r="H244" s="274"/>
      <c r="I244" s="274"/>
      <c r="J244" s="274"/>
      <c r="K244" s="274"/>
      <c r="L244" s="274"/>
      <c r="M244" s="274"/>
      <c r="N244" s="274"/>
      <c r="O244" s="274"/>
    </row>
    <row r="245" spans="1:21">
      <c r="R245" s="298"/>
      <c r="S245" s="132"/>
    </row>
    <row r="246" spans="1:21">
      <c r="R246" s="298"/>
      <c r="S246" s="132"/>
    </row>
    <row r="247" spans="1:21">
      <c r="B247" s="298"/>
      <c r="C247" s="132"/>
      <c r="R247" s="298"/>
      <c r="S247" s="132"/>
    </row>
    <row r="248" spans="1:21">
      <c r="B248" s="298"/>
      <c r="C248" s="132"/>
      <c r="R248" s="298"/>
      <c r="S248" s="132"/>
    </row>
    <row r="249" spans="1:21">
      <c r="B249" s="298"/>
      <c r="C249" s="132"/>
      <c r="D249" s="277"/>
      <c r="E249" s="277"/>
      <c r="F249" s="277"/>
      <c r="G249" s="277"/>
      <c r="H249" s="277"/>
      <c r="I249" s="277"/>
      <c r="J249" s="277"/>
      <c r="K249" s="277"/>
      <c r="L249" s="277"/>
    </row>
    <row r="250" spans="1:21">
      <c r="B250" s="298"/>
      <c r="C250" s="132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</row>
    <row r="251" spans="1:21"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</row>
    <row r="252" spans="1:21">
      <c r="B252" s="262" t="s">
        <v>285</v>
      </c>
      <c r="C252" s="262">
        <v>16</v>
      </c>
      <c r="D252" s="262">
        <v>15</v>
      </c>
      <c r="E252" s="262">
        <v>15</v>
      </c>
      <c r="F252" s="262">
        <v>15</v>
      </c>
      <c r="G252" s="262">
        <v>15</v>
      </c>
      <c r="H252" s="262">
        <v>16</v>
      </c>
      <c r="I252" s="262">
        <v>16</v>
      </c>
      <c r="J252" s="262">
        <v>16</v>
      </c>
      <c r="K252" s="262">
        <v>16</v>
      </c>
      <c r="L252" s="262">
        <v>16</v>
      </c>
      <c r="M252" s="262">
        <v>17</v>
      </c>
      <c r="N252" s="262">
        <v>17</v>
      </c>
      <c r="O252" s="262">
        <f t="shared" ref="O252:O257" si="105">SUM(C252:N252)</f>
        <v>190</v>
      </c>
      <c r="P252" s="262"/>
      <c r="Q252" s="299" t="s">
        <v>5</v>
      </c>
      <c r="R252" s="299">
        <f t="shared" ref="R252:R257" si="106">O252</f>
        <v>190</v>
      </c>
      <c r="S252" s="262" t="s">
        <v>285</v>
      </c>
      <c r="T252" s="262"/>
      <c r="U252" s="262" t="s">
        <v>635</v>
      </c>
    </row>
    <row r="253" spans="1:21">
      <c r="B253" s="262" t="s">
        <v>286</v>
      </c>
      <c r="C253" s="262">
        <v>3</v>
      </c>
      <c r="D253" s="262">
        <v>3</v>
      </c>
      <c r="E253" s="262">
        <v>3</v>
      </c>
      <c r="F253" s="262">
        <v>3</v>
      </c>
      <c r="G253" s="262">
        <v>4</v>
      </c>
      <c r="H253" s="262">
        <v>4</v>
      </c>
      <c r="I253" s="262">
        <v>4</v>
      </c>
      <c r="J253" s="262">
        <v>4</v>
      </c>
      <c r="K253" s="262">
        <v>4</v>
      </c>
      <c r="L253" s="262">
        <v>4</v>
      </c>
      <c r="M253" s="262">
        <v>4</v>
      </c>
      <c r="N253" s="262">
        <v>4</v>
      </c>
      <c r="O253" s="262">
        <f t="shared" si="105"/>
        <v>44</v>
      </c>
      <c r="P253" s="262"/>
      <c r="Q253" s="299" t="s">
        <v>5</v>
      </c>
      <c r="R253" s="299">
        <f t="shared" si="106"/>
        <v>44</v>
      </c>
      <c r="S253" s="262" t="s">
        <v>286</v>
      </c>
      <c r="T253" s="262"/>
      <c r="U253" s="262" t="s">
        <v>635</v>
      </c>
    </row>
    <row r="254" spans="1:21">
      <c r="B254" s="262" t="s">
        <v>287</v>
      </c>
      <c r="C254" s="262"/>
      <c r="D254" s="262"/>
      <c r="E254" s="262"/>
      <c r="F254" s="262"/>
      <c r="G254" s="262"/>
      <c r="H254" s="262">
        <v>2</v>
      </c>
      <c r="I254" s="262">
        <v>2</v>
      </c>
      <c r="J254" s="262">
        <v>2</v>
      </c>
      <c r="K254" s="262">
        <v>2</v>
      </c>
      <c r="L254" s="262">
        <v>2</v>
      </c>
      <c r="M254" s="262">
        <v>2</v>
      </c>
      <c r="N254" s="262">
        <v>2</v>
      </c>
      <c r="O254" s="262">
        <f t="shared" si="105"/>
        <v>14</v>
      </c>
      <c r="P254" s="262"/>
      <c r="Q254" s="299" t="s">
        <v>5</v>
      </c>
      <c r="R254" s="299">
        <f t="shared" si="106"/>
        <v>14</v>
      </c>
      <c r="S254" s="262" t="s">
        <v>288</v>
      </c>
      <c r="T254" s="262"/>
      <c r="U254" s="262" t="s">
        <v>635</v>
      </c>
    </row>
    <row r="255" spans="1:21">
      <c r="B255" s="262" t="s">
        <v>288</v>
      </c>
      <c r="C255" s="262"/>
      <c r="D255" s="262"/>
      <c r="E255" s="262"/>
      <c r="F255" s="262"/>
      <c r="G255" s="262">
        <v>1</v>
      </c>
      <c r="H255" s="262">
        <v>1</v>
      </c>
      <c r="I255" s="262">
        <v>1</v>
      </c>
      <c r="J255" s="262">
        <v>2</v>
      </c>
      <c r="K255" s="262">
        <v>2</v>
      </c>
      <c r="L255" s="262">
        <v>2</v>
      </c>
      <c r="M255" s="262">
        <v>2</v>
      </c>
      <c r="N255" s="262">
        <v>2</v>
      </c>
      <c r="O255" s="262">
        <f t="shared" si="105"/>
        <v>13</v>
      </c>
      <c r="P255" s="262"/>
      <c r="Q255" s="299" t="s">
        <v>5</v>
      </c>
      <c r="R255" s="299">
        <f t="shared" si="106"/>
        <v>13</v>
      </c>
      <c r="S255" s="262" t="s">
        <v>288</v>
      </c>
      <c r="T255" s="262"/>
      <c r="U255" s="262" t="s">
        <v>635</v>
      </c>
    </row>
    <row r="256" spans="1:21">
      <c r="B256" s="262" t="s">
        <v>289</v>
      </c>
      <c r="C256" s="262">
        <v>4</v>
      </c>
      <c r="D256" s="262">
        <v>4</v>
      </c>
      <c r="E256" s="262">
        <v>4</v>
      </c>
      <c r="F256" s="262">
        <v>4</v>
      </c>
      <c r="G256" s="262">
        <v>4</v>
      </c>
      <c r="H256" s="262">
        <v>4</v>
      </c>
      <c r="I256" s="262">
        <v>4</v>
      </c>
      <c r="J256" s="262">
        <v>4</v>
      </c>
      <c r="K256" s="262">
        <v>4</v>
      </c>
      <c r="L256" s="262">
        <v>4</v>
      </c>
      <c r="M256" s="262">
        <v>4</v>
      </c>
      <c r="N256" s="262">
        <v>4</v>
      </c>
      <c r="O256" s="262">
        <f t="shared" si="105"/>
        <v>48</v>
      </c>
      <c r="P256" s="262"/>
      <c r="Q256" s="299" t="s">
        <v>5</v>
      </c>
      <c r="R256" s="299">
        <f t="shared" si="106"/>
        <v>48</v>
      </c>
      <c r="S256" s="262" t="s">
        <v>285</v>
      </c>
      <c r="T256" s="262"/>
      <c r="U256" s="262" t="s">
        <v>635</v>
      </c>
    </row>
    <row r="257" spans="2:21">
      <c r="B257" s="262" t="s">
        <v>290</v>
      </c>
      <c r="C257" s="262">
        <v>4</v>
      </c>
      <c r="D257" s="262">
        <v>4</v>
      </c>
      <c r="E257" s="262">
        <v>4</v>
      </c>
      <c r="F257" s="262">
        <v>4</v>
      </c>
      <c r="G257" s="262">
        <v>4</v>
      </c>
      <c r="H257" s="262">
        <v>4</v>
      </c>
      <c r="I257" s="262">
        <v>4</v>
      </c>
      <c r="J257" s="262">
        <v>4</v>
      </c>
      <c r="K257" s="262">
        <v>4</v>
      </c>
      <c r="L257" s="262">
        <v>4</v>
      </c>
      <c r="M257" s="262">
        <v>4</v>
      </c>
      <c r="N257" s="262">
        <v>4</v>
      </c>
      <c r="O257" s="262">
        <f t="shared" si="105"/>
        <v>48</v>
      </c>
      <c r="P257" s="262"/>
      <c r="Q257" s="299" t="s">
        <v>5</v>
      </c>
      <c r="R257" s="299">
        <f t="shared" si="106"/>
        <v>48</v>
      </c>
      <c r="S257" s="262" t="s">
        <v>286</v>
      </c>
      <c r="T257" s="262"/>
      <c r="U257" s="262" t="s">
        <v>635</v>
      </c>
    </row>
  </sheetData>
  <pageMargins left="0.75" right="0.5" top="0.75" bottom="0.75" header="1" footer="0"/>
  <pageSetup scale="53" fitToHeight="2" orientation="portrait" r:id="rId1"/>
  <headerFooter alignWithMargins="0"/>
  <rowBreaks count="1" manualBreakCount="1">
    <brk id="125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9255-D84D-4250-89B3-DD7E111F6A24}">
  <sheetPr codeName="Sheet41">
    <tabColor theme="0" tint="-0.34998626667073579"/>
  </sheetPr>
  <dimension ref="A1:V254"/>
  <sheetViews>
    <sheetView workbookViewId="0"/>
  </sheetViews>
  <sheetFormatPr defaultColWidth="9.140625" defaultRowHeight="12.75"/>
  <cols>
    <col min="1" max="1" width="3.5703125" style="97" customWidth="1"/>
    <col min="2" max="2" width="39" style="97" bestFit="1" customWidth="1"/>
    <col min="3" max="3" width="13.28515625" style="97" bestFit="1" customWidth="1"/>
    <col min="4" max="4" width="11.85546875" style="97" bestFit="1" customWidth="1"/>
    <col min="5" max="5" width="11.5703125" style="97" customWidth="1"/>
    <col min="6" max="6" width="11.85546875" style="97" customWidth="1"/>
    <col min="7" max="7" width="11.5703125" style="97" customWidth="1"/>
    <col min="8" max="9" width="11.85546875" style="97" customWidth="1"/>
    <col min="10" max="10" width="12.5703125" style="97" customWidth="1"/>
    <col min="11" max="11" width="11.85546875" style="97" customWidth="1"/>
    <col min="12" max="14" width="12.5703125" style="97" customWidth="1"/>
    <col min="15" max="15" width="13.85546875" style="97" customWidth="1"/>
    <col min="16" max="16" width="9.140625" style="97" customWidth="1"/>
    <col min="17" max="17" width="4.5703125" style="97" bestFit="1" customWidth="1"/>
    <col min="18" max="18" width="20.28515625" style="97" bestFit="1" customWidth="1"/>
    <col min="19" max="19" width="12.5703125" style="97" bestFit="1" customWidth="1"/>
    <col min="20" max="20" width="27" style="97" bestFit="1" customWidth="1"/>
    <col min="21" max="21" width="14.140625" style="97" bestFit="1" customWidth="1"/>
    <col min="22" max="22" width="9.140625" style="97" bestFit="1" customWidth="1"/>
    <col min="23" max="16384" width="9.140625" style="97"/>
  </cols>
  <sheetData>
    <row r="1" spans="1:22" ht="13.5" thickBot="1">
      <c r="B1" s="270" t="s">
        <v>120</v>
      </c>
      <c r="C1" s="251">
        <v>1</v>
      </c>
      <c r="D1" s="251">
        <v>2</v>
      </c>
      <c r="E1" s="251">
        <v>3</v>
      </c>
      <c r="F1" s="251">
        <v>4</v>
      </c>
      <c r="G1" s="251">
        <v>5</v>
      </c>
      <c r="H1" s="251">
        <v>6</v>
      </c>
      <c r="I1" s="251">
        <v>7</v>
      </c>
      <c r="J1" s="251">
        <v>8</v>
      </c>
      <c r="K1" s="251">
        <v>9</v>
      </c>
      <c r="L1" s="251">
        <v>10</v>
      </c>
      <c r="M1" s="251">
        <v>11</v>
      </c>
      <c r="N1" s="251">
        <v>12</v>
      </c>
      <c r="O1" s="251" t="s">
        <v>121</v>
      </c>
      <c r="U1" s="97" t="s">
        <v>717</v>
      </c>
      <c r="V1" s="97" t="s">
        <v>719</v>
      </c>
    </row>
    <row r="2" spans="1:22" ht="13.5" thickBot="1">
      <c r="A2" s="97">
        <v>2</v>
      </c>
      <c r="B2" s="272" t="s">
        <v>122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</row>
    <row r="3" spans="1:22">
      <c r="A3" s="97">
        <f t="shared" ref="A3:A66" si="0">+A2+1</f>
        <v>3</v>
      </c>
      <c r="B3" s="275" t="s">
        <v>123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R3" s="97" t="s">
        <v>10</v>
      </c>
      <c r="T3" s="97" t="s">
        <v>124</v>
      </c>
    </row>
    <row r="4" spans="1:22">
      <c r="A4" s="97">
        <f t="shared" si="0"/>
        <v>4</v>
      </c>
      <c r="B4" s="276" t="s">
        <v>100</v>
      </c>
      <c r="C4" s="300">
        <v>9423.5299999999297</v>
      </c>
      <c r="D4" s="300">
        <v>8896.9899999999307</v>
      </c>
      <c r="E4" s="300">
        <v>7627.8999999999896</v>
      </c>
      <c r="F4" s="300">
        <v>7536.7400000000498</v>
      </c>
      <c r="G4" s="300">
        <v>6514.1400000000403</v>
      </c>
      <c r="H4" s="300">
        <v>5870.3799999999801</v>
      </c>
      <c r="I4" s="300">
        <v>5245.4699999999402</v>
      </c>
      <c r="J4" s="300">
        <v>5715.8999999999796</v>
      </c>
      <c r="K4" s="300">
        <v>5760.70999999997</v>
      </c>
      <c r="L4" s="300">
        <v>5815.77</v>
      </c>
      <c r="M4" s="300">
        <v>6676.58</v>
      </c>
      <c r="N4" s="300">
        <v>8907.9699999999502</v>
      </c>
      <c r="O4" s="274">
        <f t="shared" ref="O4:O15" si="1">SUM(C4:N4)</f>
        <v>83992.079999999783</v>
      </c>
      <c r="Q4" s="97" t="s">
        <v>8</v>
      </c>
      <c r="R4" s="97" t="str">
        <f>CONCATENATE(Q4," - ",B4, " R")</f>
        <v>CFG - FTS-A R</v>
      </c>
      <c r="T4" s="97" t="s">
        <v>125</v>
      </c>
      <c r="U4" s="249">
        <f>MAX(C4:N4)</f>
        <v>9423.5299999999297</v>
      </c>
      <c r="V4" s="249">
        <f>IFERROR(INDEX($C$1:$N$1,MATCH(U4,C4:N4,0)),0)</f>
        <v>1</v>
      </c>
    </row>
    <row r="5" spans="1:22">
      <c r="A5" s="97">
        <f t="shared" si="0"/>
        <v>5</v>
      </c>
      <c r="B5" s="276" t="s">
        <v>101</v>
      </c>
      <c r="C5" s="300">
        <v>33265.11</v>
      </c>
      <c r="D5" s="300">
        <v>31765.3</v>
      </c>
      <c r="E5" s="300">
        <v>25003.739999999802</v>
      </c>
      <c r="F5" s="300">
        <v>23967.940000000199</v>
      </c>
      <c r="G5" s="300">
        <v>22011.950000000201</v>
      </c>
      <c r="H5" s="300">
        <v>19550.789999999899</v>
      </c>
      <c r="I5" s="300">
        <v>17081.460000000199</v>
      </c>
      <c r="J5" s="300">
        <v>18953.569999999901</v>
      </c>
      <c r="K5" s="300">
        <v>19642.8200000002</v>
      </c>
      <c r="L5" s="300">
        <v>18839.949999999801</v>
      </c>
      <c r="M5" s="300">
        <v>22284.4899999999</v>
      </c>
      <c r="N5" s="300">
        <v>30310.140000000301</v>
      </c>
      <c r="O5" s="274">
        <f t="shared" si="1"/>
        <v>282677.26000000042</v>
      </c>
      <c r="Q5" s="97" t="s">
        <v>8</v>
      </c>
      <c r="R5" s="97" t="str">
        <f>CONCATENATE(Q5," - ",B5, " R")</f>
        <v>CFG - FTS-B R</v>
      </c>
      <c r="T5" s="97" t="s">
        <v>125</v>
      </c>
      <c r="U5" s="249">
        <f t="shared" ref="U5:U68" si="2">MAX(C5:N5)</f>
        <v>33265.11</v>
      </c>
      <c r="V5" s="249">
        <f t="shared" ref="V5:V68" si="3">IFERROR(INDEX($C$1:$N$1,MATCH(U5,C5:N5,0)),0)</f>
        <v>1</v>
      </c>
    </row>
    <row r="6" spans="1:22">
      <c r="A6" s="97">
        <f t="shared" si="0"/>
        <v>6</v>
      </c>
      <c r="B6" s="276" t="s">
        <v>102</v>
      </c>
      <c r="C6" s="300">
        <v>269710.09000000003</v>
      </c>
      <c r="D6" s="300">
        <v>252803.94999999899</v>
      </c>
      <c r="E6" s="300">
        <v>199152.19000000501</v>
      </c>
      <c r="F6" s="300">
        <v>195438.47999999</v>
      </c>
      <c r="G6" s="300">
        <v>158302.43999999401</v>
      </c>
      <c r="H6" s="300">
        <v>133567.26000000301</v>
      </c>
      <c r="I6" s="300">
        <v>112512.620000001</v>
      </c>
      <c r="J6" s="300">
        <v>127141.840000001</v>
      </c>
      <c r="K6" s="300">
        <v>122288.75999999</v>
      </c>
      <c r="L6" s="300">
        <v>133142.790000001</v>
      </c>
      <c r="M6" s="300">
        <v>171976.30999999799</v>
      </c>
      <c r="N6" s="300">
        <v>251700.88000000099</v>
      </c>
      <c r="O6" s="274">
        <f t="shared" si="1"/>
        <v>2127737.6099999826</v>
      </c>
      <c r="Q6" s="97" t="s">
        <v>8</v>
      </c>
      <c r="R6" s="97" t="str">
        <f>CONCATENATE(Q6," - ",B6," R")</f>
        <v>CFG - FTS-1 R</v>
      </c>
      <c r="T6" s="97" t="s">
        <v>125</v>
      </c>
      <c r="U6" s="249">
        <f t="shared" si="2"/>
        <v>269710.09000000003</v>
      </c>
      <c r="V6" s="249">
        <f t="shared" si="3"/>
        <v>1</v>
      </c>
    </row>
    <row r="7" spans="1:22">
      <c r="A7" s="97">
        <f t="shared" si="0"/>
        <v>7</v>
      </c>
      <c r="B7" s="276" t="s">
        <v>103</v>
      </c>
      <c r="C7" s="300">
        <v>78576.679999999993</v>
      </c>
      <c r="D7" s="300">
        <v>67008.67</v>
      </c>
      <c r="E7" s="300">
        <v>65479.76</v>
      </c>
      <c r="F7" s="300">
        <v>62562.42</v>
      </c>
      <c r="G7" s="300">
        <v>33406.26</v>
      </c>
      <c r="H7" s="300">
        <v>18103.939999999999</v>
      </c>
      <c r="I7" s="300">
        <v>15051.75</v>
      </c>
      <c r="J7" s="300">
        <v>15654.4</v>
      </c>
      <c r="K7" s="300">
        <v>13904.81</v>
      </c>
      <c r="L7" s="300">
        <v>20371.57</v>
      </c>
      <c r="M7" s="300">
        <v>37083.129999999997</v>
      </c>
      <c r="N7" s="300">
        <v>61065.72</v>
      </c>
      <c r="O7" s="274">
        <f t="shared" si="1"/>
        <v>488269.11</v>
      </c>
      <c r="Q7" s="97" t="s">
        <v>8</v>
      </c>
      <c r="R7" s="97" t="str">
        <f>CONCATENATE(Q7," - ",B7," R")</f>
        <v>CFG - FTS-2 R</v>
      </c>
      <c r="T7" s="97" t="s">
        <v>125</v>
      </c>
      <c r="U7" s="249">
        <f t="shared" si="2"/>
        <v>78576.679999999993</v>
      </c>
      <c r="V7" s="249">
        <f t="shared" si="3"/>
        <v>1</v>
      </c>
    </row>
    <row r="8" spans="1:22">
      <c r="A8" s="97">
        <f t="shared" si="0"/>
        <v>8</v>
      </c>
      <c r="B8" s="276" t="s">
        <v>104</v>
      </c>
      <c r="C8" s="300">
        <v>86443.66</v>
      </c>
      <c r="D8" s="300">
        <v>79997.03</v>
      </c>
      <c r="E8" s="300">
        <v>74972.45</v>
      </c>
      <c r="F8" s="300">
        <v>71962.469999999899</v>
      </c>
      <c r="G8" s="300">
        <v>36251.82</v>
      </c>
      <c r="H8" s="300">
        <v>17080.919999999998</v>
      </c>
      <c r="I8" s="300">
        <v>12942.77</v>
      </c>
      <c r="J8" s="300">
        <v>14299.47</v>
      </c>
      <c r="K8" s="300">
        <v>11473.6</v>
      </c>
      <c r="L8" s="300">
        <v>20845.349999999999</v>
      </c>
      <c r="M8" s="300">
        <v>40054.9</v>
      </c>
      <c r="N8" s="300">
        <v>67812.390000000101</v>
      </c>
      <c r="O8" s="274">
        <f t="shared" si="1"/>
        <v>534136.82999999996</v>
      </c>
      <c r="Q8" s="97" t="s">
        <v>8</v>
      </c>
      <c r="R8" s="97" t="str">
        <f>CONCATENATE(Q8," - ",B8," R")</f>
        <v>CFG - FTS-2.1 R</v>
      </c>
      <c r="T8" s="97" t="s">
        <v>125</v>
      </c>
      <c r="U8" s="249">
        <f t="shared" si="2"/>
        <v>86443.66</v>
      </c>
      <c r="V8" s="249">
        <f t="shared" si="3"/>
        <v>1</v>
      </c>
    </row>
    <row r="9" spans="1:22">
      <c r="A9" s="97">
        <f t="shared" si="0"/>
        <v>9</v>
      </c>
      <c r="B9" s="279" t="s">
        <v>105</v>
      </c>
      <c r="C9" s="300">
        <v>6751.84</v>
      </c>
      <c r="D9" s="300">
        <v>4803.74</v>
      </c>
      <c r="E9" s="300">
        <v>4747.24</v>
      </c>
      <c r="F9" s="300">
        <v>3848.67</v>
      </c>
      <c r="G9" s="300">
        <v>2056.2800000000002</v>
      </c>
      <c r="H9" s="300">
        <v>1060.4000000000001</v>
      </c>
      <c r="I9" s="300">
        <v>535.37</v>
      </c>
      <c r="J9" s="300">
        <v>591.44000000000005</v>
      </c>
      <c r="K9" s="300">
        <v>577.42999999999995</v>
      </c>
      <c r="L9" s="300">
        <v>1496.72</v>
      </c>
      <c r="M9" s="300">
        <v>3834.19</v>
      </c>
      <c r="N9" s="300">
        <v>6613.83</v>
      </c>
      <c r="O9" s="274">
        <f t="shared" si="1"/>
        <v>36917.149999999994</v>
      </c>
      <c r="Q9" s="97" t="s">
        <v>8</v>
      </c>
      <c r="R9" s="97" t="str">
        <f>CONCATENATE(Q9," - ",B9, " R")</f>
        <v>CFG - FTS-3 R</v>
      </c>
      <c r="T9" s="97" t="s">
        <v>125</v>
      </c>
      <c r="U9" s="249">
        <f t="shared" si="2"/>
        <v>6751.84</v>
      </c>
      <c r="V9" s="249">
        <f t="shared" si="3"/>
        <v>1</v>
      </c>
    </row>
    <row r="10" spans="1:22">
      <c r="A10" s="97">
        <f t="shared" si="0"/>
        <v>10</v>
      </c>
      <c r="B10" s="279" t="s">
        <v>106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274">
        <f t="shared" si="1"/>
        <v>0</v>
      </c>
      <c r="Q10" s="97" t="s">
        <v>8</v>
      </c>
      <c r="R10" s="97" t="str">
        <f>CONCATENATE(Q10," - ",B10, " R")</f>
        <v>CFG - FTS-3.1 R</v>
      </c>
      <c r="T10" s="97" t="s">
        <v>125</v>
      </c>
      <c r="U10" s="249">
        <f t="shared" si="2"/>
        <v>0</v>
      </c>
      <c r="V10" s="249">
        <f t="shared" si="3"/>
        <v>0</v>
      </c>
    </row>
    <row r="11" spans="1:22">
      <c r="A11" s="97">
        <f t="shared" si="0"/>
        <v>11</v>
      </c>
      <c r="B11" s="279" t="s">
        <v>126</v>
      </c>
      <c r="C11" s="300">
        <v>1942288.4800000344</v>
      </c>
      <c r="D11" s="300">
        <v>1684907.7400000058</v>
      </c>
      <c r="E11" s="300">
        <v>1348341.0500000133</v>
      </c>
      <c r="F11" s="300">
        <v>1278430.430000023</v>
      </c>
      <c r="G11" s="300">
        <v>1019756.9100000465</v>
      </c>
      <c r="H11" s="300">
        <v>812919.29000003298</v>
      </c>
      <c r="I11" s="300">
        <v>668340.80000001949</v>
      </c>
      <c r="J11" s="300">
        <v>686050.9800000207</v>
      </c>
      <c r="K11" s="300">
        <v>744923.11000003084</v>
      </c>
      <c r="L11" s="301">
        <v>779872.22000002989</v>
      </c>
      <c r="M11" s="300">
        <v>1048476.6200000342</v>
      </c>
      <c r="N11" s="300">
        <v>1664736.9500000374</v>
      </c>
      <c r="O11" s="274">
        <f t="shared" si="1"/>
        <v>13679044.58000033</v>
      </c>
      <c r="Q11" s="97" t="s">
        <v>7</v>
      </c>
      <c r="R11" s="97" t="str">
        <f>CONCATENATE(Q11," - ",B11)</f>
        <v>FPU - FPU - RS</v>
      </c>
      <c r="T11" s="97" t="s">
        <v>127</v>
      </c>
      <c r="U11" s="249">
        <f t="shared" si="2"/>
        <v>1942288.4800000344</v>
      </c>
      <c r="V11" s="249">
        <f t="shared" si="3"/>
        <v>1</v>
      </c>
    </row>
    <row r="12" spans="1:22">
      <c r="A12" s="97">
        <f t="shared" si="0"/>
        <v>12</v>
      </c>
      <c r="B12" s="279" t="s">
        <v>128</v>
      </c>
      <c r="C12" s="300">
        <v>9368.5900000000038</v>
      </c>
      <c r="D12" s="300">
        <v>6527.1100000000051</v>
      </c>
      <c r="E12" s="300">
        <v>6035.6399999999976</v>
      </c>
      <c r="F12" s="300">
        <v>6649.3000000000038</v>
      </c>
      <c r="G12" s="300">
        <v>5298.9400000000151</v>
      </c>
      <c r="H12" s="300">
        <v>3360.6600000000012</v>
      </c>
      <c r="I12" s="300">
        <v>2107.559999999999</v>
      </c>
      <c r="J12" s="300">
        <v>2337.4399999999978</v>
      </c>
      <c r="K12" s="300">
        <v>3180.4699999999975</v>
      </c>
      <c r="L12" s="300">
        <v>3141.4399999999996</v>
      </c>
      <c r="M12" s="300">
        <v>4965.8900000000021</v>
      </c>
      <c r="N12" s="300">
        <v>7668.1600000000008</v>
      </c>
      <c r="O12" s="274">
        <f t="shared" si="1"/>
        <v>60641.200000000026</v>
      </c>
      <c r="Q12" s="97" t="s">
        <v>7</v>
      </c>
      <c r="R12" s="97" t="str">
        <f>CONCATENATE(Q12," - ",B12)</f>
        <v>FPU - FPU - RS-GS</v>
      </c>
      <c r="T12" s="97" t="s">
        <v>127</v>
      </c>
      <c r="U12" s="249">
        <f t="shared" si="2"/>
        <v>9368.5900000000038</v>
      </c>
      <c r="V12" s="249">
        <f t="shared" si="3"/>
        <v>1</v>
      </c>
    </row>
    <row r="13" spans="1:22">
      <c r="A13" s="97">
        <f t="shared" si="0"/>
        <v>13</v>
      </c>
      <c r="B13" s="279" t="s">
        <v>98</v>
      </c>
      <c r="C13" s="300">
        <v>9567.3800000000228</v>
      </c>
      <c r="D13" s="300">
        <v>9064.0400000000118</v>
      </c>
      <c r="E13" s="300">
        <v>5882.6399999999667</v>
      </c>
      <c r="F13" s="300">
        <v>5806.7899999999681</v>
      </c>
      <c r="G13" s="300">
        <v>5199.0499999999838</v>
      </c>
      <c r="H13" s="300">
        <v>4612.7999999999993</v>
      </c>
      <c r="I13" s="300">
        <v>3950.8200000000065</v>
      </c>
      <c r="J13" s="300">
        <v>4288.6500000000033</v>
      </c>
      <c r="K13" s="300">
        <v>4189.7</v>
      </c>
      <c r="L13" s="300">
        <v>4373</v>
      </c>
      <c r="M13" s="300">
        <v>4843.2699999999877</v>
      </c>
      <c r="N13" s="300">
        <v>7729.09</v>
      </c>
      <c r="O13" s="274">
        <f t="shared" si="1"/>
        <v>69507.229999999952</v>
      </c>
      <c r="Q13" s="97" t="s">
        <v>5</v>
      </c>
      <c r="R13" s="97" t="str">
        <f>CONCATENATE(Q13," - ",B13)</f>
        <v>FT - FT-RS</v>
      </c>
      <c r="T13" s="97" t="s">
        <v>129</v>
      </c>
      <c r="U13" s="249">
        <f t="shared" si="2"/>
        <v>9567.3800000000228</v>
      </c>
      <c r="V13" s="249">
        <f t="shared" si="3"/>
        <v>1</v>
      </c>
    </row>
    <row r="14" spans="1:22">
      <c r="A14" s="97">
        <f t="shared" si="0"/>
        <v>14</v>
      </c>
      <c r="B14" s="279" t="s">
        <v>93</v>
      </c>
      <c r="C14" s="300">
        <v>11154.030000000035</v>
      </c>
      <c r="D14" s="300">
        <v>10010.990000000005</v>
      </c>
      <c r="E14" s="300">
        <v>10109.27000000001</v>
      </c>
      <c r="F14" s="300">
        <v>9733.7700000000023</v>
      </c>
      <c r="G14" s="300">
        <v>10057.659999999996</v>
      </c>
      <c r="H14" s="300">
        <v>8428.7499999999782</v>
      </c>
      <c r="I14" s="300">
        <v>8761.3299999999908</v>
      </c>
      <c r="J14" s="300">
        <v>8513.5500000000065</v>
      </c>
      <c r="K14" s="300">
        <v>8570.73</v>
      </c>
      <c r="L14" s="300">
        <v>9414.6200000000044</v>
      </c>
      <c r="M14" s="300">
        <v>9228.58</v>
      </c>
      <c r="N14" s="300">
        <v>10659.200000000004</v>
      </c>
      <c r="O14" s="283">
        <f t="shared" si="1"/>
        <v>114642.48000000004</v>
      </c>
      <c r="Q14" s="97" t="s">
        <v>4</v>
      </c>
      <c r="R14" s="97" t="str">
        <f>CONCATENATE(Q14," - ",B14)</f>
        <v>IGC - IGC - TS1</v>
      </c>
      <c r="T14" s="97" t="s">
        <v>130</v>
      </c>
      <c r="U14" s="249">
        <f t="shared" si="2"/>
        <v>11154.030000000035</v>
      </c>
      <c r="V14" s="249">
        <f t="shared" si="3"/>
        <v>1</v>
      </c>
    </row>
    <row r="15" spans="1:22">
      <c r="A15" s="97">
        <f t="shared" si="0"/>
        <v>15</v>
      </c>
      <c r="B15" s="280" t="s">
        <v>131</v>
      </c>
      <c r="C15" s="274">
        <f t="shared" ref="C15:N15" si="4">SUM(C4:C14)</f>
        <v>2456549.3900000346</v>
      </c>
      <c r="D15" s="274">
        <f t="shared" si="4"/>
        <v>2155785.5600000047</v>
      </c>
      <c r="E15" s="274">
        <f t="shared" si="4"/>
        <v>1747351.880000018</v>
      </c>
      <c r="F15" s="274">
        <f t="shared" si="4"/>
        <v>1665937.0100000133</v>
      </c>
      <c r="G15" s="274">
        <f t="shared" si="4"/>
        <v>1298855.4500000407</v>
      </c>
      <c r="H15" s="274">
        <f t="shared" si="4"/>
        <v>1024555.1900000359</v>
      </c>
      <c r="I15" s="274">
        <f t="shared" si="4"/>
        <v>846529.95000002056</v>
      </c>
      <c r="J15" s="274">
        <f t="shared" si="4"/>
        <v>883547.24000002153</v>
      </c>
      <c r="K15" s="274">
        <f t="shared" si="4"/>
        <v>934512.14000002085</v>
      </c>
      <c r="L15" s="274">
        <f>SUM(L4:L14)</f>
        <v>997313.43000003067</v>
      </c>
      <c r="M15" s="274">
        <f t="shared" si="4"/>
        <v>1349423.9600000321</v>
      </c>
      <c r="N15" s="274">
        <f t="shared" si="4"/>
        <v>2117204.3300000387</v>
      </c>
      <c r="O15" s="274">
        <f t="shared" si="1"/>
        <v>17477565.53000031</v>
      </c>
      <c r="S15" s="302"/>
      <c r="U15" s="249"/>
      <c r="V15" s="249"/>
    </row>
    <row r="16" spans="1:22">
      <c r="A16" s="97">
        <f t="shared" si="0"/>
        <v>16</v>
      </c>
      <c r="B16" s="275" t="s">
        <v>132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U16" s="249"/>
      <c r="V16" s="249"/>
    </row>
    <row r="17" spans="1:22">
      <c r="A17" s="97">
        <f t="shared" si="0"/>
        <v>17</v>
      </c>
      <c r="B17" s="276" t="s">
        <v>100</v>
      </c>
      <c r="C17" s="300">
        <v>303.70999999999998</v>
      </c>
      <c r="D17" s="300">
        <v>321.74</v>
      </c>
      <c r="E17" s="300">
        <v>297.83</v>
      </c>
      <c r="F17" s="303">
        <v>244.94</v>
      </c>
      <c r="G17" s="300">
        <v>195.1</v>
      </c>
      <c r="H17" s="300">
        <v>173.47</v>
      </c>
      <c r="I17" s="300">
        <v>140.43</v>
      </c>
      <c r="J17" s="300">
        <v>135.35</v>
      </c>
      <c r="K17" s="300">
        <v>143.68</v>
      </c>
      <c r="L17" s="300">
        <v>162.34</v>
      </c>
      <c r="M17" s="300">
        <v>207.76</v>
      </c>
      <c r="N17" s="300">
        <v>323.95999999999998</v>
      </c>
      <c r="O17" s="274">
        <f t="shared" ref="O17:O24" si="5">SUM(C17:N17)</f>
        <v>2650.3100000000004</v>
      </c>
      <c r="Q17" s="97" t="s">
        <v>8</v>
      </c>
      <c r="R17" s="97" t="str">
        <f>CONCATENATE(Q17," - ",B17," - ",S17)</f>
        <v>CFG - FTS-A - Fixed R</v>
      </c>
      <c r="S17" s="97" t="s">
        <v>133</v>
      </c>
      <c r="T17" s="97" t="s">
        <v>125</v>
      </c>
      <c r="U17" s="249">
        <f t="shared" si="2"/>
        <v>323.95999999999998</v>
      </c>
      <c r="V17" s="249">
        <f t="shared" si="3"/>
        <v>12</v>
      </c>
    </row>
    <row r="18" spans="1:22">
      <c r="A18" s="97">
        <f t="shared" si="0"/>
        <v>18</v>
      </c>
      <c r="B18" s="276" t="s">
        <v>101</v>
      </c>
      <c r="C18" s="300">
        <v>928.03</v>
      </c>
      <c r="D18" s="300">
        <v>896.84</v>
      </c>
      <c r="E18" s="300">
        <v>716.06</v>
      </c>
      <c r="F18" s="303">
        <v>684.31</v>
      </c>
      <c r="G18" s="300">
        <v>666.25</v>
      </c>
      <c r="H18" s="300">
        <v>534.03</v>
      </c>
      <c r="I18" s="300">
        <v>494.37</v>
      </c>
      <c r="J18" s="300">
        <v>556.51</v>
      </c>
      <c r="K18" s="300">
        <v>555.27</v>
      </c>
      <c r="L18" s="300">
        <v>587.13</v>
      </c>
      <c r="M18" s="300">
        <v>696.83</v>
      </c>
      <c r="N18" s="300">
        <v>965.81</v>
      </c>
      <c r="O18" s="274">
        <f t="shared" si="5"/>
        <v>8281.44</v>
      </c>
      <c r="Q18" s="97" t="s">
        <v>8</v>
      </c>
      <c r="R18" s="97" t="str">
        <f t="shared" ref="R18:R23" si="6">CONCATENATE(Q18," - ",B18," - ",S18)</f>
        <v>CFG - FTS-B - Fixed R</v>
      </c>
      <c r="S18" s="97" t="s">
        <v>133</v>
      </c>
      <c r="T18" s="97" t="s">
        <v>125</v>
      </c>
      <c r="U18" s="249">
        <f t="shared" si="2"/>
        <v>965.81</v>
      </c>
      <c r="V18" s="249">
        <f t="shared" si="3"/>
        <v>12</v>
      </c>
    </row>
    <row r="19" spans="1:22">
      <c r="A19" s="97">
        <f t="shared" si="0"/>
        <v>19</v>
      </c>
      <c r="B19" s="276" t="s">
        <v>102</v>
      </c>
      <c r="C19" s="300">
        <v>4122.12</v>
      </c>
      <c r="D19" s="300">
        <v>3785.21</v>
      </c>
      <c r="E19" s="300">
        <v>2619.5300000000002</v>
      </c>
      <c r="F19" s="303">
        <v>2632.9</v>
      </c>
      <c r="G19" s="300">
        <v>2207.85</v>
      </c>
      <c r="H19" s="300">
        <v>2169.2600000000002</v>
      </c>
      <c r="I19" s="300">
        <v>1575.84</v>
      </c>
      <c r="J19" s="300">
        <v>1753.02</v>
      </c>
      <c r="K19" s="300">
        <v>1820.18</v>
      </c>
      <c r="L19" s="300">
        <v>1885.66</v>
      </c>
      <c r="M19" s="300">
        <v>2480.88</v>
      </c>
      <c r="N19" s="300">
        <v>3483.45</v>
      </c>
      <c r="O19" s="274">
        <f t="shared" si="5"/>
        <v>30535.900000000005</v>
      </c>
      <c r="Q19" s="97" t="s">
        <v>8</v>
      </c>
      <c r="R19" s="97" t="str">
        <f t="shared" si="6"/>
        <v>CFG - FTS-1 - Fixed R</v>
      </c>
      <c r="S19" s="97" t="s">
        <v>133</v>
      </c>
      <c r="T19" s="97" t="s">
        <v>125</v>
      </c>
      <c r="U19" s="249">
        <f t="shared" si="2"/>
        <v>4122.12</v>
      </c>
      <c r="V19" s="249">
        <f t="shared" si="3"/>
        <v>1</v>
      </c>
    </row>
    <row r="20" spans="1:22">
      <c r="A20" s="97">
        <f t="shared" si="0"/>
        <v>20</v>
      </c>
      <c r="B20" s="276" t="s">
        <v>103</v>
      </c>
      <c r="C20" s="300">
        <v>1584.92</v>
      </c>
      <c r="D20" s="300">
        <v>1241.08</v>
      </c>
      <c r="E20" s="300">
        <v>1347.06</v>
      </c>
      <c r="F20" s="303">
        <v>1623.03</v>
      </c>
      <c r="G20" s="300">
        <v>662.53</v>
      </c>
      <c r="H20" s="300">
        <v>399.43</v>
      </c>
      <c r="I20" s="300">
        <v>322.98</v>
      </c>
      <c r="J20" s="300">
        <v>402.04</v>
      </c>
      <c r="K20" s="300">
        <v>301.51</v>
      </c>
      <c r="L20" s="300">
        <v>382.19</v>
      </c>
      <c r="M20" s="300">
        <v>793.03</v>
      </c>
      <c r="N20" s="300">
        <v>1779.25</v>
      </c>
      <c r="O20" s="274">
        <f t="shared" si="5"/>
        <v>10839.05</v>
      </c>
      <c r="Q20" s="97" t="s">
        <v>8</v>
      </c>
      <c r="R20" s="97" t="str">
        <f t="shared" si="6"/>
        <v>CFG - FTS-2 - Fixed R</v>
      </c>
      <c r="S20" s="97" t="s">
        <v>133</v>
      </c>
      <c r="T20" s="97" t="s">
        <v>125</v>
      </c>
      <c r="U20" s="249">
        <f t="shared" si="2"/>
        <v>1779.25</v>
      </c>
      <c r="V20" s="249">
        <f t="shared" si="3"/>
        <v>12</v>
      </c>
    </row>
    <row r="21" spans="1:22">
      <c r="A21" s="97">
        <f t="shared" si="0"/>
        <v>21</v>
      </c>
      <c r="B21" s="276" t="s">
        <v>104</v>
      </c>
      <c r="C21" s="300">
        <v>1739.96</v>
      </c>
      <c r="D21" s="300">
        <v>1237.33</v>
      </c>
      <c r="E21" s="300">
        <v>1143.5899999999999</v>
      </c>
      <c r="F21" s="303">
        <v>1105.96</v>
      </c>
      <c r="G21" s="300">
        <v>510.27</v>
      </c>
      <c r="H21" s="300">
        <v>247.02</v>
      </c>
      <c r="I21" s="300">
        <v>173.62</v>
      </c>
      <c r="J21" s="300">
        <v>199.71</v>
      </c>
      <c r="K21" s="300">
        <v>103.25</v>
      </c>
      <c r="L21" s="300">
        <v>353</v>
      </c>
      <c r="M21" s="300">
        <v>1122.79</v>
      </c>
      <c r="N21" s="300">
        <v>1784.14</v>
      </c>
      <c r="O21" s="274">
        <f t="shared" si="5"/>
        <v>9720.6400000000012</v>
      </c>
      <c r="Q21" s="97" t="s">
        <v>8</v>
      </c>
      <c r="R21" s="97" t="str">
        <f t="shared" si="6"/>
        <v>CFG - FTS-2.1 - Fixed R</v>
      </c>
      <c r="S21" s="97" t="s">
        <v>133</v>
      </c>
      <c r="T21" s="97" t="s">
        <v>125</v>
      </c>
      <c r="U21" s="249">
        <f t="shared" si="2"/>
        <v>1784.14</v>
      </c>
      <c r="V21" s="249">
        <f t="shared" si="3"/>
        <v>12</v>
      </c>
    </row>
    <row r="22" spans="1:22">
      <c r="A22" s="97">
        <f t="shared" si="0"/>
        <v>22</v>
      </c>
      <c r="B22" s="279" t="s">
        <v>105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274">
        <f t="shared" si="5"/>
        <v>0</v>
      </c>
      <c r="Q22" s="97" t="s">
        <v>8</v>
      </c>
      <c r="R22" s="97" t="str">
        <f t="shared" si="6"/>
        <v>CFG - FTS-3 - Fixed R</v>
      </c>
      <c r="S22" s="97" t="s">
        <v>133</v>
      </c>
      <c r="T22" s="97" t="s">
        <v>125</v>
      </c>
      <c r="U22" s="249">
        <f t="shared" si="2"/>
        <v>0</v>
      </c>
      <c r="V22" s="249">
        <f t="shared" si="3"/>
        <v>0</v>
      </c>
    </row>
    <row r="23" spans="1:22">
      <c r="A23" s="97">
        <f t="shared" si="0"/>
        <v>23</v>
      </c>
      <c r="B23" s="279" t="s">
        <v>106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283">
        <f t="shared" si="5"/>
        <v>0</v>
      </c>
      <c r="Q23" s="97" t="s">
        <v>8</v>
      </c>
      <c r="R23" s="97" t="str">
        <f t="shared" si="6"/>
        <v>CFG - FTS-3.1 - Fixed R</v>
      </c>
      <c r="S23" s="97" t="s">
        <v>133</v>
      </c>
      <c r="T23" s="97" t="s">
        <v>125</v>
      </c>
      <c r="U23" s="249">
        <f t="shared" si="2"/>
        <v>0</v>
      </c>
      <c r="V23" s="249">
        <f t="shared" si="3"/>
        <v>0</v>
      </c>
    </row>
    <row r="24" spans="1:22">
      <c r="A24" s="97">
        <f t="shared" si="0"/>
        <v>24</v>
      </c>
      <c r="B24" s="280" t="s">
        <v>134</v>
      </c>
      <c r="C24" s="274">
        <f t="shared" ref="C24:N24" si="7">SUM(C17:C23)</f>
        <v>8678.74</v>
      </c>
      <c r="D24" s="274">
        <f t="shared" si="7"/>
        <v>7482.2</v>
      </c>
      <c r="E24" s="274">
        <f t="shared" si="7"/>
        <v>6124.07</v>
      </c>
      <c r="F24" s="274">
        <f t="shared" si="7"/>
        <v>6291.14</v>
      </c>
      <c r="G24" s="274">
        <f t="shared" si="7"/>
        <v>4242</v>
      </c>
      <c r="H24" s="274">
        <f t="shared" si="7"/>
        <v>3523.21</v>
      </c>
      <c r="I24" s="274">
        <f t="shared" si="7"/>
        <v>2707.24</v>
      </c>
      <c r="J24" s="274">
        <f t="shared" si="7"/>
        <v>3046.63</v>
      </c>
      <c r="K24" s="274">
        <f t="shared" si="7"/>
        <v>2923.8900000000003</v>
      </c>
      <c r="L24" s="274">
        <f>SUM(L17:L23)</f>
        <v>3370.32</v>
      </c>
      <c r="M24" s="274">
        <f t="shared" si="7"/>
        <v>5301.29</v>
      </c>
      <c r="N24" s="274">
        <f t="shared" si="7"/>
        <v>8336.6099999999988</v>
      </c>
      <c r="O24" s="274">
        <f t="shared" si="5"/>
        <v>62027.339999999989</v>
      </c>
      <c r="U24" s="249"/>
      <c r="V24" s="249"/>
    </row>
    <row r="25" spans="1:22">
      <c r="A25" s="97">
        <f t="shared" si="0"/>
        <v>25</v>
      </c>
      <c r="B25" s="284" t="s">
        <v>135</v>
      </c>
      <c r="C25" s="304"/>
      <c r="D25" s="304"/>
      <c r="E25" s="305"/>
      <c r="F25" s="305"/>
      <c r="G25" s="305"/>
      <c r="H25" s="305"/>
      <c r="I25" s="306"/>
      <c r="J25" s="306"/>
      <c r="K25" s="306"/>
      <c r="L25" s="305"/>
      <c r="M25" s="306"/>
      <c r="N25" s="306"/>
      <c r="O25" s="274"/>
      <c r="U25" s="249"/>
      <c r="V25" s="249"/>
    </row>
    <row r="26" spans="1:22">
      <c r="A26" s="97">
        <f t="shared" si="0"/>
        <v>26</v>
      </c>
      <c r="B26" s="276" t="s">
        <v>100</v>
      </c>
      <c r="C26" s="300">
        <v>29.05</v>
      </c>
      <c r="D26" s="300">
        <v>35.29</v>
      </c>
      <c r="E26" s="300">
        <v>37.369999999999997</v>
      </c>
      <c r="F26" s="300">
        <v>29.02</v>
      </c>
      <c r="G26" s="300">
        <v>27.97</v>
      </c>
      <c r="H26" s="300">
        <v>25.92</v>
      </c>
      <c r="I26" s="300">
        <v>29.61</v>
      </c>
      <c r="J26" s="300">
        <v>30.7</v>
      </c>
      <c r="K26" s="300">
        <v>36.44</v>
      </c>
      <c r="L26" s="300">
        <v>22.89</v>
      </c>
      <c r="M26" s="300">
        <v>30.2</v>
      </c>
      <c r="N26" s="300">
        <v>35.380000000000003</v>
      </c>
      <c r="O26" s="274">
        <f t="shared" ref="O26:O62" si="8">SUM(C26:N26)</f>
        <v>369.84</v>
      </c>
      <c r="Q26" s="97" t="s">
        <v>8</v>
      </c>
      <c r="R26" s="97" t="str">
        <f t="shared" ref="R26:R32" si="9">CONCATENATE(Q26," - ",B26," NR")</f>
        <v>CFG - FTS-A NR</v>
      </c>
      <c r="T26" s="97" t="s">
        <v>136</v>
      </c>
      <c r="U26" s="249">
        <f t="shared" si="2"/>
        <v>37.369999999999997</v>
      </c>
      <c r="V26" s="249">
        <f t="shared" si="3"/>
        <v>3</v>
      </c>
    </row>
    <row r="27" spans="1:22">
      <c r="A27" s="97">
        <f t="shared" si="0"/>
        <v>27</v>
      </c>
      <c r="B27" s="276" t="s">
        <v>101</v>
      </c>
      <c r="C27" s="300">
        <v>109.42</v>
      </c>
      <c r="D27" s="300">
        <v>87.81</v>
      </c>
      <c r="E27" s="300">
        <v>63.71</v>
      </c>
      <c r="F27" s="300">
        <v>70.06</v>
      </c>
      <c r="G27" s="300">
        <v>49.2</v>
      </c>
      <c r="H27" s="300">
        <v>53.29</v>
      </c>
      <c r="I27" s="300">
        <v>45.85</v>
      </c>
      <c r="J27" s="300">
        <v>44.75</v>
      </c>
      <c r="K27" s="300">
        <v>51.48</v>
      </c>
      <c r="L27" s="300">
        <v>50.35</v>
      </c>
      <c r="M27" s="300">
        <v>60.92</v>
      </c>
      <c r="N27" s="300">
        <v>73.08</v>
      </c>
      <c r="O27" s="274">
        <f t="shared" si="8"/>
        <v>759.92000000000007</v>
      </c>
      <c r="Q27" s="97" t="s">
        <v>8</v>
      </c>
      <c r="R27" s="97" t="str">
        <f t="shared" si="9"/>
        <v>CFG - FTS-B NR</v>
      </c>
      <c r="T27" s="97" t="s">
        <v>136</v>
      </c>
      <c r="U27" s="249">
        <f t="shared" si="2"/>
        <v>109.42</v>
      </c>
      <c r="V27" s="249">
        <f t="shared" si="3"/>
        <v>1</v>
      </c>
    </row>
    <row r="28" spans="1:22">
      <c r="A28" s="97">
        <f t="shared" si="0"/>
        <v>28</v>
      </c>
      <c r="B28" s="276" t="s">
        <v>102</v>
      </c>
      <c r="C28" s="300">
        <v>5095.8100000000104</v>
      </c>
      <c r="D28" s="300">
        <v>5370.57</v>
      </c>
      <c r="E28" s="300">
        <v>4272.12</v>
      </c>
      <c r="F28" s="300">
        <v>4797.32</v>
      </c>
      <c r="G28" s="300">
        <v>6098.04</v>
      </c>
      <c r="H28" s="300">
        <v>3878.36</v>
      </c>
      <c r="I28" s="300">
        <v>3261.01</v>
      </c>
      <c r="J28" s="300">
        <v>3872.4</v>
      </c>
      <c r="K28" s="300">
        <v>3747.55</v>
      </c>
      <c r="L28" s="300">
        <v>3512.4</v>
      </c>
      <c r="M28" s="300">
        <v>4898.82</v>
      </c>
      <c r="N28" s="300">
        <v>5243.94</v>
      </c>
      <c r="O28" s="274">
        <f t="shared" si="8"/>
        <v>54048.340000000018</v>
      </c>
      <c r="Q28" s="97" t="s">
        <v>8</v>
      </c>
      <c r="R28" s="97" t="str">
        <f t="shared" si="9"/>
        <v>CFG - FTS-1 NR</v>
      </c>
      <c r="T28" s="97" t="s">
        <v>136</v>
      </c>
      <c r="U28" s="249">
        <f t="shared" si="2"/>
        <v>6098.04</v>
      </c>
      <c r="V28" s="249">
        <f t="shared" si="3"/>
        <v>5</v>
      </c>
    </row>
    <row r="29" spans="1:22">
      <c r="A29" s="97">
        <f t="shared" si="0"/>
        <v>29</v>
      </c>
      <c r="B29" s="276" t="s">
        <v>103</v>
      </c>
      <c r="C29" s="300">
        <v>8803.69</v>
      </c>
      <c r="D29" s="300">
        <v>8085.74</v>
      </c>
      <c r="E29" s="300">
        <v>7558.36</v>
      </c>
      <c r="F29" s="300">
        <v>6234.09</v>
      </c>
      <c r="G29" s="300">
        <v>5642.9</v>
      </c>
      <c r="H29" s="300">
        <v>5093.1000000000004</v>
      </c>
      <c r="I29" s="300">
        <v>3990.01</v>
      </c>
      <c r="J29" s="300">
        <v>4801.49</v>
      </c>
      <c r="K29" s="300">
        <v>4672.8900000000003</v>
      </c>
      <c r="L29" s="300">
        <v>5091.1899999999996</v>
      </c>
      <c r="M29" s="300">
        <v>6517.27</v>
      </c>
      <c r="N29" s="300">
        <v>7838.91</v>
      </c>
      <c r="O29" s="274">
        <f t="shared" si="8"/>
        <v>74329.64</v>
      </c>
      <c r="Q29" s="97" t="s">
        <v>8</v>
      </c>
      <c r="R29" s="97" t="str">
        <f t="shared" si="9"/>
        <v>CFG - FTS-2 NR</v>
      </c>
      <c r="T29" s="97" t="s">
        <v>136</v>
      </c>
      <c r="U29" s="249">
        <f t="shared" si="2"/>
        <v>8803.69</v>
      </c>
      <c r="V29" s="249">
        <f t="shared" si="3"/>
        <v>1</v>
      </c>
    </row>
    <row r="30" spans="1:22">
      <c r="A30" s="97">
        <f t="shared" si="0"/>
        <v>30</v>
      </c>
      <c r="B30" s="276" t="s">
        <v>104</v>
      </c>
      <c r="C30" s="300">
        <v>36791.160000000003</v>
      </c>
      <c r="D30" s="300">
        <v>36394.25</v>
      </c>
      <c r="E30" s="300">
        <v>35747.49</v>
      </c>
      <c r="F30" s="300">
        <v>28696.35</v>
      </c>
      <c r="G30" s="300">
        <v>32983.85</v>
      </c>
      <c r="H30" s="300">
        <v>28355.39</v>
      </c>
      <c r="I30" s="300">
        <v>23829.27</v>
      </c>
      <c r="J30" s="300">
        <v>27101.06</v>
      </c>
      <c r="K30" s="300">
        <v>29564.67</v>
      </c>
      <c r="L30" s="300">
        <v>29540.52</v>
      </c>
      <c r="M30" s="300">
        <v>32114.38</v>
      </c>
      <c r="N30" s="300">
        <v>37212.589999999997</v>
      </c>
      <c r="O30" s="274">
        <f t="shared" si="8"/>
        <v>378330.98</v>
      </c>
      <c r="Q30" s="97" t="s">
        <v>8</v>
      </c>
      <c r="R30" s="97" t="str">
        <f t="shared" si="9"/>
        <v>CFG - FTS-2.1 NR</v>
      </c>
      <c r="T30" s="97" t="s">
        <v>136</v>
      </c>
      <c r="U30" s="249">
        <f t="shared" si="2"/>
        <v>37212.589999999997</v>
      </c>
      <c r="V30" s="249">
        <f t="shared" si="3"/>
        <v>12</v>
      </c>
    </row>
    <row r="31" spans="1:22">
      <c r="A31" s="97">
        <f t="shared" si="0"/>
        <v>31</v>
      </c>
      <c r="B31" s="279" t="s">
        <v>105</v>
      </c>
      <c r="C31" s="300">
        <v>92323.3100000001</v>
      </c>
      <c r="D31" s="300">
        <v>95412.460000000094</v>
      </c>
      <c r="E31" s="300">
        <v>86516.43</v>
      </c>
      <c r="F31" s="300">
        <v>91622.42</v>
      </c>
      <c r="G31" s="300">
        <v>87001.26</v>
      </c>
      <c r="H31" s="300">
        <v>81679.890000000101</v>
      </c>
      <c r="I31" s="300">
        <v>71437.019999999902</v>
      </c>
      <c r="J31" s="300">
        <v>77438.600000000093</v>
      </c>
      <c r="K31" s="300">
        <v>83782.87</v>
      </c>
      <c r="L31" s="300">
        <v>84475.06</v>
      </c>
      <c r="M31" s="300">
        <v>94499.8</v>
      </c>
      <c r="N31" s="300">
        <v>100025.68</v>
      </c>
      <c r="O31" s="274">
        <f t="shared" si="8"/>
        <v>1046214.8000000003</v>
      </c>
      <c r="Q31" s="97" t="s">
        <v>8</v>
      </c>
      <c r="R31" s="97" t="str">
        <f t="shared" si="9"/>
        <v>CFG - FTS-3 NR</v>
      </c>
      <c r="T31" s="97" t="s">
        <v>136</v>
      </c>
      <c r="U31" s="249">
        <f t="shared" si="2"/>
        <v>100025.68</v>
      </c>
      <c r="V31" s="249">
        <f t="shared" si="3"/>
        <v>12</v>
      </c>
    </row>
    <row r="32" spans="1:22">
      <c r="A32" s="97">
        <f t="shared" si="0"/>
        <v>32</v>
      </c>
      <c r="B32" s="279" t="s">
        <v>106</v>
      </c>
      <c r="C32" s="300">
        <v>223570</v>
      </c>
      <c r="D32" s="300">
        <v>225861.64</v>
      </c>
      <c r="E32" s="300">
        <v>202250.93</v>
      </c>
      <c r="F32" s="300">
        <v>203164.43</v>
      </c>
      <c r="G32" s="300">
        <v>197716.04</v>
      </c>
      <c r="H32" s="300">
        <v>203665.85</v>
      </c>
      <c r="I32" s="300">
        <v>172080.8</v>
      </c>
      <c r="J32" s="300">
        <v>173755.53</v>
      </c>
      <c r="K32" s="300">
        <v>184784.49</v>
      </c>
      <c r="L32" s="300">
        <v>177679.69</v>
      </c>
      <c r="M32" s="300">
        <v>189912.36</v>
      </c>
      <c r="N32" s="300">
        <v>220694.24</v>
      </c>
      <c r="O32" s="274">
        <f t="shared" si="8"/>
        <v>2375136</v>
      </c>
      <c r="Q32" s="97" t="s">
        <v>8</v>
      </c>
      <c r="R32" s="97" t="str">
        <f t="shared" si="9"/>
        <v>CFG - FTS-3.1 NR</v>
      </c>
      <c r="T32" s="97" t="s">
        <v>136</v>
      </c>
      <c r="U32" s="249">
        <f t="shared" si="2"/>
        <v>225861.64</v>
      </c>
      <c r="V32" s="249">
        <f t="shared" si="3"/>
        <v>2</v>
      </c>
    </row>
    <row r="33" spans="1:22">
      <c r="A33" s="97">
        <f t="shared" si="0"/>
        <v>33</v>
      </c>
      <c r="B33" s="279" t="s">
        <v>107</v>
      </c>
      <c r="C33" s="300">
        <v>322670.89</v>
      </c>
      <c r="D33" s="300">
        <v>308646.88</v>
      </c>
      <c r="E33" s="300">
        <v>279161.69</v>
      </c>
      <c r="F33" s="300">
        <v>282815.14</v>
      </c>
      <c r="G33" s="300">
        <v>246554.79</v>
      </c>
      <c r="H33" s="300">
        <v>234525.95</v>
      </c>
      <c r="I33" s="300">
        <v>223990.53</v>
      </c>
      <c r="J33" s="300">
        <v>199710.04</v>
      </c>
      <c r="K33" s="300">
        <v>221060.94</v>
      </c>
      <c r="L33" s="300">
        <v>235314.12</v>
      </c>
      <c r="M33" s="300">
        <v>276172.09999999998</v>
      </c>
      <c r="N33" s="300">
        <v>346737.94</v>
      </c>
      <c r="O33" s="274">
        <f t="shared" si="8"/>
        <v>3177361.0100000002</v>
      </c>
      <c r="Q33" s="97" t="s">
        <v>8</v>
      </c>
      <c r="R33" s="97" t="str">
        <f t="shared" ref="R33:R61" si="10">CONCATENATE(Q33," - ",B33)</f>
        <v>CFG - FTS-4</v>
      </c>
      <c r="T33" s="97" t="s">
        <v>136</v>
      </c>
      <c r="U33" s="249">
        <f t="shared" si="2"/>
        <v>346737.94</v>
      </c>
      <c r="V33" s="249">
        <f t="shared" si="3"/>
        <v>12</v>
      </c>
    </row>
    <row r="34" spans="1:22">
      <c r="A34" s="97">
        <f t="shared" si="0"/>
        <v>34</v>
      </c>
      <c r="B34" s="279" t="s">
        <v>111</v>
      </c>
      <c r="C34" s="300">
        <v>112552.44</v>
      </c>
      <c r="D34" s="300">
        <v>97652.76</v>
      </c>
      <c r="E34" s="300">
        <v>98514.3</v>
      </c>
      <c r="F34" s="300">
        <v>92204.17</v>
      </c>
      <c r="G34" s="300">
        <v>95365.1</v>
      </c>
      <c r="H34" s="300">
        <v>80223.3</v>
      </c>
      <c r="I34" s="300">
        <v>76350.820000000007</v>
      </c>
      <c r="J34" s="300">
        <v>74427.649999999994</v>
      </c>
      <c r="K34" s="300">
        <v>80604.320000000007</v>
      </c>
      <c r="L34" s="300">
        <v>69787.55</v>
      </c>
      <c r="M34" s="300">
        <v>85004.36</v>
      </c>
      <c r="N34" s="300">
        <v>92703.75</v>
      </c>
      <c r="O34" s="274">
        <f t="shared" si="8"/>
        <v>1055390.52</v>
      </c>
      <c r="Q34" s="97" t="s">
        <v>8</v>
      </c>
      <c r="R34" s="97" t="str">
        <f t="shared" si="10"/>
        <v>CFG - FTS-5</v>
      </c>
      <c r="T34" s="97" t="s">
        <v>136</v>
      </c>
      <c r="U34" s="249">
        <f t="shared" si="2"/>
        <v>112552.44</v>
      </c>
      <c r="V34" s="249">
        <f t="shared" si="3"/>
        <v>1</v>
      </c>
    </row>
    <row r="35" spans="1:22">
      <c r="A35" s="97">
        <f t="shared" si="0"/>
        <v>35</v>
      </c>
      <c r="B35" s="279" t="s">
        <v>112</v>
      </c>
      <c r="C35" s="300">
        <v>186456.89</v>
      </c>
      <c r="D35" s="300">
        <v>147191.14000000001</v>
      </c>
      <c r="E35" s="300">
        <v>136772.51999999999</v>
      </c>
      <c r="F35" s="300">
        <v>160421.25</v>
      </c>
      <c r="G35" s="300">
        <v>148621.65</v>
      </c>
      <c r="H35" s="300">
        <v>142643.20000000001</v>
      </c>
      <c r="I35" s="300">
        <v>149115.15</v>
      </c>
      <c r="J35" s="300">
        <v>146760.68</v>
      </c>
      <c r="K35" s="300">
        <v>135285.41</v>
      </c>
      <c r="L35" s="300">
        <v>129928.81</v>
      </c>
      <c r="M35" s="300">
        <v>134341.78</v>
      </c>
      <c r="N35" s="300">
        <v>149077.64000000001</v>
      </c>
      <c r="O35" s="274">
        <f t="shared" si="8"/>
        <v>1766616.12</v>
      </c>
      <c r="Q35" s="97" t="s">
        <v>8</v>
      </c>
      <c r="R35" s="97" t="str">
        <f t="shared" si="10"/>
        <v>CFG - FTS-6</v>
      </c>
      <c r="T35" s="97" t="s">
        <v>136</v>
      </c>
      <c r="U35" s="249">
        <f t="shared" si="2"/>
        <v>186456.89</v>
      </c>
      <c r="V35" s="249">
        <f t="shared" si="3"/>
        <v>1</v>
      </c>
    </row>
    <row r="36" spans="1:22">
      <c r="A36" s="97">
        <f t="shared" si="0"/>
        <v>36</v>
      </c>
      <c r="B36" s="279" t="s">
        <v>113</v>
      </c>
      <c r="C36" s="300">
        <v>363983.63</v>
      </c>
      <c r="D36" s="300">
        <v>317150.26</v>
      </c>
      <c r="E36" s="300">
        <v>330053.94</v>
      </c>
      <c r="F36" s="300">
        <v>308370.13</v>
      </c>
      <c r="G36" s="300">
        <v>301402.5</v>
      </c>
      <c r="H36" s="300">
        <v>271455.90999999997</v>
      </c>
      <c r="I36" s="300">
        <v>281036.27</v>
      </c>
      <c r="J36" s="300">
        <v>284605.8</v>
      </c>
      <c r="K36" s="300">
        <v>269100.78000000003</v>
      </c>
      <c r="L36" s="300">
        <v>313173.86</v>
      </c>
      <c r="M36" s="300">
        <v>307116.02</v>
      </c>
      <c r="N36" s="300">
        <v>323870.53999999998</v>
      </c>
      <c r="O36" s="274">
        <f t="shared" si="8"/>
        <v>3671319.6399999997</v>
      </c>
      <c r="Q36" s="97" t="s">
        <v>8</v>
      </c>
      <c r="R36" s="97" t="str">
        <f t="shared" si="10"/>
        <v>CFG - FTS-7</v>
      </c>
      <c r="T36" s="97" t="s">
        <v>136</v>
      </c>
      <c r="U36" s="249">
        <f t="shared" si="2"/>
        <v>363983.63</v>
      </c>
      <c r="V36" s="249">
        <f t="shared" si="3"/>
        <v>1</v>
      </c>
    </row>
    <row r="37" spans="1:22">
      <c r="A37" s="97">
        <f t="shared" si="0"/>
        <v>37</v>
      </c>
      <c r="B37" s="279" t="s">
        <v>114</v>
      </c>
      <c r="C37" s="300">
        <v>489449.3</v>
      </c>
      <c r="D37" s="300">
        <v>437996.87</v>
      </c>
      <c r="E37" s="300">
        <v>480877.57</v>
      </c>
      <c r="F37" s="300">
        <v>373428.64</v>
      </c>
      <c r="G37" s="300">
        <v>351481.62</v>
      </c>
      <c r="H37" s="300">
        <v>379302.45</v>
      </c>
      <c r="I37" s="300">
        <v>369319.59</v>
      </c>
      <c r="J37" s="300">
        <v>393339.09</v>
      </c>
      <c r="K37" s="300">
        <v>349864.47</v>
      </c>
      <c r="L37" s="300">
        <v>424714.26</v>
      </c>
      <c r="M37" s="300">
        <v>433577.47</v>
      </c>
      <c r="N37" s="300">
        <v>491089.52</v>
      </c>
      <c r="O37" s="274">
        <f t="shared" si="8"/>
        <v>4974440.8499999996</v>
      </c>
      <c r="Q37" s="97" t="s">
        <v>8</v>
      </c>
      <c r="R37" s="97" t="str">
        <f t="shared" si="10"/>
        <v>CFG - FTS-8</v>
      </c>
      <c r="T37" s="97" t="s">
        <v>136</v>
      </c>
      <c r="U37" s="249">
        <f t="shared" si="2"/>
        <v>491089.52</v>
      </c>
      <c r="V37" s="249">
        <f t="shared" si="3"/>
        <v>12</v>
      </c>
    </row>
    <row r="38" spans="1:22">
      <c r="A38" s="97">
        <f t="shared" si="0"/>
        <v>38</v>
      </c>
      <c r="B38" s="279" t="s">
        <v>115</v>
      </c>
      <c r="C38" s="300">
        <v>361022.2</v>
      </c>
      <c r="D38" s="300">
        <v>317880.08</v>
      </c>
      <c r="E38" s="300">
        <v>323632.40999999997</v>
      </c>
      <c r="F38" s="300">
        <v>323331.27</v>
      </c>
      <c r="G38" s="300">
        <v>314227.31</v>
      </c>
      <c r="H38" s="300">
        <v>302439.11</v>
      </c>
      <c r="I38" s="300">
        <v>302813.90000000002</v>
      </c>
      <c r="J38" s="300">
        <v>305295.59000000003</v>
      </c>
      <c r="K38" s="300">
        <v>290221.74</v>
      </c>
      <c r="L38" s="300">
        <v>322664.71999999997</v>
      </c>
      <c r="M38" s="300">
        <v>296890.55</v>
      </c>
      <c r="N38" s="300">
        <v>304805.96999999997</v>
      </c>
      <c r="O38" s="274">
        <f t="shared" si="8"/>
        <v>3765224.8499999987</v>
      </c>
      <c r="Q38" s="97" t="s">
        <v>8</v>
      </c>
      <c r="R38" s="97" t="str">
        <f t="shared" si="10"/>
        <v>CFG - FTS-9</v>
      </c>
      <c r="T38" s="97" t="s">
        <v>136</v>
      </c>
      <c r="U38" s="249">
        <f t="shared" si="2"/>
        <v>361022.2</v>
      </c>
      <c r="V38" s="249">
        <f t="shared" si="3"/>
        <v>1</v>
      </c>
    </row>
    <row r="39" spans="1:22">
      <c r="A39" s="97">
        <f t="shared" si="0"/>
        <v>39</v>
      </c>
      <c r="B39" s="279" t="s">
        <v>116</v>
      </c>
      <c r="C39" s="300">
        <v>239601.93</v>
      </c>
      <c r="D39" s="300">
        <v>210362.09</v>
      </c>
      <c r="E39" s="300">
        <v>234976.08</v>
      </c>
      <c r="F39" s="300">
        <v>228450.29</v>
      </c>
      <c r="G39" s="300">
        <v>211952.08</v>
      </c>
      <c r="H39" s="300">
        <v>186404.8</v>
      </c>
      <c r="I39" s="300">
        <v>157973.16</v>
      </c>
      <c r="J39" s="300">
        <v>186918.41</v>
      </c>
      <c r="K39" s="300">
        <v>184300.17</v>
      </c>
      <c r="L39" s="300">
        <v>205926.24</v>
      </c>
      <c r="M39" s="300">
        <v>208155.4</v>
      </c>
      <c r="N39" s="300">
        <v>201414.66</v>
      </c>
      <c r="O39" s="274">
        <f t="shared" si="8"/>
        <v>2456435.31</v>
      </c>
      <c r="Q39" s="97" t="s">
        <v>8</v>
      </c>
      <c r="R39" s="97" t="str">
        <f t="shared" si="10"/>
        <v>CFG - FTS-10</v>
      </c>
      <c r="T39" s="97" t="s">
        <v>136</v>
      </c>
      <c r="U39" s="249">
        <f t="shared" si="2"/>
        <v>239601.93</v>
      </c>
      <c r="V39" s="249">
        <f t="shared" si="3"/>
        <v>1</v>
      </c>
    </row>
    <row r="40" spans="1:22">
      <c r="A40" s="97">
        <f t="shared" si="0"/>
        <v>40</v>
      </c>
      <c r="B40" s="279" t="s">
        <v>117</v>
      </c>
      <c r="C40" s="300">
        <v>436829.31</v>
      </c>
      <c r="D40" s="300">
        <v>365645.74</v>
      </c>
      <c r="E40" s="300">
        <v>399252.69</v>
      </c>
      <c r="F40" s="300">
        <v>200793.19</v>
      </c>
      <c r="G40" s="300">
        <v>243187.86</v>
      </c>
      <c r="H40" s="300">
        <v>216558.34</v>
      </c>
      <c r="I40" s="300">
        <v>199991.59</v>
      </c>
      <c r="J40" s="300">
        <v>215654.9</v>
      </c>
      <c r="K40" s="300">
        <v>208652.86</v>
      </c>
      <c r="L40" s="300">
        <v>187856.1</v>
      </c>
      <c r="M40" s="300">
        <v>222918.21</v>
      </c>
      <c r="N40" s="300">
        <v>204962.93</v>
      </c>
      <c r="O40" s="274">
        <f t="shared" si="8"/>
        <v>3102303.72</v>
      </c>
      <c r="Q40" s="97" t="s">
        <v>8</v>
      </c>
      <c r="R40" s="97" t="str">
        <f t="shared" si="10"/>
        <v>CFG - FTS-11</v>
      </c>
      <c r="T40" s="97" t="s">
        <v>136</v>
      </c>
      <c r="U40" s="249">
        <f t="shared" si="2"/>
        <v>436829.31</v>
      </c>
      <c r="V40" s="249">
        <f t="shared" si="3"/>
        <v>1</v>
      </c>
    </row>
    <row r="41" spans="1:22">
      <c r="A41" s="97">
        <f t="shared" si="0"/>
        <v>41</v>
      </c>
      <c r="B41" s="279" t="s">
        <v>118</v>
      </c>
      <c r="C41" s="300">
        <v>1484735.7</v>
      </c>
      <c r="D41" s="300">
        <v>1335174.83</v>
      </c>
      <c r="E41" s="300">
        <v>1559896.51</v>
      </c>
      <c r="F41" s="300">
        <v>1498968.49</v>
      </c>
      <c r="G41" s="300">
        <v>1661854.09</v>
      </c>
      <c r="H41" s="300">
        <v>1559113.09</v>
      </c>
      <c r="I41" s="300">
        <v>1622479.43</v>
      </c>
      <c r="J41" s="300">
        <v>1485011.55</v>
      </c>
      <c r="K41" s="300">
        <v>1141517.67</v>
      </c>
      <c r="L41" s="300">
        <v>1326368.17</v>
      </c>
      <c r="M41" s="300">
        <v>1434005.38</v>
      </c>
      <c r="N41" s="300">
        <v>1347608.88</v>
      </c>
      <c r="O41" s="274">
        <f t="shared" si="8"/>
        <v>17456733.789999999</v>
      </c>
      <c r="Q41" s="97" t="s">
        <v>8</v>
      </c>
      <c r="R41" s="97" t="str">
        <f t="shared" si="10"/>
        <v>CFG - FTS-12</v>
      </c>
      <c r="T41" s="97" t="s">
        <v>136</v>
      </c>
      <c r="U41" s="249">
        <f t="shared" si="2"/>
        <v>1661854.09</v>
      </c>
      <c r="V41" s="249">
        <f t="shared" si="3"/>
        <v>5</v>
      </c>
    </row>
    <row r="42" spans="1:22" ht="12" customHeight="1">
      <c r="A42" s="97">
        <f t="shared" si="0"/>
        <v>42</v>
      </c>
      <c r="B42" s="279" t="s">
        <v>119</v>
      </c>
      <c r="C42" s="300"/>
      <c r="D42" s="300"/>
      <c r="E42" s="300"/>
      <c r="F42" s="301">
        <v>190819</v>
      </c>
      <c r="G42" s="301">
        <v>202376</v>
      </c>
      <c r="H42" s="301">
        <v>193570</v>
      </c>
      <c r="I42" s="301">
        <v>203154</v>
      </c>
      <c r="J42" s="301">
        <v>196843</v>
      </c>
      <c r="K42" s="301">
        <v>192031</v>
      </c>
      <c r="L42" s="301">
        <v>175928.4</v>
      </c>
      <c r="M42" s="300">
        <v>151375.10999999999</v>
      </c>
      <c r="N42" s="300">
        <v>139744.84</v>
      </c>
      <c r="O42" s="274">
        <f t="shared" si="8"/>
        <v>1645841.3499999999</v>
      </c>
      <c r="Q42" s="97" t="s">
        <v>8</v>
      </c>
      <c r="R42" s="97" t="str">
        <f t="shared" si="10"/>
        <v>CFG - FTS-NGV</v>
      </c>
      <c r="T42" s="97" t="s">
        <v>136</v>
      </c>
      <c r="U42" s="249">
        <f t="shared" si="2"/>
        <v>203154</v>
      </c>
      <c r="V42" s="249">
        <f t="shared" si="3"/>
        <v>7</v>
      </c>
    </row>
    <row r="43" spans="1:22">
      <c r="A43" s="97">
        <f t="shared" si="0"/>
        <v>43</v>
      </c>
      <c r="B43" s="279" t="s">
        <v>99</v>
      </c>
      <c r="C43" s="300">
        <v>104882.68999999999</v>
      </c>
      <c r="D43" s="300">
        <v>100675.17999999992</v>
      </c>
      <c r="E43" s="300">
        <v>83859.719999999972</v>
      </c>
      <c r="F43" s="300">
        <v>90093.059999999939</v>
      </c>
      <c r="G43" s="300">
        <v>75976.930000000109</v>
      </c>
      <c r="H43" s="300">
        <v>69818.949999999968</v>
      </c>
      <c r="I43" s="300">
        <v>55014.64999999998</v>
      </c>
      <c r="J43" s="300">
        <v>63249.129999999983</v>
      </c>
      <c r="K43" s="300">
        <v>69216.620000000024</v>
      </c>
      <c r="L43" s="300">
        <v>73985.719999999972</v>
      </c>
      <c r="M43" s="300">
        <v>91244.209999999963</v>
      </c>
      <c r="N43" s="300">
        <v>103246.34</v>
      </c>
      <c r="O43" s="274">
        <f t="shared" si="8"/>
        <v>981263.19999999984</v>
      </c>
      <c r="Q43" s="97" t="s">
        <v>7</v>
      </c>
      <c r="R43" s="97" t="str">
        <f t="shared" si="10"/>
        <v>FPU - FPU - GS - 1</v>
      </c>
      <c r="T43" s="97" t="s">
        <v>137</v>
      </c>
      <c r="U43" s="249">
        <f t="shared" si="2"/>
        <v>104882.68999999999</v>
      </c>
      <c r="V43" s="249">
        <f t="shared" si="3"/>
        <v>1</v>
      </c>
    </row>
    <row r="44" spans="1:22">
      <c r="A44" s="97">
        <f t="shared" si="0"/>
        <v>44</v>
      </c>
      <c r="B44" s="279" t="s">
        <v>138</v>
      </c>
      <c r="C44" s="300">
        <v>74064.23000000001</v>
      </c>
      <c r="D44" s="300">
        <v>74582.869999999981</v>
      </c>
      <c r="E44" s="300">
        <v>62878.2</v>
      </c>
      <c r="F44" s="300">
        <v>61713.160000000018</v>
      </c>
      <c r="G44" s="300">
        <v>53251.269999999982</v>
      </c>
      <c r="H44" s="300">
        <v>47057.820000000022</v>
      </c>
      <c r="I44" s="300">
        <v>43895.249999999993</v>
      </c>
      <c r="J44" s="300">
        <v>52444.80999999999</v>
      </c>
      <c r="K44" s="300">
        <v>47718.609999999993</v>
      </c>
      <c r="L44" s="300">
        <v>47390.090000000033</v>
      </c>
      <c r="M44" s="300">
        <v>51947.300000000025</v>
      </c>
      <c r="N44" s="300">
        <v>64346.779999999992</v>
      </c>
      <c r="O44" s="274">
        <f t="shared" si="8"/>
        <v>681290.39000000013</v>
      </c>
      <c r="Q44" s="97" t="s">
        <v>7</v>
      </c>
      <c r="R44" s="97" t="str">
        <f t="shared" si="10"/>
        <v>FPU - FPU - GSTS - 1</v>
      </c>
      <c r="T44" s="97" t="s">
        <v>139</v>
      </c>
      <c r="U44" s="249">
        <f t="shared" si="2"/>
        <v>74582.869999999981</v>
      </c>
      <c r="V44" s="249">
        <f t="shared" si="3"/>
        <v>2</v>
      </c>
    </row>
    <row r="45" spans="1:22">
      <c r="A45" s="97">
        <f t="shared" si="0"/>
        <v>45</v>
      </c>
      <c r="B45" s="279" t="s">
        <v>140</v>
      </c>
      <c r="C45" s="300">
        <v>746543.57999999938</v>
      </c>
      <c r="D45" s="300">
        <v>720253.33999999892</v>
      </c>
      <c r="E45" s="300">
        <v>612709.96</v>
      </c>
      <c r="F45" s="300">
        <v>595580.43000000052</v>
      </c>
      <c r="G45" s="300">
        <v>528995.59000000043</v>
      </c>
      <c r="H45" s="300">
        <v>497017.20000000036</v>
      </c>
      <c r="I45" s="300">
        <v>367311.72000000061</v>
      </c>
      <c r="J45" s="300">
        <v>455320.84999999881</v>
      </c>
      <c r="K45" s="300">
        <v>459653.79000000004</v>
      </c>
      <c r="L45" s="300">
        <v>471510.91999999934</v>
      </c>
      <c r="M45" s="300">
        <v>558145.07999999996</v>
      </c>
      <c r="N45" s="300">
        <v>689893.54000000027</v>
      </c>
      <c r="O45" s="274">
        <f t="shared" si="8"/>
        <v>6702935.9999999981</v>
      </c>
      <c r="Q45" s="97" t="s">
        <v>7</v>
      </c>
      <c r="R45" s="97" t="str">
        <f t="shared" si="10"/>
        <v>FPU - FPU - GS - 2</v>
      </c>
      <c r="T45" s="97" t="s">
        <v>137</v>
      </c>
      <c r="U45" s="249">
        <f t="shared" si="2"/>
        <v>746543.57999999938</v>
      </c>
      <c r="V45" s="249">
        <f t="shared" si="3"/>
        <v>1</v>
      </c>
    </row>
    <row r="46" spans="1:22">
      <c r="A46" s="97">
        <f t="shared" si="0"/>
        <v>46</v>
      </c>
      <c r="B46" s="279" t="s">
        <v>141</v>
      </c>
      <c r="C46" s="300">
        <v>531260.33999999973</v>
      </c>
      <c r="D46" s="300">
        <v>510486.36</v>
      </c>
      <c r="E46" s="300">
        <v>465468.71999999945</v>
      </c>
      <c r="F46" s="300">
        <v>465455.00000000035</v>
      </c>
      <c r="G46" s="300">
        <v>433433.87000000005</v>
      </c>
      <c r="H46" s="300">
        <v>413280.03000000009</v>
      </c>
      <c r="I46" s="300">
        <v>360089.40999999968</v>
      </c>
      <c r="J46" s="300">
        <v>379069.7300000001</v>
      </c>
      <c r="K46" s="300">
        <v>380204.36000000022</v>
      </c>
      <c r="L46" s="300">
        <v>383228.70999999921</v>
      </c>
      <c r="M46" s="300">
        <v>448050.16999999981</v>
      </c>
      <c r="N46" s="300">
        <v>515518.16</v>
      </c>
      <c r="O46" s="274">
        <f t="shared" si="8"/>
        <v>5285544.8599999994</v>
      </c>
      <c r="Q46" s="97" t="s">
        <v>7</v>
      </c>
      <c r="R46" s="97" t="str">
        <f t="shared" si="10"/>
        <v>FPU - FPU - GSTS - 2</v>
      </c>
      <c r="T46" s="97" t="s">
        <v>139</v>
      </c>
      <c r="U46" s="249">
        <f t="shared" si="2"/>
        <v>531260.33999999973</v>
      </c>
      <c r="V46" s="249">
        <f t="shared" si="3"/>
        <v>1</v>
      </c>
    </row>
    <row r="47" spans="1:22">
      <c r="A47" s="97">
        <f t="shared" si="0"/>
        <v>47</v>
      </c>
      <c r="B47" s="279" t="s">
        <v>142</v>
      </c>
      <c r="C47" s="300">
        <v>3766.7699999999995</v>
      </c>
      <c r="D47" s="300">
        <v>3584.46</v>
      </c>
      <c r="E47" s="300">
        <v>3301.550000000002</v>
      </c>
      <c r="F47" s="300">
        <v>3256.6999999999989</v>
      </c>
      <c r="G47" s="300">
        <v>3750.3700000000003</v>
      </c>
      <c r="H47" s="300">
        <v>3393.18</v>
      </c>
      <c r="I47" s="300">
        <v>2772.1099999999997</v>
      </c>
      <c r="J47" s="300">
        <v>3302.85</v>
      </c>
      <c r="K47" s="300">
        <v>3667.1199999999976</v>
      </c>
      <c r="L47" s="300">
        <v>5028.5100000000011</v>
      </c>
      <c r="M47" s="300">
        <v>4726.9199999999983</v>
      </c>
      <c r="N47" s="300">
        <v>7099.0399999999991</v>
      </c>
      <c r="O47" s="274">
        <f t="shared" si="8"/>
        <v>47649.58</v>
      </c>
      <c r="Q47" s="97" t="s">
        <v>7</v>
      </c>
      <c r="R47" s="97" t="str">
        <f t="shared" si="10"/>
        <v>FPU - FPU - CS - GS</v>
      </c>
      <c r="T47" s="97" t="s">
        <v>137</v>
      </c>
      <c r="U47" s="249">
        <f t="shared" si="2"/>
        <v>7099.0399999999991</v>
      </c>
      <c r="V47" s="249">
        <f t="shared" si="3"/>
        <v>12</v>
      </c>
    </row>
    <row r="48" spans="1:22">
      <c r="A48" s="97">
        <f t="shared" si="0"/>
        <v>48</v>
      </c>
      <c r="B48" s="279" t="s">
        <v>143</v>
      </c>
      <c r="C48" s="300">
        <v>947194.23000000056</v>
      </c>
      <c r="D48" s="300">
        <v>869963.99999999942</v>
      </c>
      <c r="E48" s="300">
        <v>768394.69000000018</v>
      </c>
      <c r="F48" s="300">
        <v>851475.99000000069</v>
      </c>
      <c r="G48" s="300">
        <v>749208.3399999995</v>
      </c>
      <c r="H48" s="300">
        <v>731512.10999999952</v>
      </c>
      <c r="I48" s="300">
        <v>642124.59000000008</v>
      </c>
      <c r="J48" s="300">
        <v>672481.29000000062</v>
      </c>
      <c r="K48" s="300">
        <v>580866.3399999995</v>
      </c>
      <c r="L48" s="300">
        <v>637929.98999999987</v>
      </c>
      <c r="M48" s="300">
        <v>763358.9100000005</v>
      </c>
      <c r="N48" s="300">
        <v>880746.43000000017</v>
      </c>
      <c r="O48" s="274">
        <f t="shared" si="8"/>
        <v>9095256.9100000001</v>
      </c>
      <c r="Q48" s="97" t="s">
        <v>7</v>
      </c>
      <c r="R48" s="97" t="str">
        <f t="shared" si="10"/>
        <v>FPU - FPU - LVS</v>
      </c>
      <c r="T48" s="97" t="s">
        <v>144</v>
      </c>
      <c r="U48" s="249">
        <f t="shared" si="2"/>
        <v>947194.23000000056</v>
      </c>
      <c r="V48" s="249">
        <f t="shared" si="3"/>
        <v>1</v>
      </c>
    </row>
    <row r="49" spans="1:22">
      <c r="A49" s="97">
        <f t="shared" si="0"/>
        <v>49</v>
      </c>
      <c r="B49" s="279" t="s">
        <v>145</v>
      </c>
      <c r="C49" s="300">
        <v>0</v>
      </c>
      <c r="D49" s="300">
        <v>0</v>
      </c>
      <c r="E49" s="300">
        <v>0</v>
      </c>
      <c r="F49" s="300">
        <v>0</v>
      </c>
      <c r="G49" s="300">
        <v>0</v>
      </c>
      <c r="H49" s="300">
        <v>0</v>
      </c>
      <c r="I49" s="300">
        <v>0</v>
      </c>
      <c r="J49" s="300">
        <v>0</v>
      </c>
      <c r="K49" s="300"/>
      <c r="L49" s="300">
        <v>0</v>
      </c>
      <c r="M49" s="300">
        <v>0</v>
      </c>
      <c r="N49" s="300">
        <v>0</v>
      </c>
      <c r="O49" s="274">
        <f t="shared" si="8"/>
        <v>0</v>
      </c>
      <c r="Q49" s="97" t="s">
        <v>7</v>
      </c>
      <c r="R49" s="97" t="str">
        <f t="shared" si="10"/>
        <v>FPU - FPU - LVTS &lt;50k</v>
      </c>
      <c r="U49" s="249">
        <f t="shared" si="2"/>
        <v>0</v>
      </c>
      <c r="V49" s="249">
        <f t="shared" si="3"/>
        <v>1</v>
      </c>
    </row>
    <row r="50" spans="1:22">
      <c r="A50" s="97">
        <f t="shared" si="0"/>
        <v>50</v>
      </c>
      <c r="B50" s="279" t="s">
        <v>146</v>
      </c>
      <c r="C50" s="300">
        <v>3285817.3499999973</v>
      </c>
      <c r="D50" s="300">
        <v>2917290.27</v>
      </c>
      <c r="E50" s="300">
        <v>2850994.7000000011</v>
      </c>
      <c r="F50" s="300">
        <v>2824900.299999998</v>
      </c>
      <c r="G50" s="300">
        <v>2780252.489999996</v>
      </c>
      <c r="H50" s="300">
        <v>2537660.9199999981</v>
      </c>
      <c r="I50" s="300">
        <v>2388022.4999999991</v>
      </c>
      <c r="J50" s="300">
        <v>2503486.8600000013</v>
      </c>
      <c r="K50" s="300">
        <v>2396999.23</v>
      </c>
      <c r="L50" s="300">
        <v>2550170.6100000022</v>
      </c>
      <c r="M50" s="300">
        <v>2851256.73</v>
      </c>
      <c r="N50" s="300">
        <v>3110594.5999999959</v>
      </c>
      <c r="O50" s="274">
        <f t="shared" si="8"/>
        <v>32997446.559999995</v>
      </c>
      <c r="Q50" s="97" t="s">
        <v>7</v>
      </c>
      <c r="R50" s="97" t="str">
        <f t="shared" si="10"/>
        <v>FPU - FPU - LVTS &gt;50k</v>
      </c>
      <c r="T50" s="97" t="s">
        <v>147</v>
      </c>
      <c r="U50" s="249">
        <f t="shared" si="2"/>
        <v>3285817.3499999973</v>
      </c>
      <c r="V50" s="249">
        <f t="shared" si="3"/>
        <v>1</v>
      </c>
    </row>
    <row r="51" spans="1:22">
      <c r="A51" s="97">
        <f t="shared" si="0"/>
        <v>51</v>
      </c>
      <c r="B51" s="279" t="s">
        <v>148</v>
      </c>
      <c r="C51" s="300">
        <v>0</v>
      </c>
      <c r="D51" s="300">
        <v>0</v>
      </c>
      <c r="E51" s="300">
        <v>0</v>
      </c>
      <c r="F51" s="300">
        <v>0</v>
      </c>
      <c r="G51" s="300">
        <v>0</v>
      </c>
      <c r="H51" s="300">
        <v>0</v>
      </c>
      <c r="I51" s="300">
        <v>0</v>
      </c>
      <c r="J51" s="300">
        <v>0</v>
      </c>
      <c r="K51" s="300"/>
      <c r="L51" s="300">
        <v>0</v>
      </c>
      <c r="M51" s="300">
        <v>0</v>
      </c>
      <c r="N51" s="300">
        <v>0</v>
      </c>
      <c r="O51" s="274">
        <f t="shared" si="8"/>
        <v>0</v>
      </c>
      <c r="Q51" s="97" t="s">
        <v>7</v>
      </c>
      <c r="R51" s="97" t="str">
        <f t="shared" si="10"/>
        <v>FPU - FPU - IS</v>
      </c>
      <c r="U51" s="249">
        <f t="shared" si="2"/>
        <v>0</v>
      </c>
      <c r="V51" s="249">
        <f t="shared" si="3"/>
        <v>1</v>
      </c>
    </row>
    <row r="52" spans="1:22">
      <c r="A52" s="97">
        <f t="shared" si="0"/>
        <v>52</v>
      </c>
      <c r="B52" s="279" t="s">
        <v>149</v>
      </c>
      <c r="C52" s="300">
        <v>907429.37000000011</v>
      </c>
      <c r="D52" s="300">
        <v>802911.97999999986</v>
      </c>
      <c r="E52" s="300">
        <v>836572.22</v>
      </c>
      <c r="F52" s="300">
        <v>858687.07000000018</v>
      </c>
      <c r="G52" s="300">
        <v>804128.58</v>
      </c>
      <c r="H52" s="300">
        <v>825504.08</v>
      </c>
      <c r="I52" s="300">
        <v>832482.20000000007</v>
      </c>
      <c r="J52" s="300">
        <v>781958.63</v>
      </c>
      <c r="K52" s="300">
        <v>775286.75</v>
      </c>
      <c r="L52" s="300">
        <v>872856.05999999994</v>
      </c>
      <c r="M52" s="300">
        <v>830506.62</v>
      </c>
      <c r="N52" s="300">
        <v>862879.25000000012</v>
      </c>
      <c r="O52" s="274">
        <f t="shared" si="8"/>
        <v>9991202.8100000005</v>
      </c>
      <c r="Q52" s="97" t="s">
        <v>7</v>
      </c>
      <c r="R52" s="97" t="str">
        <f t="shared" si="10"/>
        <v>FPU - FPU - ITS</v>
      </c>
      <c r="T52" s="97" t="s">
        <v>150</v>
      </c>
      <c r="U52" s="249">
        <f t="shared" si="2"/>
        <v>907429.37000000011</v>
      </c>
      <c r="V52" s="249">
        <f t="shared" si="3"/>
        <v>1</v>
      </c>
    </row>
    <row r="53" spans="1:22">
      <c r="A53" s="97">
        <f t="shared" si="0"/>
        <v>53</v>
      </c>
      <c r="B53" s="279" t="s">
        <v>151</v>
      </c>
      <c r="C53" s="300">
        <v>11878.22</v>
      </c>
      <c r="D53" s="300">
        <v>11878.22</v>
      </c>
      <c r="E53" s="300">
        <v>11878.22</v>
      </c>
      <c r="F53" s="300">
        <v>10501.22</v>
      </c>
      <c r="G53" s="300">
        <v>10960.22</v>
      </c>
      <c r="H53" s="300">
        <v>10960.22</v>
      </c>
      <c r="I53" s="300">
        <v>10150.219999999999</v>
      </c>
      <c r="J53" s="300">
        <v>9365.2200000000012</v>
      </c>
      <c r="K53" s="300">
        <v>9526.2199999999993</v>
      </c>
      <c r="L53" s="300">
        <v>9526.2199999999993</v>
      </c>
      <c r="M53" s="300">
        <v>9526.2199999999993</v>
      </c>
      <c r="N53" s="300">
        <v>9526.2199999999993</v>
      </c>
      <c r="O53" s="274">
        <f t="shared" si="8"/>
        <v>125676.64</v>
      </c>
      <c r="Q53" s="97" t="s">
        <v>7</v>
      </c>
      <c r="R53" s="97" t="str">
        <f t="shared" si="10"/>
        <v>FPU - FPU - GLS</v>
      </c>
      <c r="T53" s="97" t="s">
        <v>152</v>
      </c>
      <c r="U53" s="249">
        <f t="shared" si="2"/>
        <v>11878.22</v>
      </c>
      <c r="V53" s="249">
        <f t="shared" si="3"/>
        <v>1</v>
      </c>
    </row>
    <row r="54" spans="1:22">
      <c r="A54" s="97">
        <f t="shared" si="0"/>
        <v>54</v>
      </c>
      <c r="B54" s="279" t="s">
        <v>153</v>
      </c>
      <c r="C54" s="300">
        <v>0</v>
      </c>
      <c r="D54" s="300">
        <v>0</v>
      </c>
      <c r="E54" s="300">
        <v>0</v>
      </c>
      <c r="F54" s="300">
        <v>0</v>
      </c>
      <c r="G54" s="300">
        <v>0</v>
      </c>
      <c r="H54" s="300">
        <v>0</v>
      </c>
      <c r="I54" s="300">
        <v>0</v>
      </c>
      <c r="J54" s="300">
        <v>0</v>
      </c>
      <c r="K54" s="300"/>
      <c r="L54" s="300">
        <v>0</v>
      </c>
      <c r="M54" s="300">
        <v>0</v>
      </c>
      <c r="N54" s="300">
        <v>0</v>
      </c>
      <c r="O54" s="274">
        <f t="shared" si="8"/>
        <v>0</v>
      </c>
      <c r="Q54" s="97" t="s">
        <v>7</v>
      </c>
      <c r="R54" s="97" t="str">
        <f t="shared" si="10"/>
        <v>FPU - FPU-NGVS</v>
      </c>
      <c r="U54" s="249">
        <f t="shared" si="2"/>
        <v>0</v>
      </c>
      <c r="V54" s="249">
        <f t="shared" si="3"/>
        <v>1</v>
      </c>
    </row>
    <row r="55" spans="1:22">
      <c r="A55" s="97">
        <f t="shared" si="0"/>
        <v>55</v>
      </c>
      <c r="B55" s="279" t="s">
        <v>154</v>
      </c>
      <c r="C55" s="300">
        <v>56506.71</v>
      </c>
      <c r="D55" s="300">
        <v>45450.78</v>
      </c>
      <c r="E55" s="300">
        <v>50660.5</v>
      </c>
      <c r="F55" s="300">
        <v>52911.819999999992</v>
      </c>
      <c r="G55" s="300">
        <v>56943.81</v>
      </c>
      <c r="H55" s="300">
        <v>52555.76</v>
      </c>
      <c r="I55" s="300">
        <v>65166.81</v>
      </c>
      <c r="J55" s="300">
        <v>70954.8</v>
      </c>
      <c r="K55" s="300">
        <v>65809.789999999994</v>
      </c>
      <c r="L55" s="300">
        <v>74965.25</v>
      </c>
      <c r="M55" s="300">
        <v>69884.099999999991</v>
      </c>
      <c r="N55" s="300">
        <v>70163.64</v>
      </c>
      <c r="O55" s="274">
        <f t="shared" si="8"/>
        <v>731973.77</v>
      </c>
      <c r="Q55" s="97" t="s">
        <v>7</v>
      </c>
      <c r="R55" s="97" t="str">
        <f t="shared" si="10"/>
        <v>FPU - FPU- NGVTS</v>
      </c>
      <c r="T55" s="97" t="s">
        <v>139</v>
      </c>
      <c r="U55" s="249">
        <f t="shared" si="2"/>
        <v>74965.25</v>
      </c>
      <c r="V55" s="249">
        <f t="shared" si="3"/>
        <v>10</v>
      </c>
    </row>
    <row r="56" spans="1:22">
      <c r="A56" s="97">
        <f t="shared" si="0"/>
        <v>56</v>
      </c>
      <c r="B56" s="279" t="s">
        <v>155</v>
      </c>
      <c r="C56" s="300">
        <v>61.35</v>
      </c>
      <c r="D56" s="300">
        <v>84</v>
      </c>
      <c r="E56" s="300">
        <v>17</v>
      </c>
      <c r="F56" s="300">
        <v>10.540000000000001</v>
      </c>
      <c r="G56" s="300">
        <v>2.09</v>
      </c>
      <c r="H56" s="300">
        <v>0</v>
      </c>
      <c r="I56" s="300">
        <v>2.08</v>
      </c>
      <c r="J56" s="300">
        <v>6.24</v>
      </c>
      <c r="K56" s="300">
        <v>18.72</v>
      </c>
      <c r="L56" s="300">
        <v>5.2</v>
      </c>
      <c r="M56" s="300">
        <v>15.6</v>
      </c>
      <c r="N56" s="300">
        <v>89.79</v>
      </c>
      <c r="O56" s="274">
        <f t="shared" si="8"/>
        <v>312.61</v>
      </c>
      <c r="Q56" s="97" t="s">
        <v>5</v>
      </c>
      <c r="R56" s="97" t="str">
        <f t="shared" si="10"/>
        <v>FT - FT-Comm PA</v>
      </c>
      <c r="S56" s="97" t="s">
        <v>89</v>
      </c>
      <c r="T56" s="97" t="s">
        <v>156</v>
      </c>
      <c r="U56" s="249">
        <f t="shared" si="2"/>
        <v>89.79</v>
      </c>
      <c r="V56" s="249">
        <f t="shared" si="3"/>
        <v>12</v>
      </c>
    </row>
    <row r="57" spans="1:22">
      <c r="A57" s="97">
        <f t="shared" si="0"/>
        <v>57</v>
      </c>
      <c r="B57" s="279" t="s">
        <v>157</v>
      </c>
      <c r="C57" s="300">
        <v>7463.34</v>
      </c>
      <c r="D57" s="300">
        <v>6005</v>
      </c>
      <c r="E57" s="300">
        <v>4016</v>
      </c>
      <c r="F57" s="300">
        <v>4213.58</v>
      </c>
      <c r="G57" s="300">
        <v>3540.98</v>
      </c>
      <c r="H57" s="300">
        <v>3452.21</v>
      </c>
      <c r="I57" s="300">
        <v>2059.2200000000003</v>
      </c>
      <c r="J57" s="300">
        <v>10567.42</v>
      </c>
      <c r="K57" s="300">
        <v>9780.82</v>
      </c>
      <c r="L57" s="300">
        <v>12903.29</v>
      </c>
      <c r="M57" s="300">
        <v>16376.58</v>
      </c>
      <c r="N57" s="300">
        <v>24866.559999999998</v>
      </c>
      <c r="O57" s="274">
        <f t="shared" si="8"/>
        <v>105245</v>
      </c>
      <c r="Q57" s="97" t="s">
        <v>5</v>
      </c>
      <c r="R57" s="97" t="str">
        <f t="shared" si="10"/>
        <v>FT - FT-Comm Small</v>
      </c>
      <c r="S57" s="97" t="s">
        <v>158</v>
      </c>
      <c r="T57" s="97" t="s">
        <v>156</v>
      </c>
      <c r="U57" s="249">
        <f t="shared" si="2"/>
        <v>24866.559999999998</v>
      </c>
      <c r="V57" s="249">
        <f t="shared" si="3"/>
        <v>12</v>
      </c>
    </row>
    <row r="58" spans="1:22">
      <c r="A58" s="97">
        <f t="shared" si="0"/>
        <v>58</v>
      </c>
      <c r="B58" s="279" t="s">
        <v>159</v>
      </c>
      <c r="C58" s="300">
        <f>1856+667</f>
        <v>2523</v>
      </c>
      <c r="D58" s="300">
        <f>1713+519</f>
        <v>2232</v>
      </c>
      <c r="E58" s="300">
        <v>2450</v>
      </c>
      <c r="F58" s="300">
        <v>2187</v>
      </c>
      <c r="G58" s="300">
        <v>2308.7399999999998</v>
      </c>
      <c r="H58" s="300">
        <v>1971.46</v>
      </c>
      <c r="I58" s="300">
        <v>1621.58</v>
      </c>
      <c r="J58" s="300">
        <v>1946.47</v>
      </c>
      <c r="K58" s="300">
        <v>2162.8200000000002</v>
      </c>
      <c r="L58" s="300">
        <v>2207.62</v>
      </c>
      <c r="M58" s="300">
        <v>2192.12</v>
      </c>
      <c r="N58" s="300">
        <v>2215.41</v>
      </c>
      <c r="O58" s="274">
        <f t="shared" si="8"/>
        <v>26018.219999999998</v>
      </c>
      <c r="Q58" s="97" t="s">
        <v>5</v>
      </c>
      <c r="R58" s="97" t="str">
        <f t="shared" si="10"/>
        <v>FT - FT-Transportation</v>
      </c>
      <c r="S58" s="97" t="s">
        <v>158</v>
      </c>
      <c r="T58" s="97" t="s">
        <v>160</v>
      </c>
      <c r="U58" s="249">
        <f t="shared" si="2"/>
        <v>2523</v>
      </c>
      <c r="V58" s="249">
        <f t="shared" si="3"/>
        <v>1</v>
      </c>
    </row>
    <row r="59" spans="1:22">
      <c r="A59" s="97">
        <f t="shared" si="0"/>
        <v>59</v>
      </c>
      <c r="B59" s="276" t="s">
        <v>95</v>
      </c>
      <c r="C59" s="300">
        <v>7078.9699999999993</v>
      </c>
      <c r="D59" s="300">
        <v>6864.81</v>
      </c>
      <c r="E59" s="300">
        <v>7091.27</v>
      </c>
      <c r="F59" s="300">
        <v>6953.58</v>
      </c>
      <c r="G59" s="300">
        <v>7347.97</v>
      </c>
      <c r="H59" s="300">
        <v>6512.81</v>
      </c>
      <c r="I59" s="300">
        <v>7009.5000000000009</v>
      </c>
      <c r="J59" s="300">
        <v>6164.6699999999983</v>
      </c>
      <c r="K59" s="300">
        <f>6497.55+36.28</f>
        <v>6533.83</v>
      </c>
      <c r="L59" s="300">
        <v>7296.1600000000017</v>
      </c>
      <c r="M59" s="300">
        <v>6681.9599999999991</v>
      </c>
      <c r="N59" s="300">
        <v>8000.81</v>
      </c>
      <c r="O59" s="274">
        <f t="shared" si="8"/>
        <v>83536.34</v>
      </c>
      <c r="Q59" s="97" t="s">
        <v>4</v>
      </c>
      <c r="R59" s="97" t="str">
        <f t="shared" si="10"/>
        <v>IGC - IGC - TS2</v>
      </c>
      <c r="T59" s="97" t="s">
        <v>161</v>
      </c>
      <c r="U59" s="249">
        <f t="shared" si="2"/>
        <v>8000.81</v>
      </c>
      <c r="V59" s="249">
        <f t="shared" si="3"/>
        <v>12</v>
      </c>
    </row>
    <row r="60" spans="1:22">
      <c r="A60" s="97">
        <f t="shared" si="0"/>
        <v>60</v>
      </c>
      <c r="B60" s="276" t="s">
        <v>96</v>
      </c>
      <c r="C60" s="300">
        <v>445.11</v>
      </c>
      <c r="D60" s="300">
        <v>341.07</v>
      </c>
      <c r="E60" s="300">
        <v>222.51</v>
      </c>
      <c r="F60" s="300">
        <v>235.01</v>
      </c>
      <c r="G60" s="300">
        <v>382.05</v>
      </c>
      <c r="H60" s="300">
        <v>406</v>
      </c>
      <c r="I60" s="300">
        <v>430.46</v>
      </c>
      <c r="J60" s="300">
        <v>266.26</v>
      </c>
      <c r="K60" s="300">
        <v>411.79</v>
      </c>
      <c r="L60" s="300">
        <v>196.56</v>
      </c>
      <c r="M60" s="300">
        <v>243.9</v>
      </c>
      <c r="N60" s="300">
        <v>289.37</v>
      </c>
      <c r="O60" s="274">
        <f t="shared" si="8"/>
        <v>3870.09</v>
      </c>
      <c r="Q60" s="97" t="s">
        <v>4</v>
      </c>
      <c r="R60" s="97" t="str">
        <f t="shared" si="10"/>
        <v>IGC - IGC - TS3</v>
      </c>
      <c r="T60" s="97" t="s">
        <v>162</v>
      </c>
      <c r="U60" s="249">
        <f t="shared" si="2"/>
        <v>445.11</v>
      </c>
      <c r="V60" s="249">
        <f t="shared" si="3"/>
        <v>1</v>
      </c>
    </row>
    <row r="61" spans="1:22">
      <c r="A61" s="97">
        <f t="shared" si="0"/>
        <v>61</v>
      </c>
      <c r="B61" s="285" t="s">
        <v>97</v>
      </c>
      <c r="C61" s="300">
        <v>0</v>
      </c>
      <c r="D61" s="300"/>
      <c r="E61" s="300"/>
      <c r="F61" s="300">
        <v>0</v>
      </c>
      <c r="G61" s="300">
        <v>0</v>
      </c>
      <c r="H61" s="300">
        <v>0</v>
      </c>
      <c r="I61" s="300"/>
      <c r="J61" s="300"/>
      <c r="K61" s="300">
        <v>0</v>
      </c>
      <c r="L61" s="300"/>
      <c r="M61" s="300"/>
      <c r="N61" s="300"/>
      <c r="O61" s="283">
        <f t="shared" si="8"/>
        <v>0</v>
      </c>
      <c r="Q61" s="97" t="s">
        <v>4</v>
      </c>
      <c r="R61" s="97" t="str">
        <f t="shared" si="10"/>
        <v>IGC - IGC - TS4</v>
      </c>
      <c r="T61" s="97" t="s">
        <v>163</v>
      </c>
      <c r="U61" s="249">
        <f t="shared" si="2"/>
        <v>0</v>
      </c>
      <c r="V61" s="249">
        <f t="shared" si="3"/>
        <v>1</v>
      </c>
    </row>
    <row r="62" spans="1:22">
      <c r="A62" s="97">
        <f t="shared" si="0"/>
        <v>62</v>
      </c>
      <c r="B62" s="286" t="s">
        <v>164</v>
      </c>
      <c r="C62" s="274">
        <f>SUM(C26:C61)</f>
        <v>11050939.99</v>
      </c>
      <c r="D62" s="274">
        <f t="shared" ref="D62:N62" si="11">SUM(D26:D61)</f>
        <v>9981552.75</v>
      </c>
      <c r="E62" s="274">
        <f t="shared" si="11"/>
        <v>9940099.3800000008</v>
      </c>
      <c r="F62" s="274">
        <f>SUM(F26:F61)</f>
        <v>9822389.7199999988</v>
      </c>
      <c r="G62" s="274">
        <f t="shared" si="11"/>
        <v>9617025.5600000005</v>
      </c>
      <c r="H62" s="274">
        <f t="shared" si="11"/>
        <v>9090090.7000000011</v>
      </c>
      <c r="I62" s="274">
        <f t="shared" si="11"/>
        <v>8639050.3100000005</v>
      </c>
      <c r="J62" s="274">
        <f t="shared" si="11"/>
        <v>8786196.4700000044</v>
      </c>
      <c r="K62" s="274">
        <f t="shared" si="11"/>
        <v>8187136.5600000005</v>
      </c>
      <c r="L62" s="274">
        <f t="shared" si="11"/>
        <v>8841235.2399999984</v>
      </c>
      <c r="M62" s="274">
        <f t="shared" si="11"/>
        <v>9581746.5499999989</v>
      </c>
      <c r="N62" s="274">
        <f t="shared" si="11"/>
        <v>10322616.429999996</v>
      </c>
      <c r="O62" s="274">
        <f t="shared" si="8"/>
        <v>113860079.66</v>
      </c>
      <c r="U62" s="249"/>
      <c r="V62" s="249"/>
    </row>
    <row r="63" spans="1:22">
      <c r="A63" s="97">
        <f t="shared" si="0"/>
        <v>63</v>
      </c>
      <c r="B63" s="284" t="s">
        <v>165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U63" s="249"/>
      <c r="V63" s="249"/>
    </row>
    <row r="64" spans="1:22">
      <c r="A64" s="97">
        <f t="shared" si="0"/>
        <v>64</v>
      </c>
      <c r="B64" s="276" t="s">
        <v>100</v>
      </c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274">
        <f t="shared" ref="O64:O71" si="12">SUM(C64:N64)</f>
        <v>0</v>
      </c>
      <c r="Q64" s="97" t="s">
        <v>8</v>
      </c>
      <c r="R64" s="97" t="str">
        <f>CONCATENATE(Q64," - ",B64," - ",S64)</f>
        <v>CFG - FTS-A - Fixed NR</v>
      </c>
      <c r="S64" s="97" t="s">
        <v>166</v>
      </c>
      <c r="T64" s="97" t="s">
        <v>136</v>
      </c>
      <c r="U64" s="249">
        <f t="shared" si="2"/>
        <v>0</v>
      </c>
      <c r="V64" s="249">
        <f t="shared" si="3"/>
        <v>0</v>
      </c>
    </row>
    <row r="65" spans="1:22">
      <c r="A65" s="97">
        <f t="shared" si="0"/>
        <v>65</v>
      </c>
      <c r="B65" s="276" t="s">
        <v>101</v>
      </c>
      <c r="C65" s="307">
        <v>2.0699999999999998</v>
      </c>
      <c r="D65" s="307">
        <v>1.03</v>
      </c>
      <c r="E65" s="307">
        <v>2.0699999999999998</v>
      </c>
      <c r="F65" s="307">
        <v>2.0699999999999998</v>
      </c>
      <c r="G65" s="307">
        <v>1.03</v>
      </c>
      <c r="H65" s="307">
        <v>2.0699999999999998</v>
      </c>
      <c r="I65" s="307">
        <v>1.03</v>
      </c>
      <c r="J65" s="307">
        <v>2.08</v>
      </c>
      <c r="K65" s="307">
        <v>2.08</v>
      </c>
      <c r="L65" s="307">
        <v>1.03</v>
      </c>
      <c r="M65" s="307">
        <v>1.03</v>
      </c>
      <c r="N65" s="307">
        <v>2.0699999999999998</v>
      </c>
      <c r="O65" s="274">
        <f t="shared" si="12"/>
        <v>19.66</v>
      </c>
      <c r="Q65" s="97" t="s">
        <v>8</v>
      </c>
      <c r="R65" s="97" t="str">
        <f t="shared" ref="R65:R70" si="13">CONCATENATE(Q65," - ",B65," - ",S65)</f>
        <v>CFG - FTS-B - Fixed NR</v>
      </c>
      <c r="S65" s="97" t="s">
        <v>166</v>
      </c>
      <c r="T65" s="97" t="s">
        <v>136</v>
      </c>
      <c r="U65" s="249">
        <f t="shared" si="2"/>
        <v>2.08</v>
      </c>
      <c r="V65" s="249">
        <f t="shared" si="3"/>
        <v>8</v>
      </c>
    </row>
    <row r="66" spans="1:22">
      <c r="A66" s="97">
        <f t="shared" si="0"/>
        <v>66</v>
      </c>
      <c r="B66" s="276" t="s">
        <v>102</v>
      </c>
      <c r="C66" s="307">
        <v>552</v>
      </c>
      <c r="D66" s="307">
        <v>4155.09</v>
      </c>
      <c r="E66" s="307">
        <v>-2979.33</v>
      </c>
      <c r="F66" s="307">
        <v>565.6</v>
      </c>
      <c r="G66" s="307">
        <v>504.44</v>
      </c>
      <c r="H66" s="307">
        <v>436.25</v>
      </c>
      <c r="I66" s="307">
        <v>366.2</v>
      </c>
      <c r="J66" s="307">
        <v>411.6</v>
      </c>
      <c r="K66" s="307">
        <v>401.16</v>
      </c>
      <c r="L66" s="307">
        <v>426.3</v>
      </c>
      <c r="M66" s="307">
        <v>555</v>
      </c>
      <c r="N66" s="307">
        <v>589.16999999999996</v>
      </c>
      <c r="O66" s="274">
        <f t="shared" si="12"/>
        <v>5983.4800000000005</v>
      </c>
      <c r="Q66" s="97" t="s">
        <v>8</v>
      </c>
      <c r="R66" s="97" t="str">
        <f t="shared" si="13"/>
        <v>CFG - FTS-1 - Fixed NR</v>
      </c>
      <c r="S66" s="97" t="s">
        <v>166</v>
      </c>
      <c r="T66" s="97" t="s">
        <v>136</v>
      </c>
      <c r="U66" s="249">
        <f t="shared" si="2"/>
        <v>4155.09</v>
      </c>
      <c r="V66" s="249">
        <f t="shared" si="3"/>
        <v>2</v>
      </c>
    </row>
    <row r="67" spans="1:22">
      <c r="A67" s="97">
        <f t="shared" ref="A67:A130" si="14">+A66+1</f>
        <v>67</v>
      </c>
      <c r="B67" s="279" t="s">
        <v>103</v>
      </c>
      <c r="C67" s="307">
        <v>568.79</v>
      </c>
      <c r="D67" s="307">
        <v>461.55</v>
      </c>
      <c r="E67" s="307">
        <v>193.72</v>
      </c>
      <c r="F67" s="307">
        <v>555.21</v>
      </c>
      <c r="G67" s="307">
        <v>193.65</v>
      </c>
      <c r="H67" s="307">
        <v>674.21</v>
      </c>
      <c r="I67" s="307">
        <v>492.06</v>
      </c>
      <c r="J67" s="307">
        <v>425.89</v>
      </c>
      <c r="K67" s="307">
        <v>211.87</v>
      </c>
      <c r="L67" s="307">
        <v>220.77</v>
      </c>
      <c r="M67" s="307">
        <v>225.85</v>
      </c>
      <c r="N67" s="307">
        <v>228.53</v>
      </c>
      <c r="O67" s="274">
        <f t="shared" si="12"/>
        <v>4452.0999999999995</v>
      </c>
      <c r="Q67" s="97" t="s">
        <v>8</v>
      </c>
      <c r="R67" s="97" t="str">
        <f t="shared" si="13"/>
        <v>CFG - FTS-2 - Fixed NR</v>
      </c>
      <c r="S67" s="97" t="s">
        <v>166</v>
      </c>
      <c r="T67" s="97" t="s">
        <v>136</v>
      </c>
      <c r="U67" s="249">
        <f t="shared" si="2"/>
        <v>674.21</v>
      </c>
      <c r="V67" s="249">
        <f t="shared" si="3"/>
        <v>6</v>
      </c>
    </row>
    <row r="68" spans="1:22">
      <c r="A68" s="97">
        <f t="shared" si="14"/>
        <v>68</v>
      </c>
      <c r="B68" s="279" t="s">
        <v>104</v>
      </c>
      <c r="C68" s="307">
        <v>1856.49</v>
      </c>
      <c r="D68" s="307">
        <v>1888.86</v>
      </c>
      <c r="E68" s="307">
        <v>1630.9</v>
      </c>
      <c r="F68" s="307">
        <v>1681.54</v>
      </c>
      <c r="G68" s="307">
        <v>1616.98</v>
      </c>
      <c r="H68" s="307">
        <v>1486.73</v>
      </c>
      <c r="I68" s="307">
        <v>1205.9000000000001</v>
      </c>
      <c r="J68" s="307">
        <v>1391.78</v>
      </c>
      <c r="K68" s="307">
        <v>1416.03</v>
      </c>
      <c r="L68" s="307">
        <v>1387.19</v>
      </c>
      <c r="M68" s="307">
        <v>1439.8</v>
      </c>
      <c r="N68" s="307">
        <v>1483.19</v>
      </c>
      <c r="O68" s="274">
        <f t="shared" si="12"/>
        <v>18485.39</v>
      </c>
      <c r="Q68" s="97" t="s">
        <v>8</v>
      </c>
      <c r="R68" s="97" t="str">
        <f t="shared" si="13"/>
        <v>CFG - FTS-2.1 - Fixed NR</v>
      </c>
      <c r="S68" s="97" t="s">
        <v>166</v>
      </c>
      <c r="T68" s="97" t="s">
        <v>136</v>
      </c>
      <c r="U68" s="249">
        <f t="shared" si="2"/>
        <v>1888.86</v>
      </c>
      <c r="V68" s="249">
        <f t="shared" si="3"/>
        <v>2</v>
      </c>
    </row>
    <row r="69" spans="1:22">
      <c r="A69" s="97">
        <f t="shared" si="14"/>
        <v>69</v>
      </c>
      <c r="B69" s="279" t="s">
        <v>105</v>
      </c>
      <c r="C69" s="307">
        <v>4501.04</v>
      </c>
      <c r="D69" s="307">
        <v>4897.71</v>
      </c>
      <c r="E69" s="307">
        <v>5190.58</v>
      </c>
      <c r="F69" s="307">
        <v>5201.55</v>
      </c>
      <c r="G69" s="307">
        <v>5362.8</v>
      </c>
      <c r="H69" s="307">
        <v>5299.07</v>
      </c>
      <c r="I69" s="307">
        <v>4787.38</v>
      </c>
      <c r="J69" s="307">
        <v>5418.97</v>
      </c>
      <c r="K69" s="307">
        <v>5698.75</v>
      </c>
      <c r="L69" s="307">
        <v>5481.3</v>
      </c>
      <c r="M69" s="307">
        <v>6219.03</v>
      </c>
      <c r="N69" s="307">
        <v>5792.72</v>
      </c>
      <c r="O69" s="274">
        <f t="shared" si="12"/>
        <v>63850.9</v>
      </c>
      <c r="Q69" s="97" t="s">
        <v>8</v>
      </c>
      <c r="R69" s="97" t="str">
        <f t="shared" si="13"/>
        <v>CFG - FTS-3 - Fixed NR</v>
      </c>
      <c r="S69" s="97" t="s">
        <v>166</v>
      </c>
      <c r="T69" s="97" t="s">
        <v>136</v>
      </c>
      <c r="U69" s="249">
        <f>MAX(C69:N69)</f>
        <v>6219.03</v>
      </c>
      <c r="V69" s="249">
        <f>IFERROR(INDEX($C$1:$N$1,MATCH(U69,C69:N69,0)),0)</f>
        <v>11</v>
      </c>
    </row>
    <row r="70" spans="1:22">
      <c r="A70" s="97">
        <f t="shared" si="14"/>
        <v>70</v>
      </c>
      <c r="B70" s="285" t="s">
        <v>106</v>
      </c>
      <c r="C70" s="307">
        <v>3999.57</v>
      </c>
      <c r="D70" s="307">
        <v>4420.8599999999997</v>
      </c>
      <c r="E70" s="307">
        <v>3741.16</v>
      </c>
      <c r="F70" s="307">
        <v>4274.87</v>
      </c>
      <c r="G70" s="307">
        <v>3983.68</v>
      </c>
      <c r="H70" s="307">
        <v>3941.88</v>
      </c>
      <c r="I70" s="307">
        <v>3374.89</v>
      </c>
      <c r="J70" s="307">
        <v>3326.88</v>
      </c>
      <c r="K70" s="307">
        <v>3959.32</v>
      </c>
      <c r="L70" s="307">
        <v>3676.5</v>
      </c>
      <c r="M70" s="307">
        <v>4169.34</v>
      </c>
      <c r="N70" s="307">
        <v>4020.7</v>
      </c>
      <c r="O70" s="283">
        <f t="shared" si="12"/>
        <v>46889.649999999994</v>
      </c>
      <c r="Q70" s="97" t="s">
        <v>8</v>
      </c>
      <c r="R70" s="97" t="str">
        <f t="shared" si="13"/>
        <v>CFG - FTS-3.1 - Fixed NR</v>
      </c>
      <c r="S70" s="97" t="s">
        <v>166</v>
      </c>
      <c r="T70" s="97" t="s">
        <v>136</v>
      </c>
      <c r="U70" s="249">
        <f>MAX(C70:N70)</f>
        <v>4420.8599999999997</v>
      </c>
      <c r="V70" s="249">
        <f>IFERROR(INDEX($C$1:$N$1,MATCH(U70,C70:N70,0)),0)</f>
        <v>2</v>
      </c>
    </row>
    <row r="71" spans="1:22">
      <c r="A71" s="97">
        <f t="shared" si="14"/>
        <v>71</v>
      </c>
      <c r="B71" s="286" t="s">
        <v>167</v>
      </c>
      <c r="C71" s="274">
        <f>SUM(C64:C70)</f>
        <v>11479.960000000001</v>
      </c>
      <c r="D71" s="274">
        <f t="shared" ref="D71:N71" si="15">SUM(D64:D70)</f>
        <v>15825.099999999999</v>
      </c>
      <c r="E71" s="274">
        <f t="shared" si="15"/>
        <v>7779.1</v>
      </c>
      <c r="F71" s="274">
        <f t="shared" si="15"/>
        <v>12280.84</v>
      </c>
      <c r="G71" s="274">
        <f t="shared" si="15"/>
        <v>11662.58</v>
      </c>
      <c r="H71" s="274">
        <f t="shared" si="15"/>
        <v>11840.21</v>
      </c>
      <c r="I71" s="274">
        <f t="shared" si="15"/>
        <v>10227.459999999999</v>
      </c>
      <c r="J71" s="274">
        <f t="shared" si="15"/>
        <v>10977.2</v>
      </c>
      <c r="K71" s="274">
        <f t="shared" si="15"/>
        <v>11689.21</v>
      </c>
      <c r="L71" s="274">
        <f>SUM(L64:L70)</f>
        <v>11193.09</v>
      </c>
      <c r="M71" s="274">
        <f t="shared" si="15"/>
        <v>12610.05</v>
      </c>
      <c r="N71" s="274">
        <f t="shared" si="15"/>
        <v>12116.380000000001</v>
      </c>
      <c r="O71" s="274">
        <f t="shared" si="12"/>
        <v>139681.18</v>
      </c>
      <c r="U71" s="249"/>
      <c r="V71" s="249"/>
    </row>
    <row r="72" spans="1:22">
      <c r="A72" s="97">
        <f t="shared" si="14"/>
        <v>72</v>
      </c>
      <c r="B72" s="284" t="s">
        <v>168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R72" s="274"/>
      <c r="S72" s="249"/>
      <c r="U72" s="249"/>
      <c r="V72" s="249"/>
    </row>
    <row r="73" spans="1:22">
      <c r="A73" s="97">
        <f t="shared" si="14"/>
        <v>73</v>
      </c>
      <c r="B73" s="152" t="s">
        <v>169</v>
      </c>
      <c r="C73" s="307">
        <v>55742</v>
      </c>
      <c r="D73" s="307">
        <v>73589</v>
      </c>
      <c r="E73" s="307">
        <f>110636.11+1107</f>
        <v>111743.11</v>
      </c>
      <c r="F73" s="307">
        <v>188441.21</v>
      </c>
      <c r="G73" s="307">
        <v>130070.36</v>
      </c>
      <c r="H73" s="307">
        <v>90459.55</v>
      </c>
      <c r="I73" s="307">
        <v>118174.38</v>
      </c>
      <c r="J73" s="307">
        <v>122226</v>
      </c>
      <c r="K73" s="307">
        <v>15546.55</v>
      </c>
      <c r="L73" s="307">
        <f>119802.59+4986</f>
        <v>124788.59</v>
      </c>
      <c r="M73" s="307">
        <f>50719.13+5819</f>
        <v>56538.13</v>
      </c>
      <c r="N73" s="307">
        <f>40827+3403</f>
        <v>44230</v>
      </c>
      <c r="O73" s="274">
        <f t="shared" ref="O73:O86" si="16">SUM(C73:N73)</f>
        <v>1131548.8799999999</v>
      </c>
      <c r="Q73" s="97" t="s">
        <v>8</v>
      </c>
      <c r="T73" s="97" t="s">
        <v>170</v>
      </c>
      <c r="U73" s="249">
        <f t="shared" ref="U73:U96" si="17">MAX(C73:N73)</f>
        <v>188441.21</v>
      </c>
      <c r="V73" s="249">
        <f t="shared" ref="V73:V96" si="18">IFERROR(INDEX($C$1:$N$1,MATCH(U73,C73:N73,0)),0)</f>
        <v>4</v>
      </c>
    </row>
    <row r="74" spans="1:22">
      <c r="A74" s="97">
        <f t="shared" si="14"/>
        <v>74</v>
      </c>
      <c r="B74" s="152" t="s">
        <v>171</v>
      </c>
      <c r="C74" s="307">
        <v>27410.71</v>
      </c>
      <c r="D74" s="307">
        <v>17880.759999999998</v>
      </c>
      <c r="E74" s="307">
        <v>18584.73</v>
      </c>
      <c r="F74" s="307">
        <v>14891.42</v>
      </c>
      <c r="G74" s="307">
        <v>12839.6</v>
      </c>
      <c r="H74" s="307">
        <v>11564.47</v>
      </c>
      <c r="I74" s="307">
        <v>10945.56</v>
      </c>
      <c r="J74" s="307">
        <v>10126</v>
      </c>
      <c r="K74" s="307">
        <v>10039.39</v>
      </c>
      <c r="L74" s="307">
        <v>11622.83</v>
      </c>
      <c r="M74" s="307">
        <v>20584.75</v>
      </c>
      <c r="N74" s="307">
        <v>25554.02</v>
      </c>
      <c r="O74" s="274">
        <f t="shared" si="16"/>
        <v>192044.24</v>
      </c>
      <c r="Q74" s="97" t="s">
        <v>8</v>
      </c>
      <c r="T74" s="97" t="s">
        <v>170</v>
      </c>
      <c r="U74" s="249">
        <f t="shared" si="17"/>
        <v>27410.71</v>
      </c>
      <c r="V74" s="249">
        <f t="shared" si="18"/>
        <v>1</v>
      </c>
    </row>
    <row r="75" spans="1:22">
      <c r="A75" s="97">
        <f t="shared" si="14"/>
        <v>75</v>
      </c>
      <c r="B75" s="152" t="s">
        <v>172</v>
      </c>
      <c r="C75" s="307">
        <v>1790551.65</v>
      </c>
      <c r="D75" s="307">
        <v>1575547.75</v>
      </c>
      <c r="E75" s="307">
        <v>1788860.76</v>
      </c>
      <c r="F75" s="307">
        <v>463609.81</v>
      </c>
      <c r="G75" s="307">
        <v>1367430.49</v>
      </c>
      <c r="H75" s="307">
        <v>1674840.68</v>
      </c>
      <c r="I75" s="307">
        <v>1471649.68</v>
      </c>
      <c r="J75" s="307">
        <v>1794263</v>
      </c>
      <c r="K75" s="307">
        <v>1680118.32</v>
      </c>
      <c r="L75" s="307">
        <v>1712185.06</v>
      </c>
      <c r="M75" s="307">
        <v>1737993.74</v>
      </c>
      <c r="N75" s="307">
        <v>1735490.08</v>
      </c>
      <c r="O75" s="274">
        <f t="shared" si="16"/>
        <v>18792541.020000003</v>
      </c>
      <c r="Q75" s="97" t="s">
        <v>8</v>
      </c>
      <c r="T75" s="97" t="s">
        <v>170</v>
      </c>
      <c r="U75" s="249">
        <f t="shared" si="17"/>
        <v>1794263</v>
      </c>
      <c r="V75" s="249">
        <f t="shared" si="18"/>
        <v>8</v>
      </c>
    </row>
    <row r="76" spans="1:22">
      <c r="A76" s="97">
        <f t="shared" si="14"/>
        <v>76</v>
      </c>
      <c r="B76" s="152" t="s">
        <v>173</v>
      </c>
      <c r="C76" s="307">
        <v>876340.43</v>
      </c>
      <c r="D76" s="307">
        <v>91320.07</v>
      </c>
      <c r="E76" s="307">
        <v>749509.55</v>
      </c>
      <c r="F76" s="307">
        <v>1141300.49</v>
      </c>
      <c r="G76" s="307">
        <v>1905359.87</v>
      </c>
      <c r="H76" s="307">
        <v>1894649.55</v>
      </c>
      <c r="I76" s="307">
        <v>1615690.46</v>
      </c>
      <c r="J76" s="307">
        <v>2182770</v>
      </c>
      <c r="K76" s="307">
        <v>2066090.03</v>
      </c>
      <c r="L76" s="307">
        <v>1937969.6</v>
      </c>
      <c r="M76" s="307">
        <v>1679789.52</v>
      </c>
      <c r="N76" s="307">
        <v>1699469.56</v>
      </c>
      <c r="O76" s="274">
        <f t="shared" si="16"/>
        <v>17840259.129999999</v>
      </c>
      <c r="Q76" s="97" t="s">
        <v>8</v>
      </c>
      <c r="T76" s="97" t="s">
        <v>170</v>
      </c>
      <c r="U76" s="249">
        <f t="shared" si="17"/>
        <v>2182770</v>
      </c>
      <c r="V76" s="249">
        <f t="shared" si="18"/>
        <v>8</v>
      </c>
    </row>
    <row r="77" spans="1:22">
      <c r="A77" s="97">
        <f t="shared" si="14"/>
        <v>77</v>
      </c>
      <c r="B77" s="152" t="s">
        <v>174</v>
      </c>
      <c r="C77" s="307">
        <v>5699.04</v>
      </c>
      <c r="D77" s="307">
        <v>4453.2700000000004</v>
      </c>
      <c r="E77" s="307">
        <v>193</v>
      </c>
      <c r="F77" s="307">
        <v>0</v>
      </c>
      <c r="G77" s="307">
        <v>1283.78</v>
      </c>
      <c r="H77" s="307">
        <v>7863.26</v>
      </c>
      <c r="I77" s="307">
        <v>1107.26</v>
      </c>
      <c r="J77" s="307">
        <v>1026</v>
      </c>
      <c r="K77" s="307">
        <v>0</v>
      </c>
      <c r="L77" s="307">
        <v>0</v>
      </c>
      <c r="M77" s="307">
        <v>0</v>
      </c>
      <c r="N77" s="307"/>
      <c r="O77" s="274">
        <f t="shared" si="16"/>
        <v>21625.61</v>
      </c>
      <c r="Q77" s="97" t="s">
        <v>8</v>
      </c>
      <c r="T77" s="97" t="s">
        <v>170</v>
      </c>
      <c r="U77" s="249">
        <f t="shared" si="17"/>
        <v>7863.26</v>
      </c>
      <c r="V77" s="249">
        <f t="shared" si="18"/>
        <v>6</v>
      </c>
    </row>
    <row r="78" spans="1:22">
      <c r="A78" s="97">
        <f t="shared" si="14"/>
        <v>78</v>
      </c>
      <c r="B78" s="152" t="s">
        <v>175</v>
      </c>
      <c r="C78" s="307">
        <v>1030949.61</v>
      </c>
      <c r="D78" s="307">
        <v>703436.48</v>
      </c>
      <c r="E78" s="307">
        <v>952056.96</v>
      </c>
      <c r="F78" s="307">
        <v>794540.06</v>
      </c>
      <c r="G78" s="307">
        <v>896082.85</v>
      </c>
      <c r="H78" s="307">
        <v>836358.98</v>
      </c>
      <c r="I78" s="307">
        <v>813593.54</v>
      </c>
      <c r="J78" s="307">
        <v>982056</v>
      </c>
      <c r="K78" s="307">
        <v>961901.47</v>
      </c>
      <c r="L78" s="307">
        <v>1024155.02</v>
      </c>
      <c r="M78" s="307">
        <v>903668.9</v>
      </c>
      <c r="N78" s="307">
        <v>975542.75</v>
      </c>
      <c r="O78" s="274">
        <f t="shared" si="16"/>
        <v>10874342.619999999</v>
      </c>
      <c r="Q78" s="97" t="s">
        <v>8</v>
      </c>
      <c r="T78" s="97" t="s">
        <v>170</v>
      </c>
      <c r="U78" s="249">
        <f t="shared" si="17"/>
        <v>1030949.61</v>
      </c>
      <c r="V78" s="249">
        <f t="shared" si="18"/>
        <v>1</v>
      </c>
    </row>
    <row r="79" spans="1:22">
      <c r="A79" s="97">
        <f t="shared" si="14"/>
        <v>79</v>
      </c>
      <c r="B79" s="152" t="s">
        <v>176</v>
      </c>
      <c r="C79" s="307">
        <v>550103.87</v>
      </c>
      <c r="D79" s="307">
        <v>357579.54</v>
      </c>
      <c r="E79" s="307">
        <v>690013.66</v>
      </c>
      <c r="F79" s="307">
        <v>629681.19999999995</v>
      </c>
      <c r="G79" s="307">
        <v>547692.22</v>
      </c>
      <c r="H79" s="308">
        <v>71236.55</v>
      </c>
      <c r="I79" s="307">
        <v>71767.899999999994</v>
      </c>
      <c r="J79" s="307">
        <v>79561</v>
      </c>
      <c r="K79" s="307">
        <v>87137.57</v>
      </c>
      <c r="L79" s="307">
        <v>97878.97</v>
      </c>
      <c r="M79" s="307">
        <v>30336.62</v>
      </c>
      <c r="N79" s="307">
        <v>517115.46</v>
      </c>
      <c r="O79" s="274">
        <f t="shared" si="16"/>
        <v>3730104.5599999991</v>
      </c>
      <c r="Q79" s="97" t="s">
        <v>8</v>
      </c>
      <c r="T79" s="97" t="s">
        <v>170</v>
      </c>
      <c r="U79" s="249">
        <f t="shared" si="17"/>
        <v>690013.66</v>
      </c>
      <c r="V79" s="249">
        <f t="shared" si="18"/>
        <v>3</v>
      </c>
    </row>
    <row r="80" spans="1:22">
      <c r="A80" s="97">
        <f t="shared" si="14"/>
        <v>80</v>
      </c>
      <c r="B80" s="152" t="s">
        <v>177</v>
      </c>
      <c r="C80" s="307">
        <v>0</v>
      </c>
      <c r="D80" s="307">
        <v>0</v>
      </c>
      <c r="E80" s="307">
        <v>0</v>
      </c>
      <c r="F80" s="307">
        <v>0</v>
      </c>
      <c r="G80" s="307"/>
      <c r="H80" s="307"/>
      <c r="I80" s="307">
        <v>0</v>
      </c>
      <c r="J80" s="307"/>
      <c r="K80" s="307"/>
      <c r="L80" s="307"/>
      <c r="M80" s="307"/>
      <c r="N80" s="307"/>
      <c r="O80" s="274">
        <f t="shared" si="16"/>
        <v>0</v>
      </c>
      <c r="Q80" s="97" t="s">
        <v>7</v>
      </c>
      <c r="T80" s="97" t="s">
        <v>178</v>
      </c>
      <c r="U80" s="249">
        <f t="shared" si="17"/>
        <v>0</v>
      </c>
      <c r="V80" s="249">
        <f t="shared" si="18"/>
        <v>1</v>
      </c>
    </row>
    <row r="81" spans="1:22">
      <c r="A81" s="97">
        <f t="shared" si="14"/>
        <v>81</v>
      </c>
      <c r="B81" s="288" t="s">
        <v>179</v>
      </c>
      <c r="C81" s="307">
        <v>2977320.32</v>
      </c>
      <c r="D81" s="307">
        <v>2812606.65</v>
      </c>
      <c r="E81" s="307">
        <v>2580223.29</v>
      </c>
      <c r="F81" s="307">
        <v>3113664.79</v>
      </c>
      <c r="G81" s="307">
        <v>3197707.15</v>
      </c>
      <c r="H81" s="307">
        <v>3174185.6</v>
      </c>
      <c r="I81" s="307">
        <v>3227789.76</v>
      </c>
      <c r="J81" s="307">
        <v>3374822</v>
      </c>
      <c r="K81" s="307">
        <v>1827736.23</v>
      </c>
      <c r="L81" s="307">
        <v>2395795.08</v>
      </c>
      <c r="M81" s="307">
        <v>2914917.07</v>
      </c>
      <c r="N81" s="307">
        <v>3193320.44</v>
      </c>
      <c r="O81" s="274">
        <f t="shared" si="16"/>
        <v>34790088.380000003</v>
      </c>
      <c r="Q81" s="97" t="s">
        <v>8</v>
      </c>
      <c r="T81" s="97" t="s">
        <v>170</v>
      </c>
      <c r="U81" s="249">
        <f t="shared" si="17"/>
        <v>3374822</v>
      </c>
      <c r="V81" s="249">
        <f t="shared" si="18"/>
        <v>8</v>
      </c>
    </row>
    <row r="82" spans="1:22">
      <c r="A82" s="97">
        <f t="shared" si="14"/>
        <v>82</v>
      </c>
      <c r="B82" s="288" t="s">
        <v>180</v>
      </c>
      <c r="C82" s="307">
        <v>1474691</v>
      </c>
      <c r="D82" s="307">
        <v>840442</v>
      </c>
      <c r="E82" s="307">
        <v>298893</v>
      </c>
      <c r="F82" s="307">
        <v>299976</v>
      </c>
      <c r="G82" s="309">
        <v>309674.84999999998</v>
      </c>
      <c r="H82" s="307">
        <v>299836.46000000002</v>
      </c>
      <c r="I82" s="307">
        <v>621121.43000000005</v>
      </c>
      <c r="J82" s="307">
        <v>621900</v>
      </c>
      <c r="K82" s="307">
        <v>752094.22</v>
      </c>
      <c r="L82" s="307">
        <v>311986.32</v>
      </c>
      <c r="M82" s="307">
        <v>899291.24</v>
      </c>
      <c r="N82" s="307">
        <v>2480373.4700000002</v>
      </c>
      <c r="O82" s="274">
        <f t="shared" si="16"/>
        <v>9210279.9900000002</v>
      </c>
      <c r="Q82" s="97" t="s">
        <v>8</v>
      </c>
      <c r="T82" s="97" t="s">
        <v>170</v>
      </c>
      <c r="U82" s="249">
        <f t="shared" si="17"/>
        <v>2480373.4700000002</v>
      </c>
      <c r="V82" s="249">
        <f t="shared" si="18"/>
        <v>12</v>
      </c>
    </row>
    <row r="83" spans="1:22">
      <c r="A83" s="97">
        <f t="shared" si="14"/>
        <v>83</v>
      </c>
      <c r="B83" s="288" t="s">
        <v>181</v>
      </c>
      <c r="C83" s="307">
        <v>13608297</v>
      </c>
      <c r="D83" s="307">
        <v>12597538</v>
      </c>
      <c r="E83" s="307">
        <v>12846742</v>
      </c>
      <c r="F83" s="307">
        <v>11773358</v>
      </c>
      <c r="G83" s="307">
        <v>13100033.710000001</v>
      </c>
      <c r="H83" s="307">
        <v>12038857.26</v>
      </c>
      <c r="I83" s="307">
        <v>12616747.189999999</v>
      </c>
      <c r="J83" s="307">
        <v>12959803.57</v>
      </c>
      <c r="K83" s="307">
        <v>12349015.99</v>
      </c>
      <c r="L83" s="307">
        <v>12094648.66</v>
      </c>
      <c r="M83" s="307">
        <v>11832089.67</v>
      </c>
      <c r="N83" s="307">
        <v>11339233.560000001</v>
      </c>
      <c r="O83" s="274">
        <f t="shared" si="16"/>
        <v>149156364.60999998</v>
      </c>
      <c r="Q83" s="97" t="s">
        <v>8</v>
      </c>
      <c r="T83" s="97" t="s">
        <v>170</v>
      </c>
      <c r="U83" s="249">
        <f t="shared" si="17"/>
        <v>13608297</v>
      </c>
      <c r="V83" s="249">
        <f t="shared" si="18"/>
        <v>1</v>
      </c>
    </row>
    <row r="84" spans="1:22">
      <c r="A84" s="97">
        <f t="shared" si="14"/>
        <v>84</v>
      </c>
      <c r="B84" s="288" t="s">
        <v>183</v>
      </c>
      <c r="C84" s="307">
        <v>133290.60999999999</v>
      </c>
      <c r="D84" s="307">
        <v>74876.97</v>
      </c>
      <c r="E84" s="307">
        <v>104305.76</v>
      </c>
      <c r="F84" s="307">
        <v>116316.13</v>
      </c>
      <c r="G84" s="307">
        <v>72815.600000000006</v>
      </c>
      <c r="H84" s="307">
        <v>97036.39</v>
      </c>
      <c r="I84" s="307">
        <v>79183.520000000004</v>
      </c>
      <c r="J84" s="307">
        <v>110708</v>
      </c>
      <c r="K84" s="307">
        <v>92335.65</v>
      </c>
      <c r="L84" s="307">
        <v>115112</v>
      </c>
      <c r="M84" s="307">
        <v>105710.71</v>
      </c>
      <c r="N84" s="307">
        <v>115863.74</v>
      </c>
      <c r="O84" s="274">
        <f>SUM(C84:N84)</f>
        <v>1217555.08</v>
      </c>
      <c r="Q84" s="97" t="s">
        <v>7</v>
      </c>
      <c r="T84" s="97" t="s">
        <v>170</v>
      </c>
      <c r="U84" s="249">
        <f t="shared" si="17"/>
        <v>133290.60999999999</v>
      </c>
      <c r="V84" s="249">
        <f t="shared" si="18"/>
        <v>1</v>
      </c>
    </row>
    <row r="85" spans="1:22">
      <c r="A85" s="97">
        <f t="shared" si="14"/>
        <v>85</v>
      </c>
      <c r="B85" s="288" t="s">
        <v>184</v>
      </c>
      <c r="C85" s="307">
        <v>368350.33</v>
      </c>
      <c r="D85" s="307">
        <v>356320.1</v>
      </c>
      <c r="E85" s="307">
        <v>246755.92</v>
      </c>
      <c r="F85" s="307">
        <v>207644.08</v>
      </c>
      <c r="G85" s="307">
        <v>311850.23999999999</v>
      </c>
      <c r="H85" s="307">
        <v>491387.15</v>
      </c>
      <c r="I85" s="307">
        <v>189453.68</v>
      </c>
      <c r="J85" s="307">
        <v>427989.12</v>
      </c>
      <c r="K85" s="307">
        <v>286930.86</v>
      </c>
      <c r="L85" s="307">
        <v>445360</v>
      </c>
      <c r="M85" s="307">
        <v>501049.86</v>
      </c>
      <c r="N85" s="307">
        <v>615730.89</v>
      </c>
      <c r="O85" s="274">
        <f t="shared" si="16"/>
        <v>4448822.2299999995</v>
      </c>
      <c r="Q85" s="97" t="s">
        <v>7</v>
      </c>
      <c r="T85" s="97" t="s">
        <v>178</v>
      </c>
      <c r="U85" s="249">
        <f t="shared" si="17"/>
        <v>615730.89</v>
      </c>
      <c r="V85" s="249">
        <f t="shared" si="18"/>
        <v>12</v>
      </c>
    </row>
    <row r="86" spans="1:22">
      <c r="A86" s="97">
        <f t="shared" si="14"/>
        <v>86</v>
      </c>
      <c r="B86" s="288" t="s">
        <v>185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/>
      <c r="I86" s="307"/>
      <c r="J86" s="307"/>
      <c r="K86" s="307"/>
      <c r="L86" s="307"/>
      <c r="M86" s="307"/>
      <c r="N86" s="307"/>
      <c r="O86" s="274">
        <f t="shared" si="16"/>
        <v>0</v>
      </c>
      <c r="Q86" s="97" t="s">
        <v>8</v>
      </c>
      <c r="T86" s="97" t="s">
        <v>178</v>
      </c>
      <c r="U86" s="249">
        <f t="shared" si="17"/>
        <v>0</v>
      </c>
      <c r="V86" s="249">
        <f t="shared" si="18"/>
        <v>1</v>
      </c>
    </row>
    <row r="87" spans="1:22">
      <c r="A87" s="97">
        <f t="shared" si="14"/>
        <v>87</v>
      </c>
      <c r="B87" s="286" t="s">
        <v>186</v>
      </c>
      <c r="C87" s="281">
        <f>SUM(C73:C86)</f>
        <v>22898746.569999997</v>
      </c>
      <c r="D87" s="281">
        <f t="shared" ref="D87:N87" si="19">SUM(D73:D86)</f>
        <v>19505590.59</v>
      </c>
      <c r="E87" s="281">
        <f t="shared" si="19"/>
        <v>20387881.740000006</v>
      </c>
      <c r="F87" s="281">
        <f t="shared" si="19"/>
        <v>18743423.189999998</v>
      </c>
      <c r="G87" s="281">
        <f t="shared" si="19"/>
        <v>21852840.720000003</v>
      </c>
      <c r="H87" s="281">
        <f t="shared" si="19"/>
        <v>20688275.899999999</v>
      </c>
      <c r="I87" s="281">
        <f t="shared" si="19"/>
        <v>20837224.359999996</v>
      </c>
      <c r="J87" s="281">
        <f t="shared" si="19"/>
        <v>22667250.690000001</v>
      </c>
      <c r="K87" s="281">
        <f t="shared" si="19"/>
        <v>20128946.279999997</v>
      </c>
      <c r="L87" s="281">
        <f>SUM(L73:L86)</f>
        <v>20271502.129999999</v>
      </c>
      <c r="M87" s="281">
        <f t="shared" si="19"/>
        <v>20681970.210000001</v>
      </c>
      <c r="N87" s="281">
        <f t="shared" si="19"/>
        <v>22741923.970000003</v>
      </c>
      <c r="O87" s="281">
        <f>SUM(C87:N87)</f>
        <v>251405576.34999999</v>
      </c>
      <c r="U87" s="249"/>
      <c r="V87" s="249"/>
    </row>
    <row r="88" spans="1:22">
      <c r="A88" s="97">
        <f t="shared" si="14"/>
        <v>88</v>
      </c>
      <c r="B88" s="284" t="s">
        <v>187</v>
      </c>
      <c r="U88" s="249"/>
      <c r="V88" s="249"/>
    </row>
    <row r="89" spans="1:22">
      <c r="A89" s="97">
        <f t="shared" si="14"/>
        <v>89</v>
      </c>
      <c r="B89" s="288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274">
        <f>SUM(C89:N89)</f>
        <v>0</v>
      </c>
      <c r="Q89" s="97" t="s">
        <v>8</v>
      </c>
      <c r="T89" s="97" t="s">
        <v>170</v>
      </c>
      <c r="U89" s="249">
        <f t="shared" si="17"/>
        <v>0</v>
      </c>
      <c r="V89" s="249">
        <f t="shared" si="18"/>
        <v>0</v>
      </c>
    </row>
    <row r="90" spans="1:22">
      <c r="A90" s="97">
        <f t="shared" si="14"/>
        <v>90</v>
      </c>
      <c r="B90" s="152" t="s">
        <v>188</v>
      </c>
      <c r="C90" s="307">
        <v>295458.21999999997</v>
      </c>
      <c r="D90" s="307">
        <v>273459.68</v>
      </c>
      <c r="E90" s="307">
        <v>308423.31</v>
      </c>
      <c r="F90" s="307">
        <v>299978.78999999998</v>
      </c>
      <c r="G90" s="307">
        <v>303703.98</v>
      </c>
      <c r="H90" s="307">
        <v>297966.71999999997</v>
      </c>
      <c r="I90" s="307">
        <v>289045.40999999997</v>
      </c>
      <c r="J90" s="307">
        <v>274986</v>
      </c>
      <c r="K90" s="307">
        <v>249128.23</v>
      </c>
      <c r="L90" s="307">
        <v>257675.22</v>
      </c>
      <c r="M90" s="307">
        <v>256170.43</v>
      </c>
      <c r="N90" s="307">
        <v>280017.37</v>
      </c>
      <c r="O90" s="274">
        <f>SUM(C90:N90)</f>
        <v>3386013.3600000003</v>
      </c>
      <c r="Q90" s="97" t="s">
        <v>8</v>
      </c>
      <c r="T90" s="97" t="s">
        <v>170</v>
      </c>
      <c r="U90" s="249">
        <f t="shared" si="17"/>
        <v>308423.31</v>
      </c>
      <c r="V90" s="249">
        <f t="shared" si="18"/>
        <v>3</v>
      </c>
    </row>
    <row r="91" spans="1:22">
      <c r="A91" s="97">
        <f t="shared" si="14"/>
        <v>91</v>
      </c>
      <c r="B91" s="152" t="s">
        <v>189</v>
      </c>
      <c r="C91" s="307">
        <v>1543268.98</v>
      </c>
      <c r="D91" s="307">
        <v>1013268.24</v>
      </c>
      <c r="E91" s="307">
        <v>1736482.8</v>
      </c>
      <c r="F91" s="307">
        <v>1671748.14</v>
      </c>
      <c r="G91" s="307">
        <v>1687293.92</v>
      </c>
      <c r="H91" s="307">
        <v>1609846.65</v>
      </c>
      <c r="I91" s="307">
        <v>1649279.84</v>
      </c>
      <c r="J91" s="307">
        <v>1534532.48</v>
      </c>
      <c r="K91" s="307">
        <v>1472594.43</v>
      </c>
      <c r="L91" s="307">
        <v>1677748</v>
      </c>
      <c r="M91" s="307">
        <v>1646308.44</v>
      </c>
      <c r="N91" s="307">
        <v>1668647.72</v>
      </c>
      <c r="O91" s="274">
        <f>SUM(C91:N91)</f>
        <v>18911019.639999997</v>
      </c>
      <c r="Q91" s="97" t="s">
        <v>7</v>
      </c>
      <c r="T91" s="97" t="s">
        <v>178</v>
      </c>
      <c r="U91" s="249">
        <f t="shared" si="17"/>
        <v>1736482.8</v>
      </c>
      <c r="V91" s="249">
        <f t="shared" si="18"/>
        <v>3</v>
      </c>
    </row>
    <row r="92" spans="1:22">
      <c r="A92" s="97">
        <f t="shared" si="14"/>
        <v>92</v>
      </c>
      <c r="B92" s="152" t="s">
        <v>190</v>
      </c>
      <c r="C92" s="307">
        <v>0</v>
      </c>
      <c r="D92" s="307">
        <v>16332</v>
      </c>
      <c r="E92" s="307">
        <v>23283.52</v>
      </c>
      <c r="F92" s="307">
        <v>20933.46</v>
      </c>
      <c r="G92" s="307">
        <v>27538.16</v>
      </c>
      <c r="H92" s="307">
        <v>19833.060000000001</v>
      </c>
      <c r="I92" s="307">
        <v>5899.92</v>
      </c>
      <c r="J92" s="307">
        <v>3493.36</v>
      </c>
      <c r="K92" s="307">
        <v>137.41</v>
      </c>
      <c r="L92" s="307">
        <v>80503</v>
      </c>
      <c r="M92" s="307">
        <v>51819.4</v>
      </c>
      <c r="N92" s="307">
        <v>60060.11</v>
      </c>
      <c r="O92" s="274">
        <f>SUM(C92:N92)</f>
        <v>309833.40000000002</v>
      </c>
      <c r="Q92" s="97" t="s">
        <v>7</v>
      </c>
      <c r="T92" s="97" t="s">
        <v>178</v>
      </c>
      <c r="U92" s="249">
        <f t="shared" si="17"/>
        <v>80503</v>
      </c>
      <c r="V92" s="249">
        <f t="shared" si="18"/>
        <v>10</v>
      </c>
    </row>
    <row r="93" spans="1:22">
      <c r="A93" s="97">
        <f t="shared" si="14"/>
        <v>93</v>
      </c>
      <c r="B93" s="286" t="s">
        <v>191</v>
      </c>
      <c r="C93" s="281">
        <f>SUM(C89:C92)</f>
        <v>1838727.2</v>
      </c>
      <c r="D93" s="281">
        <f>SUM(D89:D92)</f>
        <v>1303059.92</v>
      </c>
      <c r="E93" s="281">
        <f>SUM(E89:E92)</f>
        <v>2068189.6300000001</v>
      </c>
      <c r="F93" s="281">
        <f t="shared" ref="F93:O93" si="20">SUM(F89:F92)</f>
        <v>1992660.39</v>
      </c>
      <c r="G93" s="281">
        <f t="shared" si="20"/>
        <v>2018536.0599999998</v>
      </c>
      <c r="H93" s="281">
        <f t="shared" si="20"/>
        <v>1927646.43</v>
      </c>
      <c r="I93" s="281">
        <f t="shared" si="20"/>
        <v>1944225.17</v>
      </c>
      <c r="J93" s="281">
        <f t="shared" si="20"/>
        <v>1813011.84</v>
      </c>
      <c r="K93" s="281">
        <f t="shared" si="20"/>
        <v>1721860.0699999998</v>
      </c>
      <c r="L93" s="281">
        <f t="shared" si="20"/>
        <v>2015926.22</v>
      </c>
      <c r="M93" s="281">
        <f t="shared" si="20"/>
        <v>1954298.2699999998</v>
      </c>
      <c r="N93" s="281">
        <f t="shared" si="20"/>
        <v>2008725.2</v>
      </c>
      <c r="O93" s="281">
        <f t="shared" si="20"/>
        <v>22606866.399999995</v>
      </c>
      <c r="U93" s="249"/>
      <c r="V93" s="249"/>
    </row>
    <row r="94" spans="1:22">
      <c r="A94" s="97">
        <f t="shared" si="14"/>
        <v>94</v>
      </c>
      <c r="B94" s="284" t="s">
        <v>192</v>
      </c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U94" s="249"/>
      <c r="V94" s="249"/>
    </row>
    <row r="95" spans="1:22">
      <c r="A95" s="97">
        <f t="shared" si="14"/>
        <v>95</v>
      </c>
      <c r="B95" s="152"/>
      <c r="C95" s="310"/>
      <c r="D95" s="304"/>
      <c r="E95" s="311"/>
      <c r="F95" s="312"/>
      <c r="G95" s="311"/>
      <c r="H95" s="311"/>
      <c r="I95" s="306"/>
      <c r="J95" s="306" t="s">
        <v>20</v>
      </c>
      <c r="K95" s="306"/>
      <c r="L95" s="311"/>
      <c r="M95" s="306"/>
      <c r="N95" s="306"/>
      <c r="O95" s="302">
        <f>SUM(C95:N95)</f>
        <v>0</v>
      </c>
      <c r="Q95" s="97" t="s">
        <v>8</v>
      </c>
      <c r="T95" s="97" t="s">
        <v>170</v>
      </c>
      <c r="U95" s="249">
        <f t="shared" si="17"/>
        <v>0</v>
      </c>
      <c r="V95" s="249">
        <f t="shared" si="18"/>
        <v>0</v>
      </c>
    </row>
    <row r="96" spans="1:22">
      <c r="A96" s="97">
        <f t="shared" si="14"/>
        <v>96</v>
      </c>
      <c r="B96" s="153" t="s">
        <v>172</v>
      </c>
      <c r="C96" s="313">
        <v>0</v>
      </c>
      <c r="D96" s="313">
        <v>0</v>
      </c>
      <c r="E96" s="314">
        <v>0</v>
      </c>
      <c r="F96" s="315">
        <v>0</v>
      </c>
      <c r="G96" s="315">
        <v>0</v>
      </c>
      <c r="H96" s="315">
        <v>0</v>
      </c>
      <c r="I96" s="316">
        <v>0</v>
      </c>
      <c r="J96" s="316">
        <v>0</v>
      </c>
      <c r="K96" s="316">
        <v>0</v>
      </c>
      <c r="L96" s="316">
        <v>0</v>
      </c>
      <c r="M96" s="316">
        <v>0</v>
      </c>
      <c r="N96" s="316">
        <v>0</v>
      </c>
      <c r="O96" s="283">
        <f>SUM(C96:N96)</f>
        <v>0</v>
      </c>
      <c r="Q96" s="97" t="s">
        <v>8</v>
      </c>
      <c r="T96" s="97" t="s">
        <v>170</v>
      </c>
      <c r="U96" s="249">
        <f t="shared" si="17"/>
        <v>0</v>
      </c>
      <c r="V96" s="249">
        <f t="shared" si="18"/>
        <v>1</v>
      </c>
    </row>
    <row r="97" spans="1:22">
      <c r="A97" s="97">
        <f t="shared" si="14"/>
        <v>97</v>
      </c>
      <c r="B97" s="286" t="s">
        <v>193</v>
      </c>
      <c r="C97" s="274">
        <f t="shared" ref="C97:N97" si="21">SUM(C96)</f>
        <v>0</v>
      </c>
      <c r="D97" s="274">
        <f t="shared" si="21"/>
        <v>0</v>
      </c>
      <c r="E97" s="274">
        <f t="shared" si="21"/>
        <v>0</v>
      </c>
      <c r="F97" s="274">
        <f t="shared" si="21"/>
        <v>0</v>
      </c>
      <c r="G97" s="274">
        <f t="shared" si="21"/>
        <v>0</v>
      </c>
      <c r="H97" s="274">
        <f t="shared" si="21"/>
        <v>0</v>
      </c>
      <c r="I97" s="274">
        <f t="shared" si="21"/>
        <v>0</v>
      </c>
      <c r="J97" s="274">
        <f t="shared" si="21"/>
        <v>0</v>
      </c>
      <c r="K97" s="274">
        <f t="shared" si="21"/>
        <v>0</v>
      </c>
      <c r="L97" s="274">
        <f t="shared" si="21"/>
        <v>0</v>
      </c>
      <c r="M97" s="274">
        <f t="shared" si="21"/>
        <v>0</v>
      </c>
      <c r="N97" s="274">
        <f t="shared" si="21"/>
        <v>0</v>
      </c>
      <c r="O97" s="274">
        <f>SUM(C97:N97)</f>
        <v>0</v>
      </c>
      <c r="U97" s="249"/>
      <c r="V97" s="249"/>
    </row>
    <row r="98" spans="1:22">
      <c r="A98" s="97">
        <f t="shared" si="14"/>
        <v>98</v>
      </c>
      <c r="B98" s="286"/>
    </row>
    <row r="99" spans="1:22">
      <c r="A99" s="97">
        <f t="shared" si="14"/>
        <v>99</v>
      </c>
      <c r="B99" s="289" t="s">
        <v>194</v>
      </c>
      <c r="C99" s="290">
        <f t="shared" ref="C99:O99" si="22">+C15+C24+C62+C71+C87+C93+C97</f>
        <v>38265121.850000039</v>
      </c>
      <c r="D99" s="290">
        <f t="shared" si="22"/>
        <v>32969296.120000005</v>
      </c>
      <c r="E99" s="290">
        <f t="shared" si="22"/>
        <v>34157425.800000027</v>
      </c>
      <c r="F99" s="290">
        <f t="shared" si="22"/>
        <v>32242982.29000001</v>
      </c>
      <c r="G99" s="290">
        <f t="shared" si="22"/>
        <v>34803162.370000042</v>
      </c>
      <c r="H99" s="290">
        <f t="shared" si="22"/>
        <v>32745931.640000038</v>
      </c>
      <c r="I99" s="290">
        <f t="shared" si="22"/>
        <v>32279964.490000017</v>
      </c>
      <c r="J99" s="290">
        <f t="shared" si="22"/>
        <v>34164030.07000003</v>
      </c>
      <c r="K99" s="290">
        <f t="shared" si="22"/>
        <v>30987068.150000021</v>
      </c>
      <c r="L99" s="290">
        <f t="shared" si="22"/>
        <v>32140540.430000026</v>
      </c>
      <c r="M99" s="290">
        <f t="shared" si="22"/>
        <v>33585350.330000035</v>
      </c>
      <c r="N99" s="290">
        <f t="shared" si="22"/>
        <v>37210922.920000039</v>
      </c>
      <c r="O99" s="291">
        <f t="shared" si="22"/>
        <v>405551796.46000028</v>
      </c>
    </row>
    <row r="100" spans="1:22">
      <c r="A100" s="97">
        <f t="shared" si="14"/>
        <v>100</v>
      </c>
      <c r="B100" s="292" t="s">
        <v>195</v>
      </c>
    </row>
    <row r="101" spans="1:22">
      <c r="A101" s="97">
        <f t="shared" si="14"/>
        <v>101</v>
      </c>
      <c r="B101" s="292"/>
      <c r="T101" s="97" t="s">
        <v>178</v>
      </c>
    </row>
    <row r="102" spans="1:22">
      <c r="A102" s="97">
        <f t="shared" si="14"/>
        <v>102</v>
      </c>
      <c r="B102" s="152" t="s">
        <v>197</v>
      </c>
      <c r="C102" s="300">
        <v>347297.94</v>
      </c>
      <c r="D102" s="300">
        <v>393056.51</v>
      </c>
      <c r="E102" s="300">
        <v>483551.74</v>
      </c>
      <c r="F102" s="300">
        <v>354349.15</v>
      </c>
      <c r="G102" s="300">
        <v>457254.84</v>
      </c>
      <c r="H102" s="300">
        <v>451386.71</v>
      </c>
      <c r="I102" s="300">
        <v>447098.48</v>
      </c>
      <c r="J102" s="300">
        <v>533503</v>
      </c>
      <c r="K102" s="300">
        <v>476690.17</v>
      </c>
      <c r="L102" s="300">
        <v>459257.41</v>
      </c>
      <c r="M102" s="300">
        <v>457529.62</v>
      </c>
      <c r="N102" s="300">
        <v>438708.47</v>
      </c>
      <c r="O102" s="274">
        <f>SUM(C102:N102)</f>
        <v>5299684.04</v>
      </c>
      <c r="Q102" s="97" t="s">
        <v>8</v>
      </c>
      <c r="T102" s="97" t="s">
        <v>170</v>
      </c>
    </row>
    <row r="103" spans="1:22">
      <c r="A103" s="97">
        <f t="shared" si="14"/>
        <v>103</v>
      </c>
      <c r="B103" s="153" t="s">
        <v>198</v>
      </c>
      <c r="C103" s="300">
        <v>132832.29</v>
      </c>
      <c r="D103" s="300">
        <v>62925.599999999999</v>
      </c>
      <c r="E103" s="300">
        <v>108004.96</v>
      </c>
      <c r="F103" s="300">
        <v>49081.03</v>
      </c>
      <c r="G103" s="300">
        <v>5365.42</v>
      </c>
      <c r="H103" s="300">
        <v>7792.47</v>
      </c>
      <c r="I103" s="300">
        <v>10579.89</v>
      </c>
      <c r="J103" s="300">
        <v>6740</v>
      </c>
      <c r="K103" s="300">
        <v>5167.83</v>
      </c>
      <c r="L103" s="300">
        <v>20449.53</v>
      </c>
      <c r="M103" s="300">
        <v>113962</v>
      </c>
      <c r="N103" s="300">
        <v>127512.93</v>
      </c>
      <c r="O103" s="283">
        <f>SUM(C103:N103)</f>
        <v>650413.94999999995</v>
      </c>
      <c r="Q103" s="97" t="s">
        <v>8</v>
      </c>
      <c r="T103" s="97" t="s">
        <v>170</v>
      </c>
    </row>
    <row r="104" spans="1:22">
      <c r="A104" s="97">
        <f t="shared" si="14"/>
        <v>104</v>
      </c>
      <c r="B104" s="286" t="s">
        <v>199</v>
      </c>
      <c r="C104" s="281">
        <f t="shared" ref="C104:N104" si="23">SUM(C102:C103)</f>
        <v>480130.23</v>
      </c>
      <c r="D104" s="281">
        <f t="shared" si="23"/>
        <v>455982.11</v>
      </c>
      <c r="E104" s="281">
        <f t="shared" si="23"/>
        <v>591556.69999999995</v>
      </c>
      <c r="F104" s="281">
        <f t="shared" si="23"/>
        <v>403430.18000000005</v>
      </c>
      <c r="G104" s="281">
        <f t="shared" si="23"/>
        <v>462620.26</v>
      </c>
      <c r="H104" s="281">
        <f t="shared" si="23"/>
        <v>459179.18</v>
      </c>
      <c r="I104" s="281">
        <f t="shared" si="23"/>
        <v>457678.37</v>
      </c>
      <c r="J104" s="281">
        <f t="shared" si="23"/>
        <v>540243</v>
      </c>
      <c r="K104" s="281">
        <f t="shared" si="23"/>
        <v>481858</v>
      </c>
      <c r="L104" s="281">
        <f>SUM(L102:L103)</f>
        <v>479706.93999999994</v>
      </c>
      <c r="M104" s="281">
        <f t="shared" si="23"/>
        <v>571491.62</v>
      </c>
      <c r="N104" s="281">
        <f t="shared" si="23"/>
        <v>566221.39999999991</v>
      </c>
      <c r="O104" s="274">
        <f>SUM(C104:N104)</f>
        <v>5950097.9900000002</v>
      </c>
    </row>
    <row r="105" spans="1:22">
      <c r="A105" s="97">
        <f t="shared" si="14"/>
        <v>105</v>
      </c>
      <c r="B105" s="284" t="s">
        <v>200</v>
      </c>
    </row>
    <row r="106" spans="1:22">
      <c r="A106" s="97">
        <f t="shared" si="14"/>
        <v>106</v>
      </c>
      <c r="B106" s="152" t="s">
        <v>201</v>
      </c>
      <c r="C106" s="300"/>
      <c r="D106" s="300"/>
      <c r="E106" s="300"/>
      <c r="F106" s="300"/>
      <c r="G106" s="307"/>
      <c r="H106" s="300"/>
      <c r="I106" s="300"/>
      <c r="J106" s="300"/>
      <c r="K106" s="300"/>
      <c r="L106" s="300"/>
      <c r="M106" s="300"/>
      <c r="N106" s="307"/>
      <c r="O106" s="274"/>
    </row>
    <row r="107" spans="1:22">
      <c r="A107" s="97">
        <f t="shared" si="14"/>
        <v>107</v>
      </c>
      <c r="B107" s="152" t="s">
        <v>202</v>
      </c>
      <c r="C107" s="300">
        <v>1229779.92</v>
      </c>
      <c r="D107" s="300">
        <v>1144269.9099999999</v>
      </c>
      <c r="E107" s="300">
        <v>1220319.71</v>
      </c>
      <c r="F107" s="300">
        <v>518739.15</v>
      </c>
      <c r="G107" s="307">
        <v>1114460.3600000001</v>
      </c>
      <c r="H107" s="300">
        <v>1425920.21</v>
      </c>
      <c r="I107" s="300">
        <v>1471650</v>
      </c>
      <c r="J107" s="300">
        <v>1497390</v>
      </c>
      <c r="K107" s="300">
        <v>1430739.95</v>
      </c>
      <c r="L107" s="300">
        <v>1403480.44</v>
      </c>
      <c r="M107" s="300">
        <v>1341790.28</v>
      </c>
      <c r="N107" s="307">
        <v>1234479.5900000001</v>
      </c>
      <c r="O107" s="274">
        <f>SUM(C107:N107)</f>
        <v>15033019.519999998</v>
      </c>
      <c r="Q107" s="97" t="s">
        <v>8</v>
      </c>
      <c r="T107" s="97" t="s">
        <v>170</v>
      </c>
    </row>
    <row r="108" spans="1:22">
      <c r="A108" s="97">
        <f t="shared" si="14"/>
        <v>108</v>
      </c>
      <c r="B108" s="153" t="s">
        <v>203</v>
      </c>
      <c r="C108" s="300">
        <v>2506750.41</v>
      </c>
      <c r="D108" s="313">
        <v>1543860.26</v>
      </c>
      <c r="E108" s="313">
        <v>1780190.14</v>
      </c>
      <c r="F108" s="313">
        <v>2416730.0699999998</v>
      </c>
      <c r="G108" s="313">
        <v>2354879.88</v>
      </c>
      <c r="H108" s="313">
        <v>611889.56000000006</v>
      </c>
      <c r="I108" s="313">
        <v>319670</v>
      </c>
      <c r="J108" s="313">
        <v>335310</v>
      </c>
      <c r="K108" s="313">
        <v>401209.69</v>
      </c>
      <c r="L108" s="313">
        <v>310870.49</v>
      </c>
      <c r="M108" s="313">
        <v>338120.37</v>
      </c>
      <c r="N108" s="313">
        <v>2123070.0099999998</v>
      </c>
      <c r="O108" s="283">
        <f>SUM(C108:N108)</f>
        <v>15042550.879999997</v>
      </c>
      <c r="Q108" s="97" t="s">
        <v>8</v>
      </c>
      <c r="T108" s="97" t="s">
        <v>170</v>
      </c>
    </row>
    <row r="109" spans="1:22">
      <c r="A109" s="97">
        <f t="shared" si="14"/>
        <v>109</v>
      </c>
      <c r="B109" s="286" t="s">
        <v>204</v>
      </c>
      <c r="C109" s="274">
        <f t="shared" ref="C109:N109" si="24">SUM(C107:C108)</f>
        <v>3736530.33</v>
      </c>
      <c r="D109" s="274">
        <f t="shared" si="24"/>
        <v>2688130.17</v>
      </c>
      <c r="E109" s="274">
        <f t="shared" si="24"/>
        <v>3000509.8499999996</v>
      </c>
      <c r="F109" s="274">
        <f t="shared" si="24"/>
        <v>2935469.2199999997</v>
      </c>
      <c r="G109" s="274">
        <f t="shared" si="24"/>
        <v>3469340.24</v>
      </c>
      <c r="H109" s="274">
        <f t="shared" si="24"/>
        <v>2037809.77</v>
      </c>
      <c r="I109" s="274">
        <f t="shared" si="24"/>
        <v>1791320</v>
      </c>
      <c r="J109" s="274">
        <f t="shared" si="24"/>
        <v>1832700</v>
      </c>
      <c r="K109" s="274">
        <f t="shared" si="24"/>
        <v>1831949.64</v>
      </c>
      <c r="L109" s="274">
        <f t="shared" si="24"/>
        <v>1714350.93</v>
      </c>
      <c r="M109" s="274">
        <f t="shared" si="24"/>
        <v>1679910.65</v>
      </c>
      <c r="N109" s="274">
        <f t="shared" si="24"/>
        <v>3357549.5999999996</v>
      </c>
      <c r="O109" s="274">
        <f>SUM(C109:N109)</f>
        <v>30075570.399999999</v>
      </c>
    </row>
    <row r="110" spans="1:22">
      <c r="A110" s="97">
        <f t="shared" si="14"/>
        <v>110</v>
      </c>
      <c r="B110" s="286"/>
      <c r="C110" s="249"/>
      <c r="D110" s="249"/>
    </row>
    <row r="111" spans="1:22">
      <c r="A111" s="97">
        <f t="shared" si="14"/>
        <v>111</v>
      </c>
      <c r="B111" s="289" t="s">
        <v>205</v>
      </c>
      <c r="C111" s="290">
        <f t="shared" ref="C111:N111" si="25">+C104+C109</f>
        <v>4216660.5600000005</v>
      </c>
      <c r="D111" s="290">
        <f t="shared" si="25"/>
        <v>3144112.28</v>
      </c>
      <c r="E111" s="290">
        <f t="shared" si="25"/>
        <v>3592066.55</v>
      </c>
      <c r="F111" s="290">
        <f t="shared" si="25"/>
        <v>3338899.4</v>
      </c>
      <c r="G111" s="290">
        <f t="shared" si="25"/>
        <v>3931960.5</v>
      </c>
      <c r="H111" s="290">
        <f t="shared" si="25"/>
        <v>2496988.9500000002</v>
      </c>
      <c r="I111" s="290">
        <f t="shared" si="25"/>
        <v>2248998.37</v>
      </c>
      <c r="J111" s="290">
        <f t="shared" si="25"/>
        <v>2372943</v>
      </c>
      <c r="K111" s="290">
        <f t="shared" si="25"/>
        <v>2313807.6399999997</v>
      </c>
      <c r="L111" s="290">
        <f t="shared" si="25"/>
        <v>2194057.87</v>
      </c>
      <c r="M111" s="290">
        <f t="shared" si="25"/>
        <v>2251402.27</v>
      </c>
      <c r="N111" s="290">
        <f t="shared" si="25"/>
        <v>3923770.9999999995</v>
      </c>
      <c r="O111" s="291">
        <f>+O104+O109</f>
        <v>36025668.390000001</v>
      </c>
    </row>
    <row r="112" spans="1:22">
      <c r="A112" s="97">
        <f t="shared" si="14"/>
        <v>112</v>
      </c>
      <c r="B112" s="286"/>
      <c r="C112" s="249">
        <f>+C109+C104+C93+C87</f>
        <v>28954134.329999998</v>
      </c>
      <c r="D112" s="249">
        <f>+D109+D104+D93+D87</f>
        <v>23952762.789999999</v>
      </c>
      <c r="E112" s="249">
        <f>+E109+E104+E93+E87</f>
        <v>26048137.920000006</v>
      </c>
      <c r="F112" s="249">
        <f t="shared" ref="F112:N112" si="26">+F109+F104+F93+F87</f>
        <v>24074982.979999997</v>
      </c>
      <c r="G112" s="249">
        <f t="shared" si="26"/>
        <v>27803337.280000001</v>
      </c>
      <c r="H112" s="249">
        <f>+H109+H104+H93+H87</f>
        <v>25112911.279999997</v>
      </c>
      <c r="I112" s="249">
        <f>+I109+I104+I93+I87</f>
        <v>25030447.899999995</v>
      </c>
      <c r="J112" s="249">
        <f>+J109+J104+J93+J87</f>
        <v>26853205.530000001</v>
      </c>
      <c r="K112" s="249">
        <f t="shared" si="26"/>
        <v>24164613.989999998</v>
      </c>
      <c r="L112" s="249">
        <f t="shared" si="26"/>
        <v>24481486.219999999</v>
      </c>
      <c r="M112" s="249">
        <f t="shared" si="26"/>
        <v>24887670.75</v>
      </c>
      <c r="N112" s="249">
        <f t="shared" si="26"/>
        <v>28674420.170000002</v>
      </c>
    </row>
    <row r="113" spans="1:15">
      <c r="A113" s="97">
        <f t="shared" si="14"/>
        <v>113</v>
      </c>
      <c r="B113" s="289" t="s">
        <v>206</v>
      </c>
      <c r="C113" s="290">
        <f>+C99+C111</f>
        <v>42481782.410000041</v>
      </c>
      <c r="D113" s="290">
        <f>+D99+D111</f>
        <v>36113408.400000006</v>
      </c>
      <c r="E113" s="290">
        <f>+E99+E111</f>
        <v>37749492.350000024</v>
      </c>
      <c r="F113" s="290">
        <f t="shared" ref="F113:N113" si="27">+F99+F111</f>
        <v>35581881.690000013</v>
      </c>
      <c r="G113" s="290">
        <f t="shared" si="27"/>
        <v>38735122.870000042</v>
      </c>
      <c r="H113" s="290">
        <f t="shared" si="27"/>
        <v>35242920.590000041</v>
      </c>
      <c r="I113" s="290">
        <f t="shared" si="27"/>
        <v>34528962.860000014</v>
      </c>
      <c r="J113" s="290">
        <f t="shared" si="27"/>
        <v>36536973.07000003</v>
      </c>
      <c r="K113" s="290">
        <f>+K99+K111</f>
        <v>33300875.790000021</v>
      </c>
      <c r="L113" s="290">
        <f t="shared" si="27"/>
        <v>34334598.300000027</v>
      </c>
      <c r="M113" s="290">
        <f t="shared" si="27"/>
        <v>35836752.600000039</v>
      </c>
      <c r="N113" s="290">
        <f t="shared" si="27"/>
        <v>41134693.920000039</v>
      </c>
      <c r="O113" s="291">
        <f>+O99+O111</f>
        <v>441577464.85000026</v>
      </c>
    </row>
    <row r="114" spans="1:15">
      <c r="A114" s="97">
        <f t="shared" si="14"/>
        <v>114</v>
      </c>
      <c r="B114" s="275" t="s">
        <v>123</v>
      </c>
      <c r="C114" s="249">
        <f>+C113-C109-C104-C93-C87</f>
        <v>13527648.080000047</v>
      </c>
    </row>
    <row r="115" spans="1:15">
      <c r="A115" s="97">
        <f t="shared" si="14"/>
        <v>115</v>
      </c>
      <c r="B115" s="276" t="s">
        <v>100</v>
      </c>
      <c r="C115" s="274">
        <f t="shared" ref="C115:C125" si="28">+C4</f>
        <v>9423.5299999999297</v>
      </c>
      <c r="D115" s="274">
        <f t="shared" ref="D115:D125" si="29">SUM(C4:D4)</f>
        <v>18320.519999999859</v>
      </c>
      <c r="E115" s="274">
        <f t="shared" ref="E115:E125" si="30">SUM(C4:E4)</f>
        <v>25948.419999999849</v>
      </c>
      <c r="F115" s="274">
        <f t="shared" ref="F115:F125" si="31">SUM(C4:F4)</f>
        <v>33485.159999999902</v>
      </c>
      <c r="G115" s="274">
        <f t="shared" ref="G115:G125" si="32">SUM(C4:G4)</f>
        <v>39999.299999999945</v>
      </c>
      <c r="H115" s="274">
        <f t="shared" ref="H115:H125" si="33">SUM(C4:H4)</f>
        <v>45869.679999999928</v>
      </c>
      <c r="I115" s="274">
        <f t="shared" ref="I115:I125" si="34">SUM(C4:I4)</f>
        <v>51115.14999999987</v>
      </c>
      <c r="J115" s="274">
        <f t="shared" ref="J115:J125" si="35">SUM(C4:J4)</f>
        <v>56831.04999999985</v>
      </c>
      <c r="K115" s="274">
        <f t="shared" ref="K115:K125" si="36">SUM(C4:K4)</f>
        <v>62591.75999999982</v>
      </c>
      <c r="L115" s="274">
        <f t="shared" ref="L115:L125" si="37">SUM(C4:L4)</f>
        <v>68407.529999999824</v>
      </c>
      <c r="M115" s="274">
        <f t="shared" ref="M115:M125" si="38">SUM(C4:M4)</f>
        <v>75084.109999999826</v>
      </c>
      <c r="N115" s="274">
        <f t="shared" ref="N115:N125" si="39">SUM(C4:N4)</f>
        <v>83992.079999999783</v>
      </c>
      <c r="O115" s="274">
        <f t="shared" ref="O115:O125" si="40">SUM(C115:N115)</f>
        <v>571068.28999999841</v>
      </c>
    </row>
    <row r="116" spans="1:15">
      <c r="A116" s="97">
        <f t="shared" si="14"/>
        <v>116</v>
      </c>
      <c r="B116" s="276" t="s">
        <v>101</v>
      </c>
      <c r="C116" s="274">
        <f t="shared" si="28"/>
        <v>33265.11</v>
      </c>
      <c r="D116" s="274">
        <f t="shared" si="29"/>
        <v>65030.41</v>
      </c>
      <c r="E116" s="274">
        <f t="shared" si="30"/>
        <v>90034.149999999805</v>
      </c>
      <c r="F116" s="274">
        <f t="shared" si="31"/>
        <v>114002.09</v>
      </c>
      <c r="G116" s="274">
        <f t="shared" si="32"/>
        <v>136014.04000000021</v>
      </c>
      <c r="H116" s="274">
        <f t="shared" si="33"/>
        <v>155564.8300000001</v>
      </c>
      <c r="I116" s="274">
        <f t="shared" si="34"/>
        <v>172646.2900000003</v>
      </c>
      <c r="J116" s="274">
        <f t="shared" si="35"/>
        <v>191599.86000000019</v>
      </c>
      <c r="K116" s="274">
        <f t="shared" si="36"/>
        <v>211242.6800000004</v>
      </c>
      <c r="L116" s="274">
        <f t="shared" si="37"/>
        <v>230082.63000000021</v>
      </c>
      <c r="M116" s="274">
        <f t="shared" si="38"/>
        <v>252367.12000000011</v>
      </c>
      <c r="N116" s="274">
        <f t="shared" si="39"/>
        <v>282677.26000000042</v>
      </c>
      <c r="O116" s="274">
        <f t="shared" si="40"/>
        <v>1934526.4700000016</v>
      </c>
    </row>
    <row r="117" spans="1:15">
      <c r="A117" s="97">
        <f t="shared" si="14"/>
        <v>117</v>
      </c>
      <c r="B117" s="276" t="s">
        <v>102</v>
      </c>
      <c r="C117" s="274">
        <f t="shared" si="28"/>
        <v>269710.09000000003</v>
      </c>
      <c r="D117" s="274">
        <f t="shared" si="29"/>
        <v>522514.03999999899</v>
      </c>
      <c r="E117" s="274">
        <f t="shared" si="30"/>
        <v>721666.23000000394</v>
      </c>
      <c r="F117" s="274">
        <f t="shared" si="31"/>
        <v>917104.70999999391</v>
      </c>
      <c r="G117" s="274">
        <f t="shared" si="32"/>
        <v>1075407.1499999878</v>
      </c>
      <c r="H117" s="274">
        <f t="shared" si="33"/>
        <v>1208974.4099999908</v>
      </c>
      <c r="I117" s="274">
        <f t="shared" si="34"/>
        <v>1321487.0299999919</v>
      </c>
      <c r="J117" s="274">
        <f t="shared" si="35"/>
        <v>1448628.8699999929</v>
      </c>
      <c r="K117" s="274">
        <f t="shared" si="36"/>
        <v>1570917.6299999829</v>
      </c>
      <c r="L117" s="274">
        <f t="shared" si="37"/>
        <v>1704060.4199999839</v>
      </c>
      <c r="M117" s="274">
        <f t="shared" si="38"/>
        <v>1876036.7299999818</v>
      </c>
      <c r="N117" s="274">
        <f t="shared" si="39"/>
        <v>2127737.6099999826</v>
      </c>
      <c r="O117" s="274">
        <f t="shared" si="40"/>
        <v>14764244.91999989</v>
      </c>
    </row>
    <row r="118" spans="1:15">
      <c r="A118" s="97">
        <f t="shared" si="14"/>
        <v>118</v>
      </c>
      <c r="B118" s="276" t="s">
        <v>103</v>
      </c>
      <c r="C118" s="274">
        <f t="shared" si="28"/>
        <v>78576.679999999993</v>
      </c>
      <c r="D118" s="274">
        <f t="shared" si="29"/>
        <v>145585.34999999998</v>
      </c>
      <c r="E118" s="274">
        <f t="shared" si="30"/>
        <v>211065.11</v>
      </c>
      <c r="F118" s="274">
        <f t="shared" si="31"/>
        <v>273627.52999999997</v>
      </c>
      <c r="G118" s="274">
        <f t="shared" si="32"/>
        <v>307033.78999999998</v>
      </c>
      <c r="H118" s="274">
        <f t="shared" si="33"/>
        <v>325137.73</v>
      </c>
      <c r="I118" s="274">
        <f t="shared" si="34"/>
        <v>340189.48</v>
      </c>
      <c r="J118" s="274">
        <f t="shared" si="35"/>
        <v>355843.88</v>
      </c>
      <c r="K118" s="274">
        <f t="shared" si="36"/>
        <v>369748.69</v>
      </c>
      <c r="L118" s="274">
        <f t="shared" si="37"/>
        <v>390120.26</v>
      </c>
      <c r="M118" s="274">
        <f t="shared" si="38"/>
        <v>427203.39</v>
      </c>
      <c r="N118" s="274">
        <f t="shared" si="39"/>
        <v>488269.11</v>
      </c>
      <c r="O118" s="274">
        <f t="shared" si="40"/>
        <v>3712401</v>
      </c>
    </row>
    <row r="119" spans="1:15">
      <c r="A119" s="97">
        <f t="shared" si="14"/>
        <v>119</v>
      </c>
      <c r="B119" s="276" t="s">
        <v>104</v>
      </c>
      <c r="C119" s="274">
        <f t="shared" si="28"/>
        <v>86443.66</v>
      </c>
      <c r="D119" s="274">
        <f t="shared" si="29"/>
        <v>166440.69</v>
      </c>
      <c r="E119" s="274">
        <f t="shared" si="30"/>
        <v>241413.14</v>
      </c>
      <c r="F119" s="274">
        <f t="shared" si="31"/>
        <v>313375.60999999993</v>
      </c>
      <c r="G119" s="274">
        <f t="shared" si="32"/>
        <v>349627.42999999993</v>
      </c>
      <c r="H119" s="274">
        <f t="shared" si="33"/>
        <v>366708.34999999992</v>
      </c>
      <c r="I119" s="274">
        <f t="shared" si="34"/>
        <v>379651.11999999994</v>
      </c>
      <c r="J119" s="274">
        <f t="shared" si="35"/>
        <v>393950.58999999991</v>
      </c>
      <c r="K119" s="274">
        <f t="shared" si="36"/>
        <v>405424.18999999989</v>
      </c>
      <c r="L119" s="274">
        <f t="shared" si="37"/>
        <v>426269.53999999986</v>
      </c>
      <c r="M119" s="274">
        <f t="shared" si="38"/>
        <v>466324.43999999989</v>
      </c>
      <c r="N119" s="274">
        <f t="shared" si="39"/>
        <v>534136.82999999996</v>
      </c>
      <c r="O119" s="274">
        <f t="shared" si="40"/>
        <v>4129765.5899999994</v>
      </c>
    </row>
    <row r="120" spans="1:15">
      <c r="A120" s="97">
        <f t="shared" si="14"/>
        <v>120</v>
      </c>
      <c r="B120" s="279" t="s">
        <v>105</v>
      </c>
      <c r="C120" s="274">
        <f t="shared" si="28"/>
        <v>6751.84</v>
      </c>
      <c r="D120" s="274">
        <f t="shared" si="29"/>
        <v>11555.58</v>
      </c>
      <c r="E120" s="274">
        <f t="shared" si="30"/>
        <v>16302.82</v>
      </c>
      <c r="F120" s="274">
        <f t="shared" si="31"/>
        <v>20151.489999999998</v>
      </c>
      <c r="G120" s="274">
        <f t="shared" si="32"/>
        <v>22207.769999999997</v>
      </c>
      <c r="H120" s="274">
        <f t="shared" si="33"/>
        <v>23268.17</v>
      </c>
      <c r="I120" s="274">
        <f t="shared" si="34"/>
        <v>23803.539999999997</v>
      </c>
      <c r="J120" s="274">
        <f t="shared" si="35"/>
        <v>24394.979999999996</v>
      </c>
      <c r="K120" s="274">
        <f t="shared" si="36"/>
        <v>24972.409999999996</v>
      </c>
      <c r="L120" s="274">
        <f t="shared" si="37"/>
        <v>26469.129999999997</v>
      </c>
      <c r="M120" s="274">
        <f t="shared" si="38"/>
        <v>30303.319999999996</v>
      </c>
      <c r="N120" s="274">
        <f t="shared" si="39"/>
        <v>36917.149999999994</v>
      </c>
      <c r="O120" s="274">
        <f t="shared" si="40"/>
        <v>267098.2</v>
      </c>
    </row>
    <row r="121" spans="1:15">
      <c r="A121" s="97">
        <f t="shared" si="14"/>
        <v>121</v>
      </c>
      <c r="B121" s="279" t="s">
        <v>106</v>
      </c>
      <c r="C121" s="274">
        <f t="shared" si="28"/>
        <v>0</v>
      </c>
      <c r="D121" s="274">
        <f t="shared" si="29"/>
        <v>0</v>
      </c>
      <c r="E121" s="274">
        <f t="shared" si="30"/>
        <v>0</v>
      </c>
      <c r="F121" s="274">
        <f t="shared" si="31"/>
        <v>0</v>
      </c>
      <c r="G121" s="274">
        <f t="shared" si="32"/>
        <v>0</v>
      </c>
      <c r="H121" s="274">
        <f t="shared" si="33"/>
        <v>0</v>
      </c>
      <c r="I121" s="274">
        <f t="shared" si="34"/>
        <v>0</v>
      </c>
      <c r="J121" s="274">
        <f t="shared" si="35"/>
        <v>0</v>
      </c>
      <c r="K121" s="274">
        <f t="shared" si="36"/>
        <v>0</v>
      </c>
      <c r="L121" s="274">
        <f t="shared" si="37"/>
        <v>0</v>
      </c>
      <c r="M121" s="274">
        <f t="shared" si="38"/>
        <v>0</v>
      </c>
      <c r="N121" s="274">
        <f t="shared" si="39"/>
        <v>0</v>
      </c>
      <c r="O121" s="274">
        <f t="shared" si="40"/>
        <v>0</v>
      </c>
    </row>
    <row r="122" spans="1:15">
      <c r="A122" s="97">
        <f t="shared" si="14"/>
        <v>122</v>
      </c>
      <c r="B122" s="279" t="s">
        <v>126</v>
      </c>
      <c r="C122" s="274">
        <f t="shared" si="28"/>
        <v>1942288.4800000344</v>
      </c>
      <c r="D122" s="274">
        <f t="shared" si="29"/>
        <v>3627196.2200000403</v>
      </c>
      <c r="E122" s="274">
        <f t="shared" si="30"/>
        <v>4975537.2700000536</v>
      </c>
      <c r="F122" s="274">
        <f t="shared" si="31"/>
        <v>6253967.7000000766</v>
      </c>
      <c r="G122" s="274">
        <f t="shared" si="32"/>
        <v>7273724.6100001233</v>
      </c>
      <c r="H122" s="274">
        <f t="shared" si="33"/>
        <v>8086643.9000001559</v>
      </c>
      <c r="I122" s="274">
        <f t="shared" si="34"/>
        <v>8754984.7000001762</v>
      </c>
      <c r="J122" s="274">
        <f t="shared" si="35"/>
        <v>9441035.6800001971</v>
      </c>
      <c r="K122" s="274">
        <f t="shared" si="36"/>
        <v>10185958.790000228</v>
      </c>
      <c r="L122" s="274">
        <f t="shared" si="37"/>
        <v>10965831.010000259</v>
      </c>
      <c r="M122" s="274">
        <f t="shared" si="38"/>
        <v>12014307.630000293</v>
      </c>
      <c r="N122" s="274">
        <f t="shared" si="39"/>
        <v>13679044.58000033</v>
      </c>
      <c r="O122" s="274">
        <f t="shared" si="40"/>
        <v>97200520.57000196</v>
      </c>
    </row>
    <row r="123" spans="1:15">
      <c r="A123" s="97">
        <f t="shared" si="14"/>
        <v>123</v>
      </c>
      <c r="B123" s="279" t="s">
        <v>128</v>
      </c>
      <c r="C123" s="274">
        <f t="shared" si="28"/>
        <v>9368.5900000000038</v>
      </c>
      <c r="D123" s="274">
        <f t="shared" si="29"/>
        <v>15895.700000000008</v>
      </c>
      <c r="E123" s="274">
        <f t="shared" si="30"/>
        <v>21931.340000000004</v>
      </c>
      <c r="F123" s="274">
        <f t="shared" si="31"/>
        <v>28580.640000000007</v>
      </c>
      <c r="G123" s="274">
        <f t="shared" si="32"/>
        <v>33879.580000000024</v>
      </c>
      <c r="H123" s="274">
        <f t="shared" si="33"/>
        <v>37240.240000000027</v>
      </c>
      <c r="I123" s="274">
        <f t="shared" si="34"/>
        <v>39347.800000000025</v>
      </c>
      <c r="J123" s="274">
        <f t="shared" si="35"/>
        <v>41685.24000000002</v>
      </c>
      <c r="K123" s="274">
        <f t="shared" si="36"/>
        <v>44865.710000000021</v>
      </c>
      <c r="L123" s="274">
        <f t="shared" si="37"/>
        <v>48007.150000000023</v>
      </c>
      <c r="M123" s="274">
        <f t="shared" si="38"/>
        <v>52973.040000000023</v>
      </c>
      <c r="N123" s="274">
        <f t="shared" si="39"/>
        <v>60641.200000000026</v>
      </c>
      <c r="O123" s="274">
        <f t="shared" si="40"/>
        <v>434416.23000000016</v>
      </c>
    </row>
    <row r="124" spans="1:15">
      <c r="A124" s="97">
        <f t="shared" si="14"/>
        <v>124</v>
      </c>
      <c r="B124" s="279" t="s">
        <v>98</v>
      </c>
      <c r="C124" s="274">
        <f t="shared" si="28"/>
        <v>9567.3800000000228</v>
      </c>
      <c r="D124" s="274">
        <f t="shared" si="29"/>
        <v>18631.420000000035</v>
      </c>
      <c r="E124" s="274">
        <f t="shared" si="30"/>
        <v>24514.06</v>
      </c>
      <c r="F124" s="274">
        <f t="shared" si="31"/>
        <v>30320.849999999969</v>
      </c>
      <c r="G124" s="274">
        <f t="shared" si="32"/>
        <v>35519.899999999951</v>
      </c>
      <c r="H124" s="274">
        <f t="shared" si="33"/>
        <v>40132.699999999953</v>
      </c>
      <c r="I124" s="274">
        <f t="shared" si="34"/>
        <v>44083.51999999996</v>
      </c>
      <c r="J124" s="274">
        <f t="shared" si="35"/>
        <v>48372.169999999962</v>
      </c>
      <c r="K124" s="274">
        <f t="shared" si="36"/>
        <v>52561.869999999959</v>
      </c>
      <c r="L124" s="274">
        <f t="shared" si="37"/>
        <v>56934.869999999959</v>
      </c>
      <c r="M124" s="274">
        <f t="shared" si="38"/>
        <v>61778.139999999948</v>
      </c>
      <c r="N124" s="274">
        <f t="shared" si="39"/>
        <v>69507.229999999952</v>
      </c>
      <c r="O124" s="274">
        <f t="shared" si="40"/>
        <v>491924.10999999964</v>
      </c>
    </row>
    <row r="125" spans="1:15">
      <c r="A125" s="97">
        <f t="shared" si="14"/>
        <v>125</v>
      </c>
      <c r="B125" s="279" t="s">
        <v>93</v>
      </c>
      <c r="C125" s="283">
        <f t="shared" si="28"/>
        <v>11154.030000000035</v>
      </c>
      <c r="D125" s="283">
        <f t="shared" si="29"/>
        <v>21165.02000000004</v>
      </c>
      <c r="E125" s="283">
        <f t="shared" si="30"/>
        <v>31274.290000000052</v>
      </c>
      <c r="F125" s="283">
        <f t="shared" si="31"/>
        <v>41008.060000000056</v>
      </c>
      <c r="G125" s="283">
        <f t="shared" si="32"/>
        <v>51065.720000000052</v>
      </c>
      <c r="H125" s="283">
        <f t="shared" si="33"/>
        <v>59494.47000000003</v>
      </c>
      <c r="I125" s="283">
        <f t="shared" si="34"/>
        <v>68255.800000000017</v>
      </c>
      <c r="J125" s="283">
        <f t="shared" si="35"/>
        <v>76769.35000000002</v>
      </c>
      <c r="K125" s="283">
        <f t="shared" si="36"/>
        <v>85340.080000000016</v>
      </c>
      <c r="L125" s="283">
        <f t="shared" si="37"/>
        <v>94754.700000000026</v>
      </c>
      <c r="M125" s="283">
        <f t="shared" si="38"/>
        <v>103983.28000000003</v>
      </c>
      <c r="N125" s="283">
        <f t="shared" si="39"/>
        <v>114642.48000000004</v>
      </c>
      <c r="O125" s="283">
        <f t="shared" si="40"/>
        <v>758907.28000000049</v>
      </c>
    </row>
    <row r="126" spans="1:15">
      <c r="A126" s="97">
        <f t="shared" si="14"/>
        <v>126</v>
      </c>
      <c r="B126" s="280" t="s">
        <v>131</v>
      </c>
      <c r="C126" s="274">
        <f>SUM(C115:C121)</f>
        <v>484170.91</v>
      </c>
      <c r="D126" s="274">
        <f t="shared" ref="D126:N126" si="41">SUM(D115:D121)</f>
        <v>929446.5899999988</v>
      </c>
      <c r="E126" s="274">
        <f>SUM(E115:E121)</f>
        <v>1306429.8700000036</v>
      </c>
      <c r="F126" s="274">
        <f t="shared" si="41"/>
        <v>1671746.5899999938</v>
      </c>
      <c r="G126" s="274">
        <f t="shared" si="41"/>
        <v>1930289.4799999879</v>
      </c>
      <c r="H126" s="274">
        <f t="shared" si="41"/>
        <v>2125523.1699999906</v>
      </c>
      <c r="I126" s="274">
        <f t="shared" si="41"/>
        <v>2288892.609999992</v>
      </c>
      <c r="J126" s="274">
        <f t="shared" si="41"/>
        <v>2471249.2299999925</v>
      </c>
      <c r="K126" s="274">
        <f t="shared" si="41"/>
        <v>2644897.3599999831</v>
      </c>
      <c r="L126" s="274">
        <f t="shared" si="41"/>
        <v>2845409.5099999839</v>
      </c>
      <c r="M126" s="274">
        <f t="shared" si="41"/>
        <v>3127319.1099999817</v>
      </c>
      <c r="N126" s="274">
        <f t="shared" si="41"/>
        <v>3553730.0399999828</v>
      </c>
      <c r="O126" s="274">
        <f>SUM(C126:N126)</f>
        <v>25379104.469999891</v>
      </c>
    </row>
    <row r="127" spans="1:15">
      <c r="A127" s="97">
        <f t="shared" si="14"/>
        <v>127</v>
      </c>
      <c r="B127" s="275" t="s">
        <v>132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</row>
    <row r="128" spans="1:15">
      <c r="A128" s="97">
        <f t="shared" si="14"/>
        <v>128</v>
      </c>
      <c r="B128" s="276" t="s">
        <v>100</v>
      </c>
      <c r="C128" s="274">
        <f t="shared" ref="C128:C134" si="42">+C17</f>
        <v>303.70999999999998</v>
      </c>
      <c r="D128" s="274">
        <f t="shared" ref="D128:D134" si="43">SUM(C17:D17)</f>
        <v>625.45000000000005</v>
      </c>
      <c r="E128" s="274">
        <f t="shared" ref="E128:E134" si="44">SUM(C17:E17)</f>
        <v>923.28</v>
      </c>
      <c r="F128" s="274">
        <f t="shared" ref="F128:F134" si="45">SUM(C17:F17)</f>
        <v>1168.22</v>
      </c>
      <c r="G128" s="274">
        <f t="shared" ref="G128:G134" si="46">SUM(C17:G17)</f>
        <v>1363.32</v>
      </c>
      <c r="H128" s="274">
        <f t="shared" ref="H128:H134" si="47">SUM(C17:H17)</f>
        <v>1536.79</v>
      </c>
      <c r="I128" s="274">
        <f t="shared" ref="I128:I134" si="48">SUM(C17:I17)</f>
        <v>1677.22</v>
      </c>
      <c r="J128" s="274">
        <f t="shared" ref="J128:J134" si="49">SUM(C17:J17)</f>
        <v>1812.57</v>
      </c>
      <c r="K128" s="274">
        <f t="shared" ref="K128:K134" si="50">SUM(C17:K17)</f>
        <v>1956.25</v>
      </c>
      <c r="L128" s="274">
        <f t="shared" ref="L128:L134" si="51">SUM(C17:L17)</f>
        <v>2118.59</v>
      </c>
      <c r="M128" s="274">
        <f t="shared" ref="M128:M134" si="52">SUM(C17:M17)</f>
        <v>2326.3500000000004</v>
      </c>
      <c r="N128" s="274">
        <f t="shared" ref="N128:N134" si="53">SUM(C17:N17)</f>
        <v>2650.3100000000004</v>
      </c>
      <c r="O128" s="274">
        <f t="shared" ref="O128:O135" si="54">SUM(C128:N128)</f>
        <v>18462.060000000001</v>
      </c>
    </row>
    <row r="129" spans="1:15">
      <c r="A129" s="97">
        <f t="shared" si="14"/>
        <v>129</v>
      </c>
      <c r="B129" s="276" t="s">
        <v>101</v>
      </c>
      <c r="C129" s="274">
        <f t="shared" si="42"/>
        <v>928.03</v>
      </c>
      <c r="D129" s="274">
        <f t="shared" si="43"/>
        <v>1824.87</v>
      </c>
      <c r="E129" s="274">
        <f t="shared" si="44"/>
        <v>2540.9299999999998</v>
      </c>
      <c r="F129" s="274">
        <f t="shared" si="45"/>
        <v>3225.24</v>
      </c>
      <c r="G129" s="274">
        <f t="shared" si="46"/>
        <v>3891.49</v>
      </c>
      <c r="H129" s="274">
        <f t="shared" si="47"/>
        <v>4425.5199999999995</v>
      </c>
      <c r="I129" s="274">
        <f t="shared" si="48"/>
        <v>4919.8899999999994</v>
      </c>
      <c r="J129" s="274">
        <f t="shared" si="49"/>
        <v>5476.4</v>
      </c>
      <c r="K129" s="274">
        <f t="shared" si="50"/>
        <v>6031.67</v>
      </c>
      <c r="L129" s="274">
        <f t="shared" si="51"/>
        <v>6618.8</v>
      </c>
      <c r="M129" s="274">
        <f t="shared" si="52"/>
        <v>7315.63</v>
      </c>
      <c r="N129" s="274">
        <f t="shared" si="53"/>
        <v>8281.44</v>
      </c>
      <c r="O129" s="274">
        <f t="shared" si="54"/>
        <v>55479.909999999996</v>
      </c>
    </row>
    <row r="130" spans="1:15">
      <c r="A130" s="97">
        <f t="shared" si="14"/>
        <v>130</v>
      </c>
      <c r="B130" s="276" t="s">
        <v>102</v>
      </c>
      <c r="C130" s="274">
        <f t="shared" si="42"/>
        <v>4122.12</v>
      </c>
      <c r="D130" s="274">
        <f t="shared" si="43"/>
        <v>7907.33</v>
      </c>
      <c r="E130" s="274">
        <f t="shared" si="44"/>
        <v>10526.86</v>
      </c>
      <c r="F130" s="274">
        <f t="shared" si="45"/>
        <v>13159.76</v>
      </c>
      <c r="G130" s="274">
        <f t="shared" si="46"/>
        <v>15367.61</v>
      </c>
      <c r="H130" s="274">
        <f t="shared" si="47"/>
        <v>17536.870000000003</v>
      </c>
      <c r="I130" s="274">
        <f t="shared" si="48"/>
        <v>19112.710000000003</v>
      </c>
      <c r="J130" s="274">
        <f t="shared" si="49"/>
        <v>20865.730000000003</v>
      </c>
      <c r="K130" s="274">
        <f t="shared" si="50"/>
        <v>22685.910000000003</v>
      </c>
      <c r="L130" s="274">
        <f t="shared" si="51"/>
        <v>24571.570000000003</v>
      </c>
      <c r="M130" s="274">
        <f t="shared" si="52"/>
        <v>27052.450000000004</v>
      </c>
      <c r="N130" s="274">
        <f t="shared" si="53"/>
        <v>30535.900000000005</v>
      </c>
      <c r="O130" s="274">
        <f t="shared" si="54"/>
        <v>213444.82000000004</v>
      </c>
    </row>
    <row r="131" spans="1:15">
      <c r="A131" s="97">
        <f t="shared" ref="A131:A194" si="55">+A130+1</f>
        <v>131</v>
      </c>
      <c r="B131" s="276" t="s">
        <v>103</v>
      </c>
      <c r="C131" s="274">
        <f t="shared" si="42"/>
        <v>1584.92</v>
      </c>
      <c r="D131" s="274">
        <f t="shared" si="43"/>
        <v>2826</v>
      </c>
      <c r="E131" s="274">
        <f t="shared" si="44"/>
        <v>4173.0599999999995</v>
      </c>
      <c r="F131" s="274">
        <f t="shared" si="45"/>
        <v>5796.0899999999992</v>
      </c>
      <c r="G131" s="274">
        <f t="shared" si="46"/>
        <v>6458.619999999999</v>
      </c>
      <c r="H131" s="274">
        <f t="shared" si="47"/>
        <v>6858.0499999999993</v>
      </c>
      <c r="I131" s="274">
        <f t="shared" si="48"/>
        <v>7181.0299999999988</v>
      </c>
      <c r="J131" s="274">
        <f t="shared" si="49"/>
        <v>7583.0699999999988</v>
      </c>
      <c r="K131" s="274">
        <f t="shared" si="50"/>
        <v>7884.579999999999</v>
      </c>
      <c r="L131" s="274">
        <f t="shared" si="51"/>
        <v>8266.7699999999986</v>
      </c>
      <c r="M131" s="274">
        <f t="shared" si="52"/>
        <v>9059.7999999999993</v>
      </c>
      <c r="N131" s="274">
        <f t="shared" si="53"/>
        <v>10839.05</v>
      </c>
      <c r="O131" s="274">
        <f t="shared" si="54"/>
        <v>78511.039999999994</v>
      </c>
    </row>
    <row r="132" spans="1:15">
      <c r="A132" s="97">
        <f t="shared" si="55"/>
        <v>132</v>
      </c>
      <c r="B132" s="276" t="s">
        <v>104</v>
      </c>
      <c r="C132" s="274">
        <f t="shared" si="42"/>
        <v>1739.96</v>
      </c>
      <c r="D132" s="274">
        <f t="shared" si="43"/>
        <v>2977.29</v>
      </c>
      <c r="E132" s="274">
        <f t="shared" si="44"/>
        <v>4120.88</v>
      </c>
      <c r="F132" s="274">
        <f t="shared" si="45"/>
        <v>5226.84</v>
      </c>
      <c r="G132" s="274">
        <f t="shared" si="46"/>
        <v>5737.1100000000006</v>
      </c>
      <c r="H132" s="274">
        <f t="shared" si="47"/>
        <v>5984.130000000001</v>
      </c>
      <c r="I132" s="274">
        <f t="shared" si="48"/>
        <v>6157.7500000000009</v>
      </c>
      <c r="J132" s="274">
        <f t="shared" si="49"/>
        <v>6357.4600000000009</v>
      </c>
      <c r="K132" s="274">
        <f t="shared" si="50"/>
        <v>6460.7100000000009</v>
      </c>
      <c r="L132" s="274">
        <f t="shared" si="51"/>
        <v>6813.7100000000009</v>
      </c>
      <c r="M132" s="274">
        <f t="shared" si="52"/>
        <v>7936.5000000000009</v>
      </c>
      <c r="N132" s="274">
        <f t="shared" si="53"/>
        <v>9720.6400000000012</v>
      </c>
      <c r="O132" s="274">
        <f t="shared" si="54"/>
        <v>69232.98000000001</v>
      </c>
    </row>
    <row r="133" spans="1:15">
      <c r="A133" s="97">
        <f t="shared" si="55"/>
        <v>133</v>
      </c>
      <c r="B133" s="279" t="s">
        <v>105</v>
      </c>
      <c r="C133" s="274">
        <f t="shared" si="42"/>
        <v>0</v>
      </c>
      <c r="D133" s="274">
        <f t="shared" si="43"/>
        <v>0</v>
      </c>
      <c r="E133" s="274">
        <f t="shared" si="44"/>
        <v>0</v>
      </c>
      <c r="F133" s="274">
        <f t="shared" si="45"/>
        <v>0</v>
      </c>
      <c r="G133" s="274">
        <f t="shared" si="46"/>
        <v>0</v>
      </c>
      <c r="H133" s="274">
        <f t="shared" si="47"/>
        <v>0</v>
      </c>
      <c r="I133" s="274">
        <f t="shared" si="48"/>
        <v>0</v>
      </c>
      <c r="J133" s="274">
        <f t="shared" si="49"/>
        <v>0</v>
      </c>
      <c r="K133" s="274">
        <f t="shared" si="50"/>
        <v>0</v>
      </c>
      <c r="L133" s="274">
        <f t="shared" si="51"/>
        <v>0</v>
      </c>
      <c r="M133" s="274">
        <f t="shared" si="52"/>
        <v>0</v>
      </c>
      <c r="N133" s="274">
        <f t="shared" si="53"/>
        <v>0</v>
      </c>
      <c r="O133" s="274">
        <f t="shared" si="54"/>
        <v>0</v>
      </c>
    </row>
    <row r="134" spans="1:15">
      <c r="A134" s="97">
        <f t="shared" si="55"/>
        <v>134</v>
      </c>
      <c r="B134" s="279" t="s">
        <v>106</v>
      </c>
      <c r="C134" s="283">
        <f t="shared" si="42"/>
        <v>0</v>
      </c>
      <c r="D134" s="283">
        <f t="shared" si="43"/>
        <v>0</v>
      </c>
      <c r="E134" s="283">
        <f t="shared" si="44"/>
        <v>0</v>
      </c>
      <c r="F134" s="283">
        <f t="shared" si="45"/>
        <v>0</v>
      </c>
      <c r="G134" s="283">
        <f t="shared" si="46"/>
        <v>0</v>
      </c>
      <c r="H134" s="283">
        <f t="shared" si="47"/>
        <v>0</v>
      </c>
      <c r="I134" s="283">
        <f t="shared" si="48"/>
        <v>0</v>
      </c>
      <c r="J134" s="283">
        <f t="shared" si="49"/>
        <v>0</v>
      </c>
      <c r="K134" s="283">
        <f t="shared" si="50"/>
        <v>0</v>
      </c>
      <c r="L134" s="283">
        <f t="shared" si="51"/>
        <v>0</v>
      </c>
      <c r="M134" s="283">
        <f t="shared" si="52"/>
        <v>0</v>
      </c>
      <c r="N134" s="283">
        <f t="shared" si="53"/>
        <v>0</v>
      </c>
      <c r="O134" s="283">
        <f t="shared" si="54"/>
        <v>0</v>
      </c>
    </row>
    <row r="135" spans="1:15">
      <c r="A135" s="97">
        <f t="shared" si="55"/>
        <v>135</v>
      </c>
      <c r="B135" s="280" t="s">
        <v>134</v>
      </c>
      <c r="C135" s="274">
        <f t="shared" ref="C135:N135" si="56">SUM(C128:C134)</f>
        <v>8678.74</v>
      </c>
      <c r="D135" s="274">
        <f t="shared" si="56"/>
        <v>16160.939999999999</v>
      </c>
      <c r="E135" s="274">
        <f>SUM(E128:E134)</f>
        <v>22285.01</v>
      </c>
      <c r="F135" s="274">
        <f t="shared" si="56"/>
        <v>28576.15</v>
      </c>
      <c r="G135" s="274">
        <f t="shared" si="56"/>
        <v>32818.149999999994</v>
      </c>
      <c r="H135" s="274">
        <f t="shared" si="56"/>
        <v>36341.360000000001</v>
      </c>
      <c r="I135" s="274">
        <f t="shared" si="56"/>
        <v>39048.600000000006</v>
      </c>
      <c r="J135" s="274">
        <f t="shared" si="56"/>
        <v>42095.23</v>
      </c>
      <c r="K135" s="274">
        <f t="shared" si="56"/>
        <v>45019.12</v>
      </c>
      <c r="L135" s="274">
        <f t="shared" si="56"/>
        <v>48389.440000000002</v>
      </c>
      <c r="M135" s="274">
        <f t="shared" si="56"/>
        <v>53690.73000000001</v>
      </c>
      <c r="N135" s="274">
        <f t="shared" si="56"/>
        <v>62027.340000000011</v>
      </c>
      <c r="O135" s="274">
        <f t="shared" si="54"/>
        <v>435130.81</v>
      </c>
    </row>
    <row r="136" spans="1:15">
      <c r="A136" s="97">
        <f t="shared" si="55"/>
        <v>136</v>
      </c>
      <c r="B136" s="284" t="s">
        <v>135</v>
      </c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</row>
    <row r="137" spans="1:15">
      <c r="A137" s="97">
        <f t="shared" si="55"/>
        <v>137</v>
      </c>
      <c r="B137" s="276" t="s">
        <v>100</v>
      </c>
      <c r="C137" s="274">
        <f t="shared" ref="C137:C172" si="57">+C26</f>
        <v>29.05</v>
      </c>
      <c r="D137" s="274">
        <f t="shared" ref="D137:D172" si="58">SUM(C26:D26)</f>
        <v>64.34</v>
      </c>
      <c r="E137" s="274">
        <f t="shared" ref="E137:E172" si="59">SUM(C26:E26)</f>
        <v>101.71000000000001</v>
      </c>
      <c r="F137" s="274">
        <f>SUM(C26:F26)</f>
        <v>130.73000000000002</v>
      </c>
      <c r="G137" s="274">
        <f t="shared" ref="G137:G172" si="60">SUM(C26:G26)</f>
        <v>158.70000000000002</v>
      </c>
      <c r="H137" s="274">
        <f t="shared" ref="H137:H172" si="61">SUM(C26:H26)</f>
        <v>184.62</v>
      </c>
      <c r="I137" s="274">
        <f t="shared" ref="I137:I172" si="62">SUM(C26:I26)</f>
        <v>214.23000000000002</v>
      </c>
      <c r="J137" s="274">
        <f t="shared" ref="J137:J172" si="63">SUM(C26:J26)</f>
        <v>244.93</v>
      </c>
      <c r="K137" s="274">
        <f t="shared" ref="K137:K172" si="64">SUM(C26:K26)</f>
        <v>281.37</v>
      </c>
      <c r="L137" s="274">
        <f t="shared" ref="L137:L172" si="65">SUM(C26:L26)</f>
        <v>304.26</v>
      </c>
      <c r="M137" s="274">
        <f t="shared" ref="M137:M172" si="66">SUM(C26:M26)</f>
        <v>334.46</v>
      </c>
      <c r="N137" s="274">
        <f t="shared" ref="N137:N172" si="67">SUM(C26:N26)</f>
        <v>369.84</v>
      </c>
      <c r="O137" s="274">
        <f t="shared" ref="O137:O173" si="68">SUM(C137:N137)</f>
        <v>2418.2400000000002</v>
      </c>
    </row>
    <row r="138" spans="1:15">
      <c r="A138" s="97">
        <f t="shared" si="55"/>
        <v>138</v>
      </c>
      <c r="B138" s="276" t="s">
        <v>101</v>
      </c>
      <c r="C138" s="274">
        <f t="shared" si="57"/>
        <v>109.42</v>
      </c>
      <c r="D138" s="274">
        <f t="shared" si="58"/>
        <v>197.23000000000002</v>
      </c>
      <c r="E138" s="274">
        <f t="shared" si="59"/>
        <v>260.94</v>
      </c>
      <c r="F138" s="274">
        <f>SUM(C27:F27)</f>
        <v>331</v>
      </c>
      <c r="G138" s="274">
        <f t="shared" si="60"/>
        <v>380.2</v>
      </c>
      <c r="H138" s="274">
        <f t="shared" si="61"/>
        <v>433.49</v>
      </c>
      <c r="I138" s="274">
        <f t="shared" si="62"/>
        <v>479.34000000000003</v>
      </c>
      <c r="J138" s="274">
        <f t="shared" si="63"/>
        <v>524.09</v>
      </c>
      <c r="K138" s="274">
        <f t="shared" si="64"/>
        <v>575.57000000000005</v>
      </c>
      <c r="L138" s="274">
        <f t="shared" si="65"/>
        <v>625.92000000000007</v>
      </c>
      <c r="M138" s="274">
        <f t="shared" si="66"/>
        <v>686.84</v>
      </c>
      <c r="N138" s="274">
        <f t="shared" si="67"/>
        <v>759.92000000000007</v>
      </c>
      <c r="O138" s="274">
        <f t="shared" si="68"/>
        <v>5363.96</v>
      </c>
    </row>
    <row r="139" spans="1:15">
      <c r="A139" s="97">
        <f t="shared" si="55"/>
        <v>139</v>
      </c>
      <c r="B139" s="276" t="s">
        <v>102</v>
      </c>
      <c r="C139" s="274">
        <f t="shared" si="57"/>
        <v>5095.8100000000104</v>
      </c>
      <c r="D139" s="274">
        <f t="shared" si="58"/>
        <v>10466.38000000001</v>
      </c>
      <c r="E139" s="274">
        <f t="shared" si="59"/>
        <v>14738.500000000011</v>
      </c>
      <c r="F139" s="274">
        <f>SUM(C28:F28)</f>
        <v>19535.820000000011</v>
      </c>
      <c r="G139" s="274">
        <f t="shared" si="60"/>
        <v>25633.860000000011</v>
      </c>
      <c r="H139" s="274">
        <f t="shared" si="61"/>
        <v>29512.220000000012</v>
      </c>
      <c r="I139" s="274">
        <f t="shared" si="62"/>
        <v>32773.23000000001</v>
      </c>
      <c r="J139" s="274">
        <f t="shared" si="63"/>
        <v>36645.630000000012</v>
      </c>
      <c r="K139" s="274">
        <f t="shared" si="64"/>
        <v>40393.180000000015</v>
      </c>
      <c r="L139" s="274">
        <f t="shared" si="65"/>
        <v>43905.580000000016</v>
      </c>
      <c r="M139" s="274">
        <f t="shared" si="66"/>
        <v>48804.400000000016</v>
      </c>
      <c r="N139" s="274">
        <f t="shared" si="67"/>
        <v>54048.340000000018</v>
      </c>
      <c r="O139" s="274">
        <f t="shared" si="68"/>
        <v>361552.95000000013</v>
      </c>
    </row>
    <row r="140" spans="1:15">
      <c r="A140" s="97">
        <f t="shared" si="55"/>
        <v>140</v>
      </c>
      <c r="B140" s="276" t="s">
        <v>103</v>
      </c>
      <c r="C140" s="274">
        <f t="shared" si="57"/>
        <v>8803.69</v>
      </c>
      <c r="D140" s="274">
        <f t="shared" si="58"/>
        <v>16889.43</v>
      </c>
      <c r="E140" s="274">
        <f t="shared" si="59"/>
        <v>24447.79</v>
      </c>
      <c r="F140" s="274">
        <f>SUM(C29:F29)</f>
        <v>30681.88</v>
      </c>
      <c r="G140" s="274">
        <f t="shared" si="60"/>
        <v>36324.78</v>
      </c>
      <c r="H140" s="274">
        <f t="shared" si="61"/>
        <v>41417.879999999997</v>
      </c>
      <c r="I140" s="274">
        <f t="shared" si="62"/>
        <v>45407.89</v>
      </c>
      <c r="J140" s="274">
        <f t="shared" si="63"/>
        <v>50209.38</v>
      </c>
      <c r="K140" s="274">
        <f t="shared" si="64"/>
        <v>54882.27</v>
      </c>
      <c r="L140" s="274">
        <f t="shared" si="65"/>
        <v>59973.46</v>
      </c>
      <c r="M140" s="274">
        <f t="shared" si="66"/>
        <v>66490.73</v>
      </c>
      <c r="N140" s="274">
        <f t="shared" si="67"/>
        <v>74329.64</v>
      </c>
      <c r="O140" s="274">
        <f t="shared" si="68"/>
        <v>509858.82000000007</v>
      </c>
    </row>
    <row r="141" spans="1:15">
      <c r="A141" s="97">
        <f t="shared" si="55"/>
        <v>141</v>
      </c>
      <c r="B141" s="276" t="s">
        <v>104</v>
      </c>
      <c r="C141" s="274">
        <f t="shared" si="57"/>
        <v>36791.160000000003</v>
      </c>
      <c r="D141" s="274">
        <f t="shared" si="58"/>
        <v>73185.41</v>
      </c>
      <c r="E141" s="274">
        <f t="shared" si="59"/>
        <v>108932.9</v>
      </c>
      <c r="F141" s="274">
        <f>SUM(C30:F30)</f>
        <v>137629.25</v>
      </c>
      <c r="G141" s="274">
        <f t="shared" si="60"/>
        <v>170613.1</v>
      </c>
      <c r="H141" s="274">
        <f t="shared" si="61"/>
        <v>198968.49</v>
      </c>
      <c r="I141" s="274">
        <f t="shared" si="62"/>
        <v>222797.75999999998</v>
      </c>
      <c r="J141" s="274">
        <f t="shared" si="63"/>
        <v>249898.81999999998</v>
      </c>
      <c r="K141" s="274">
        <f t="shared" si="64"/>
        <v>279463.49</v>
      </c>
      <c r="L141" s="274">
        <f t="shared" si="65"/>
        <v>309004.01</v>
      </c>
      <c r="M141" s="274">
        <f t="shared" si="66"/>
        <v>341118.39</v>
      </c>
      <c r="N141" s="274">
        <f t="shared" si="67"/>
        <v>378330.98</v>
      </c>
      <c r="O141" s="274">
        <f t="shared" si="68"/>
        <v>2506733.7599999998</v>
      </c>
    </row>
    <row r="142" spans="1:15">
      <c r="A142" s="97">
        <f t="shared" si="55"/>
        <v>142</v>
      </c>
      <c r="B142" s="279" t="s">
        <v>105</v>
      </c>
      <c r="C142" s="274">
        <f t="shared" si="57"/>
        <v>92323.3100000001</v>
      </c>
      <c r="D142" s="274">
        <f t="shared" si="58"/>
        <v>187735.77000000019</v>
      </c>
      <c r="E142" s="274">
        <f t="shared" si="59"/>
        <v>274252.20000000019</v>
      </c>
      <c r="F142" s="274">
        <f t="shared" ref="F142:F172" si="69">SUM(C31:F31)</f>
        <v>365874.62000000017</v>
      </c>
      <c r="G142" s="274">
        <f t="shared" si="60"/>
        <v>452875.88000000018</v>
      </c>
      <c r="H142" s="274">
        <f t="shared" si="61"/>
        <v>534555.77000000025</v>
      </c>
      <c r="I142" s="274">
        <f t="shared" si="62"/>
        <v>605992.79000000015</v>
      </c>
      <c r="J142" s="274">
        <f t="shared" si="63"/>
        <v>683431.39000000025</v>
      </c>
      <c r="K142" s="274">
        <f t="shared" si="64"/>
        <v>767214.26000000024</v>
      </c>
      <c r="L142" s="274">
        <f t="shared" si="65"/>
        <v>851689.3200000003</v>
      </c>
      <c r="M142" s="274">
        <f t="shared" si="66"/>
        <v>946189.12000000034</v>
      </c>
      <c r="N142" s="274">
        <f t="shared" si="67"/>
        <v>1046214.8000000003</v>
      </c>
      <c r="O142" s="274">
        <f t="shared" si="68"/>
        <v>6808349.2300000023</v>
      </c>
    </row>
    <row r="143" spans="1:15">
      <c r="A143" s="97">
        <f t="shared" si="55"/>
        <v>143</v>
      </c>
      <c r="B143" s="279" t="s">
        <v>106</v>
      </c>
      <c r="C143" s="274">
        <f t="shared" si="57"/>
        <v>223570</v>
      </c>
      <c r="D143" s="274">
        <f t="shared" si="58"/>
        <v>449431.64</v>
      </c>
      <c r="E143" s="274">
        <f t="shared" si="59"/>
        <v>651682.57000000007</v>
      </c>
      <c r="F143" s="274">
        <f t="shared" si="69"/>
        <v>854847</v>
      </c>
      <c r="G143" s="274">
        <f t="shared" si="60"/>
        <v>1052563.04</v>
      </c>
      <c r="H143" s="274">
        <f t="shared" si="61"/>
        <v>1256228.8900000001</v>
      </c>
      <c r="I143" s="274">
        <f t="shared" si="62"/>
        <v>1428309.6900000002</v>
      </c>
      <c r="J143" s="274">
        <f t="shared" si="63"/>
        <v>1602065.2200000002</v>
      </c>
      <c r="K143" s="274">
        <f t="shared" si="64"/>
        <v>1786849.7100000002</v>
      </c>
      <c r="L143" s="274">
        <f t="shared" si="65"/>
        <v>1964529.4000000001</v>
      </c>
      <c r="M143" s="274">
        <f t="shared" si="66"/>
        <v>2154441.7600000002</v>
      </c>
      <c r="N143" s="274">
        <f t="shared" si="67"/>
        <v>2375136</v>
      </c>
      <c r="O143" s="274">
        <f t="shared" si="68"/>
        <v>15799654.920000002</v>
      </c>
    </row>
    <row r="144" spans="1:15">
      <c r="A144" s="97">
        <f t="shared" si="55"/>
        <v>144</v>
      </c>
      <c r="B144" s="279" t="s">
        <v>107</v>
      </c>
      <c r="C144" s="274">
        <f t="shared" si="57"/>
        <v>322670.89</v>
      </c>
      <c r="D144" s="274">
        <f t="shared" si="58"/>
        <v>631317.77</v>
      </c>
      <c r="E144" s="274">
        <f t="shared" si="59"/>
        <v>910479.46</v>
      </c>
      <c r="F144" s="274">
        <f t="shared" si="69"/>
        <v>1193294.6000000001</v>
      </c>
      <c r="G144" s="274">
        <f t="shared" si="60"/>
        <v>1439849.3900000001</v>
      </c>
      <c r="H144" s="274">
        <f t="shared" si="61"/>
        <v>1674375.34</v>
      </c>
      <c r="I144" s="274">
        <f t="shared" si="62"/>
        <v>1898365.87</v>
      </c>
      <c r="J144" s="274">
        <f t="shared" si="63"/>
        <v>2098075.91</v>
      </c>
      <c r="K144" s="274">
        <f t="shared" si="64"/>
        <v>2319136.85</v>
      </c>
      <c r="L144" s="274">
        <f t="shared" si="65"/>
        <v>2554450.9700000002</v>
      </c>
      <c r="M144" s="274">
        <f t="shared" si="66"/>
        <v>2830623.0700000003</v>
      </c>
      <c r="N144" s="274">
        <f t="shared" si="67"/>
        <v>3177361.0100000002</v>
      </c>
      <c r="O144" s="274">
        <f t="shared" si="68"/>
        <v>21050001.130000003</v>
      </c>
    </row>
    <row r="145" spans="1:15">
      <c r="A145" s="97">
        <f t="shared" si="55"/>
        <v>145</v>
      </c>
      <c r="B145" s="279" t="s">
        <v>111</v>
      </c>
      <c r="C145" s="274">
        <f t="shared" si="57"/>
        <v>112552.44</v>
      </c>
      <c r="D145" s="274">
        <f t="shared" si="58"/>
        <v>210205.2</v>
      </c>
      <c r="E145" s="274">
        <f t="shared" si="59"/>
        <v>308719.5</v>
      </c>
      <c r="F145" s="274">
        <f t="shared" si="69"/>
        <v>400923.67</v>
      </c>
      <c r="G145" s="274">
        <f t="shared" si="60"/>
        <v>496288.77</v>
      </c>
      <c r="H145" s="274">
        <f t="shared" si="61"/>
        <v>576512.07000000007</v>
      </c>
      <c r="I145" s="274">
        <f t="shared" si="62"/>
        <v>652862.89000000013</v>
      </c>
      <c r="J145" s="274">
        <f t="shared" si="63"/>
        <v>727290.54000000015</v>
      </c>
      <c r="K145" s="274">
        <f t="shared" si="64"/>
        <v>807894.8600000001</v>
      </c>
      <c r="L145" s="274">
        <f t="shared" si="65"/>
        <v>877682.41000000015</v>
      </c>
      <c r="M145" s="274">
        <f t="shared" si="66"/>
        <v>962686.77000000014</v>
      </c>
      <c r="N145" s="274">
        <f t="shared" si="67"/>
        <v>1055390.52</v>
      </c>
      <c r="O145" s="274">
        <f t="shared" si="68"/>
        <v>7189009.6400000006</v>
      </c>
    </row>
    <row r="146" spans="1:15">
      <c r="A146" s="97">
        <f t="shared" si="55"/>
        <v>146</v>
      </c>
      <c r="B146" s="279" t="s">
        <v>112</v>
      </c>
      <c r="C146" s="274">
        <f t="shared" si="57"/>
        <v>186456.89</v>
      </c>
      <c r="D146" s="274">
        <f t="shared" si="58"/>
        <v>333648.03000000003</v>
      </c>
      <c r="E146" s="274">
        <f t="shared" si="59"/>
        <v>470420.55000000005</v>
      </c>
      <c r="F146" s="274">
        <f t="shared" si="69"/>
        <v>630841.80000000005</v>
      </c>
      <c r="G146" s="274">
        <f t="shared" si="60"/>
        <v>779463.45000000007</v>
      </c>
      <c r="H146" s="274">
        <f t="shared" si="61"/>
        <v>922106.65000000014</v>
      </c>
      <c r="I146" s="274">
        <f t="shared" si="62"/>
        <v>1071221.8</v>
      </c>
      <c r="J146" s="274">
        <f t="shared" si="63"/>
        <v>1217982.48</v>
      </c>
      <c r="K146" s="274">
        <f t="shared" si="64"/>
        <v>1353267.89</v>
      </c>
      <c r="L146" s="274">
        <f t="shared" si="65"/>
        <v>1483196.7</v>
      </c>
      <c r="M146" s="274">
        <f t="shared" si="66"/>
        <v>1617538.48</v>
      </c>
      <c r="N146" s="274">
        <f t="shared" si="67"/>
        <v>1766616.12</v>
      </c>
      <c r="O146" s="274">
        <f t="shared" si="68"/>
        <v>11832760.84</v>
      </c>
    </row>
    <row r="147" spans="1:15">
      <c r="A147" s="97">
        <f t="shared" si="55"/>
        <v>147</v>
      </c>
      <c r="B147" s="279" t="s">
        <v>113</v>
      </c>
      <c r="C147" s="274">
        <f t="shared" si="57"/>
        <v>363983.63</v>
      </c>
      <c r="D147" s="274">
        <f t="shared" si="58"/>
        <v>681133.89</v>
      </c>
      <c r="E147" s="274">
        <f t="shared" si="59"/>
        <v>1011187.8300000001</v>
      </c>
      <c r="F147" s="274">
        <f t="shared" si="69"/>
        <v>1319557.96</v>
      </c>
      <c r="G147" s="274">
        <f t="shared" si="60"/>
        <v>1620960.46</v>
      </c>
      <c r="H147" s="274">
        <f t="shared" si="61"/>
        <v>1892416.3699999999</v>
      </c>
      <c r="I147" s="274">
        <f t="shared" si="62"/>
        <v>2173452.6399999997</v>
      </c>
      <c r="J147" s="274">
        <f t="shared" si="63"/>
        <v>2458058.4399999995</v>
      </c>
      <c r="K147" s="274">
        <f t="shared" si="64"/>
        <v>2727159.2199999997</v>
      </c>
      <c r="L147" s="274">
        <f t="shared" si="65"/>
        <v>3040333.0799999996</v>
      </c>
      <c r="M147" s="274">
        <f t="shared" si="66"/>
        <v>3347449.0999999996</v>
      </c>
      <c r="N147" s="274">
        <f t="shared" si="67"/>
        <v>3671319.6399999997</v>
      </c>
      <c r="O147" s="274">
        <f t="shared" si="68"/>
        <v>24307012.259999998</v>
      </c>
    </row>
    <row r="148" spans="1:15">
      <c r="A148" s="97">
        <f t="shared" si="55"/>
        <v>148</v>
      </c>
      <c r="B148" s="279" t="s">
        <v>114</v>
      </c>
      <c r="C148" s="274">
        <f t="shared" si="57"/>
        <v>489449.3</v>
      </c>
      <c r="D148" s="274">
        <f t="shared" si="58"/>
        <v>927446.16999999993</v>
      </c>
      <c r="E148" s="274">
        <f t="shared" si="59"/>
        <v>1408323.74</v>
      </c>
      <c r="F148" s="274">
        <f t="shared" si="69"/>
        <v>1781752.38</v>
      </c>
      <c r="G148" s="274">
        <f t="shared" si="60"/>
        <v>2133234</v>
      </c>
      <c r="H148" s="274">
        <f t="shared" si="61"/>
        <v>2512536.4500000002</v>
      </c>
      <c r="I148" s="274">
        <f t="shared" si="62"/>
        <v>2881856.04</v>
      </c>
      <c r="J148" s="274">
        <f t="shared" si="63"/>
        <v>3275195.13</v>
      </c>
      <c r="K148" s="274">
        <f t="shared" si="64"/>
        <v>3625059.5999999996</v>
      </c>
      <c r="L148" s="274">
        <f t="shared" si="65"/>
        <v>4049773.8599999994</v>
      </c>
      <c r="M148" s="274">
        <f t="shared" si="66"/>
        <v>4483351.3299999991</v>
      </c>
      <c r="N148" s="274">
        <f t="shared" si="67"/>
        <v>4974440.8499999996</v>
      </c>
      <c r="O148" s="274">
        <f t="shared" si="68"/>
        <v>32542418.849999994</v>
      </c>
    </row>
    <row r="149" spans="1:15">
      <c r="A149" s="97">
        <f t="shared" si="55"/>
        <v>149</v>
      </c>
      <c r="B149" s="279" t="s">
        <v>115</v>
      </c>
      <c r="C149" s="274">
        <f t="shared" si="57"/>
        <v>361022.2</v>
      </c>
      <c r="D149" s="274">
        <f t="shared" si="58"/>
        <v>678902.28</v>
      </c>
      <c r="E149" s="274">
        <f t="shared" si="59"/>
        <v>1002534.69</v>
      </c>
      <c r="F149" s="274">
        <f t="shared" si="69"/>
        <v>1325865.96</v>
      </c>
      <c r="G149" s="274">
        <f t="shared" si="60"/>
        <v>1640093.27</v>
      </c>
      <c r="H149" s="274">
        <f t="shared" si="61"/>
        <v>1942532.38</v>
      </c>
      <c r="I149" s="274">
        <f t="shared" si="62"/>
        <v>2245346.2799999998</v>
      </c>
      <c r="J149" s="274">
        <f t="shared" si="63"/>
        <v>2550641.8699999996</v>
      </c>
      <c r="K149" s="274">
        <f t="shared" si="64"/>
        <v>2840863.6099999994</v>
      </c>
      <c r="L149" s="274">
        <f t="shared" si="65"/>
        <v>3163528.3299999991</v>
      </c>
      <c r="M149" s="274">
        <f t="shared" si="66"/>
        <v>3460418.879999999</v>
      </c>
      <c r="N149" s="274">
        <f t="shared" si="67"/>
        <v>3765224.8499999987</v>
      </c>
      <c r="O149" s="274">
        <f t="shared" si="68"/>
        <v>24976974.599999994</v>
      </c>
    </row>
    <row r="150" spans="1:15">
      <c r="A150" s="97">
        <f t="shared" si="55"/>
        <v>150</v>
      </c>
      <c r="B150" s="279" t="s">
        <v>116</v>
      </c>
      <c r="C150" s="274">
        <f t="shared" si="57"/>
        <v>239601.93</v>
      </c>
      <c r="D150" s="274">
        <f t="shared" si="58"/>
        <v>449964.02</v>
      </c>
      <c r="E150" s="274">
        <f t="shared" si="59"/>
        <v>684940.1</v>
      </c>
      <c r="F150" s="274">
        <f t="shared" si="69"/>
        <v>913390.39</v>
      </c>
      <c r="G150" s="274">
        <f t="shared" si="60"/>
        <v>1125342.47</v>
      </c>
      <c r="H150" s="274">
        <f t="shared" si="61"/>
        <v>1311747.27</v>
      </c>
      <c r="I150" s="274">
        <f t="shared" si="62"/>
        <v>1469720.43</v>
      </c>
      <c r="J150" s="274">
        <f t="shared" si="63"/>
        <v>1656638.8399999999</v>
      </c>
      <c r="K150" s="274">
        <f t="shared" si="64"/>
        <v>1840939.0099999998</v>
      </c>
      <c r="L150" s="274">
        <f t="shared" si="65"/>
        <v>2046865.2499999998</v>
      </c>
      <c r="M150" s="274">
        <f t="shared" si="66"/>
        <v>2255020.65</v>
      </c>
      <c r="N150" s="274">
        <f t="shared" si="67"/>
        <v>2456435.31</v>
      </c>
      <c r="O150" s="274">
        <f t="shared" si="68"/>
        <v>16450605.67</v>
      </c>
    </row>
    <row r="151" spans="1:15">
      <c r="A151" s="97">
        <f t="shared" si="55"/>
        <v>151</v>
      </c>
      <c r="B151" s="279" t="s">
        <v>117</v>
      </c>
      <c r="C151" s="274">
        <f t="shared" si="57"/>
        <v>436829.31</v>
      </c>
      <c r="D151" s="274">
        <f t="shared" si="58"/>
        <v>802475.05</v>
      </c>
      <c r="E151" s="274">
        <f t="shared" si="59"/>
        <v>1201727.74</v>
      </c>
      <c r="F151" s="274">
        <f t="shared" si="69"/>
        <v>1402520.93</v>
      </c>
      <c r="G151" s="274">
        <f t="shared" si="60"/>
        <v>1645708.79</v>
      </c>
      <c r="H151" s="274">
        <f t="shared" si="61"/>
        <v>1862267.1300000001</v>
      </c>
      <c r="I151" s="274">
        <f t="shared" si="62"/>
        <v>2062258.7200000002</v>
      </c>
      <c r="J151" s="274">
        <f t="shared" si="63"/>
        <v>2277913.62</v>
      </c>
      <c r="K151" s="274">
        <f t="shared" si="64"/>
        <v>2486566.48</v>
      </c>
      <c r="L151" s="274">
        <f t="shared" si="65"/>
        <v>2674422.58</v>
      </c>
      <c r="M151" s="274">
        <f t="shared" si="66"/>
        <v>2897340.79</v>
      </c>
      <c r="N151" s="274">
        <f t="shared" si="67"/>
        <v>3102303.72</v>
      </c>
      <c r="O151" s="274">
        <f t="shared" si="68"/>
        <v>22852334.859999999</v>
      </c>
    </row>
    <row r="152" spans="1:15">
      <c r="A152" s="97">
        <f t="shared" si="55"/>
        <v>152</v>
      </c>
      <c r="B152" s="279" t="s">
        <v>118</v>
      </c>
      <c r="C152" s="274">
        <f t="shared" si="57"/>
        <v>1484735.7</v>
      </c>
      <c r="D152" s="274">
        <f t="shared" si="58"/>
        <v>2819910.5300000003</v>
      </c>
      <c r="E152" s="274">
        <f t="shared" si="59"/>
        <v>4379807.04</v>
      </c>
      <c r="F152" s="274">
        <f t="shared" si="69"/>
        <v>5878775.5300000003</v>
      </c>
      <c r="G152" s="274">
        <f t="shared" si="60"/>
        <v>7540629.6200000001</v>
      </c>
      <c r="H152" s="274">
        <f t="shared" si="61"/>
        <v>9099742.7100000009</v>
      </c>
      <c r="I152" s="274">
        <f t="shared" si="62"/>
        <v>10722222.140000001</v>
      </c>
      <c r="J152" s="274">
        <f t="shared" si="63"/>
        <v>12207233.690000001</v>
      </c>
      <c r="K152" s="274">
        <f t="shared" si="64"/>
        <v>13348751.360000001</v>
      </c>
      <c r="L152" s="274">
        <f t="shared" si="65"/>
        <v>14675119.530000001</v>
      </c>
      <c r="M152" s="274">
        <f t="shared" si="66"/>
        <v>16109124.91</v>
      </c>
      <c r="N152" s="274">
        <f t="shared" si="67"/>
        <v>17456733.789999999</v>
      </c>
      <c r="O152" s="274">
        <f t="shared" si="68"/>
        <v>115722786.55000001</v>
      </c>
    </row>
    <row r="153" spans="1:15">
      <c r="A153" s="97">
        <f t="shared" si="55"/>
        <v>153</v>
      </c>
      <c r="B153" s="279" t="s">
        <v>313</v>
      </c>
      <c r="C153" s="274">
        <f t="shared" si="57"/>
        <v>0</v>
      </c>
      <c r="D153" s="274">
        <f t="shared" si="58"/>
        <v>0</v>
      </c>
      <c r="E153" s="274">
        <f t="shared" si="59"/>
        <v>0</v>
      </c>
      <c r="F153" s="274">
        <f t="shared" si="69"/>
        <v>190819</v>
      </c>
      <c r="G153" s="274">
        <f t="shared" si="60"/>
        <v>393195</v>
      </c>
      <c r="H153" s="274">
        <f t="shared" si="61"/>
        <v>586765</v>
      </c>
      <c r="I153" s="274">
        <f t="shared" si="62"/>
        <v>789919</v>
      </c>
      <c r="J153" s="274">
        <f t="shared" si="63"/>
        <v>986762</v>
      </c>
      <c r="K153" s="274">
        <f t="shared" si="64"/>
        <v>1178793</v>
      </c>
      <c r="L153" s="274">
        <f t="shared" si="65"/>
        <v>1354721.4</v>
      </c>
      <c r="M153" s="274">
        <f t="shared" si="66"/>
        <v>1506096.5099999998</v>
      </c>
      <c r="N153" s="274">
        <f t="shared" si="67"/>
        <v>1645841.3499999999</v>
      </c>
      <c r="O153" s="274">
        <f t="shared" si="68"/>
        <v>8632912.2599999998</v>
      </c>
    </row>
    <row r="154" spans="1:15">
      <c r="A154" s="97">
        <f t="shared" si="55"/>
        <v>154</v>
      </c>
      <c r="B154" s="279" t="s">
        <v>99</v>
      </c>
      <c r="C154" s="274">
        <f t="shared" si="57"/>
        <v>104882.68999999999</v>
      </c>
      <c r="D154" s="274">
        <f t="shared" si="58"/>
        <v>205557.86999999991</v>
      </c>
      <c r="E154" s="274">
        <f t="shared" si="59"/>
        <v>289417.58999999985</v>
      </c>
      <c r="F154" s="274">
        <f t="shared" si="69"/>
        <v>379510.64999999979</v>
      </c>
      <c r="G154" s="274">
        <f t="shared" si="60"/>
        <v>455487.5799999999</v>
      </c>
      <c r="H154" s="274">
        <f t="shared" si="61"/>
        <v>525306.52999999991</v>
      </c>
      <c r="I154" s="274">
        <f t="shared" si="62"/>
        <v>580321.17999999993</v>
      </c>
      <c r="J154" s="274">
        <f t="shared" si="63"/>
        <v>643570.30999999994</v>
      </c>
      <c r="K154" s="274">
        <f t="shared" si="64"/>
        <v>712786.92999999993</v>
      </c>
      <c r="L154" s="274">
        <f t="shared" si="65"/>
        <v>786772.64999999991</v>
      </c>
      <c r="M154" s="274">
        <f t="shared" si="66"/>
        <v>878016.85999999987</v>
      </c>
      <c r="N154" s="274">
        <f t="shared" si="67"/>
        <v>981263.19999999984</v>
      </c>
      <c r="O154" s="274">
        <f t="shared" si="68"/>
        <v>6542894.0399999982</v>
      </c>
    </row>
    <row r="155" spans="1:15">
      <c r="A155" s="97">
        <f t="shared" si="55"/>
        <v>155</v>
      </c>
      <c r="B155" s="279" t="s">
        <v>138</v>
      </c>
      <c r="C155" s="274">
        <f t="shared" si="57"/>
        <v>74064.23000000001</v>
      </c>
      <c r="D155" s="274">
        <f t="shared" si="58"/>
        <v>148647.09999999998</v>
      </c>
      <c r="E155" s="274">
        <f t="shared" si="59"/>
        <v>211525.3</v>
      </c>
      <c r="F155" s="274">
        <f>SUM(C44:F44)</f>
        <v>273238.46000000002</v>
      </c>
      <c r="G155" s="274">
        <f t="shared" si="60"/>
        <v>326489.73</v>
      </c>
      <c r="H155" s="274">
        <f t="shared" si="61"/>
        <v>373547.55</v>
      </c>
      <c r="I155" s="274">
        <f t="shared" si="62"/>
        <v>417442.8</v>
      </c>
      <c r="J155" s="274">
        <f t="shared" si="63"/>
        <v>469887.61</v>
      </c>
      <c r="K155" s="274">
        <f t="shared" si="64"/>
        <v>517606.22</v>
      </c>
      <c r="L155" s="274">
        <f t="shared" si="65"/>
        <v>564996.31000000006</v>
      </c>
      <c r="M155" s="274">
        <f t="shared" si="66"/>
        <v>616943.6100000001</v>
      </c>
      <c r="N155" s="274">
        <f t="shared" si="67"/>
        <v>681290.39000000013</v>
      </c>
      <c r="O155" s="274">
        <f t="shared" si="68"/>
        <v>4675679.3100000005</v>
      </c>
    </row>
    <row r="156" spans="1:15">
      <c r="A156" s="97">
        <f t="shared" si="55"/>
        <v>156</v>
      </c>
      <c r="B156" s="279" t="s">
        <v>140</v>
      </c>
      <c r="C156" s="274">
        <f t="shared" si="57"/>
        <v>746543.57999999938</v>
      </c>
      <c r="D156" s="274">
        <f t="shared" si="58"/>
        <v>1466796.9199999983</v>
      </c>
      <c r="E156" s="274">
        <f t="shared" si="59"/>
        <v>2079506.8799999983</v>
      </c>
      <c r="F156" s="274">
        <f t="shared" si="69"/>
        <v>2675087.3099999987</v>
      </c>
      <c r="G156" s="274">
        <f t="shared" si="60"/>
        <v>3204082.899999999</v>
      </c>
      <c r="H156" s="274">
        <f t="shared" si="61"/>
        <v>3701100.0999999992</v>
      </c>
      <c r="I156" s="274">
        <f t="shared" si="62"/>
        <v>4068411.82</v>
      </c>
      <c r="J156" s="274">
        <f t="shared" si="63"/>
        <v>4523732.669999999</v>
      </c>
      <c r="K156" s="274">
        <f t="shared" si="64"/>
        <v>4983386.459999999</v>
      </c>
      <c r="L156" s="274">
        <f t="shared" si="65"/>
        <v>5454897.379999998</v>
      </c>
      <c r="M156" s="274">
        <f t="shared" si="66"/>
        <v>6013042.4599999981</v>
      </c>
      <c r="N156" s="274">
        <f t="shared" si="67"/>
        <v>6702935.9999999981</v>
      </c>
      <c r="O156" s="274">
        <f t="shared" si="68"/>
        <v>45619524.479999989</v>
      </c>
    </row>
    <row r="157" spans="1:15">
      <c r="A157" s="97">
        <f t="shared" si="55"/>
        <v>157</v>
      </c>
      <c r="B157" s="279" t="s">
        <v>141</v>
      </c>
      <c r="C157" s="274">
        <f t="shared" si="57"/>
        <v>531260.33999999973</v>
      </c>
      <c r="D157" s="274">
        <f t="shared" si="58"/>
        <v>1041746.6999999997</v>
      </c>
      <c r="E157" s="274">
        <f t="shared" si="59"/>
        <v>1507215.4199999992</v>
      </c>
      <c r="F157" s="274">
        <f t="shared" si="69"/>
        <v>1972670.4199999995</v>
      </c>
      <c r="G157" s="274">
        <f t="shared" si="60"/>
        <v>2406104.2899999996</v>
      </c>
      <c r="H157" s="274">
        <f t="shared" si="61"/>
        <v>2819384.32</v>
      </c>
      <c r="I157" s="274">
        <f t="shared" si="62"/>
        <v>3179473.7299999995</v>
      </c>
      <c r="J157" s="274">
        <f t="shared" si="63"/>
        <v>3558543.4599999995</v>
      </c>
      <c r="K157" s="274">
        <f t="shared" si="64"/>
        <v>3938747.82</v>
      </c>
      <c r="L157" s="274">
        <f t="shared" si="65"/>
        <v>4321976.5299999993</v>
      </c>
      <c r="M157" s="274">
        <f t="shared" si="66"/>
        <v>4770026.6999999993</v>
      </c>
      <c r="N157" s="274">
        <f t="shared" si="67"/>
        <v>5285544.8599999994</v>
      </c>
      <c r="O157" s="274">
        <f t="shared" si="68"/>
        <v>35332694.590000004</v>
      </c>
    </row>
    <row r="158" spans="1:15">
      <c r="A158" s="97">
        <f t="shared" si="55"/>
        <v>158</v>
      </c>
      <c r="B158" s="279" t="s">
        <v>142</v>
      </c>
      <c r="C158" s="274">
        <f t="shared" si="57"/>
        <v>3766.7699999999995</v>
      </c>
      <c r="D158" s="274">
        <f t="shared" si="58"/>
        <v>7351.23</v>
      </c>
      <c r="E158" s="274">
        <f t="shared" si="59"/>
        <v>10652.780000000002</v>
      </c>
      <c r="F158" s="274">
        <f t="shared" si="69"/>
        <v>13909.480000000001</v>
      </c>
      <c r="G158" s="274">
        <f t="shared" si="60"/>
        <v>17659.850000000002</v>
      </c>
      <c r="H158" s="274">
        <f t="shared" si="61"/>
        <v>21053.030000000002</v>
      </c>
      <c r="I158" s="274">
        <f t="shared" si="62"/>
        <v>23825.140000000003</v>
      </c>
      <c r="J158" s="274">
        <f t="shared" si="63"/>
        <v>27127.99</v>
      </c>
      <c r="K158" s="274">
        <f t="shared" si="64"/>
        <v>30795.11</v>
      </c>
      <c r="L158" s="274">
        <f t="shared" si="65"/>
        <v>35823.620000000003</v>
      </c>
      <c r="M158" s="274">
        <f t="shared" si="66"/>
        <v>40550.54</v>
      </c>
      <c r="N158" s="274">
        <f t="shared" si="67"/>
        <v>47649.58</v>
      </c>
      <c r="O158" s="274">
        <f t="shared" si="68"/>
        <v>280165.12</v>
      </c>
    </row>
    <row r="159" spans="1:15">
      <c r="A159" s="97">
        <f t="shared" si="55"/>
        <v>159</v>
      </c>
      <c r="B159" s="279" t="s">
        <v>143</v>
      </c>
      <c r="C159" s="274">
        <f t="shared" si="57"/>
        <v>947194.23000000056</v>
      </c>
      <c r="D159" s="274">
        <f t="shared" si="58"/>
        <v>1817158.23</v>
      </c>
      <c r="E159" s="274">
        <f t="shared" si="59"/>
        <v>2585552.92</v>
      </c>
      <c r="F159" s="274">
        <f t="shared" si="69"/>
        <v>3437028.9100000006</v>
      </c>
      <c r="G159" s="274">
        <f t="shared" si="60"/>
        <v>4186237.25</v>
      </c>
      <c r="H159" s="274">
        <f t="shared" si="61"/>
        <v>4917749.3599999994</v>
      </c>
      <c r="I159" s="274">
        <f t="shared" si="62"/>
        <v>5559873.9499999993</v>
      </c>
      <c r="J159" s="274">
        <f t="shared" si="63"/>
        <v>6232355.2400000002</v>
      </c>
      <c r="K159" s="274">
        <f t="shared" si="64"/>
        <v>6813221.5800000001</v>
      </c>
      <c r="L159" s="274">
        <f t="shared" si="65"/>
        <v>7451151.5700000003</v>
      </c>
      <c r="M159" s="274">
        <f t="shared" si="66"/>
        <v>8214510.4800000004</v>
      </c>
      <c r="N159" s="274">
        <f t="shared" si="67"/>
        <v>9095256.9100000001</v>
      </c>
      <c r="O159" s="274">
        <f t="shared" si="68"/>
        <v>61257290.629999995</v>
      </c>
    </row>
    <row r="160" spans="1:15">
      <c r="A160" s="97">
        <f t="shared" si="55"/>
        <v>160</v>
      </c>
      <c r="B160" s="279" t="s">
        <v>145</v>
      </c>
      <c r="C160" s="274">
        <f t="shared" si="57"/>
        <v>0</v>
      </c>
      <c r="D160" s="274">
        <f t="shared" si="58"/>
        <v>0</v>
      </c>
      <c r="E160" s="274">
        <f t="shared" si="59"/>
        <v>0</v>
      </c>
      <c r="F160" s="274">
        <f t="shared" si="69"/>
        <v>0</v>
      </c>
      <c r="G160" s="274">
        <f t="shared" si="60"/>
        <v>0</v>
      </c>
      <c r="H160" s="274">
        <f t="shared" si="61"/>
        <v>0</v>
      </c>
      <c r="I160" s="274">
        <f t="shared" si="62"/>
        <v>0</v>
      </c>
      <c r="J160" s="274">
        <f t="shared" si="63"/>
        <v>0</v>
      </c>
      <c r="K160" s="274">
        <f t="shared" si="64"/>
        <v>0</v>
      </c>
      <c r="L160" s="274">
        <f t="shared" si="65"/>
        <v>0</v>
      </c>
      <c r="M160" s="274">
        <f t="shared" si="66"/>
        <v>0</v>
      </c>
      <c r="N160" s="274">
        <f t="shared" si="67"/>
        <v>0</v>
      </c>
      <c r="O160" s="274">
        <f t="shared" si="68"/>
        <v>0</v>
      </c>
    </row>
    <row r="161" spans="1:15">
      <c r="A161" s="97">
        <f t="shared" si="55"/>
        <v>161</v>
      </c>
      <c r="B161" s="279" t="s">
        <v>146</v>
      </c>
      <c r="C161" s="274">
        <f t="shared" si="57"/>
        <v>3285817.3499999973</v>
      </c>
      <c r="D161" s="274">
        <f t="shared" si="58"/>
        <v>6203107.6199999973</v>
      </c>
      <c r="E161" s="274">
        <f t="shared" si="59"/>
        <v>9054102.3199999984</v>
      </c>
      <c r="F161" s="274">
        <f t="shared" si="69"/>
        <v>11879002.619999997</v>
      </c>
      <c r="G161" s="274">
        <f t="shared" si="60"/>
        <v>14659255.109999994</v>
      </c>
      <c r="H161" s="274">
        <f t="shared" si="61"/>
        <v>17196916.029999994</v>
      </c>
      <c r="I161" s="274">
        <f t="shared" si="62"/>
        <v>19584938.529999994</v>
      </c>
      <c r="J161" s="274">
        <f t="shared" si="63"/>
        <v>22088425.389999993</v>
      </c>
      <c r="K161" s="274">
        <f t="shared" si="64"/>
        <v>24485424.619999994</v>
      </c>
      <c r="L161" s="274">
        <f t="shared" si="65"/>
        <v>27035595.229999997</v>
      </c>
      <c r="M161" s="274">
        <f t="shared" si="66"/>
        <v>29886851.959999997</v>
      </c>
      <c r="N161" s="274">
        <f t="shared" si="67"/>
        <v>32997446.559999995</v>
      </c>
      <c r="O161" s="274">
        <f t="shared" si="68"/>
        <v>218356883.33999997</v>
      </c>
    </row>
    <row r="162" spans="1:15">
      <c r="A162" s="97">
        <f t="shared" si="55"/>
        <v>162</v>
      </c>
      <c r="B162" s="279" t="s">
        <v>148</v>
      </c>
      <c r="C162" s="274">
        <f t="shared" si="57"/>
        <v>0</v>
      </c>
      <c r="D162" s="274">
        <f t="shared" si="58"/>
        <v>0</v>
      </c>
      <c r="E162" s="274">
        <f t="shared" si="59"/>
        <v>0</v>
      </c>
      <c r="F162" s="274">
        <f t="shared" si="69"/>
        <v>0</v>
      </c>
      <c r="G162" s="274">
        <f t="shared" si="60"/>
        <v>0</v>
      </c>
      <c r="H162" s="274">
        <f t="shared" si="61"/>
        <v>0</v>
      </c>
      <c r="I162" s="274">
        <f t="shared" si="62"/>
        <v>0</v>
      </c>
      <c r="J162" s="274">
        <f t="shared" si="63"/>
        <v>0</v>
      </c>
      <c r="K162" s="274">
        <f t="shared" si="64"/>
        <v>0</v>
      </c>
      <c r="L162" s="274">
        <f t="shared" si="65"/>
        <v>0</v>
      </c>
      <c r="M162" s="274">
        <f t="shared" si="66"/>
        <v>0</v>
      </c>
      <c r="N162" s="274">
        <f t="shared" si="67"/>
        <v>0</v>
      </c>
      <c r="O162" s="274">
        <f t="shared" si="68"/>
        <v>0</v>
      </c>
    </row>
    <row r="163" spans="1:15">
      <c r="A163" s="97">
        <f t="shared" si="55"/>
        <v>163</v>
      </c>
      <c r="B163" s="279" t="s">
        <v>149</v>
      </c>
      <c r="C163" s="274">
        <f t="shared" si="57"/>
        <v>907429.37000000011</v>
      </c>
      <c r="D163" s="274">
        <f t="shared" si="58"/>
        <v>1710341.35</v>
      </c>
      <c r="E163" s="274">
        <f t="shared" si="59"/>
        <v>2546913.5700000003</v>
      </c>
      <c r="F163" s="274">
        <f t="shared" si="69"/>
        <v>3405600.6400000006</v>
      </c>
      <c r="G163" s="274">
        <f t="shared" si="60"/>
        <v>4209729.2200000007</v>
      </c>
      <c r="H163" s="274">
        <f t="shared" si="61"/>
        <v>5035233.3000000007</v>
      </c>
      <c r="I163" s="274">
        <f t="shared" si="62"/>
        <v>5867715.5000000009</v>
      </c>
      <c r="J163" s="274">
        <f t="shared" si="63"/>
        <v>6649674.1300000008</v>
      </c>
      <c r="K163" s="274">
        <f t="shared" si="64"/>
        <v>7424960.8800000008</v>
      </c>
      <c r="L163" s="274">
        <f t="shared" si="65"/>
        <v>8297816.9400000004</v>
      </c>
      <c r="M163" s="274">
        <f t="shared" si="66"/>
        <v>9128323.5600000005</v>
      </c>
      <c r="N163" s="274">
        <f t="shared" si="67"/>
        <v>9991202.8100000005</v>
      </c>
      <c r="O163" s="274">
        <f t="shared" si="68"/>
        <v>65174941.270000011</v>
      </c>
    </row>
    <row r="164" spans="1:15">
      <c r="A164" s="97">
        <f t="shared" si="55"/>
        <v>164</v>
      </c>
      <c r="B164" s="279" t="s">
        <v>151</v>
      </c>
      <c r="C164" s="274">
        <f t="shared" si="57"/>
        <v>11878.22</v>
      </c>
      <c r="D164" s="274">
        <f t="shared" si="58"/>
        <v>23756.44</v>
      </c>
      <c r="E164" s="274">
        <f t="shared" si="59"/>
        <v>35634.659999999996</v>
      </c>
      <c r="F164" s="274">
        <f t="shared" si="69"/>
        <v>46135.88</v>
      </c>
      <c r="G164" s="274">
        <f t="shared" si="60"/>
        <v>57096.1</v>
      </c>
      <c r="H164" s="274">
        <f t="shared" si="61"/>
        <v>68056.319999999992</v>
      </c>
      <c r="I164" s="274">
        <f t="shared" si="62"/>
        <v>78206.539999999994</v>
      </c>
      <c r="J164" s="274">
        <f t="shared" si="63"/>
        <v>87571.76</v>
      </c>
      <c r="K164" s="274">
        <f t="shared" si="64"/>
        <v>97097.98</v>
      </c>
      <c r="L164" s="274">
        <f t="shared" si="65"/>
        <v>106624.2</v>
      </c>
      <c r="M164" s="274">
        <f t="shared" si="66"/>
        <v>116150.42</v>
      </c>
      <c r="N164" s="274">
        <f t="shared" si="67"/>
        <v>125676.64</v>
      </c>
      <c r="O164" s="274">
        <f t="shared" si="68"/>
        <v>853885.16</v>
      </c>
    </row>
    <row r="165" spans="1:15">
      <c r="A165" s="97">
        <f t="shared" si="55"/>
        <v>165</v>
      </c>
      <c r="B165" s="279" t="s">
        <v>153</v>
      </c>
      <c r="C165" s="274">
        <f t="shared" si="57"/>
        <v>0</v>
      </c>
      <c r="D165" s="274">
        <f t="shared" si="58"/>
        <v>0</v>
      </c>
      <c r="E165" s="274">
        <f t="shared" si="59"/>
        <v>0</v>
      </c>
      <c r="F165" s="274">
        <f t="shared" si="69"/>
        <v>0</v>
      </c>
      <c r="G165" s="274">
        <f t="shared" si="60"/>
        <v>0</v>
      </c>
      <c r="H165" s="274">
        <f t="shared" si="61"/>
        <v>0</v>
      </c>
      <c r="I165" s="274">
        <f t="shared" si="62"/>
        <v>0</v>
      </c>
      <c r="J165" s="274">
        <f t="shared" si="63"/>
        <v>0</v>
      </c>
      <c r="K165" s="274">
        <f t="shared" si="64"/>
        <v>0</v>
      </c>
      <c r="L165" s="274">
        <f t="shared" si="65"/>
        <v>0</v>
      </c>
      <c r="M165" s="274">
        <f t="shared" si="66"/>
        <v>0</v>
      </c>
      <c r="N165" s="274">
        <f t="shared" si="67"/>
        <v>0</v>
      </c>
      <c r="O165" s="274">
        <f>SUM(C165:N165)</f>
        <v>0</v>
      </c>
    </row>
    <row r="166" spans="1:15">
      <c r="A166" s="97">
        <f t="shared" si="55"/>
        <v>166</v>
      </c>
      <c r="B166" s="279" t="s">
        <v>207</v>
      </c>
      <c r="C166" s="274">
        <f t="shared" si="57"/>
        <v>56506.71</v>
      </c>
      <c r="D166" s="274">
        <f t="shared" si="58"/>
        <v>101957.48999999999</v>
      </c>
      <c r="E166" s="274">
        <f t="shared" si="59"/>
        <v>152617.99</v>
      </c>
      <c r="F166" s="274">
        <f t="shared" si="69"/>
        <v>205529.81</v>
      </c>
      <c r="G166" s="274">
        <f t="shared" si="60"/>
        <v>262473.62</v>
      </c>
      <c r="H166" s="274">
        <f t="shared" si="61"/>
        <v>315029.38</v>
      </c>
      <c r="I166" s="274">
        <f t="shared" si="62"/>
        <v>380196.19</v>
      </c>
      <c r="J166" s="274">
        <f t="shared" si="63"/>
        <v>451150.99</v>
      </c>
      <c r="K166" s="274">
        <f t="shared" si="64"/>
        <v>516960.77999999997</v>
      </c>
      <c r="L166" s="274">
        <f t="shared" si="65"/>
        <v>591926.03</v>
      </c>
      <c r="M166" s="274">
        <f t="shared" si="66"/>
        <v>661810.13</v>
      </c>
      <c r="N166" s="274">
        <f t="shared" si="67"/>
        <v>731973.77</v>
      </c>
      <c r="O166" s="274">
        <f>SUM(C166:N166)</f>
        <v>4428132.8900000006</v>
      </c>
    </row>
    <row r="167" spans="1:15">
      <c r="A167" s="97">
        <f t="shared" si="55"/>
        <v>167</v>
      </c>
      <c r="B167" s="279" t="s">
        <v>155</v>
      </c>
      <c r="C167" s="274">
        <f t="shared" si="57"/>
        <v>61.35</v>
      </c>
      <c r="D167" s="274">
        <f t="shared" si="58"/>
        <v>145.35</v>
      </c>
      <c r="E167" s="274">
        <f t="shared" si="59"/>
        <v>162.35</v>
      </c>
      <c r="F167" s="274">
        <f t="shared" si="69"/>
        <v>172.89</v>
      </c>
      <c r="G167" s="274">
        <f t="shared" si="60"/>
        <v>174.98</v>
      </c>
      <c r="H167" s="274">
        <f t="shared" si="61"/>
        <v>174.98</v>
      </c>
      <c r="I167" s="274">
        <f t="shared" si="62"/>
        <v>177.06</v>
      </c>
      <c r="J167" s="274">
        <f t="shared" si="63"/>
        <v>183.3</v>
      </c>
      <c r="K167" s="274">
        <f t="shared" si="64"/>
        <v>202.02</v>
      </c>
      <c r="L167" s="274">
        <f t="shared" si="65"/>
        <v>207.22</v>
      </c>
      <c r="M167" s="274">
        <f t="shared" si="66"/>
        <v>222.82</v>
      </c>
      <c r="N167" s="274">
        <f t="shared" si="67"/>
        <v>312.61</v>
      </c>
      <c r="O167" s="274">
        <f t="shared" si="68"/>
        <v>2196.9299999999998</v>
      </c>
    </row>
    <row r="168" spans="1:15">
      <c r="A168" s="97">
        <f t="shared" si="55"/>
        <v>168</v>
      </c>
      <c r="B168" s="279" t="s">
        <v>157</v>
      </c>
      <c r="C168" s="274">
        <f t="shared" si="57"/>
        <v>7463.34</v>
      </c>
      <c r="D168" s="274">
        <f t="shared" si="58"/>
        <v>13468.34</v>
      </c>
      <c r="E168" s="274">
        <f t="shared" si="59"/>
        <v>17484.34</v>
      </c>
      <c r="F168" s="274">
        <f t="shared" si="69"/>
        <v>21697.919999999998</v>
      </c>
      <c r="G168" s="274">
        <f t="shared" si="60"/>
        <v>25238.899999999998</v>
      </c>
      <c r="H168" s="274">
        <f t="shared" si="61"/>
        <v>28691.109999999997</v>
      </c>
      <c r="I168" s="274">
        <f t="shared" si="62"/>
        <v>30750.329999999998</v>
      </c>
      <c r="J168" s="274">
        <f t="shared" si="63"/>
        <v>41317.75</v>
      </c>
      <c r="K168" s="274">
        <f t="shared" si="64"/>
        <v>51098.57</v>
      </c>
      <c r="L168" s="274">
        <f t="shared" si="65"/>
        <v>64001.86</v>
      </c>
      <c r="M168" s="274">
        <f t="shared" si="66"/>
        <v>80378.44</v>
      </c>
      <c r="N168" s="274">
        <f t="shared" si="67"/>
        <v>105245</v>
      </c>
      <c r="O168" s="274">
        <f t="shared" si="68"/>
        <v>486835.9</v>
      </c>
    </row>
    <row r="169" spans="1:15">
      <c r="A169" s="97">
        <f t="shared" si="55"/>
        <v>169</v>
      </c>
      <c r="B169" s="279" t="s">
        <v>159</v>
      </c>
      <c r="C169" s="274">
        <f t="shared" si="57"/>
        <v>2523</v>
      </c>
      <c r="D169" s="274">
        <f t="shared" si="58"/>
        <v>4755</v>
      </c>
      <c r="E169" s="274">
        <f t="shared" si="59"/>
        <v>7205</v>
      </c>
      <c r="F169" s="274">
        <f t="shared" si="69"/>
        <v>9392</v>
      </c>
      <c r="G169" s="274">
        <f t="shared" si="60"/>
        <v>11700.74</v>
      </c>
      <c r="H169" s="274">
        <f t="shared" si="61"/>
        <v>13672.2</v>
      </c>
      <c r="I169" s="274">
        <f t="shared" si="62"/>
        <v>15293.78</v>
      </c>
      <c r="J169" s="274">
        <f t="shared" si="63"/>
        <v>17240.25</v>
      </c>
      <c r="K169" s="274">
        <f t="shared" si="64"/>
        <v>19403.07</v>
      </c>
      <c r="L169" s="274">
        <f t="shared" si="65"/>
        <v>21610.69</v>
      </c>
      <c r="M169" s="274">
        <f t="shared" si="66"/>
        <v>23802.809999999998</v>
      </c>
      <c r="N169" s="274">
        <f t="shared" si="67"/>
        <v>26018.219999999998</v>
      </c>
      <c r="O169" s="274">
        <f t="shared" si="68"/>
        <v>172616.76</v>
      </c>
    </row>
    <row r="170" spans="1:15">
      <c r="A170" s="97">
        <f t="shared" si="55"/>
        <v>170</v>
      </c>
      <c r="B170" s="276" t="s">
        <v>95</v>
      </c>
      <c r="C170" s="274">
        <f t="shared" si="57"/>
        <v>7078.9699999999993</v>
      </c>
      <c r="D170" s="274">
        <f t="shared" si="58"/>
        <v>13943.779999999999</v>
      </c>
      <c r="E170" s="274">
        <f t="shared" si="59"/>
        <v>21035.05</v>
      </c>
      <c r="F170" s="274">
        <f t="shared" si="69"/>
        <v>27988.629999999997</v>
      </c>
      <c r="G170" s="274">
        <f t="shared" si="60"/>
        <v>35336.6</v>
      </c>
      <c r="H170" s="274">
        <f t="shared" si="61"/>
        <v>41849.409999999996</v>
      </c>
      <c r="I170" s="274">
        <f t="shared" si="62"/>
        <v>48858.909999999996</v>
      </c>
      <c r="J170" s="274">
        <f t="shared" si="63"/>
        <v>55023.579999999994</v>
      </c>
      <c r="K170" s="274">
        <f t="shared" si="64"/>
        <v>61557.409999999996</v>
      </c>
      <c r="L170" s="274">
        <f t="shared" si="65"/>
        <v>68853.569999999992</v>
      </c>
      <c r="M170" s="274">
        <f t="shared" si="66"/>
        <v>75535.53</v>
      </c>
      <c r="N170" s="274">
        <f t="shared" si="67"/>
        <v>83536.34</v>
      </c>
      <c r="O170" s="274">
        <f t="shared" si="68"/>
        <v>540597.77999999991</v>
      </c>
    </row>
    <row r="171" spans="1:15">
      <c r="A171" s="97">
        <f t="shared" si="55"/>
        <v>171</v>
      </c>
      <c r="B171" s="276" t="s">
        <v>96</v>
      </c>
      <c r="C171" s="274">
        <f t="shared" si="57"/>
        <v>445.11</v>
      </c>
      <c r="D171" s="274">
        <f t="shared" si="58"/>
        <v>786.18000000000006</v>
      </c>
      <c r="E171" s="274">
        <f t="shared" si="59"/>
        <v>1008.69</v>
      </c>
      <c r="F171" s="274">
        <f t="shared" si="69"/>
        <v>1243.7</v>
      </c>
      <c r="G171" s="274">
        <f t="shared" si="60"/>
        <v>1625.75</v>
      </c>
      <c r="H171" s="274">
        <f t="shared" si="61"/>
        <v>2031.75</v>
      </c>
      <c r="I171" s="274">
        <f t="shared" si="62"/>
        <v>2462.21</v>
      </c>
      <c r="J171" s="274">
        <f t="shared" si="63"/>
        <v>2728.4700000000003</v>
      </c>
      <c r="K171" s="274">
        <f t="shared" si="64"/>
        <v>3140.26</v>
      </c>
      <c r="L171" s="274">
        <f t="shared" si="65"/>
        <v>3336.82</v>
      </c>
      <c r="M171" s="274">
        <f t="shared" si="66"/>
        <v>3580.7200000000003</v>
      </c>
      <c r="N171" s="274">
        <f t="shared" si="67"/>
        <v>3870.09</v>
      </c>
      <c r="O171" s="274">
        <f t="shared" si="68"/>
        <v>26259.750000000004</v>
      </c>
    </row>
    <row r="172" spans="1:15">
      <c r="A172" s="97">
        <f t="shared" si="55"/>
        <v>172</v>
      </c>
      <c r="B172" s="285" t="s">
        <v>97</v>
      </c>
      <c r="C172" s="283">
        <f t="shared" si="57"/>
        <v>0</v>
      </c>
      <c r="D172" s="283">
        <f t="shared" si="58"/>
        <v>0</v>
      </c>
      <c r="E172" s="283">
        <f t="shared" si="59"/>
        <v>0</v>
      </c>
      <c r="F172" s="283">
        <f t="shared" si="69"/>
        <v>0</v>
      </c>
      <c r="G172" s="283">
        <f t="shared" si="60"/>
        <v>0</v>
      </c>
      <c r="H172" s="283">
        <f t="shared" si="61"/>
        <v>0</v>
      </c>
      <c r="I172" s="283">
        <f t="shared" si="62"/>
        <v>0</v>
      </c>
      <c r="J172" s="283">
        <f t="shared" si="63"/>
        <v>0</v>
      </c>
      <c r="K172" s="283">
        <f t="shared" si="64"/>
        <v>0</v>
      </c>
      <c r="L172" s="283">
        <f t="shared" si="65"/>
        <v>0</v>
      </c>
      <c r="M172" s="283">
        <f t="shared" si="66"/>
        <v>0</v>
      </c>
      <c r="N172" s="283">
        <f t="shared" si="67"/>
        <v>0</v>
      </c>
      <c r="O172" s="283">
        <f t="shared" si="68"/>
        <v>0</v>
      </c>
    </row>
    <row r="173" spans="1:15">
      <c r="A173" s="97">
        <f t="shared" si="55"/>
        <v>173</v>
      </c>
      <c r="B173" s="286" t="s">
        <v>164</v>
      </c>
      <c r="C173" s="274">
        <f>SUM(C136:C153)</f>
        <v>4364024.7300000004</v>
      </c>
      <c r="D173" s="274">
        <f t="shared" ref="D173:N173" si="70">SUM(D136:D153)</f>
        <v>8272973.1400000006</v>
      </c>
      <c r="E173" s="274">
        <f t="shared" si="70"/>
        <v>12452557.260000002</v>
      </c>
      <c r="F173" s="274">
        <f t="shared" si="70"/>
        <v>16446772.52</v>
      </c>
      <c r="G173" s="274">
        <f t="shared" si="70"/>
        <v>20553314.780000001</v>
      </c>
      <c r="H173" s="274">
        <f t="shared" si="70"/>
        <v>24442302.730000004</v>
      </c>
      <c r="I173" s="274">
        <f t="shared" si="70"/>
        <v>28303200.740000002</v>
      </c>
      <c r="J173" s="274">
        <f t="shared" si="70"/>
        <v>32078811.98</v>
      </c>
      <c r="K173" s="274">
        <f t="shared" si="70"/>
        <v>35458091.730000004</v>
      </c>
      <c r="L173" s="274">
        <f t="shared" si="70"/>
        <v>39150126.059999995</v>
      </c>
      <c r="M173" s="274">
        <f t="shared" si="70"/>
        <v>43027716.18999999</v>
      </c>
      <c r="N173" s="274">
        <f t="shared" si="70"/>
        <v>47000856.68</v>
      </c>
      <c r="O173" s="274">
        <f t="shared" si="68"/>
        <v>311550748.54000002</v>
      </c>
    </row>
    <row r="174" spans="1:15">
      <c r="A174" s="97">
        <f t="shared" si="55"/>
        <v>174</v>
      </c>
      <c r="B174" s="284" t="s">
        <v>165</v>
      </c>
    </row>
    <row r="175" spans="1:15">
      <c r="A175" s="97">
        <f t="shared" si="55"/>
        <v>175</v>
      </c>
      <c r="B175" s="276" t="s">
        <v>100</v>
      </c>
      <c r="C175" s="274">
        <f t="shared" ref="C175:C181" si="71">+C64</f>
        <v>0</v>
      </c>
      <c r="D175" s="274">
        <f t="shared" ref="D175:D181" si="72">SUM(C64:D64)</f>
        <v>0</v>
      </c>
      <c r="E175" s="274">
        <f t="shared" ref="E175:E181" si="73">SUM(C64:E64)</f>
        <v>0</v>
      </c>
      <c r="F175" s="274">
        <f t="shared" ref="F175:F181" si="74">SUM(C64:F64)</f>
        <v>0</v>
      </c>
      <c r="G175" s="274">
        <f t="shared" ref="G175:G181" si="75">SUM(C64:G64)</f>
        <v>0</v>
      </c>
      <c r="H175" s="274">
        <f t="shared" ref="H175:H181" si="76">SUM(C64:H64)</f>
        <v>0</v>
      </c>
      <c r="I175" s="274">
        <f t="shared" ref="I175:I181" si="77">SUM(C64:I64)</f>
        <v>0</v>
      </c>
      <c r="J175" s="274">
        <f t="shared" ref="J175:J181" si="78">SUM(C64:J64)</f>
        <v>0</v>
      </c>
      <c r="K175" s="274">
        <f t="shared" ref="K175:K181" si="79">SUM(C64:K64)</f>
        <v>0</v>
      </c>
      <c r="L175" s="274">
        <f t="shared" ref="L175:L181" si="80">SUM(C64:L64)</f>
        <v>0</v>
      </c>
      <c r="M175" s="274">
        <f t="shared" ref="M175:M181" si="81">SUM(C64:M64)</f>
        <v>0</v>
      </c>
      <c r="N175" s="274">
        <f t="shared" ref="N175:N181" si="82">SUM(C64:N64)</f>
        <v>0</v>
      </c>
      <c r="O175" s="274">
        <f t="shared" ref="O175:O182" si="83">SUM(C175:N175)</f>
        <v>0</v>
      </c>
    </row>
    <row r="176" spans="1:15">
      <c r="A176" s="97">
        <f t="shared" si="55"/>
        <v>176</v>
      </c>
      <c r="B176" s="276" t="s">
        <v>101</v>
      </c>
      <c r="C176" s="274">
        <f t="shared" si="71"/>
        <v>2.0699999999999998</v>
      </c>
      <c r="D176" s="274">
        <f t="shared" si="72"/>
        <v>3.0999999999999996</v>
      </c>
      <c r="E176" s="274">
        <f t="shared" si="73"/>
        <v>5.17</v>
      </c>
      <c r="F176" s="274">
        <f t="shared" si="74"/>
        <v>7.24</v>
      </c>
      <c r="G176" s="274">
        <f t="shared" si="75"/>
        <v>8.27</v>
      </c>
      <c r="H176" s="274">
        <f t="shared" si="76"/>
        <v>10.34</v>
      </c>
      <c r="I176" s="274">
        <f t="shared" si="77"/>
        <v>11.37</v>
      </c>
      <c r="J176" s="274">
        <f t="shared" si="78"/>
        <v>13.45</v>
      </c>
      <c r="K176" s="274">
        <f t="shared" si="79"/>
        <v>15.53</v>
      </c>
      <c r="L176" s="274">
        <f t="shared" si="80"/>
        <v>16.559999999999999</v>
      </c>
      <c r="M176" s="274">
        <f t="shared" si="81"/>
        <v>17.59</v>
      </c>
      <c r="N176" s="274">
        <f t="shared" si="82"/>
        <v>19.66</v>
      </c>
      <c r="O176" s="274">
        <f t="shared" si="83"/>
        <v>130.35</v>
      </c>
    </row>
    <row r="177" spans="1:15">
      <c r="A177" s="97">
        <f t="shared" si="55"/>
        <v>177</v>
      </c>
      <c r="B177" s="276" t="s">
        <v>102</v>
      </c>
      <c r="C177" s="274">
        <f t="shared" si="71"/>
        <v>552</v>
      </c>
      <c r="D177" s="274">
        <f t="shared" si="72"/>
        <v>4707.09</v>
      </c>
      <c r="E177" s="274">
        <f t="shared" si="73"/>
        <v>1727.7600000000002</v>
      </c>
      <c r="F177" s="274">
        <f t="shared" si="74"/>
        <v>2293.36</v>
      </c>
      <c r="G177" s="274">
        <f t="shared" si="75"/>
        <v>2797.8</v>
      </c>
      <c r="H177" s="274">
        <f t="shared" si="76"/>
        <v>3234.05</v>
      </c>
      <c r="I177" s="274">
        <f t="shared" si="77"/>
        <v>3600.25</v>
      </c>
      <c r="J177" s="274">
        <f t="shared" si="78"/>
        <v>4011.85</v>
      </c>
      <c r="K177" s="274">
        <f t="shared" si="79"/>
        <v>4413.01</v>
      </c>
      <c r="L177" s="274">
        <f t="shared" si="80"/>
        <v>4839.3100000000004</v>
      </c>
      <c r="M177" s="274">
        <f t="shared" si="81"/>
        <v>5394.31</v>
      </c>
      <c r="N177" s="274">
        <f t="shared" si="82"/>
        <v>5983.4800000000005</v>
      </c>
      <c r="O177" s="274">
        <f t="shared" si="83"/>
        <v>43554.270000000004</v>
      </c>
    </row>
    <row r="178" spans="1:15">
      <c r="A178" s="97">
        <f t="shared" si="55"/>
        <v>178</v>
      </c>
      <c r="B178" s="276" t="s">
        <v>103</v>
      </c>
      <c r="C178" s="274">
        <f t="shared" si="71"/>
        <v>568.79</v>
      </c>
      <c r="D178" s="274">
        <f t="shared" si="72"/>
        <v>1030.3399999999999</v>
      </c>
      <c r="E178" s="274">
        <f t="shared" si="73"/>
        <v>1224.06</v>
      </c>
      <c r="F178" s="274">
        <f t="shared" si="74"/>
        <v>1779.27</v>
      </c>
      <c r="G178" s="274">
        <f t="shared" si="75"/>
        <v>1972.92</v>
      </c>
      <c r="H178" s="274">
        <f t="shared" si="76"/>
        <v>2647.13</v>
      </c>
      <c r="I178" s="274">
        <f t="shared" si="77"/>
        <v>3139.19</v>
      </c>
      <c r="J178" s="274">
        <f t="shared" si="78"/>
        <v>3565.08</v>
      </c>
      <c r="K178" s="274">
        <f t="shared" si="79"/>
        <v>3776.95</v>
      </c>
      <c r="L178" s="274">
        <f t="shared" si="80"/>
        <v>3997.72</v>
      </c>
      <c r="M178" s="274">
        <f t="shared" si="81"/>
        <v>4223.57</v>
      </c>
      <c r="N178" s="274">
        <f t="shared" si="82"/>
        <v>4452.0999999999995</v>
      </c>
      <c r="O178" s="274">
        <f t="shared" si="83"/>
        <v>32377.119999999999</v>
      </c>
    </row>
    <row r="179" spans="1:15">
      <c r="A179" s="97">
        <f t="shared" si="55"/>
        <v>179</v>
      </c>
      <c r="B179" s="276" t="s">
        <v>104</v>
      </c>
      <c r="C179" s="274">
        <f t="shared" si="71"/>
        <v>1856.49</v>
      </c>
      <c r="D179" s="274">
        <f t="shared" si="72"/>
        <v>3745.35</v>
      </c>
      <c r="E179" s="274">
        <f t="shared" si="73"/>
        <v>5376.25</v>
      </c>
      <c r="F179" s="274">
        <f t="shared" si="74"/>
        <v>7057.79</v>
      </c>
      <c r="G179" s="274">
        <f t="shared" si="75"/>
        <v>8674.77</v>
      </c>
      <c r="H179" s="274">
        <f t="shared" si="76"/>
        <v>10161.5</v>
      </c>
      <c r="I179" s="274">
        <f t="shared" si="77"/>
        <v>11367.4</v>
      </c>
      <c r="J179" s="274">
        <f t="shared" si="78"/>
        <v>12759.18</v>
      </c>
      <c r="K179" s="274">
        <f t="shared" si="79"/>
        <v>14175.210000000001</v>
      </c>
      <c r="L179" s="274">
        <f t="shared" si="80"/>
        <v>15562.400000000001</v>
      </c>
      <c r="M179" s="274">
        <f t="shared" si="81"/>
        <v>17002.2</v>
      </c>
      <c r="N179" s="274">
        <f t="shared" si="82"/>
        <v>18485.39</v>
      </c>
      <c r="O179" s="274">
        <f t="shared" si="83"/>
        <v>126223.93</v>
      </c>
    </row>
    <row r="180" spans="1:15">
      <c r="A180" s="97">
        <f t="shared" si="55"/>
        <v>180</v>
      </c>
      <c r="B180" s="279" t="s">
        <v>105</v>
      </c>
      <c r="C180" s="274">
        <f t="shared" si="71"/>
        <v>4501.04</v>
      </c>
      <c r="D180" s="274">
        <f t="shared" si="72"/>
        <v>9398.75</v>
      </c>
      <c r="E180" s="274">
        <f t="shared" si="73"/>
        <v>14589.33</v>
      </c>
      <c r="F180" s="274">
        <f t="shared" si="74"/>
        <v>19790.88</v>
      </c>
      <c r="G180" s="274">
        <f t="shared" si="75"/>
        <v>25153.68</v>
      </c>
      <c r="H180" s="274">
        <f t="shared" si="76"/>
        <v>30452.75</v>
      </c>
      <c r="I180" s="274">
        <f t="shared" si="77"/>
        <v>35240.129999999997</v>
      </c>
      <c r="J180" s="274">
        <f t="shared" si="78"/>
        <v>40659.1</v>
      </c>
      <c r="K180" s="274">
        <f t="shared" si="79"/>
        <v>46357.85</v>
      </c>
      <c r="L180" s="274">
        <f t="shared" si="80"/>
        <v>51839.15</v>
      </c>
      <c r="M180" s="274">
        <f t="shared" si="81"/>
        <v>58058.18</v>
      </c>
      <c r="N180" s="274">
        <f t="shared" si="82"/>
        <v>63850.9</v>
      </c>
      <c r="O180" s="274">
        <f t="shared" si="83"/>
        <v>399891.74000000005</v>
      </c>
    </row>
    <row r="181" spans="1:15">
      <c r="A181" s="97">
        <f t="shared" si="55"/>
        <v>181</v>
      </c>
      <c r="B181" s="285" t="s">
        <v>106</v>
      </c>
      <c r="C181" s="283">
        <f t="shared" si="71"/>
        <v>3999.57</v>
      </c>
      <c r="D181" s="283">
        <f t="shared" si="72"/>
        <v>8420.43</v>
      </c>
      <c r="E181" s="283">
        <f t="shared" si="73"/>
        <v>12161.59</v>
      </c>
      <c r="F181" s="283">
        <f t="shared" si="74"/>
        <v>16436.46</v>
      </c>
      <c r="G181" s="283">
        <f t="shared" si="75"/>
        <v>20420.14</v>
      </c>
      <c r="H181" s="283">
        <f t="shared" si="76"/>
        <v>24362.02</v>
      </c>
      <c r="I181" s="283">
        <f t="shared" si="77"/>
        <v>27736.91</v>
      </c>
      <c r="J181" s="283">
        <f t="shared" si="78"/>
        <v>31063.79</v>
      </c>
      <c r="K181" s="283">
        <f t="shared" si="79"/>
        <v>35023.11</v>
      </c>
      <c r="L181" s="283">
        <f t="shared" si="80"/>
        <v>38699.61</v>
      </c>
      <c r="M181" s="283">
        <f t="shared" si="81"/>
        <v>42868.95</v>
      </c>
      <c r="N181" s="283">
        <f t="shared" si="82"/>
        <v>46889.649999999994</v>
      </c>
      <c r="O181" s="283">
        <f t="shared" si="83"/>
        <v>308082.23</v>
      </c>
    </row>
    <row r="182" spans="1:15">
      <c r="A182" s="97">
        <f t="shared" si="55"/>
        <v>182</v>
      </c>
      <c r="B182" s="286" t="s">
        <v>167</v>
      </c>
      <c r="C182" s="274">
        <f t="shared" ref="C182:N182" si="84">SUM(C175:C181)</f>
        <v>11479.960000000001</v>
      </c>
      <c r="D182" s="274">
        <f t="shared" si="84"/>
        <v>27305.06</v>
      </c>
      <c r="E182" s="274">
        <f t="shared" si="84"/>
        <v>35084.160000000003</v>
      </c>
      <c r="F182" s="274">
        <f t="shared" si="84"/>
        <v>47365</v>
      </c>
      <c r="G182" s="274">
        <f t="shared" si="84"/>
        <v>59027.58</v>
      </c>
      <c r="H182" s="274">
        <f t="shared" si="84"/>
        <v>70867.790000000008</v>
      </c>
      <c r="I182" s="274">
        <f t="shared" si="84"/>
        <v>81095.25</v>
      </c>
      <c r="J182" s="274">
        <f t="shared" si="84"/>
        <v>92072.45</v>
      </c>
      <c r="K182" s="274">
        <f t="shared" si="84"/>
        <v>103761.66</v>
      </c>
      <c r="L182" s="274">
        <f t="shared" si="84"/>
        <v>114954.75</v>
      </c>
      <c r="M182" s="274">
        <f t="shared" si="84"/>
        <v>127564.8</v>
      </c>
      <c r="N182" s="274">
        <f t="shared" si="84"/>
        <v>139681.18</v>
      </c>
      <c r="O182" s="274">
        <f t="shared" si="83"/>
        <v>910259.64000000013</v>
      </c>
    </row>
    <row r="183" spans="1:15">
      <c r="A183" s="97">
        <f t="shared" si="55"/>
        <v>183</v>
      </c>
      <c r="B183" s="284" t="s">
        <v>168</v>
      </c>
    </row>
    <row r="184" spans="1:15">
      <c r="A184" s="97">
        <f t="shared" si="55"/>
        <v>184</v>
      </c>
      <c r="B184" s="152" t="s">
        <v>169</v>
      </c>
      <c r="C184" s="274">
        <f t="shared" ref="C184:C192" si="85">+C73</f>
        <v>55742</v>
      </c>
      <c r="D184" s="274">
        <f t="shared" ref="D184:D192" si="86">SUM(C73:D73)</f>
        <v>129331</v>
      </c>
      <c r="E184" s="274">
        <f t="shared" ref="E184:E192" si="87">SUM(C73:E73)</f>
        <v>241074.11</v>
      </c>
      <c r="F184" s="274">
        <f t="shared" ref="F184:F192" si="88">SUM(C73:F73)</f>
        <v>429515.31999999995</v>
      </c>
      <c r="G184" s="274">
        <f t="shared" ref="G184:G192" si="89">SUM(C73:G73)</f>
        <v>559585.67999999993</v>
      </c>
      <c r="H184" s="274">
        <f t="shared" ref="H184:H192" si="90">SUM(C73:H73)</f>
        <v>650045.23</v>
      </c>
      <c r="I184" s="274">
        <f t="shared" ref="I184:I192" si="91">SUM(C73:I73)</f>
        <v>768219.61</v>
      </c>
      <c r="J184" s="274">
        <f t="shared" ref="J184:J192" si="92">SUM(C73:J73)</f>
        <v>890445.61</v>
      </c>
      <c r="K184" s="274">
        <f t="shared" ref="K184:K192" si="93">SUM(C73:K73)</f>
        <v>905992.16</v>
      </c>
      <c r="L184" s="274">
        <f t="shared" ref="L184:L192" si="94">SUM(C73:L73)</f>
        <v>1030780.75</v>
      </c>
      <c r="M184" s="274">
        <f t="shared" ref="M184:M192" si="95">SUM(C73:M73)</f>
        <v>1087318.8799999999</v>
      </c>
      <c r="N184" s="274">
        <f t="shared" ref="N184:N192" si="96">SUM(C73:N73)</f>
        <v>1131548.8799999999</v>
      </c>
      <c r="O184" s="274">
        <f t="shared" ref="O184:O193" si="97">SUM(C184:N184)</f>
        <v>7879599.2299999995</v>
      </c>
    </row>
    <row r="185" spans="1:15">
      <c r="A185" s="97">
        <f t="shared" si="55"/>
        <v>185</v>
      </c>
      <c r="B185" s="152" t="s">
        <v>171</v>
      </c>
      <c r="C185" s="274">
        <f t="shared" si="85"/>
        <v>27410.71</v>
      </c>
      <c r="D185" s="274">
        <f t="shared" si="86"/>
        <v>45291.47</v>
      </c>
      <c r="E185" s="274">
        <f t="shared" si="87"/>
        <v>63876.2</v>
      </c>
      <c r="F185" s="274">
        <f t="shared" si="88"/>
        <v>78767.62</v>
      </c>
      <c r="G185" s="274">
        <f t="shared" si="89"/>
        <v>91607.22</v>
      </c>
      <c r="H185" s="274">
        <f t="shared" si="90"/>
        <v>103171.69</v>
      </c>
      <c r="I185" s="274">
        <f t="shared" si="91"/>
        <v>114117.25</v>
      </c>
      <c r="J185" s="274">
        <f t="shared" si="92"/>
        <v>124243.25</v>
      </c>
      <c r="K185" s="274">
        <f t="shared" si="93"/>
        <v>134282.64000000001</v>
      </c>
      <c r="L185" s="274">
        <f t="shared" si="94"/>
        <v>145905.47</v>
      </c>
      <c r="M185" s="274">
        <f t="shared" si="95"/>
        <v>166490.22</v>
      </c>
      <c r="N185" s="274">
        <f t="shared" si="96"/>
        <v>192044.24</v>
      </c>
      <c r="O185" s="274">
        <f t="shared" si="97"/>
        <v>1287207.98</v>
      </c>
    </row>
    <row r="186" spans="1:15">
      <c r="A186" s="97">
        <f t="shared" si="55"/>
        <v>186</v>
      </c>
      <c r="B186" s="152" t="s">
        <v>172</v>
      </c>
      <c r="C186" s="274">
        <f t="shared" si="85"/>
        <v>1790551.65</v>
      </c>
      <c r="D186" s="274">
        <f t="shared" si="86"/>
        <v>3366099.4</v>
      </c>
      <c r="E186" s="274">
        <f t="shared" si="87"/>
        <v>5154960.16</v>
      </c>
      <c r="F186" s="274">
        <f>SUM(C75:F75)</f>
        <v>5618569.9699999997</v>
      </c>
      <c r="G186" s="274">
        <f t="shared" si="89"/>
        <v>6986000.46</v>
      </c>
      <c r="H186" s="274">
        <f t="shared" si="90"/>
        <v>8660841.1400000006</v>
      </c>
      <c r="I186" s="274">
        <f t="shared" si="91"/>
        <v>10132490.82</v>
      </c>
      <c r="J186" s="274">
        <f t="shared" si="92"/>
        <v>11926753.82</v>
      </c>
      <c r="K186" s="274">
        <f t="shared" si="93"/>
        <v>13606872.140000001</v>
      </c>
      <c r="L186" s="274">
        <f t="shared" si="94"/>
        <v>15319057.200000001</v>
      </c>
      <c r="M186" s="274">
        <f t="shared" si="95"/>
        <v>17057050.940000001</v>
      </c>
      <c r="N186" s="274">
        <f t="shared" si="96"/>
        <v>18792541.020000003</v>
      </c>
      <c r="O186" s="274">
        <f t="shared" si="97"/>
        <v>118411788.72</v>
      </c>
    </row>
    <row r="187" spans="1:15">
      <c r="A187" s="97">
        <f t="shared" si="55"/>
        <v>187</v>
      </c>
      <c r="B187" s="152" t="s">
        <v>173</v>
      </c>
      <c r="C187" s="274">
        <f t="shared" si="85"/>
        <v>876340.43</v>
      </c>
      <c r="D187" s="274">
        <f t="shared" si="86"/>
        <v>967660.5</v>
      </c>
      <c r="E187" s="274">
        <f t="shared" si="87"/>
        <v>1717170.05</v>
      </c>
      <c r="F187" s="274">
        <f t="shared" si="88"/>
        <v>2858470.54</v>
      </c>
      <c r="G187" s="274">
        <f t="shared" si="89"/>
        <v>4763830.41</v>
      </c>
      <c r="H187" s="274">
        <f t="shared" si="90"/>
        <v>6658479.96</v>
      </c>
      <c r="I187" s="274">
        <f t="shared" si="91"/>
        <v>8274170.4199999999</v>
      </c>
      <c r="J187" s="274">
        <f t="shared" si="92"/>
        <v>10456940.42</v>
      </c>
      <c r="K187" s="274">
        <f t="shared" si="93"/>
        <v>12523030.449999999</v>
      </c>
      <c r="L187" s="274">
        <f t="shared" si="94"/>
        <v>14461000.049999999</v>
      </c>
      <c r="M187" s="274">
        <f t="shared" si="95"/>
        <v>16140789.569999998</v>
      </c>
      <c r="N187" s="274">
        <f t="shared" si="96"/>
        <v>17840259.129999999</v>
      </c>
      <c r="O187" s="274">
        <f t="shared" si="97"/>
        <v>97538141.929999992</v>
      </c>
    </row>
    <row r="188" spans="1:15">
      <c r="A188" s="97">
        <f t="shared" si="55"/>
        <v>188</v>
      </c>
      <c r="B188" s="152" t="s">
        <v>174</v>
      </c>
      <c r="C188" s="274">
        <f t="shared" si="85"/>
        <v>5699.04</v>
      </c>
      <c r="D188" s="274">
        <f t="shared" si="86"/>
        <v>10152.310000000001</v>
      </c>
      <c r="E188" s="274">
        <f t="shared" si="87"/>
        <v>10345.310000000001</v>
      </c>
      <c r="F188" s="274">
        <f t="shared" si="88"/>
        <v>10345.310000000001</v>
      </c>
      <c r="G188" s="274">
        <f t="shared" si="89"/>
        <v>11629.090000000002</v>
      </c>
      <c r="H188" s="274">
        <f t="shared" si="90"/>
        <v>19492.350000000002</v>
      </c>
      <c r="I188" s="274">
        <f t="shared" si="91"/>
        <v>20599.61</v>
      </c>
      <c r="J188" s="274">
        <f t="shared" si="92"/>
        <v>21625.61</v>
      </c>
      <c r="K188" s="274">
        <f t="shared" si="93"/>
        <v>21625.61</v>
      </c>
      <c r="L188" s="274">
        <f t="shared" si="94"/>
        <v>21625.61</v>
      </c>
      <c r="M188" s="274">
        <f t="shared" si="95"/>
        <v>21625.61</v>
      </c>
      <c r="N188" s="274">
        <f t="shared" si="96"/>
        <v>21625.61</v>
      </c>
      <c r="O188" s="274">
        <f t="shared" si="97"/>
        <v>196391.06999999995</v>
      </c>
    </row>
    <row r="189" spans="1:15">
      <c r="A189" s="97">
        <f t="shared" si="55"/>
        <v>189</v>
      </c>
      <c r="B189" s="152" t="s">
        <v>175</v>
      </c>
      <c r="C189" s="274">
        <f t="shared" si="85"/>
        <v>1030949.61</v>
      </c>
      <c r="D189" s="274">
        <f t="shared" si="86"/>
        <v>1734386.0899999999</v>
      </c>
      <c r="E189" s="274">
        <f t="shared" si="87"/>
        <v>2686443.05</v>
      </c>
      <c r="F189" s="274">
        <f t="shared" si="88"/>
        <v>3480983.11</v>
      </c>
      <c r="G189" s="274">
        <f t="shared" si="89"/>
        <v>4377065.96</v>
      </c>
      <c r="H189" s="274">
        <f t="shared" si="90"/>
        <v>5213424.9399999995</v>
      </c>
      <c r="I189" s="274">
        <f t="shared" si="91"/>
        <v>6027018.4799999995</v>
      </c>
      <c r="J189" s="274">
        <f t="shared" si="92"/>
        <v>7009074.4799999995</v>
      </c>
      <c r="K189" s="274">
        <f t="shared" si="93"/>
        <v>7970975.9499999993</v>
      </c>
      <c r="L189" s="274">
        <f t="shared" si="94"/>
        <v>8995130.9699999988</v>
      </c>
      <c r="M189" s="274">
        <f t="shared" si="95"/>
        <v>9898799.8699999992</v>
      </c>
      <c r="N189" s="274">
        <f t="shared" si="96"/>
        <v>10874342.619999999</v>
      </c>
      <c r="O189" s="274">
        <f>SUM(C189:N189)</f>
        <v>69298595.129999995</v>
      </c>
    </row>
    <row r="190" spans="1:15">
      <c r="A190" s="97">
        <f t="shared" si="55"/>
        <v>190</v>
      </c>
      <c r="B190" s="152" t="s">
        <v>176</v>
      </c>
      <c r="C190" s="274">
        <f t="shared" si="85"/>
        <v>550103.87</v>
      </c>
      <c r="D190" s="274">
        <f t="shared" si="86"/>
        <v>907683.40999999992</v>
      </c>
      <c r="E190" s="274">
        <f t="shared" si="87"/>
        <v>1597697.0699999998</v>
      </c>
      <c r="F190" s="274">
        <f t="shared" si="88"/>
        <v>2227378.2699999996</v>
      </c>
      <c r="G190" s="274">
        <f t="shared" si="89"/>
        <v>2775070.4899999993</v>
      </c>
      <c r="H190" s="274">
        <f t="shared" si="90"/>
        <v>2846307.0399999991</v>
      </c>
      <c r="I190" s="274">
        <f t="shared" si="91"/>
        <v>2918074.939999999</v>
      </c>
      <c r="J190" s="274">
        <f t="shared" si="92"/>
        <v>2997635.939999999</v>
      </c>
      <c r="K190" s="274">
        <f t="shared" si="93"/>
        <v>3084773.5099999988</v>
      </c>
      <c r="L190" s="274">
        <f t="shared" si="94"/>
        <v>3182652.4799999991</v>
      </c>
      <c r="M190" s="274">
        <f t="shared" si="95"/>
        <v>3212989.0999999992</v>
      </c>
      <c r="N190" s="274">
        <f t="shared" si="96"/>
        <v>3730104.5599999991</v>
      </c>
      <c r="O190" s="274">
        <f t="shared" si="97"/>
        <v>30030470.679999992</v>
      </c>
    </row>
    <row r="191" spans="1:15">
      <c r="A191" s="97">
        <f t="shared" si="55"/>
        <v>191</v>
      </c>
      <c r="B191" s="152" t="s">
        <v>177</v>
      </c>
      <c r="C191" s="274">
        <f t="shared" si="85"/>
        <v>0</v>
      </c>
      <c r="D191" s="274">
        <f t="shared" si="86"/>
        <v>0</v>
      </c>
      <c r="E191" s="274">
        <f t="shared" si="87"/>
        <v>0</v>
      </c>
      <c r="F191" s="274">
        <f t="shared" si="88"/>
        <v>0</v>
      </c>
      <c r="G191" s="274">
        <f t="shared" si="89"/>
        <v>0</v>
      </c>
      <c r="H191" s="274">
        <f t="shared" si="90"/>
        <v>0</v>
      </c>
      <c r="I191" s="274">
        <f t="shared" si="91"/>
        <v>0</v>
      </c>
      <c r="J191" s="274">
        <f t="shared" si="92"/>
        <v>0</v>
      </c>
      <c r="K191" s="274">
        <f t="shared" si="93"/>
        <v>0</v>
      </c>
      <c r="L191" s="274">
        <f t="shared" si="94"/>
        <v>0</v>
      </c>
      <c r="M191" s="274">
        <f t="shared" si="95"/>
        <v>0</v>
      </c>
      <c r="N191" s="274">
        <f t="shared" si="96"/>
        <v>0</v>
      </c>
      <c r="O191" s="274">
        <f t="shared" si="97"/>
        <v>0</v>
      </c>
    </row>
    <row r="192" spans="1:15">
      <c r="A192" s="97">
        <f t="shared" si="55"/>
        <v>192</v>
      </c>
      <c r="B192" s="288" t="s">
        <v>179</v>
      </c>
      <c r="C192" s="283">
        <f t="shared" si="85"/>
        <v>2977320.32</v>
      </c>
      <c r="D192" s="283">
        <f t="shared" si="86"/>
        <v>5789926.9699999997</v>
      </c>
      <c r="E192" s="283">
        <f t="shared" si="87"/>
        <v>8370150.2599999998</v>
      </c>
      <c r="F192" s="283">
        <f t="shared" si="88"/>
        <v>11483815.050000001</v>
      </c>
      <c r="G192" s="283">
        <f t="shared" si="89"/>
        <v>14681522.200000001</v>
      </c>
      <c r="H192" s="283">
        <f t="shared" si="90"/>
        <v>17855707.800000001</v>
      </c>
      <c r="I192" s="283">
        <f t="shared" si="91"/>
        <v>21083497.560000002</v>
      </c>
      <c r="J192" s="283">
        <f t="shared" si="92"/>
        <v>24458319.560000002</v>
      </c>
      <c r="K192" s="283">
        <f t="shared" si="93"/>
        <v>26286055.790000003</v>
      </c>
      <c r="L192" s="283">
        <f t="shared" si="94"/>
        <v>28681850.870000005</v>
      </c>
      <c r="M192" s="283">
        <f t="shared" si="95"/>
        <v>31596767.940000005</v>
      </c>
      <c r="N192" s="283">
        <f t="shared" si="96"/>
        <v>34790088.380000003</v>
      </c>
      <c r="O192" s="283">
        <f t="shared" si="97"/>
        <v>228055022.69999999</v>
      </c>
    </row>
    <row r="193" spans="1:15">
      <c r="A193" s="97">
        <f t="shared" si="55"/>
        <v>193</v>
      </c>
      <c r="B193" s="286" t="s">
        <v>186</v>
      </c>
      <c r="C193" s="274">
        <f>SUM(C184:C192)</f>
        <v>7314117.629999999</v>
      </c>
      <c r="D193" s="274">
        <f t="shared" ref="D193:N193" si="98">SUM(D184:D192)</f>
        <v>12950531.149999999</v>
      </c>
      <c r="E193" s="274">
        <f t="shared" si="98"/>
        <v>19841716.210000001</v>
      </c>
      <c r="F193" s="274">
        <f t="shared" si="98"/>
        <v>26187845.189999998</v>
      </c>
      <c r="G193" s="274">
        <f t="shared" si="98"/>
        <v>34246311.509999998</v>
      </c>
      <c r="H193" s="274">
        <f t="shared" si="98"/>
        <v>42007470.149999999</v>
      </c>
      <c r="I193" s="274">
        <f t="shared" si="98"/>
        <v>49338188.689999998</v>
      </c>
      <c r="J193" s="274">
        <f t="shared" si="98"/>
        <v>57885038.689999998</v>
      </c>
      <c r="K193" s="274">
        <f t="shared" si="98"/>
        <v>64533608.25</v>
      </c>
      <c r="L193" s="274">
        <f t="shared" si="98"/>
        <v>71838003.400000006</v>
      </c>
      <c r="M193" s="274">
        <f t="shared" si="98"/>
        <v>79181832.129999995</v>
      </c>
      <c r="N193" s="274">
        <f t="shared" si="98"/>
        <v>87372554.439999998</v>
      </c>
      <c r="O193" s="274">
        <f t="shared" si="97"/>
        <v>552697217.44000006</v>
      </c>
    </row>
    <row r="194" spans="1:15">
      <c r="A194" s="97">
        <f t="shared" si="55"/>
        <v>194</v>
      </c>
      <c r="B194" s="284" t="s">
        <v>187</v>
      </c>
    </row>
    <row r="195" spans="1:15">
      <c r="A195" s="97">
        <f t="shared" ref="A195:A217" si="99">+A194+1</f>
        <v>195</v>
      </c>
      <c r="B195" s="288" t="s">
        <v>179</v>
      </c>
      <c r="C195" s="274">
        <f>+C89</f>
        <v>0</v>
      </c>
      <c r="D195" s="274">
        <f>SUM(C89:D89)</f>
        <v>0</v>
      </c>
      <c r="E195" s="274">
        <f>SUM(C89:E89)</f>
        <v>0</v>
      </c>
      <c r="F195" s="274">
        <f>SUM(C89:F89)</f>
        <v>0</v>
      </c>
      <c r="G195" s="274">
        <f>SUM(C89:G89)</f>
        <v>0</v>
      </c>
      <c r="H195" s="274">
        <f>SUM(C89:H89)</f>
        <v>0</v>
      </c>
      <c r="I195" s="274">
        <f>SUM(C89:I89)</f>
        <v>0</v>
      </c>
      <c r="J195" s="274">
        <f>SUM(C89:J89)</f>
        <v>0</v>
      </c>
      <c r="K195" s="274">
        <f>SUM(C89:K89)</f>
        <v>0</v>
      </c>
      <c r="L195" s="274">
        <f>SUM(C89:L89)</f>
        <v>0</v>
      </c>
      <c r="M195" s="274">
        <f>SUM(C89:M89)</f>
        <v>0</v>
      </c>
      <c r="N195" s="274">
        <f>SUM(C89:N89)</f>
        <v>0</v>
      </c>
      <c r="O195" s="274">
        <f>SUM(C195:N195)</f>
        <v>0</v>
      </c>
    </row>
    <row r="196" spans="1:15">
      <c r="A196" s="97">
        <f t="shared" si="99"/>
        <v>196</v>
      </c>
      <c r="B196" s="152" t="s">
        <v>188</v>
      </c>
      <c r="C196" s="274">
        <f>+C90</f>
        <v>295458.21999999997</v>
      </c>
      <c r="D196" s="274">
        <f>SUM(C90:D90)</f>
        <v>568917.89999999991</v>
      </c>
      <c r="E196" s="274">
        <f>SUM(C90:E90)</f>
        <v>877341.21</v>
      </c>
      <c r="F196" s="274">
        <f>SUM(C90:F90)</f>
        <v>1177320</v>
      </c>
      <c r="G196" s="274">
        <f>SUM(C90:G90)</f>
        <v>1481023.98</v>
      </c>
      <c r="H196" s="274">
        <f>SUM(C90:H90)</f>
        <v>1778990.7</v>
      </c>
      <c r="I196" s="274">
        <f>SUM(C90:I90)</f>
        <v>2068036.1099999999</v>
      </c>
      <c r="J196" s="274">
        <f>SUM(C90:J90)</f>
        <v>2343022.11</v>
      </c>
      <c r="K196" s="274">
        <f>SUM(C90:K90)</f>
        <v>2592150.34</v>
      </c>
      <c r="L196" s="274">
        <f>SUM(C90:L90)</f>
        <v>2849825.56</v>
      </c>
      <c r="M196" s="274">
        <f>SUM(C90:M90)</f>
        <v>3105995.99</v>
      </c>
      <c r="N196" s="274">
        <f>SUM(C90:N90)</f>
        <v>3386013.3600000003</v>
      </c>
      <c r="O196" s="274">
        <f>SUM(C196:N196)</f>
        <v>22524095.48</v>
      </c>
    </row>
    <row r="197" spans="1:15">
      <c r="A197" s="97">
        <f t="shared" si="99"/>
        <v>197</v>
      </c>
      <c r="B197" s="152" t="s">
        <v>189</v>
      </c>
      <c r="C197" s="274">
        <f>+C91</f>
        <v>1543268.98</v>
      </c>
      <c r="D197" s="274">
        <f>SUM(C91:D91)</f>
        <v>2556537.2199999997</v>
      </c>
      <c r="E197" s="274">
        <f>SUM(C91:E91)</f>
        <v>4293020.0199999996</v>
      </c>
      <c r="F197" s="274">
        <f>SUM(C91:F91)</f>
        <v>5964768.1599999992</v>
      </c>
      <c r="G197" s="274">
        <f>SUM(C91:G91)</f>
        <v>7652062.0799999991</v>
      </c>
      <c r="H197" s="274">
        <f>SUM(C91:H91)</f>
        <v>9261908.7299999986</v>
      </c>
      <c r="I197" s="274">
        <f>SUM(C91:I91)</f>
        <v>10911188.569999998</v>
      </c>
      <c r="J197" s="274">
        <f>SUM(C91:J91)</f>
        <v>12445721.049999999</v>
      </c>
      <c r="K197" s="274">
        <f>SUM(C91:K91)</f>
        <v>13918315.479999999</v>
      </c>
      <c r="L197" s="274">
        <f>SUM(C91:L91)</f>
        <v>15596063.479999999</v>
      </c>
      <c r="M197" s="274">
        <f>SUM(C91:M91)</f>
        <v>17242371.919999998</v>
      </c>
      <c r="N197" s="274">
        <f>SUM(C91:N91)</f>
        <v>18911019.639999997</v>
      </c>
      <c r="O197" s="274">
        <f>SUM(C197:N197)</f>
        <v>120296245.33</v>
      </c>
    </row>
    <row r="198" spans="1:15">
      <c r="A198" s="97">
        <f t="shared" si="99"/>
        <v>198</v>
      </c>
      <c r="B198" s="152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</row>
    <row r="199" spans="1:15">
      <c r="A199" s="97">
        <f t="shared" si="99"/>
        <v>199</v>
      </c>
      <c r="B199" s="286" t="s">
        <v>191</v>
      </c>
      <c r="C199" s="281">
        <f>SUM(C195:C197)</f>
        <v>1838727.2</v>
      </c>
      <c r="D199" s="281">
        <f t="shared" ref="D199:N199" si="100">SUM(D195:D197)</f>
        <v>3125455.1199999996</v>
      </c>
      <c r="E199" s="281">
        <f t="shared" si="100"/>
        <v>5170361.2299999995</v>
      </c>
      <c r="F199" s="281">
        <f t="shared" si="100"/>
        <v>7142088.1599999992</v>
      </c>
      <c r="G199" s="281">
        <f t="shared" si="100"/>
        <v>9133086.0599999987</v>
      </c>
      <c r="H199" s="281">
        <f t="shared" si="100"/>
        <v>11040899.429999998</v>
      </c>
      <c r="I199" s="281">
        <f t="shared" si="100"/>
        <v>12979224.679999998</v>
      </c>
      <c r="J199" s="281">
        <f t="shared" si="100"/>
        <v>14788743.159999998</v>
      </c>
      <c r="K199" s="281">
        <f t="shared" si="100"/>
        <v>16510465.819999998</v>
      </c>
      <c r="L199" s="281">
        <f t="shared" si="100"/>
        <v>18445889.039999999</v>
      </c>
      <c r="M199" s="281">
        <f t="shared" si="100"/>
        <v>20348367.909999996</v>
      </c>
      <c r="N199" s="281">
        <f t="shared" si="100"/>
        <v>22297032.999999996</v>
      </c>
      <c r="O199" s="281">
        <f>SUM(O195:O197)</f>
        <v>142820340.81</v>
      </c>
    </row>
    <row r="200" spans="1:15">
      <c r="A200" s="97">
        <f t="shared" si="99"/>
        <v>200</v>
      </c>
      <c r="B200" s="284"/>
    </row>
    <row r="201" spans="1:15">
      <c r="A201" s="97">
        <f t="shared" si="99"/>
        <v>201</v>
      </c>
      <c r="B201" s="152"/>
      <c r="C201" s="274">
        <f>+C95</f>
        <v>0</v>
      </c>
      <c r="D201" s="274">
        <f>SUM(C95:D95)</f>
        <v>0</v>
      </c>
      <c r="E201" s="274">
        <f>SUM(C95:E95)</f>
        <v>0</v>
      </c>
      <c r="F201" s="274">
        <f>SUM(C95:F95)</f>
        <v>0</v>
      </c>
      <c r="G201" s="274">
        <f>SUM(C95:G95)</f>
        <v>0</v>
      </c>
      <c r="H201" s="274">
        <f>SUM(C95:H95)</f>
        <v>0</v>
      </c>
      <c r="I201" s="274">
        <f>SUM(C95:I95)</f>
        <v>0</v>
      </c>
      <c r="J201" s="274">
        <f>SUM(C95:J95)</f>
        <v>0</v>
      </c>
      <c r="K201" s="274">
        <f>SUM(C95:K95)</f>
        <v>0</v>
      </c>
      <c r="L201" s="274">
        <f>SUM(C95:L95)</f>
        <v>0</v>
      </c>
      <c r="M201" s="274">
        <f>SUM(C95:M95)</f>
        <v>0</v>
      </c>
      <c r="N201" s="274">
        <f>SUM(C95:N95)</f>
        <v>0</v>
      </c>
      <c r="O201" s="274">
        <f>SUM(C201:N201)</f>
        <v>0</v>
      </c>
    </row>
    <row r="202" spans="1:15">
      <c r="A202" s="97">
        <f t="shared" si="99"/>
        <v>202</v>
      </c>
      <c r="B202" s="152" t="s">
        <v>172</v>
      </c>
      <c r="C202" s="283">
        <f>+C96</f>
        <v>0</v>
      </c>
      <c r="D202" s="283">
        <f>SUM(C96:D96)</f>
        <v>0</v>
      </c>
      <c r="E202" s="283">
        <f>SUM(C96:E96)</f>
        <v>0</v>
      </c>
      <c r="F202" s="283">
        <f>SUM(C96:F96)</f>
        <v>0</v>
      </c>
      <c r="G202" s="283">
        <f>SUM(C96:G96)</f>
        <v>0</v>
      </c>
      <c r="H202" s="283">
        <f>SUM(C96:H96)</f>
        <v>0</v>
      </c>
      <c r="I202" s="283">
        <f>SUM(C96:I96)</f>
        <v>0</v>
      </c>
      <c r="J202" s="283">
        <f>SUM(C96:J96)</f>
        <v>0</v>
      </c>
      <c r="K202" s="283">
        <f>SUM(C96:K96)</f>
        <v>0</v>
      </c>
      <c r="L202" s="283">
        <f>SUM(C96:L96)</f>
        <v>0</v>
      </c>
      <c r="M202" s="283">
        <f>SUM(C96:M96)</f>
        <v>0</v>
      </c>
      <c r="N202" s="283">
        <f>SUM(C96:N96)</f>
        <v>0</v>
      </c>
      <c r="O202" s="283">
        <f>SUM(C202:N202)</f>
        <v>0</v>
      </c>
    </row>
    <row r="203" spans="1:15">
      <c r="A203" s="97">
        <f t="shared" si="99"/>
        <v>203</v>
      </c>
      <c r="B203" s="286" t="s">
        <v>193</v>
      </c>
      <c r="C203" s="274">
        <f t="shared" ref="C203:O203" si="101">SUM(C201:C202)</f>
        <v>0</v>
      </c>
      <c r="D203" s="274">
        <f t="shared" si="101"/>
        <v>0</v>
      </c>
      <c r="E203" s="274">
        <f t="shared" si="101"/>
        <v>0</v>
      </c>
      <c r="F203" s="274">
        <f t="shared" si="101"/>
        <v>0</v>
      </c>
      <c r="G203" s="274">
        <f t="shared" si="101"/>
        <v>0</v>
      </c>
      <c r="H203" s="274">
        <f t="shared" si="101"/>
        <v>0</v>
      </c>
      <c r="I203" s="274">
        <f t="shared" si="101"/>
        <v>0</v>
      </c>
      <c r="J203" s="274">
        <f t="shared" si="101"/>
        <v>0</v>
      </c>
      <c r="K203" s="274">
        <f t="shared" si="101"/>
        <v>0</v>
      </c>
      <c r="L203" s="274">
        <f t="shared" si="101"/>
        <v>0</v>
      </c>
      <c r="M203" s="274">
        <f t="shared" si="101"/>
        <v>0</v>
      </c>
      <c r="N203" s="274">
        <f t="shared" si="101"/>
        <v>0</v>
      </c>
      <c r="O203" s="274">
        <f t="shared" si="101"/>
        <v>0</v>
      </c>
    </row>
    <row r="204" spans="1:15">
      <c r="A204" s="97">
        <f t="shared" si="99"/>
        <v>204</v>
      </c>
      <c r="B204" s="286"/>
    </row>
    <row r="205" spans="1:15">
      <c r="A205" s="97">
        <f t="shared" si="99"/>
        <v>205</v>
      </c>
      <c r="B205" s="289" t="s">
        <v>194</v>
      </c>
      <c r="C205" s="290">
        <f t="shared" ref="C205:O205" si="102">+C126+C135+C173+C182+C193+C199+C203</f>
        <v>14021199.169999998</v>
      </c>
      <c r="D205" s="290">
        <f t="shared" si="102"/>
        <v>25321872</v>
      </c>
      <c r="E205" s="290">
        <f t="shared" si="102"/>
        <v>38828433.740000002</v>
      </c>
      <c r="F205" s="290">
        <f t="shared" si="102"/>
        <v>51524393.609999985</v>
      </c>
      <c r="G205" s="290">
        <f t="shared" si="102"/>
        <v>65954847.559999987</v>
      </c>
      <c r="H205" s="290">
        <f t="shared" si="102"/>
        <v>79723404.62999998</v>
      </c>
      <c r="I205" s="290">
        <f t="shared" si="102"/>
        <v>93029650.569999978</v>
      </c>
      <c r="J205" s="290">
        <f t="shared" si="102"/>
        <v>107358010.73999998</v>
      </c>
      <c r="K205" s="290">
        <f t="shared" si="102"/>
        <v>119295843.93999997</v>
      </c>
      <c r="L205" s="290">
        <f t="shared" si="102"/>
        <v>132442772.19999999</v>
      </c>
      <c r="M205" s="290">
        <f t="shared" si="102"/>
        <v>145866490.86999995</v>
      </c>
      <c r="N205" s="290">
        <f t="shared" si="102"/>
        <v>160425882.67999998</v>
      </c>
      <c r="O205" s="291">
        <f t="shared" si="102"/>
        <v>1033792801.71</v>
      </c>
    </row>
    <row r="206" spans="1:15">
      <c r="A206" s="97">
        <f t="shared" si="99"/>
        <v>206</v>
      </c>
      <c r="B206" s="292" t="s">
        <v>195</v>
      </c>
    </row>
    <row r="207" spans="1:15">
      <c r="A207" s="97">
        <f t="shared" si="99"/>
        <v>207</v>
      </c>
      <c r="B207" s="152" t="s">
        <v>197</v>
      </c>
      <c r="C207" s="274">
        <f>+C102</f>
        <v>347297.94</v>
      </c>
      <c r="D207" s="274">
        <f>SUM(C102:D102)</f>
        <v>740354.45</v>
      </c>
      <c r="E207" s="274">
        <f>SUM(C102:E102)</f>
        <v>1223906.19</v>
      </c>
      <c r="F207" s="274">
        <f>SUM(C102:F102)</f>
        <v>1578255.3399999999</v>
      </c>
      <c r="G207" s="274">
        <f>SUM(C102:G102)</f>
        <v>2035510.18</v>
      </c>
      <c r="H207" s="274">
        <f>SUM(C102:H102)</f>
        <v>2486896.89</v>
      </c>
      <c r="I207" s="274">
        <f>SUM(C102:I102)</f>
        <v>2933995.37</v>
      </c>
      <c r="J207" s="274">
        <f>SUM(C102:J102)</f>
        <v>3467498.37</v>
      </c>
      <c r="K207" s="274">
        <f>SUM(C102:K102)</f>
        <v>3944188.54</v>
      </c>
      <c r="L207" s="274">
        <f>SUM(C102:L102)</f>
        <v>4403445.95</v>
      </c>
      <c r="M207" s="274">
        <f>SUM(C102:M102)</f>
        <v>4860975.57</v>
      </c>
      <c r="N207" s="274">
        <f>SUM(C102:N102)</f>
        <v>5299684.04</v>
      </c>
      <c r="O207" s="274">
        <f>SUM(C207:N207)</f>
        <v>33322008.829999998</v>
      </c>
    </row>
    <row r="208" spans="1:15">
      <c r="A208" s="97">
        <f t="shared" si="99"/>
        <v>208</v>
      </c>
      <c r="B208" s="153" t="s">
        <v>198</v>
      </c>
      <c r="C208" s="283">
        <f>+C103</f>
        <v>132832.29</v>
      </c>
      <c r="D208" s="283">
        <f>SUM(C103:D103)</f>
        <v>195757.89</v>
      </c>
      <c r="E208" s="283">
        <f>SUM(C103:E103)</f>
        <v>303762.85000000003</v>
      </c>
      <c r="F208" s="283">
        <f>SUM(C103:F103)</f>
        <v>352843.88</v>
      </c>
      <c r="G208" s="283">
        <f>SUM(C103:G103)</f>
        <v>358209.3</v>
      </c>
      <c r="H208" s="283">
        <f>SUM(C103:H103)</f>
        <v>366001.76999999996</v>
      </c>
      <c r="I208" s="283">
        <f>SUM(C103:I103)</f>
        <v>376581.66</v>
      </c>
      <c r="J208" s="283">
        <f>SUM(C103:J103)</f>
        <v>383321.66</v>
      </c>
      <c r="K208" s="283">
        <f>SUM(C103:K103)</f>
        <v>388489.49</v>
      </c>
      <c r="L208" s="283">
        <f>SUM(C103:L103)</f>
        <v>408939.02</v>
      </c>
      <c r="M208" s="283">
        <f>SUM(C103:M103)</f>
        <v>522901.02</v>
      </c>
      <c r="N208" s="283">
        <f>SUM(C103:N103)</f>
        <v>650413.94999999995</v>
      </c>
      <c r="O208" s="283">
        <f>SUM(C208:N208)</f>
        <v>4440054.78</v>
      </c>
    </row>
    <row r="209" spans="1:15">
      <c r="A209" s="97">
        <f t="shared" si="99"/>
        <v>209</v>
      </c>
      <c r="B209" s="286" t="s">
        <v>199</v>
      </c>
      <c r="C209" s="274">
        <f t="shared" ref="C209:N209" si="103">SUM(C207:C208)</f>
        <v>480130.23</v>
      </c>
      <c r="D209" s="274">
        <f t="shared" si="103"/>
        <v>936112.34</v>
      </c>
      <c r="E209" s="274">
        <f t="shared" si="103"/>
        <v>1527669.04</v>
      </c>
      <c r="F209" s="274">
        <f t="shared" si="103"/>
        <v>1931099.2199999997</v>
      </c>
      <c r="G209" s="274">
        <f t="shared" si="103"/>
        <v>2393719.48</v>
      </c>
      <c r="H209" s="274">
        <f t="shared" si="103"/>
        <v>2852898.66</v>
      </c>
      <c r="I209" s="274">
        <f t="shared" si="103"/>
        <v>3310577.0300000003</v>
      </c>
      <c r="J209" s="274">
        <f t="shared" si="103"/>
        <v>3850820.0300000003</v>
      </c>
      <c r="K209" s="274">
        <f t="shared" si="103"/>
        <v>4332678.03</v>
      </c>
      <c r="L209" s="274">
        <f t="shared" si="103"/>
        <v>4812384.9700000007</v>
      </c>
      <c r="M209" s="274">
        <f t="shared" si="103"/>
        <v>5383876.5899999999</v>
      </c>
      <c r="N209" s="274">
        <f t="shared" si="103"/>
        <v>5950097.9900000002</v>
      </c>
      <c r="O209" s="274">
        <f>SUM(C209:N209)</f>
        <v>37762063.609999999</v>
      </c>
    </row>
    <row r="210" spans="1:15">
      <c r="A210" s="97">
        <f t="shared" si="99"/>
        <v>210</v>
      </c>
      <c r="B210" s="284" t="s">
        <v>200</v>
      </c>
    </row>
    <row r="211" spans="1:15">
      <c r="A211" s="97">
        <f t="shared" si="99"/>
        <v>211</v>
      </c>
      <c r="B211" s="152" t="s">
        <v>202</v>
      </c>
      <c r="C211" s="274">
        <f>+C107</f>
        <v>1229779.92</v>
      </c>
      <c r="D211" s="274">
        <f>SUM(C107:D107)</f>
        <v>2374049.83</v>
      </c>
      <c r="E211" s="274">
        <f>SUM(C107:E107)</f>
        <v>3594369.54</v>
      </c>
      <c r="F211" s="274">
        <f>SUM(C107:F107)</f>
        <v>4113108.69</v>
      </c>
      <c r="G211" s="274">
        <f>SUM(C107:G107)</f>
        <v>5227569.05</v>
      </c>
      <c r="H211" s="274">
        <f>SUM(C107:H107)</f>
        <v>6653489.2599999998</v>
      </c>
      <c r="I211" s="274">
        <f>SUM(C107:I107)</f>
        <v>8125139.2599999998</v>
      </c>
      <c r="J211" s="274">
        <f>SUM(C107:J107)</f>
        <v>9622529.2599999998</v>
      </c>
      <c r="K211" s="274">
        <f>SUM(C107:K107)</f>
        <v>11053269.209999999</v>
      </c>
      <c r="L211" s="274">
        <f>SUM(C107:L107)</f>
        <v>12456749.649999999</v>
      </c>
      <c r="M211" s="274">
        <f>SUM(C107:M107)</f>
        <v>13798539.929999998</v>
      </c>
      <c r="N211" s="274">
        <f>SUM(C107:N107)</f>
        <v>15033019.519999998</v>
      </c>
      <c r="O211" s="274">
        <f>SUM(C211:N211)</f>
        <v>93281613.11999999</v>
      </c>
    </row>
    <row r="212" spans="1:15">
      <c r="A212" s="97">
        <f t="shared" si="99"/>
        <v>212</v>
      </c>
      <c r="B212" s="153" t="s">
        <v>203</v>
      </c>
      <c r="C212" s="283">
        <f>+C108</f>
        <v>2506750.41</v>
      </c>
      <c r="D212" s="283">
        <f>SUM(C108:D108)</f>
        <v>4050610.67</v>
      </c>
      <c r="E212" s="283">
        <f>SUM(C108:E108)</f>
        <v>5830800.8099999996</v>
      </c>
      <c r="F212" s="283">
        <f>SUM(C108:F108)</f>
        <v>8247530.879999999</v>
      </c>
      <c r="G212" s="283">
        <f>SUM(C108:G108)</f>
        <v>10602410.759999998</v>
      </c>
      <c r="H212" s="283">
        <f>SUM(C108:H108)</f>
        <v>11214300.319999998</v>
      </c>
      <c r="I212" s="283">
        <f>SUM(C108:I108)</f>
        <v>11533970.319999998</v>
      </c>
      <c r="J212" s="283">
        <f>SUM(C108:J108)</f>
        <v>11869280.319999998</v>
      </c>
      <c r="K212" s="283">
        <f>SUM(C108:K108)</f>
        <v>12270490.009999998</v>
      </c>
      <c r="L212" s="283">
        <f>SUM(C108:L108)</f>
        <v>12581360.499999998</v>
      </c>
      <c r="M212" s="283">
        <f>SUM(C108:M108)</f>
        <v>12919480.869999997</v>
      </c>
      <c r="N212" s="283">
        <f>SUM(C108:N108)</f>
        <v>15042550.879999997</v>
      </c>
      <c r="O212" s="283">
        <f>SUM(C212:N212)</f>
        <v>118669536.75</v>
      </c>
    </row>
    <row r="213" spans="1:15">
      <c r="A213" s="97">
        <f t="shared" si="99"/>
        <v>213</v>
      </c>
      <c r="B213" s="286" t="s">
        <v>204</v>
      </c>
      <c r="C213" s="274">
        <f t="shared" ref="C213:N213" si="104">SUM(C211:C212)</f>
        <v>3736530.33</v>
      </c>
      <c r="D213" s="274">
        <f t="shared" si="104"/>
        <v>6424660.5</v>
      </c>
      <c r="E213" s="274">
        <f t="shared" si="104"/>
        <v>9425170.3499999996</v>
      </c>
      <c r="F213" s="274">
        <f t="shared" si="104"/>
        <v>12360639.569999998</v>
      </c>
      <c r="G213" s="274">
        <f t="shared" si="104"/>
        <v>15829979.809999999</v>
      </c>
      <c r="H213" s="274">
        <f t="shared" si="104"/>
        <v>17867789.579999998</v>
      </c>
      <c r="I213" s="274">
        <f t="shared" si="104"/>
        <v>19659109.579999998</v>
      </c>
      <c r="J213" s="274">
        <f t="shared" si="104"/>
        <v>21491809.579999998</v>
      </c>
      <c r="K213" s="274">
        <f t="shared" si="104"/>
        <v>23323759.219999999</v>
      </c>
      <c r="L213" s="274">
        <f t="shared" si="104"/>
        <v>25038110.149999999</v>
      </c>
      <c r="M213" s="274">
        <f t="shared" si="104"/>
        <v>26718020.799999997</v>
      </c>
      <c r="N213" s="274">
        <f t="shared" si="104"/>
        <v>30075570.399999995</v>
      </c>
      <c r="O213" s="274">
        <f>SUM(C213:N213)</f>
        <v>211951149.86999997</v>
      </c>
    </row>
    <row r="214" spans="1:15">
      <c r="A214" s="97">
        <f t="shared" si="99"/>
        <v>214</v>
      </c>
      <c r="B214" s="286"/>
    </row>
    <row r="215" spans="1:15">
      <c r="A215" s="97">
        <f t="shared" si="99"/>
        <v>215</v>
      </c>
      <c r="B215" s="289" t="s">
        <v>205</v>
      </c>
      <c r="C215" s="290">
        <f t="shared" ref="C215:O215" si="105">+C209+C213</f>
        <v>4216660.5600000005</v>
      </c>
      <c r="D215" s="290">
        <f t="shared" si="105"/>
        <v>7360772.8399999999</v>
      </c>
      <c r="E215" s="290">
        <f t="shared" si="105"/>
        <v>10952839.390000001</v>
      </c>
      <c r="F215" s="290">
        <f t="shared" si="105"/>
        <v>14291738.789999999</v>
      </c>
      <c r="G215" s="290">
        <f t="shared" si="105"/>
        <v>18223699.289999999</v>
      </c>
      <c r="H215" s="290">
        <f t="shared" si="105"/>
        <v>20720688.239999998</v>
      </c>
      <c r="I215" s="290">
        <f t="shared" si="105"/>
        <v>22969686.609999999</v>
      </c>
      <c r="J215" s="290">
        <f t="shared" si="105"/>
        <v>25342629.609999999</v>
      </c>
      <c r="K215" s="290">
        <f t="shared" si="105"/>
        <v>27656437.25</v>
      </c>
      <c r="L215" s="290">
        <f t="shared" si="105"/>
        <v>29850495.119999997</v>
      </c>
      <c r="M215" s="290">
        <f t="shared" si="105"/>
        <v>32101897.389999997</v>
      </c>
      <c r="N215" s="290">
        <f t="shared" si="105"/>
        <v>36025668.389999993</v>
      </c>
      <c r="O215" s="291">
        <f t="shared" si="105"/>
        <v>249713213.47999996</v>
      </c>
    </row>
    <row r="216" spans="1:15">
      <c r="A216" s="97">
        <f t="shared" si="99"/>
        <v>216</v>
      </c>
      <c r="B216" s="286"/>
    </row>
    <row r="217" spans="1:15">
      <c r="A217" s="97">
        <f t="shared" si="99"/>
        <v>217</v>
      </c>
      <c r="B217" s="289" t="s">
        <v>206</v>
      </c>
      <c r="C217" s="290">
        <f t="shared" ref="C217:O217" si="106">+C205+C215</f>
        <v>18237859.729999997</v>
      </c>
      <c r="D217" s="290">
        <f t="shared" si="106"/>
        <v>32682644.84</v>
      </c>
      <c r="E217" s="290">
        <f t="shared" si="106"/>
        <v>49781273.130000003</v>
      </c>
      <c r="F217" s="290">
        <f t="shared" si="106"/>
        <v>65816132.399999984</v>
      </c>
      <c r="G217" s="290">
        <f t="shared" si="106"/>
        <v>84178546.849999994</v>
      </c>
      <c r="H217" s="290">
        <f t="shared" si="106"/>
        <v>100444092.86999997</v>
      </c>
      <c r="I217" s="290">
        <f t="shared" si="106"/>
        <v>115999337.17999998</v>
      </c>
      <c r="J217" s="290">
        <f t="shared" si="106"/>
        <v>132700640.34999998</v>
      </c>
      <c r="K217" s="290">
        <f t="shared" si="106"/>
        <v>146952281.18999997</v>
      </c>
      <c r="L217" s="290">
        <f t="shared" si="106"/>
        <v>162293267.31999999</v>
      </c>
      <c r="M217" s="290">
        <f t="shared" si="106"/>
        <v>177968388.25999993</v>
      </c>
      <c r="N217" s="290">
        <f t="shared" si="106"/>
        <v>196451551.06999996</v>
      </c>
      <c r="O217" s="291">
        <f t="shared" si="106"/>
        <v>1283506015.1900001</v>
      </c>
    </row>
    <row r="220" spans="1:15">
      <c r="B220" s="97" t="s">
        <v>208</v>
      </c>
      <c r="O220" s="274">
        <f>+SUM(C220:N220)</f>
        <v>0</v>
      </c>
    </row>
    <row r="221" spans="1:15">
      <c r="B221" s="97" t="s">
        <v>209</v>
      </c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>
        <f>+SUM(C221:N221)</f>
        <v>0</v>
      </c>
    </row>
    <row r="222" spans="1:15">
      <c r="B222" s="97" t="s">
        <v>210</v>
      </c>
      <c r="C222" s="249">
        <f t="shared" ref="C222:O222" si="107">C113-C221+C220</f>
        <v>42481782.410000041</v>
      </c>
      <c r="D222" s="249">
        <f t="shared" si="107"/>
        <v>36113408.400000006</v>
      </c>
      <c r="E222" s="249">
        <f t="shared" si="107"/>
        <v>37749492.350000024</v>
      </c>
      <c r="F222" s="249">
        <f t="shared" si="107"/>
        <v>35581881.690000013</v>
      </c>
      <c r="G222" s="249">
        <f t="shared" si="107"/>
        <v>38735122.870000042</v>
      </c>
      <c r="H222" s="249">
        <f t="shared" si="107"/>
        <v>35242920.590000041</v>
      </c>
      <c r="I222" s="249">
        <f t="shared" si="107"/>
        <v>34528962.860000014</v>
      </c>
      <c r="J222" s="249">
        <f t="shared" si="107"/>
        <v>36536973.07000003</v>
      </c>
      <c r="K222" s="249">
        <f t="shared" si="107"/>
        <v>33300875.790000021</v>
      </c>
      <c r="L222" s="249">
        <f t="shared" si="107"/>
        <v>34334598.300000027</v>
      </c>
      <c r="M222" s="249">
        <f t="shared" si="107"/>
        <v>35836752.600000039</v>
      </c>
      <c r="N222" s="249">
        <f t="shared" si="107"/>
        <v>41134693.920000039</v>
      </c>
      <c r="O222" s="249">
        <f t="shared" si="107"/>
        <v>441577464.85000026</v>
      </c>
    </row>
    <row r="225" spans="1:22">
      <c r="A225" s="97" t="s">
        <v>208</v>
      </c>
      <c r="C225" s="300">
        <v>0</v>
      </c>
      <c r="D225" s="317">
        <v>0</v>
      </c>
      <c r="E225" s="317">
        <v>0</v>
      </c>
      <c r="F225" s="317">
        <v>0</v>
      </c>
      <c r="G225" s="317">
        <v>0</v>
      </c>
      <c r="H225" s="317">
        <v>0</v>
      </c>
      <c r="I225" s="317">
        <v>0</v>
      </c>
      <c r="J225" s="317">
        <v>0</v>
      </c>
      <c r="K225" s="317">
        <v>0</v>
      </c>
      <c r="L225" s="317">
        <v>0</v>
      </c>
      <c r="M225" s="317">
        <v>0</v>
      </c>
      <c r="N225" s="317">
        <v>0</v>
      </c>
      <c r="O225" s="317"/>
    </row>
    <row r="226" spans="1:22">
      <c r="A226" s="97" t="s">
        <v>211</v>
      </c>
      <c r="N226" s="249"/>
    </row>
    <row r="227" spans="1:22">
      <c r="A227" s="97" t="s">
        <v>212</v>
      </c>
    </row>
    <row r="228" spans="1:22">
      <c r="O228" s="249"/>
      <c r="R228" s="132"/>
    </row>
    <row r="229" spans="1:22">
      <c r="O229" s="249"/>
      <c r="R229" s="132"/>
    </row>
    <row r="230" spans="1:22">
      <c r="O230" s="249"/>
      <c r="R230" s="132"/>
    </row>
    <row r="231" spans="1:22">
      <c r="O231" s="249"/>
      <c r="R231" s="132"/>
    </row>
    <row r="232" spans="1:22">
      <c r="O232" s="318"/>
    </row>
    <row r="233" spans="1:22">
      <c r="B233" s="262" t="s">
        <v>285</v>
      </c>
      <c r="C233" s="319">
        <v>7463.34</v>
      </c>
      <c r="D233" s="319">
        <v>6004.54</v>
      </c>
      <c r="E233" s="319">
        <v>4015.84</v>
      </c>
      <c r="F233" s="319">
        <v>4213.58</v>
      </c>
      <c r="G233" s="319">
        <v>3131.59</v>
      </c>
      <c r="H233" s="319">
        <v>2671.5200000000004</v>
      </c>
      <c r="I233" s="319">
        <v>1356.81</v>
      </c>
      <c r="J233" s="319">
        <v>1297.6299999999999</v>
      </c>
      <c r="K233" s="319">
        <v>1281.1699999999998</v>
      </c>
      <c r="L233" s="319">
        <v>1381.9699999999998</v>
      </c>
      <c r="M233" s="319">
        <v>3100.6400000000003</v>
      </c>
      <c r="N233" s="319">
        <v>6536.19</v>
      </c>
      <c r="O233" s="319">
        <v>42454.820000000007</v>
      </c>
      <c r="P233" s="262"/>
      <c r="Q233" s="262" t="s">
        <v>5</v>
      </c>
      <c r="R233" s="265" t="s">
        <v>285</v>
      </c>
      <c r="S233" s="262"/>
      <c r="T233" s="262" t="s">
        <v>723</v>
      </c>
      <c r="U233" s="263">
        <f t="shared" ref="U233:U238" si="108">MAX(C233:N233)</f>
        <v>7463.34</v>
      </c>
      <c r="V233" s="263">
        <f t="shared" ref="V233:V238" si="109">IFERROR(INDEX($C$1:$N$1,MATCH(U233,C233:N233,0)),0)</f>
        <v>1</v>
      </c>
    </row>
    <row r="234" spans="1:22">
      <c r="B234" s="262" t="s">
        <v>286</v>
      </c>
      <c r="C234" s="319">
        <v>1855.8600000000001</v>
      </c>
      <c r="D234" s="319">
        <v>1713.1100000000001</v>
      </c>
      <c r="E234" s="319">
        <v>1611.12</v>
      </c>
      <c r="F234" s="319">
        <v>1629.6</v>
      </c>
      <c r="G234" s="319">
        <v>2122.21</v>
      </c>
      <c r="H234" s="319">
        <v>2348.63</v>
      </c>
      <c r="I234" s="319">
        <v>2086.87</v>
      </c>
      <c r="J234" s="319">
        <v>2313.85</v>
      </c>
      <c r="K234" s="319">
        <v>2172.4300000000003</v>
      </c>
      <c r="L234" s="319">
        <v>2247.09</v>
      </c>
      <c r="M234" s="319">
        <v>2173.91</v>
      </c>
      <c r="N234" s="319">
        <v>2227.5500000000002</v>
      </c>
      <c r="O234" s="319">
        <v>24502.230000000003</v>
      </c>
      <c r="P234" s="262"/>
      <c r="Q234" s="262" t="s">
        <v>5</v>
      </c>
      <c r="R234" s="265" t="s">
        <v>286</v>
      </c>
      <c r="S234" s="262"/>
      <c r="T234" s="262" t="s">
        <v>723</v>
      </c>
      <c r="U234" s="263">
        <f t="shared" si="108"/>
        <v>2348.63</v>
      </c>
      <c r="V234" s="263">
        <f t="shared" si="109"/>
        <v>6</v>
      </c>
    </row>
    <row r="235" spans="1:22">
      <c r="B235" s="262" t="s">
        <v>287</v>
      </c>
      <c r="C235" s="319"/>
      <c r="D235" s="319"/>
      <c r="E235" s="319"/>
      <c r="F235" s="319"/>
      <c r="G235" s="319"/>
      <c r="H235" s="319">
        <v>9182.76</v>
      </c>
      <c r="I235" s="319">
        <v>7518.1</v>
      </c>
      <c r="J235" s="319">
        <v>7480.5</v>
      </c>
      <c r="K235" s="319">
        <v>6789.56</v>
      </c>
      <c r="L235" s="319">
        <v>9473.9</v>
      </c>
      <c r="M235" s="319">
        <v>11177.56</v>
      </c>
      <c r="N235" s="319">
        <v>16303.869999999999</v>
      </c>
      <c r="O235" s="319">
        <v>67926.25</v>
      </c>
      <c r="P235" s="262"/>
      <c r="Q235" s="262" t="s">
        <v>5</v>
      </c>
      <c r="R235" s="265" t="s">
        <v>288</v>
      </c>
      <c r="S235" s="262"/>
      <c r="T235" s="262" t="s">
        <v>723</v>
      </c>
      <c r="U235" s="263">
        <f t="shared" si="108"/>
        <v>16303.869999999999</v>
      </c>
      <c r="V235" s="263">
        <f t="shared" si="109"/>
        <v>12</v>
      </c>
    </row>
    <row r="236" spans="1:22">
      <c r="B236" s="262" t="s">
        <v>288</v>
      </c>
      <c r="C236" s="319"/>
      <c r="D236" s="319"/>
      <c r="E236" s="319"/>
      <c r="F236" s="319"/>
      <c r="G236" s="319">
        <v>1321.25</v>
      </c>
      <c r="H236" s="319">
        <v>1169.97</v>
      </c>
      <c r="I236" s="319">
        <v>720.39</v>
      </c>
      <c r="J236" s="319">
        <v>1033.99</v>
      </c>
      <c r="K236" s="319">
        <v>1017.2</v>
      </c>
      <c r="L236" s="319">
        <v>1372.51</v>
      </c>
      <c r="M236" s="319">
        <v>1452.03</v>
      </c>
      <c r="N236" s="319">
        <v>1368.52</v>
      </c>
      <c r="O236" s="319">
        <v>9455.8599999999988</v>
      </c>
      <c r="P236" s="262"/>
      <c r="Q236" s="262" t="s">
        <v>5</v>
      </c>
      <c r="R236" s="265" t="s">
        <v>288</v>
      </c>
      <c r="S236" s="262"/>
      <c r="T236" s="262" t="s">
        <v>723</v>
      </c>
      <c r="U236" s="263">
        <f t="shared" si="108"/>
        <v>1452.03</v>
      </c>
      <c r="V236" s="263">
        <f t="shared" si="109"/>
        <v>11</v>
      </c>
    </row>
    <row r="237" spans="1:22">
      <c r="B237" s="262" t="s">
        <v>289</v>
      </c>
      <c r="C237" s="319">
        <v>61.35</v>
      </c>
      <c r="D237" s="319">
        <v>83.56</v>
      </c>
      <c r="E237" s="319">
        <v>16.899999999999999</v>
      </c>
      <c r="F237" s="319">
        <v>10.540000000000001</v>
      </c>
      <c r="G237" s="319">
        <v>2.09</v>
      </c>
      <c r="H237" s="319">
        <v>0</v>
      </c>
      <c r="I237" s="319">
        <v>2.08</v>
      </c>
      <c r="J237" s="319">
        <v>6.24</v>
      </c>
      <c r="K237" s="319">
        <v>18.72</v>
      </c>
      <c r="L237" s="319">
        <v>5.2</v>
      </c>
      <c r="M237" s="319">
        <v>15.6</v>
      </c>
      <c r="N237" s="319">
        <v>89.789999999999992</v>
      </c>
      <c r="O237" s="319">
        <v>312.07000000000005</v>
      </c>
      <c r="P237" s="262"/>
      <c r="Q237" s="262" t="s">
        <v>5</v>
      </c>
      <c r="R237" s="265" t="s">
        <v>285</v>
      </c>
      <c r="S237" s="262"/>
      <c r="T237" s="262" t="s">
        <v>723</v>
      </c>
      <c r="U237" s="263">
        <f t="shared" si="108"/>
        <v>89.789999999999992</v>
      </c>
      <c r="V237" s="263">
        <f t="shared" si="109"/>
        <v>12</v>
      </c>
    </row>
    <row r="238" spans="1:22">
      <c r="B238" s="262" t="s">
        <v>290</v>
      </c>
      <c r="C238" s="319">
        <v>666.64</v>
      </c>
      <c r="D238" s="319">
        <v>518.96</v>
      </c>
      <c r="E238" s="319">
        <v>839.28</v>
      </c>
      <c r="F238" s="319">
        <v>557.44000000000005</v>
      </c>
      <c r="G238" s="319">
        <v>595.92000000000007</v>
      </c>
      <c r="H238" s="319">
        <v>403.52</v>
      </c>
      <c r="I238" s="319">
        <v>237.12</v>
      </c>
      <c r="J238" s="319">
        <v>387.91999999999996</v>
      </c>
      <c r="K238" s="319">
        <v>683.28</v>
      </c>
      <c r="L238" s="319">
        <v>635.43999999999994</v>
      </c>
      <c r="M238" s="319">
        <v>664.56</v>
      </c>
      <c r="N238" s="319">
        <v>645.84</v>
      </c>
      <c r="O238" s="319">
        <v>6835.92</v>
      </c>
      <c r="P238" s="262"/>
      <c r="Q238" s="262" t="s">
        <v>5</v>
      </c>
      <c r="R238" s="265" t="s">
        <v>286</v>
      </c>
      <c r="S238" s="262"/>
      <c r="T238" s="262" t="s">
        <v>723</v>
      </c>
      <c r="U238" s="263">
        <f t="shared" si="108"/>
        <v>839.28</v>
      </c>
      <c r="V238" s="263">
        <f t="shared" si="109"/>
        <v>3</v>
      </c>
    </row>
    <row r="243" spans="21:22">
      <c r="U243" s="439">
        <v>1</v>
      </c>
      <c r="V243" s="75">
        <f>COUNTIF($V$2:$V$114,U243)</f>
        <v>39</v>
      </c>
    </row>
    <row r="244" spans="21:22">
      <c r="U244" s="439">
        <v>2</v>
      </c>
      <c r="V244" s="75">
        <f t="shared" ref="V244:V254" si="110">COUNTIF($V$2:$V$101,U244)</f>
        <v>5</v>
      </c>
    </row>
    <row r="245" spans="21:22">
      <c r="U245" s="439">
        <v>3</v>
      </c>
      <c r="V245" s="75">
        <f t="shared" si="110"/>
        <v>4</v>
      </c>
    </row>
    <row r="246" spans="21:22">
      <c r="U246" s="439">
        <v>4</v>
      </c>
      <c r="V246" s="75">
        <f t="shared" si="110"/>
        <v>1</v>
      </c>
    </row>
    <row r="247" spans="21:22">
      <c r="U247" s="439">
        <v>5</v>
      </c>
      <c r="V247" s="75">
        <f t="shared" si="110"/>
        <v>2</v>
      </c>
    </row>
    <row r="248" spans="21:22">
      <c r="U248" s="439">
        <v>6</v>
      </c>
      <c r="V248" s="75">
        <f t="shared" si="110"/>
        <v>2</v>
      </c>
    </row>
    <row r="249" spans="21:22">
      <c r="U249" s="439">
        <v>7</v>
      </c>
      <c r="V249" s="75">
        <f t="shared" si="110"/>
        <v>1</v>
      </c>
    </row>
    <row r="250" spans="21:22">
      <c r="U250" s="439">
        <v>8</v>
      </c>
      <c r="V250" s="75">
        <f t="shared" si="110"/>
        <v>4</v>
      </c>
    </row>
    <row r="251" spans="21:22">
      <c r="U251" s="439">
        <v>9</v>
      </c>
      <c r="V251" s="75">
        <f t="shared" si="110"/>
        <v>0</v>
      </c>
    </row>
    <row r="252" spans="21:22">
      <c r="U252" s="439">
        <v>10</v>
      </c>
      <c r="V252" s="75">
        <f t="shared" si="110"/>
        <v>2</v>
      </c>
    </row>
    <row r="253" spans="21:22">
      <c r="U253" s="439">
        <v>11</v>
      </c>
      <c r="V253" s="75">
        <f t="shared" si="110"/>
        <v>1</v>
      </c>
    </row>
    <row r="254" spans="21:22">
      <c r="U254" s="439">
        <v>12</v>
      </c>
      <c r="V254" s="75">
        <f t="shared" si="110"/>
        <v>14</v>
      </c>
    </row>
  </sheetData>
  <pageMargins left="0.5" right="0.5" top="0.5" bottom="0.5" header="1" footer="0"/>
  <pageSetup scale="55" fitToHeight="2" orientation="landscape" r:id="rId1"/>
  <headerFooter alignWithMargins="0"/>
  <rowBreaks count="2" manualBreakCount="2">
    <brk id="99" max="16" man="1"/>
    <brk id="182" max="16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661B-9EAB-40CE-ACDF-F98F6858148C}">
  <sheetPr codeName="Sheet5">
    <tabColor theme="0" tint="-0.34998626667073579"/>
  </sheetPr>
  <dimension ref="A1:Y268"/>
  <sheetViews>
    <sheetView workbookViewId="0"/>
  </sheetViews>
  <sheetFormatPr defaultColWidth="9.140625" defaultRowHeight="12.75"/>
  <cols>
    <col min="1" max="1" width="4.140625" style="97" bestFit="1" customWidth="1"/>
    <col min="2" max="2" width="28.5703125" style="97" bestFit="1" customWidth="1"/>
    <col min="3" max="3" width="10.5703125" style="97" bestFit="1" customWidth="1"/>
    <col min="4" max="4" width="7.5703125" style="97" customWidth="1"/>
    <col min="5" max="5" width="6.7109375" style="97" customWidth="1"/>
    <col min="6" max="7" width="6.5703125" style="97" customWidth="1"/>
    <col min="8" max="8" width="8.140625" style="97" customWidth="1"/>
    <col min="9" max="14" width="6.5703125" style="97" customWidth="1"/>
    <col min="15" max="15" width="10.42578125" style="97" bestFit="1" customWidth="1"/>
    <col min="16" max="17" width="9.140625" style="97"/>
    <col min="18" max="18" width="10.42578125" style="274" bestFit="1" customWidth="1"/>
    <col min="19" max="19" width="21.42578125" style="97" bestFit="1" customWidth="1"/>
    <col min="20" max="20" width="9.140625" style="97"/>
    <col min="21" max="21" width="27" style="97" bestFit="1" customWidth="1"/>
    <col min="22" max="22" width="10" style="97"/>
    <col min="23" max="23" width="10.42578125" style="97" bestFit="1" customWidth="1"/>
    <col min="24" max="16384" width="9.140625" style="97"/>
  </cols>
  <sheetData>
    <row r="1" spans="1:25" ht="13.5" thickBot="1">
      <c r="B1" s="270" t="s">
        <v>213</v>
      </c>
      <c r="C1" s="251">
        <v>1</v>
      </c>
      <c r="D1" s="251">
        <v>2</v>
      </c>
      <c r="E1" s="251">
        <v>3</v>
      </c>
      <c r="F1" s="251">
        <v>4</v>
      </c>
      <c r="G1" s="251">
        <v>5</v>
      </c>
      <c r="H1" s="251">
        <v>6</v>
      </c>
      <c r="I1" s="251">
        <v>7</v>
      </c>
      <c r="J1" s="251">
        <v>8</v>
      </c>
      <c r="K1" s="251">
        <v>9</v>
      </c>
      <c r="L1" s="251">
        <v>10</v>
      </c>
      <c r="M1" s="251">
        <v>11</v>
      </c>
      <c r="N1" s="251">
        <v>12</v>
      </c>
      <c r="O1" s="251" t="s">
        <v>121</v>
      </c>
      <c r="R1" s="271" t="s">
        <v>214</v>
      </c>
    </row>
    <row r="2" spans="1:25" ht="13.5" thickBot="1">
      <c r="A2" s="97">
        <v>2</v>
      </c>
      <c r="B2" s="272" t="s">
        <v>215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Q2" s="250"/>
      <c r="R2" s="271" t="s">
        <v>216</v>
      </c>
      <c r="S2" s="250"/>
      <c r="T2" s="250"/>
    </row>
    <row r="3" spans="1:25">
      <c r="A3" s="97">
        <f t="shared" ref="A3:A66" si="0">+A2+1</f>
        <v>3</v>
      </c>
      <c r="B3" s="275" t="s">
        <v>123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Q3" s="251"/>
      <c r="R3" s="273"/>
      <c r="S3" s="251"/>
      <c r="T3" s="251"/>
      <c r="U3" s="97" t="s">
        <v>124</v>
      </c>
    </row>
    <row r="4" spans="1:25">
      <c r="A4" s="97">
        <f t="shared" si="0"/>
        <v>4</v>
      </c>
      <c r="B4" s="276" t="s">
        <v>100</v>
      </c>
      <c r="C4" s="277">
        <v>1144</v>
      </c>
      <c r="D4" s="277">
        <v>1148</v>
      </c>
      <c r="E4" s="277">
        <v>1156</v>
      </c>
      <c r="F4" s="277">
        <v>1148</v>
      </c>
      <c r="G4" s="277">
        <v>1139</v>
      </c>
      <c r="H4" s="277">
        <v>1134</v>
      </c>
      <c r="I4" s="277">
        <v>1135</v>
      </c>
      <c r="J4" s="277">
        <v>1133</v>
      </c>
      <c r="K4" s="277">
        <v>1126</v>
      </c>
      <c r="L4" s="277">
        <v>1130</v>
      </c>
      <c r="M4" s="277">
        <v>1139</v>
      </c>
      <c r="N4" s="277">
        <v>1133</v>
      </c>
      <c r="O4" s="274">
        <f>AVERAGE(C4:N4)</f>
        <v>1138.75</v>
      </c>
      <c r="Q4" s="97" t="s">
        <v>8</v>
      </c>
      <c r="R4" s="274">
        <f>+SUM(C4:N4)</f>
        <v>13665</v>
      </c>
      <c r="S4" s="249" t="str">
        <f t="shared" ref="S4:S10" si="1">CONCATENATE(Q4," - ",B4," R")</f>
        <v>CFG - FTS-A R</v>
      </c>
      <c r="T4" s="249"/>
      <c r="U4" s="97" t="s">
        <v>125</v>
      </c>
      <c r="V4" s="97" t="s">
        <v>0</v>
      </c>
      <c r="Y4" s="249"/>
    </row>
    <row r="5" spans="1:25">
      <c r="A5" s="97">
        <f t="shared" si="0"/>
        <v>5</v>
      </c>
      <c r="B5" s="276" t="s">
        <v>101</v>
      </c>
      <c r="C5" s="277">
        <v>2241</v>
      </c>
      <c r="D5" s="277">
        <v>2245</v>
      </c>
      <c r="E5" s="277">
        <v>2250</v>
      </c>
      <c r="F5" s="277">
        <v>2242</v>
      </c>
      <c r="G5" s="277">
        <v>2241</v>
      </c>
      <c r="H5" s="277">
        <v>2232</v>
      </c>
      <c r="I5" s="277">
        <v>2240</v>
      </c>
      <c r="J5" s="277">
        <v>2241</v>
      </c>
      <c r="K5" s="277">
        <v>2243</v>
      </c>
      <c r="L5" s="277">
        <v>2249</v>
      </c>
      <c r="M5" s="277">
        <v>2244</v>
      </c>
      <c r="N5" s="277">
        <v>2249</v>
      </c>
      <c r="O5" s="274">
        <f t="shared" ref="O5:O10" si="2">AVERAGE(C5:N5)</f>
        <v>2243.0833333333335</v>
      </c>
      <c r="Q5" s="97" t="s">
        <v>8</v>
      </c>
      <c r="R5" s="274">
        <f t="shared" ref="R5:R15" si="3">+SUM(C5:N5)</f>
        <v>26917</v>
      </c>
      <c r="S5" s="249" t="str">
        <f t="shared" si="1"/>
        <v>CFG - FTS-B R</v>
      </c>
      <c r="T5" s="249"/>
      <c r="U5" s="97" t="s">
        <v>125</v>
      </c>
      <c r="V5" s="97" t="s">
        <v>0</v>
      </c>
      <c r="Y5" s="249"/>
    </row>
    <row r="6" spans="1:25">
      <c r="A6" s="97">
        <f t="shared" si="0"/>
        <v>6</v>
      </c>
      <c r="B6" s="276" t="s">
        <v>102</v>
      </c>
      <c r="C6" s="277">
        <v>12704</v>
      </c>
      <c r="D6" s="277">
        <v>12745</v>
      </c>
      <c r="E6" s="277">
        <v>12795</v>
      </c>
      <c r="F6" s="277">
        <v>12827</v>
      </c>
      <c r="G6" s="277">
        <v>12878</v>
      </c>
      <c r="H6" s="277">
        <v>12915</v>
      </c>
      <c r="I6" s="277">
        <v>12978</v>
      </c>
      <c r="J6" s="277">
        <v>13027</v>
      </c>
      <c r="K6" s="277">
        <v>13136</v>
      </c>
      <c r="L6" s="277">
        <v>13220</v>
      </c>
      <c r="M6" s="277">
        <v>13463</v>
      </c>
      <c r="N6" s="277">
        <v>13576</v>
      </c>
      <c r="O6" s="274">
        <f t="shared" si="2"/>
        <v>13022</v>
      </c>
      <c r="Q6" s="97" t="s">
        <v>8</v>
      </c>
      <c r="R6" s="274">
        <f t="shared" si="3"/>
        <v>156264</v>
      </c>
      <c r="S6" s="249" t="str">
        <f t="shared" si="1"/>
        <v>CFG - FTS-1 R</v>
      </c>
      <c r="T6" s="249"/>
      <c r="U6" s="97" t="s">
        <v>125</v>
      </c>
      <c r="V6" s="97" t="s">
        <v>0</v>
      </c>
      <c r="Y6" s="249"/>
    </row>
    <row r="7" spans="1:25">
      <c r="A7" s="97">
        <f t="shared" si="0"/>
        <v>7</v>
      </c>
      <c r="B7" s="276" t="s">
        <v>103</v>
      </c>
      <c r="C7" s="277">
        <v>732</v>
      </c>
      <c r="D7" s="277">
        <v>727</v>
      </c>
      <c r="E7" s="277">
        <v>731</v>
      </c>
      <c r="F7" s="277">
        <v>733</v>
      </c>
      <c r="G7" s="277">
        <v>729</v>
      </c>
      <c r="H7" s="277">
        <v>732</v>
      </c>
      <c r="I7" s="277">
        <v>729</v>
      </c>
      <c r="J7" s="277">
        <v>730</v>
      </c>
      <c r="K7" s="277">
        <v>734</v>
      </c>
      <c r="L7" s="277">
        <v>739</v>
      </c>
      <c r="M7" s="277">
        <v>737</v>
      </c>
      <c r="N7" s="277">
        <v>740</v>
      </c>
      <c r="O7" s="274">
        <f t="shared" si="2"/>
        <v>732.75</v>
      </c>
      <c r="Q7" s="97" t="s">
        <v>8</v>
      </c>
      <c r="R7" s="274">
        <f t="shared" si="3"/>
        <v>8793</v>
      </c>
      <c r="S7" s="249" t="str">
        <f t="shared" si="1"/>
        <v>CFG - FTS-2 R</v>
      </c>
      <c r="T7" s="249"/>
      <c r="U7" s="97" t="s">
        <v>125</v>
      </c>
      <c r="V7" s="97" t="s">
        <v>0</v>
      </c>
      <c r="Y7" s="249"/>
    </row>
    <row r="8" spans="1:25">
      <c r="A8" s="97">
        <f t="shared" si="0"/>
        <v>8</v>
      </c>
      <c r="B8" s="276" t="s">
        <v>104</v>
      </c>
      <c r="C8" s="277">
        <v>479</v>
      </c>
      <c r="D8" s="277">
        <v>485</v>
      </c>
      <c r="E8" s="277">
        <v>480</v>
      </c>
      <c r="F8" s="277">
        <v>479</v>
      </c>
      <c r="G8" s="277">
        <v>475</v>
      </c>
      <c r="H8" s="277">
        <v>479</v>
      </c>
      <c r="I8" s="277">
        <v>480</v>
      </c>
      <c r="J8" s="277">
        <v>480</v>
      </c>
      <c r="K8" s="277">
        <v>482</v>
      </c>
      <c r="L8" s="277">
        <v>482</v>
      </c>
      <c r="M8" s="277">
        <v>482</v>
      </c>
      <c r="N8" s="277">
        <v>481</v>
      </c>
      <c r="O8" s="274">
        <f t="shared" si="2"/>
        <v>480.33333333333331</v>
      </c>
      <c r="Q8" s="97" t="s">
        <v>8</v>
      </c>
      <c r="R8" s="274">
        <f t="shared" si="3"/>
        <v>5764</v>
      </c>
      <c r="S8" s="249" t="str">
        <f t="shared" si="1"/>
        <v>CFG - FTS-2.1 R</v>
      </c>
      <c r="T8" s="318"/>
      <c r="U8" s="97" t="s">
        <v>125</v>
      </c>
      <c r="V8" s="97" t="s">
        <v>0</v>
      </c>
      <c r="X8" s="278"/>
      <c r="Y8" s="249"/>
    </row>
    <row r="9" spans="1:25">
      <c r="A9" s="97">
        <f t="shared" si="0"/>
        <v>9</v>
      </c>
      <c r="B9" s="279" t="s">
        <v>105</v>
      </c>
      <c r="C9" s="277">
        <v>16</v>
      </c>
      <c r="D9" s="277">
        <v>16</v>
      </c>
      <c r="E9" s="277">
        <v>16</v>
      </c>
      <c r="F9" s="277">
        <v>16</v>
      </c>
      <c r="G9" s="277">
        <v>17</v>
      </c>
      <c r="H9" s="277">
        <v>16</v>
      </c>
      <c r="I9" s="277">
        <v>16</v>
      </c>
      <c r="J9" s="277">
        <v>16</v>
      </c>
      <c r="K9" s="277">
        <v>16</v>
      </c>
      <c r="L9" s="277">
        <v>16</v>
      </c>
      <c r="M9" s="277">
        <v>16</v>
      </c>
      <c r="N9" s="277">
        <v>17</v>
      </c>
      <c r="O9" s="274">
        <f t="shared" si="2"/>
        <v>16.166666666666668</v>
      </c>
      <c r="Q9" s="97" t="s">
        <v>8</v>
      </c>
      <c r="R9" s="274">
        <f t="shared" si="3"/>
        <v>194</v>
      </c>
      <c r="S9" s="249" t="str">
        <f t="shared" si="1"/>
        <v>CFG - FTS-3 R</v>
      </c>
      <c r="T9" s="249"/>
      <c r="U9" s="97" t="s">
        <v>125</v>
      </c>
      <c r="V9" s="97" t="s">
        <v>0</v>
      </c>
      <c r="Y9" s="249"/>
    </row>
    <row r="10" spans="1:25">
      <c r="A10" s="97">
        <f t="shared" si="0"/>
        <v>10</v>
      </c>
      <c r="B10" s="279" t="s">
        <v>106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J10" s="277">
        <v>0</v>
      </c>
      <c r="K10" s="277">
        <v>0</v>
      </c>
      <c r="L10" s="277">
        <v>0</v>
      </c>
      <c r="M10" s="277">
        <v>0</v>
      </c>
      <c r="N10" s="277">
        <v>0</v>
      </c>
      <c r="O10" s="274">
        <f t="shared" si="2"/>
        <v>0</v>
      </c>
      <c r="Q10" s="97" t="s">
        <v>8</v>
      </c>
      <c r="R10" s="274">
        <f t="shared" si="3"/>
        <v>0</v>
      </c>
      <c r="S10" s="249" t="str">
        <f t="shared" si="1"/>
        <v>CFG - FTS-3.1 R</v>
      </c>
      <c r="T10" s="249"/>
      <c r="U10" s="97" t="s">
        <v>125</v>
      </c>
      <c r="V10" s="97" t="s">
        <v>0</v>
      </c>
      <c r="Y10" s="249"/>
    </row>
    <row r="11" spans="1:25">
      <c r="A11" s="97">
        <f t="shared" si="0"/>
        <v>11</v>
      </c>
      <c r="B11" s="279" t="s">
        <v>126</v>
      </c>
      <c r="C11" s="277">
        <v>56960</v>
      </c>
      <c r="D11" s="277">
        <v>57116</v>
      </c>
      <c r="E11" s="277">
        <v>57325</v>
      </c>
      <c r="F11" s="277">
        <v>57693</v>
      </c>
      <c r="G11" s="277">
        <v>57766</v>
      </c>
      <c r="H11" s="277">
        <v>58003</v>
      </c>
      <c r="I11" s="277">
        <v>58395</v>
      </c>
      <c r="J11" s="277">
        <v>58502</v>
      </c>
      <c r="K11" s="277">
        <v>58692</v>
      </c>
      <c r="L11" s="277">
        <v>59012</v>
      </c>
      <c r="M11" s="277">
        <v>59322</v>
      </c>
      <c r="N11" s="277">
        <v>59506</v>
      </c>
      <c r="O11" s="274">
        <f>AVERAGE(C11:N11)</f>
        <v>58191</v>
      </c>
      <c r="Q11" s="97" t="s">
        <v>7</v>
      </c>
      <c r="R11" s="274">
        <f>+SUM(C11:N11)</f>
        <v>698292</v>
      </c>
      <c r="S11" s="249" t="str">
        <f t="shared" ref="S11:S61" si="4">CONCATENATE(Q11," - ",B11)</f>
        <v>FPU - FPU - RS</v>
      </c>
      <c r="T11" s="249"/>
      <c r="V11" s="97" t="s">
        <v>0</v>
      </c>
      <c r="W11" s="249"/>
      <c r="X11" s="278"/>
      <c r="Y11" s="249"/>
    </row>
    <row r="12" spans="1:25">
      <c r="A12" s="97">
        <f t="shared" si="0"/>
        <v>12</v>
      </c>
      <c r="B12" s="279" t="s">
        <v>128</v>
      </c>
      <c r="C12" s="277">
        <v>564</v>
      </c>
      <c r="D12" s="277">
        <v>563</v>
      </c>
      <c r="E12" s="277">
        <v>568</v>
      </c>
      <c r="F12" s="277">
        <v>578</v>
      </c>
      <c r="G12" s="277">
        <v>575</v>
      </c>
      <c r="H12" s="277">
        <v>585</v>
      </c>
      <c r="I12" s="277">
        <v>593</v>
      </c>
      <c r="J12" s="277">
        <v>594</v>
      </c>
      <c r="K12" s="277">
        <v>611</v>
      </c>
      <c r="L12" s="277">
        <v>629</v>
      </c>
      <c r="M12" s="277">
        <v>648</v>
      </c>
      <c r="N12" s="277">
        <v>653</v>
      </c>
      <c r="O12" s="274">
        <f>AVERAGE(C12:N12)</f>
        <v>596.75</v>
      </c>
      <c r="Q12" s="97" t="s">
        <v>7</v>
      </c>
      <c r="R12" s="274">
        <f>+SUM(C12:N12)</f>
        <v>7161</v>
      </c>
      <c r="S12" s="249" t="str">
        <f t="shared" si="4"/>
        <v>FPU - FPU - RS-GS</v>
      </c>
      <c r="T12" s="249"/>
      <c r="U12" s="97" t="s">
        <v>127</v>
      </c>
      <c r="V12" s="97" t="s">
        <v>0</v>
      </c>
      <c r="Y12" s="249"/>
    </row>
    <row r="13" spans="1:25">
      <c r="A13" s="97">
        <f t="shared" si="0"/>
        <v>13</v>
      </c>
      <c r="B13" s="279" t="s">
        <v>98</v>
      </c>
      <c r="C13" s="277">
        <v>565</v>
      </c>
      <c r="D13" s="277">
        <v>564</v>
      </c>
      <c r="E13" s="277">
        <v>563</v>
      </c>
      <c r="F13" s="277">
        <v>556</v>
      </c>
      <c r="G13" s="277">
        <v>549</v>
      </c>
      <c r="H13" s="277">
        <v>545</v>
      </c>
      <c r="I13" s="277">
        <v>549</v>
      </c>
      <c r="J13" s="277">
        <v>549</v>
      </c>
      <c r="K13" s="277">
        <v>551</v>
      </c>
      <c r="L13" s="277">
        <v>554</v>
      </c>
      <c r="M13" s="277">
        <v>553</v>
      </c>
      <c r="N13" s="277">
        <v>554</v>
      </c>
      <c r="O13" s="274">
        <f>AVERAGE(C13:N13)</f>
        <v>554.33333333333337</v>
      </c>
      <c r="Q13" s="97" t="s">
        <v>5</v>
      </c>
      <c r="R13" s="274">
        <f t="shared" si="3"/>
        <v>6652</v>
      </c>
      <c r="S13" s="249" t="str">
        <f t="shared" si="4"/>
        <v>FT - FT-RS</v>
      </c>
      <c r="T13" s="249"/>
      <c r="U13" s="97" t="s">
        <v>129</v>
      </c>
      <c r="V13" s="97" t="s">
        <v>0</v>
      </c>
      <c r="X13" s="278"/>
      <c r="Y13" s="249"/>
    </row>
    <row r="14" spans="1:25">
      <c r="A14" s="97">
        <f t="shared" si="0"/>
        <v>14</v>
      </c>
      <c r="B14" s="279" t="s">
        <v>93</v>
      </c>
      <c r="C14" s="277">
        <v>676</v>
      </c>
      <c r="D14" s="277">
        <v>674</v>
      </c>
      <c r="E14" s="277">
        <v>673</v>
      </c>
      <c r="F14" s="277">
        <v>673</v>
      </c>
      <c r="G14" s="277">
        <v>674</v>
      </c>
      <c r="H14" s="277">
        <v>671</v>
      </c>
      <c r="I14" s="277">
        <v>673</v>
      </c>
      <c r="J14" s="277">
        <v>675</v>
      </c>
      <c r="K14" s="277">
        <v>676</v>
      </c>
      <c r="L14" s="277">
        <v>675</v>
      </c>
      <c r="M14" s="277">
        <v>674</v>
      </c>
      <c r="N14" s="277">
        <v>672</v>
      </c>
      <c r="O14" s="274">
        <f>AVERAGE(C14:N14)</f>
        <v>673.83333333333337</v>
      </c>
      <c r="Q14" s="97" t="s">
        <v>4</v>
      </c>
      <c r="R14" s="274">
        <f t="shared" si="3"/>
        <v>8086</v>
      </c>
      <c r="S14" s="249" t="str">
        <f t="shared" si="4"/>
        <v>IGC - IGC - TS1</v>
      </c>
      <c r="T14" s="249"/>
      <c r="U14" s="97" t="s">
        <v>130</v>
      </c>
      <c r="V14" s="97" t="s">
        <v>0</v>
      </c>
      <c r="X14" s="278"/>
      <c r="Y14" s="249"/>
    </row>
    <row r="15" spans="1:25">
      <c r="A15" s="97">
        <f t="shared" si="0"/>
        <v>15</v>
      </c>
      <c r="B15" s="280" t="s">
        <v>131</v>
      </c>
      <c r="C15" s="281">
        <f>SUM(C4:C14)</f>
        <v>76081</v>
      </c>
      <c r="D15" s="281">
        <f t="shared" ref="D15:N15" si="5">SUM(D4:D14)</f>
        <v>76283</v>
      </c>
      <c r="E15" s="281">
        <f t="shared" si="5"/>
        <v>76557</v>
      </c>
      <c r="F15" s="281">
        <f t="shared" si="5"/>
        <v>76945</v>
      </c>
      <c r="G15" s="281">
        <f t="shared" si="5"/>
        <v>77043</v>
      </c>
      <c r="H15" s="281">
        <f t="shared" si="5"/>
        <v>77312</v>
      </c>
      <c r="I15" s="281">
        <f t="shared" si="5"/>
        <v>77788</v>
      </c>
      <c r="J15" s="281">
        <f t="shared" si="5"/>
        <v>77947</v>
      </c>
      <c r="K15" s="281">
        <f t="shared" si="5"/>
        <v>78267</v>
      </c>
      <c r="L15" s="281">
        <f t="shared" si="5"/>
        <v>78706</v>
      </c>
      <c r="M15" s="281">
        <f t="shared" si="5"/>
        <v>79278</v>
      </c>
      <c r="N15" s="281">
        <f t="shared" si="5"/>
        <v>79581</v>
      </c>
      <c r="O15" s="281">
        <f>+SUM(O4:O14)</f>
        <v>77648.999999999985</v>
      </c>
      <c r="R15" s="274">
        <f t="shared" si="3"/>
        <v>931788</v>
      </c>
      <c r="S15" s="249"/>
      <c r="U15" s="249"/>
      <c r="X15" s="278"/>
      <c r="Y15" s="249"/>
    </row>
    <row r="16" spans="1:25">
      <c r="A16" s="97">
        <f t="shared" si="0"/>
        <v>16</v>
      </c>
      <c r="B16" s="275" t="s">
        <v>132</v>
      </c>
      <c r="C16" s="274"/>
      <c r="D16" s="282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S16" s="249"/>
      <c r="U16" s="249"/>
      <c r="Y16" s="249"/>
    </row>
    <row r="17" spans="1:25">
      <c r="A17" s="97">
        <f t="shared" si="0"/>
        <v>17</v>
      </c>
      <c r="B17" s="276" t="s">
        <v>100</v>
      </c>
      <c r="C17" s="277">
        <v>33</v>
      </c>
      <c r="D17" s="277">
        <v>35</v>
      </c>
      <c r="E17" s="277">
        <v>35</v>
      </c>
      <c r="F17" s="277">
        <v>33</v>
      </c>
      <c r="G17" s="277">
        <v>31</v>
      </c>
      <c r="H17" s="277">
        <v>31</v>
      </c>
      <c r="I17" s="277">
        <v>31</v>
      </c>
      <c r="J17" s="277">
        <v>29</v>
      </c>
      <c r="K17" s="277">
        <v>29</v>
      </c>
      <c r="L17" s="277">
        <v>30</v>
      </c>
      <c r="M17" s="277">
        <v>32</v>
      </c>
      <c r="N17" s="277">
        <v>32</v>
      </c>
      <c r="O17" s="274">
        <f t="shared" ref="O17:O23" si="6">AVERAGE(C17:N17)</f>
        <v>31.75</v>
      </c>
      <c r="Q17" s="97" t="s">
        <v>8</v>
      </c>
      <c r="R17" s="274">
        <f t="shared" ref="R17:R24" si="7">+SUM(C17:N17)</f>
        <v>381</v>
      </c>
      <c r="S17" s="249" t="str">
        <f>CONCATENATE(Q17," - ",B17," - ",T17)</f>
        <v>CFG - FTS-A - Fixed R</v>
      </c>
      <c r="T17" s="97" t="s">
        <v>133</v>
      </c>
      <c r="U17" s="97" t="s">
        <v>125</v>
      </c>
      <c r="V17" s="97" t="s">
        <v>0</v>
      </c>
      <c r="Y17" s="249"/>
    </row>
    <row r="18" spans="1:25">
      <c r="A18" s="97">
        <f t="shared" si="0"/>
        <v>18</v>
      </c>
      <c r="B18" s="276" t="s">
        <v>101</v>
      </c>
      <c r="C18" s="277">
        <v>63</v>
      </c>
      <c r="D18" s="277">
        <v>61</v>
      </c>
      <c r="E18" s="277">
        <v>61</v>
      </c>
      <c r="F18" s="277">
        <v>62</v>
      </c>
      <c r="G18" s="277">
        <v>60</v>
      </c>
      <c r="H18" s="277">
        <v>60</v>
      </c>
      <c r="I18" s="277">
        <v>60</v>
      </c>
      <c r="J18" s="277">
        <v>61</v>
      </c>
      <c r="K18" s="277">
        <v>61</v>
      </c>
      <c r="L18" s="277">
        <v>63</v>
      </c>
      <c r="M18" s="277">
        <v>62</v>
      </c>
      <c r="N18" s="277">
        <v>62</v>
      </c>
      <c r="O18" s="274">
        <f t="shared" si="6"/>
        <v>61.333333333333336</v>
      </c>
      <c r="Q18" s="97" t="s">
        <v>8</v>
      </c>
      <c r="R18" s="274">
        <f t="shared" si="7"/>
        <v>736</v>
      </c>
      <c r="S18" s="249" t="str">
        <f t="shared" ref="S18:S23" si="8">CONCATENATE(Q18," - ",B18," - ",T18)</f>
        <v>CFG - FTS-B - Fixed R</v>
      </c>
      <c r="T18" s="97" t="s">
        <v>133</v>
      </c>
      <c r="U18" s="97" t="s">
        <v>125</v>
      </c>
      <c r="V18" s="97" t="s">
        <v>0</v>
      </c>
      <c r="Y18" s="249"/>
    </row>
    <row r="19" spans="1:25">
      <c r="A19" s="97">
        <f t="shared" si="0"/>
        <v>19</v>
      </c>
      <c r="B19" s="276" t="s">
        <v>102</v>
      </c>
      <c r="C19" s="277">
        <v>167</v>
      </c>
      <c r="D19" s="277">
        <v>167</v>
      </c>
      <c r="E19" s="277">
        <v>168</v>
      </c>
      <c r="F19" s="277">
        <v>167</v>
      </c>
      <c r="G19" s="277">
        <v>164</v>
      </c>
      <c r="H19" s="277">
        <v>164</v>
      </c>
      <c r="I19" s="277">
        <v>164</v>
      </c>
      <c r="J19" s="277">
        <v>165</v>
      </c>
      <c r="K19" s="277">
        <v>164</v>
      </c>
      <c r="L19" s="277">
        <v>165</v>
      </c>
      <c r="M19" s="277">
        <v>165</v>
      </c>
      <c r="N19" s="277">
        <v>165</v>
      </c>
      <c r="O19" s="274">
        <f t="shared" si="6"/>
        <v>165.41666666666666</v>
      </c>
      <c r="Q19" s="97" t="s">
        <v>8</v>
      </c>
      <c r="R19" s="274">
        <f t="shared" si="7"/>
        <v>1985</v>
      </c>
      <c r="S19" s="249" t="str">
        <f t="shared" si="8"/>
        <v>CFG - FTS-1 - Fixed R</v>
      </c>
      <c r="T19" s="97" t="s">
        <v>133</v>
      </c>
      <c r="U19" s="97" t="s">
        <v>125</v>
      </c>
      <c r="V19" s="97" t="s">
        <v>0</v>
      </c>
      <c r="Y19" s="249"/>
    </row>
    <row r="20" spans="1:25">
      <c r="A20" s="97">
        <f t="shared" si="0"/>
        <v>20</v>
      </c>
      <c r="B20" s="276" t="s">
        <v>103</v>
      </c>
      <c r="C20" s="277">
        <v>19</v>
      </c>
      <c r="D20" s="277">
        <v>19</v>
      </c>
      <c r="E20" s="277">
        <v>20</v>
      </c>
      <c r="F20" s="277">
        <v>20</v>
      </c>
      <c r="G20" s="277">
        <v>20</v>
      </c>
      <c r="H20" s="277">
        <v>20</v>
      </c>
      <c r="I20" s="277">
        <v>20</v>
      </c>
      <c r="J20" s="277">
        <v>20</v>
      </c>
      <c r="K20" s="277">
        <v>20</v>
      </c>
      <c r="L20" s="277">
        <v>21</v>
      </c>
      <c r="M20" s="277">
        <v>20</v>
      </c>
      <c r="N20" s="277">
        <v>20</v>
      </c>
      <c r="O20" s="274">
        <f t="shared" si="6"/>
        <v>19.916666666666668</v>
      </c>
      <c r="Q20" s="97" t="s">
        <v>8</v>
      </c>
      <c r="R20" s="274">
        <f t="shared" si="7"/>
        <v>239</v>
      </c>
      <c r="S20" s="249" t="str">
        <f t="shared" si="8"/>
        <v>CFG - FTS-2 - Fixed R</v>
      </c>
      <c r="T20" s="97" t="s">
        <v>133</v>
      </c>
      <c r="U20" s="97" t="s">
        <v>125</v>
      </c>
      <c r="V20" s="97" t="s">
        <v>0</v>
      </c>
      <c r="Y20" s="249"/>
    </row>
    <row r="21" spans="1:25">
      <c r="A21" s="97">
        <f t="shared" si="0"/>
        <v>21</v>
      </c>
      <c r="B21" s="276" t="s">
        <v>104</v>
      </c>
      <c r="C21" s="277">
        <v>8</v>
      </c>
      <c r="D21" s="277">
        <v>8</v>
      </c>
      <c r="E21" s="277">
        <v>8</v>
      </c>
      <c r="F21" s="277">
        <v>8</v>
      </c>
      <c r="G21" s="277">
        <v>8</v>
      </c>
      <c r="H21" s="277">
        <v>8</v>
      </c>
      <c r="I21" s="277">
        <v>8</v>
      </c>
      <c r="J21" s="277">
        <v>8</v>
      </c>
      <c r="K21" s="277">
        <v>8</v>
      </c>
      <c r="L21" s="277">
        <v>8</v>
      </c>
      <c r="M21" s="277">
        <v>8</v>
      </c>
      <c r="N21" s="277">
        <v>8</v>
      </c>
      <c r="O21" s="274">
        <f t="shared" si="6"/>
        <v>8</v>
      </c>
      <c r="Q21" s="97" t="s">
        <v>8</v>
      </c>
      <c r="R21" s="274">
        <f t="shared" si="7"/>
        <v>96</v>
      </c>
      <c r="S21" s="249" t="str">
        <f t="shared" si="8"/>
        <v>CFG - FTS-2.1 - Fixed R</v>
      </c>
      <c r="T21" s="97" t="s">
        <v>133</v>
      </c>
      <c r="U21" s="97" t="s">
        <v>125</v>
      </c>
      <c r="V21" s="97" t="s">
        <v>0</v>
      </c>
      <c r="Y21" s="249"/>
    </row>
    <row r="22" spans="1:25">
      <c r="A22" s="97">
        <f t="shared" si="0"/>
        <v>22</v>
      </c>
      <c r="B22" s="279" t="s">
        <v>105</v>
      </c>
      <c r="C22" s="277">
        <v>0</v>
      </c>
      <c r="D22" s="277">
        <v>0</v>
      </c>
      <c r="E22" s="277">
        <v>0</v>
      </c>
      <c r="F22" s="277">
        <v>0</v>
      </c>
      <c r="G22" s="277">
        <v>0</v>
      </c>
      <c r="H22" s="277">
        <v>0</v>
      </c>
      <c r="I22" s="277">
        <v>0</v>
      </c>
      <c r="J22" s="277">
        <v>0</v>
      </c>
      <c r="K22" s="277">
        <v>0</v>
      </c>
      <c r="L22" s="277">
        <v>0</v>
      </c>
      <c r="M22" s="277">
        <v>0</v>
      </c>
      <c r="N22" s="277">
        <v>0</v>
      </c>
      <c r="O22" s="274">
        <f t="shared" si="6"/>
        <v>0</v>
      </c>
      <c r="Q22" s="97" t="s">
        <v>8</v>
      </c>
      <c r="R22" s="274">
        <f t="shared" si="7"/>
        <v>0</v>
      </c>
      <c r="S22" s="249" t="str">
        <f t="shared" si="8"/>
        <v>CFG - FTS-3 - Fixed R</v>
      </c>
      <c r="T22" s="97" t="s">
        <v>133</v>
      </c>
      <c r="U22" s="97" t="s">
        <v>125</v>
      </c>
      <c r="V22" s="97" t="s">
        <v>0</v>
      </c>
      <c r="Y22" s="249"/>
    </row>
    <row r="23" spans="1:25" ht="12.75" customHeight="1">
      <c r="A23" s="97">
        <f t="shared" si="0"/>
        <v>23</v>
      </c>
      <c r="B23" s="279" t="s">
        <v>106</v>
      </c>
      <c r="C23" s="277">
        <v>0</v>
      </c>
      <c r="D23" s="277">
        <v>0</v>
      </c>
      <c r="E23" s="277">
        <v>0</v>
      </c>
      <c r="F23" s="277">
        <v>0</v>
      </c>
      <c r="G23" s="277">
        <v>0</v>
      </c>
      <c r="H23" s="277">
        <v>0</v>
      </c>
      <c r="I23" s="277">
        <v>0</v>
      </c>
      <c r="J23" s="277">
        <v>0</v>
      </c>
      <c r="K23" s="277">
        <v>0</v>
      </c>
      <c r="L23" s="277">
        <v>0</v>
      </c>
      <c r="M23" s="277">
        <v>0</v>
      </c>
      <c r="N23" s="277">
        <v>0</v>
      </c>
      <c r="O23" s="283">
        <f t="shared" si="6"/>
        <v>0</v>
      </c>
      <c r="Q23" s="97" t="s">
        <v>8</v>
      </c>
      <c r="R23" s="274">
        <f t="shared" si="7"/>
        <v>0</v>
      </c>
      <c r="S23" s="249" t="str">
        <f t="shared" si="8"/>
        <v>CFG - FTS-3.1 - Fixed R</v>
      </c>
      <c r="T23" s="97" t="s">
        <v>133</v>
      </c>
      <c r="U23" s="97" t="s">
        <v>125</v>
      </c>
      <c r="V23" s="97" t="s">
        <v>0</v>
      </c>
      <c r="Y23" s="249"/>
    </row>
    <row r="24" spans="1:25">
      <c r="A24" s="97">
        <f t="shared" si="0"/>
        <v>24</v>
      </c>
      <c r="B24" s="280" t="s">
        <v>134</v>
      </c>
      <c r="C24" s="281">
        <f t="shared" ref="C24:N24" si="9">SUM(C17:C23)</f>
        <v>290</v>
      </c>
      <c r="D24" s="281">
        <f t="shared" si="9"/>
        <v>290</v>
      </c>
      <c r="E24" s="281">
        <f t="shared" si="9"/>
        <v>292</v>
      </c>
      <c r="F24" s="281">
        <f t="shared" si="9"/>
        <v>290</v>
      </c>
      <c r="G24" s="281">
        <f t="shared" si="9"/>
        <v>283</v>
      </c>
      <c r="H24" s="281">
        <f t="shared" si="9"/>
        <v>283</v>
      </c>
      <c r="I24" s="281">
        <f t="shared" si="9"/>
        <v>283</v>
      </c>
      <c r="J24" s="281">
        <f t="shared" si="9"/>
        <v>283</v>
      </c>
      <c r="K24" s="281">
        <f t="shared" si="9"/>
        <v>282</v>
      </c>
      <c r="L24" s="281">
        <f t="shared" si="9"/>
        <v>287</v>
      </c>
      <c r="M24" s="281">
        <f t="shared" si="9"/>
        <v>287</v>
      </c>
      <c r="N24" s="281">
        <f t="shared" si="9"/>
        <v>287</v>
      </c>
      <c r="O24" s="274">
        <f>SUM(O17:O23)</f>
        <v>286.41666666666669</v>
      </c>
      <c r="R24" s="274">
        <f t="shared" si="7"/>
        <v>3437</v>
      </c>
      <c r="S24" s="249"/>
      <c r="Y24" s="249"/>
    </row>
    <row r="25" spans="1:25">
      <c r="A25" s="97">
        <f t="shared" si="0"/>
        <v>25</v>
      </c>
      <c r="B25" s="284" t="s">
        <v>135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R25" s="97"/>
      <c r="S25" s="249"/>
      <c r="Y25" s="249"/>
    </row>
    <row r="26" spans="1:25">
      <c r="A26" s="97">
        <f t="shared" si="0"/>
        <v>26</v>
      </c>
      <c r="B26" s="276" t="s">
        <v>100</v>
      </c>
      <c r="C26" s="277">
        <v>10</v>
      </c>
      <c r="D26" s="277">
        <v>10</v>
      </c>
      <c r="E26" s="277">
        <v>10</v>
      </c>
      <c r="F26" s="277">
        <v>10</v>
      </c>
      <c r="G26" s="277">
        <v>10</v>
      </c>
      <c r="H26" s="277">
        <v>10</v>
      </c>
      <c r="I26" s="277">
        <v>10</v>
      </c>
      <c r="J26" s="277">
        <v>10</v>
      </c>
      <c r="K26" s="277">
        <v>10</v>
      </c>
      <c r="L26" s="277">
        <v>10</v>
      </c>
      <c r="M26" s="277">
        <v>10</v>
      </c>
      <c r="N26" s="277">
        <v>10</v>
      </c>
      <c r="O26" s="274">
        <f t="shared" ref="O26:O61" si="10">AVERAGE(C26:N26)</f>
        <v>10</v>
      </c>
      <c r="Q26" s="97" t="s">
        <v>8</v>
      </c>
      <c r="R26" s="274">
        <f t="shared" ref="R26:R62" si="11">+SUM(C26:N26)</f>
        <v>120</v>
      </c>
      <c r="S26" s="249" t="str">
        <f t="shared" ref="S26:S32" si="12">CONCATENATE(Q26," - ",B26," NR")</f>
        <v>CFG - FTS-A NR</v>
      </c>
      <c r="U26" s="97" t="s">
        <v>136</v>
      </c>
      <c r="V26" s="97" t="s">
        <v>635</v>
      </c>
      <c r="Y26" s="249"/>
    </row>
    <row r="27" spans="1:25">
      <c r="A27" s="97">
        <f t="shared" si="0"/>
        <v>27</v>
      </c>
      <c r="B27" s="276" t="s">
        <v>101</v>
      </c>
      <c r="C27" s="277">
        <v>7</v>
      </c>
      <c r="D27" s="277">
        <v>7</v>
      </c>
      <c r="E27" s="277">
        <v>7</v>
      </c>
      <c r="F27" s="277">
        <v>6</v>
      </c>
      <c r="G27" s="277">
        <v>6</v>
      </c>
      <c r="H27" s="277">
        <v>6</v>
      </c>
      <c r="I27" s="277">
        <v>6</v>
      </c>
      <c r="J27" s="277">
        <v>6</v>
      </c>
      <c r="K27" s="277">
        <v>6</v>
      </c>
      <c r="L27" s="277">
        <v>6</v>
      </c>
      <c r="M27" s="277">
        <v>6</v>
      </c>
      <c r="N27" s="277">
        <v>7</v>
      </c>
      <c r="O27" s="274">
        <f t="shared" si="10"/>
        <v>6.333333333333333</v>
      </c>
      <c r="Q27" s="97" t="s">
        <v>8</v>
      </c>
      <c r="R27" s="274">
        <f t="shared" si="11"/>
        <v>76</v>
      </c>
      <c r="S27" s="249" t="str">
        <f t="shared" si="12"/>
        <v>CFG - FTS-B NR</v>
      </c>
      <c r="T27" s="320"/>
      <c r="U27" s="97" t="s">
        <v>136</v>
      </c>
      <c r="V27" s="97" t="s">
        <v>635</v>
      </c>
      <c r="Y27" s="249"/>
    </row>
    <row r="28" spans="1:25">
      <c r="A28" s="97">
        <f t="shared" si="0"/>
        <v>28</v>
      </c>
      <c r="B28" s="276" t="s">
        <v>102</v>
      </c>
      <c r="C28" s="277">
        <v>230</v>
      </c>
      <c r="D28" s="277">
        <v>230</v>
      </c>
      <c r="E28" s="277">
        <v>231</v>
      </c>
      <c r="F28" s="277">
        <v>229</v>
      </c>
      <c r="G28" s="277">
        <v>229</v>
      </c>
      <c r="H28" s="277">
        <v>227</v>
      </c>
      <c r="I28" s="277">
        <v>225</v>
      </c>
      <c r="J28" s="277">
        <v>226</v>
      </c>
      <c r="K28" s="277">
        <v>230</v>
      </c>
      <c r="L28" s="277">
        <v>229</v>
      </c>
      <c r="M28" s="277">
        <v>228</v>
      </c>
      <c r="N28" s="277">
        <v>227</v>
      </c>
      <c r="O28" s="274">
        <f t="shared" si="10"/>
        <v>228.41666666666666</v>
      </c>
      <c r="Q28" s="97" t="s">
        <v>8</v>
      </c>
      <c r="R28" s="274">
        <f t="shared" si="11"/>
        <v>2741</v>
      </c>
      <c r="S28" s="249" t="str">
        <f t="shared" si="12"/>
        <v>CFG - FTS-1 NR</v>
      </c>
      <c r="T28" s="320"/>
      <c r="U28" s="97" t="s">
        <v>136</v>
      </c>
      <c r="V28" s="97" t="s">
        <v>635</v>
      </c>
      <c r="Y28" s="249"/>
    </row>
    <row r="29" spans="1:25">
      <c r="A29" s="97">
        <f t="shared" si="0"/>
        <v>29</v>
      </c>
      <c r="B29" s="276" t="s">
        <v>103</v>
      </c>
      <c r="C29" s="277">
        <v>99</v>
      </c>
      <c r="D29" s="277">
        <v>100</v>
      </c>
      <c r="E29" s="277">
        <v>101</v>
      </c>
      <c r="F29" s="277">
        <v>101</v>
      </c>
      <c r="G29" s="277">
        <v>100</v>
      </c>
      <c r="H29" s="277">
        <v>101</v>
      </c>
      <c r="I29" s="277">
        <v>99</v>
      </c>
      <c r="J29" s="277">
        <v>101</v>
      </c>
      <c r="K29" s="277">
        <v>101</v>
      </c>
      <c r="L29" s="277">
        <v>101</v>
      </c>
      <c r="M29" s="277">
        <v>101</v>
      </c>
      <c r="N29" s="277">
        <v>99</v>
      </c>
      <c r="O29" s="274">
        <f t="shared" si="10"/>
        <v>100.33333333333333</v>
      </c>
      <c r="Q29" s="97" t="s">
        <v>8</v>
      </c>
      <c r="R29" s="274">
        <f t="shared" si="11"/>
        <v>1204</v>
      </c>
      <c r="S29" s="249" t="str">
        <f t="shared" si="12"/>
        <v>CFG - FTS-2 NR</v>
      </c>
      <c r="T29" s="320"/>
      <c r="U29" s="97" t="s">
        <v>136</v>
      </c>
      <c r="V29" s="97" t="s">
        <v>635</v>
      </c>
      <c r="Y29" s="249"/>
    </row>
    <row r="30" spans="1:25">
      <c r="A30" s="97">
        <f t="shared" si="0"/>
        <v>30</v>
      </c>
      <c r="B30" s="276" t="s">
        <v>104</v>
      </c>
      <c r="C30" s="277">
        <v>210</v>
      </c>
      <c r="D30" s="277">
        <v>210</v>
      </c>
      <c r="E30" s="277">
        <v>211</v>
      </c>
      <c r="F30" s="277">
        <v>212</v>
      </c>
      <c r="G30" s="277">
        <v>211</v>
      </c>
      <c r="H30" s="277">
        <v>210</v>
      </c>
      <c r="I30" s="277">
        <v>209</v>
      </c>
      <c r="J30" s="277">
        <v>209</v>
      </c>
      <c r="K30" s="277">
        <v>208</v>
      </c>
      <c r="L30" s="277">
        <v>210</v>
      </c>
      <c r="M30" s="277">
        <v>215</v>
      </c>
      <c r="N30" s="277">
        <v>214</v>
      </c>
      <c r="O30" s="274">
        <f t="shared" si="10"/>
        <v>210.75</v>
      </c>
      <c r="Q30" s="97" t="s">
        <v>8</v>
      </c>
      <c r="R30" s="274">
        <f t="shared" si="11"/>
        <v>2529</v>
      </c>
      <c r="S30" s="249" t="str">
        <f t="shared" si="12"/>
        <v>CFG - FTS-2.1 NR</v>
      </c>
      <c r="T30" s="320"/>
      <c r="U30" s="97" t="s">
        <v>136</v>
      </c>
      <c r="V30" s="97" t="s">
        <v>635</v>
      </c>
      <c r="Y30" s="249"/>
    </row>
    <row r="31" spans="1:25">
      <c r="A31" s="97">
        <f t="shared" si="0"/>
        <v>31</v>
      </c>
      <c r="B31" s="279" t="s">
        <v>105</v>
      </c>
      <c r="C31" s="277">
        <v>276</v>
      </c>
      <c r="D31" s="277">
        <v>277</v>
      </c>
      <c r="E31" s="277">
        <v>277</v>
      </c>
      <c r="F31" s="277">
        <v>280</v>
      </c>
      <c r="G31" s="277">
        <v>279</v>
      </c>
      <c r="H31" s="277">
        <v>277</v>
      </c>
      <c r="I31" s="277">
        <v>278</v>
      </c>
      <c r="J31" s="277">
        <v>280</v>
      </c>
      <c r="K31" s="277">
        <v>280</v>
      </c>
      <c r="L31" s="277">
        <v>283</v>
      </c>
      <c r="M31" s="277">
        <v>281</v>
      </c>
      <c r="N31" s="277">
        <v>283</v>
      </c>
      <c r="O31" s="274">
        <f t="shared" si="10"/>
        <v>279.25</v>
      </c>
      <c r="Q31" s="97" t="s">
        <v>8</v>
      </c>
      <c r="R31" s="274">
        <f t="shared" si="11"/>
        <v>3351</v>
      </c>
      <c r="S31" s="249" t="str">
        <f t="shared" si="12"/>
        <v>CFG - FTS-3 NR</v>
      </c>
      <c r="U31" s="97" t="s">
        <v>136</v>
      </c>
      <c r="V31" s="97" t="s">
        <v>635</v>
      </c>
      <c r="Y31" s="249"/>
    </row>
    <row r="32" spans="1:25">
      <c r="A32" s="97">
        <f t="shared" si="0"/>
        <v>32</v>
      </c>
      <c r="B32" s="279" t="s">
        <v>106</v>
      </c>
      <c r="C32" s="277">
        <v>336</v>
      </c>
      <c r="D32" s="277">
        <v>337</v>
      </c>
      <c r="E32" s="277">
        <v>338</v>
      </c>
      <c r="F32" s="277">
        <v>337</v>
      </c>
      <c r="G32" s="277">
        <v>337</v>
      </c>
      <c r="H32" s="277">
        <v>336</v>
      </c>
      <c r="I32" s="277">
        <v>334</v>
      </c>
      <c r="J32" s="277">
        <v>340</v>
      </c>
      <c r="K32" s="277">
        <v>334</v>
      </c>
      <c r="L32" s="277">
        <v>338</v>
      </c>
      <c r="M32" s="277">
        <v>334</v>
      </c>
      <c r="N32" s="277">
        <v>332</v>
      </c>
      <c r="O32" s="274">
        <f t="shared" si="10"/>
        <v>336.08333333333331</v>
      </c>
      <c r="Q32" s="97" t="s">
        <v>8</v>
      </c>
      <c r="R32" s="274">
        <f t="shared" si="11"/>
        <v>4033</v>
      </c>
      <c r="S32" s="249" t="str">
        <f t="shared" si="12"/>
        <v>CFG - FTS-3.1 NR</v>
      </c>
      <c r="U32" s="97" t="s">
        <v>136</v>
      </c>
      <c r="V32" s="97" t="s">
        <v>635</v>
      </c>
      <c r="Y32" s="249"/>
    </row>
    <row r="33" spans="1:25">
      <c r="A33" s="97">
        <f t="shared" si="0"/>
        <v>33</v>
      </c>
      <c r="B33" s="279" t="s">
        <v>107</v>
      </c>
      <c r="C33" s="277">
        <v>210</v>
      </c>
      <c r="D33" s="277">
        <v>210</v>
      </c>
      <c r="E33" s="277">
        <v>209</v>
      </c>
      <c r="F33" s="277">
        <v>209</v>
      </c>
      <c r="G33" s="277">
        <v>211</v>
      </c>
      <c r="H33" s="277">
        <v>210</v>
      </c>
      <c r="I33" s="277">
        <v>210</v>
      </c>
      <c r="J33" s="277">
        <v>211</v>
      </c>
      <c r="K33" s="277">
        <v>212</v>
      </c>
      <c r="L33" s="277">
        <v>211</v>
      </c>
      <c r="M33" s="277">
        <v>208</v>
      </c>
      <c r="N33" s="277">
        <v>210</v>
      </c>
      <c r="O33" s="274">
        <f t="shared" si="10"/>
        <v>210.08333333333334</v>
      </c>
      <c r="Q33" s="97" t="s">
        <v>8</v>
      </c>
      <c r="R33" s="274">
        <f t="shared" si="11"/>
        <v>2521</v>
      </c>
      <c r="S33" s="249" t="str">
        <f t="shared" si="4"/>
        <v>CFG - FTS-4</v>
      </c>
      <c r="U33" s="97" t="s">
        <v>136</v>
      </c>
      <c r="V33" s="97" t="s">
        <v>635</v>
      </c>
      <c r="Y33" s="249"/>
    </row>
    <row r="34" spans="1:25">
      <c r="A34" s="97">
        <f t="shared" si="0"/>
        <v>34</v>
      </c>
      <c r="B34" s="279" t="s">
        <v>111</v>
      </c>
      <c r="C34" s="277">
        <v>36</v>
      </c>
      <c r="D34" s="277">
        <v>36</v>
      </c>
      <c r="E34" s="277">
        <v>36</v>
      </c>
      <c r="F34" s="277">
        <v>36</v>
      </c>
      <c r="G34" s="277">
        <v>36</v>
      </c>
      <c r="H34" s="277">
        <v>36</v>
      </c>
      <c r="I34" s="277">
        <v>36</v>
      </c>
      <c r="J34" s="277">
        <v>36</v>
      </c>
      <c r="K34" s="277">
        <v>36</v>
      </c>
      <c r="L34" s="277">
        <v>36</v>
      </c>
      <c r="M34" s="277">
        <v>36</v>
      </c>
      <c r="N34" s="277">
        <v>36</v>
      </c>
      <c r="O34" s="274">
        <f t="shared" si="10"/>
        <v>36</v>
      </c>
      <c r="Q34" s="97" t="s">
        <v>8</v>
      </c>
      <c r="R34" s="274">
        <f t="shared" si="11"/>
        <v>432</v>
      </c>
      <c r="S34" s="249" t="str">
        <f t="shared" si="4"/>
        <v>CFG - FTS-5</v>
      </c>
      <c r="U34" s="97" t="s">
        <v>136</v>
      </c>
      <c r="V34" s="97" t="s">
        <v>635</v>
      </c>
      <c r="Y34" s="249"/>
    </row>
    <row r="35" spans="1:25">
      <c r="A35" s="97">
        <f t="shared" si="0"/>
        <v>35</v>
      </c>
      <c r="B35" s="279" t="s">
        <v>112</v>
      </c>
      <c r="C35" s="277">
        <v>26</v>
      </c>
      <c r="D35" s="277">
        <v>27</v>
      </c>
      <c r="E35" s="277">
        <v>26</v>
      </c>
      <c r="F35" s="277">
        <v>27</v>
      </c>
      <c r="G35" s="277">
        <v>27</v>
      </c>
      <c r="H35" s="277">
        <v>27</v>
      </c>
      <c r="I35" s="277">
        <v>27</v>
      </c>
      <c r="J35" s="277">
        <v>28</v>
      </c>
      <c r="K35" s="277">
        <v>29</v>
      </c>
      <c r="L35" s="277">
        <v>28</v>
      </c>
      <c r="M35" s="277">
        <v>29</v>
      </c>
      <c r="N35" s="277">
        <v>29</v>
      </c>
      <c r="O35" s="274">
        <f t="shared" si="10"/>
        <v>27.5</v>
      </c>
      <c r="Q35" s="97" t="s">
        <v>8</v>
      </c>
      <c r="R35" s="274">
        <f t="shared" si="11"/>
        <v>330</v>
      </c>
      <c r="S35" s="249" t="str">
        <f t="shared" si="4"/>
        <v>CFG - FTS-6</v>
      </c>
      <c r="U35" s="97" t="s">
        <v>136</v>
      </c>
      <c r="V35" s="97" t="s">
        <v>635</v>
      </c>
      <c r="Y35" s="249"/>
    </row>
    <row r="36" spans="1:25">
      <c r="A36" s="97">
        <f t="shared" si="0"/>
        <v>36</v>
      </c>
      <c r="B36" s="279" t="s">
        <v>113</v>
      </c>
      <c r="C36" s="277">
        <v>25</v>
      </c>
      <c r="D36" s="277">
        <v>24</v>
      </c>
      <c r="E36" s="277">
        <v>25</v>
      </c>
      <c r="F36" s="277">
        <v>24</v>
      </c>
      <c r="G36" s="277">
        <v>26</v>
      </c>
      <c r="H36" s="277">
        <v>25</v>
      </c>
      <c r="I36" s="277">
        <v>25</v>
      </c>
      <c r="J36" s="277">
        <v>25</v>
      </c>
      <c r="K36" s="277">
        <v>25</v>
      </c>
      <c r="L36" s="277">
        <v>26</v>
      </c>
      <c r="M36" s="277">
        <v>26</v>
      </c>
      <c r="N36" s="277">
        <v>26</v>
      </c>
      <c r="O36" s="274">
        <f t="shared" si="10"/>
        <v>25.166666666666668</v>
      </c>
      <c r="Q36" s="97" t="s">
        <v>8</v>
      </c>
      <c r="R36" s="274">
        <f t="shared" si="11"/>
        <v>302</v>
      </c>
      <c r="S36" s="249" t="str">
        <f t="shared" si="4"/>
        <v>CFG - FTS-7</v>
      </c>
      <c r="U36" s="97" t="s">
        <v>136</v>
      </c>
      <c r="V36" s="97" t="s">
        <v>635</v>
      </c>
      <c r="Y36" s="249"/>
    </row>
    <row r="37" spans="1:25">
      <c r="A37" s="97">
        <f t="shared" si="0"/>
        <v>37</v>
      </c>
      <c r="B37" s="279" t="s">
        <v>114</v>
      </c>
      <c r="C37" s="277">
        <v>19</v>
      </c>
      <c r="D37" s="277">
        <v>16</v>
      </c>
      <c r="E37" s="277">
        <v>17</v>
      </c>
      <c r="F37" s="277">
        <v>17</v>
      </c>
      <c r="G37" s="277">
        <v>17</v>
      </c>
      <c r="H37" s="277">
        <v>17</v>
      </c>
      <c r="I37" s="277">
        <v>17</v>
      </c>
      <c r="J37" s="277">
        <v>17</v>
      </c>
      <c r="K37" s="277">
        <v>17</v>
      </c>
      <c r="L37" s="277">
        <v>17</v>
      </c>
      <c r="M37" s="277">
        <v>17</v>
      </c>
      <c r="N37" s="277">
        <v>17</v>
      </c>
      <c r="O37" s="274">
        <f t="shared" si="10"/>
        <v>17.083333333333332</v>
      </c>
      <c r="Q37" s="97" t="s">
        <v>8</v>
      </c>
      <c r="R37" s="274">
        <f t="shared" si="11"/>
        <v>205</v>
      </c>
      <c r="S37" s="249" t="str">
        <f t="shared" si="4"/>
        <v>CFG - FTS-8</v>
      </c>
      <c r="U37" s="97" t="s">
        <v>136</v>
      </c>
      <c r="V37" s="97" t="s">
        <v>635</v>
      </c>
      <c r="Y37" s="249"/>
    </row>
    <row r="38" spans="1:25">
      <c r="A38" s="97">
        <f t="shared" si="0"/>
        <v>38</v>
      </c>
      <c r="B38" s="279" t="s">
        <v>115</v>
      </c>
      <c r="C38" s="277">
        <v>6</v>
      </c>
      <c r="D38" s="277">
        <v>6</v>
      </c>
      <c r="E38" s="277">
        <v>6</v>
      </c>
      <c r="F38" s="277">
        <v>6</v>
      </c>
      <c r="G38" s="277">
        <v>6</v>
      </c>
      <c r="H38" s="277">
        <v>6</v>
      </c>
      <c r="I38" s="277">
        <v>6</v>
      </c>
      <c r="J38" s="277">
        <v>6</v>
      </c>
      <c r="K38" s="277">
        <v>6</v>
      </c>
      <c r="L38" s="277">
        <v>6</v>
      </c>
      <c r="M38" s="277">
        <v>7</v>
      </c>
      <c r="N38" s="277">
        <v>6</v>
      </c>
      <c r="O38" s="274">
        <f t="shared" si="10"/>
        <v>6.083333333333333</v>
      </c>
      <c r="Q38" s="97" t="s">
        <v>8</v>
      </c>
      <c r="R38" s="274">
        <f t="shared" si="11"/>
        <v>73</v>
      </c>
      <c r="S38" s="249" t="str">
        <f t="shared" si="4"/>
        <v>CFG - FTS-9</v>
      </c>
      <c r="U38" s="97" t="s">
        <v>136</v>
      </c>
      <c r="V38" s="97" t="s">
        <v>635</v>
      </c>
      <c r="Y38" s="249"/>
    </row>
    <row r="39" spans="1:25">
      <c r="A39" s="97">
        <f t="shared" si="0"/>
        <v>39</v>
      </c>
      <c r="B39" s="279" t="s">
        <v>116</v>
      </c>
      <c r="C39" s="277">
        <v>3</v>
      </c>
      <c r="D39" s="277">
        <v>3</v>
      </c>
      <c r="E39" s="277">
        <v>3</v>
      </c>
      <c r="F39" s="277">
        <v>3</v>
      </c>
      <c r="G39" s="277">
        <v>3</v>
      </c>
      <c r="H39" s="277">
        <v>3</v>
      </c>
      <c r="I39" s="277">
        <v>3</v>
      </c>
      <c r="J39" s="277">
        <v>3</v>
      </c>
      <c r="K39" s="277">
        <v>3</v>
      </c>
      <c r="L39" s="277">
        <v>3</v>
      </c>
      <c r="M39" s="277">
        <v>3</v>
      </c>
      <c r="N39" s="277">
        <v>3</v>
      </c>
      <c r="O39" s="274">
        <f t="shared" si="10"/>
        <v>3</v>
      </c>
      <c r="Q39" s="97" t="s">
        <v>8</v>
      </c>
      <c r="R39" s="274">
        <f t="shared" si="11"/>
        <v>36</v>
      </c>
      <c r="S39" s="249" t="str">
        <f t="shared" si="4"/>
        <v>CFG - FTS-10</v>
      </c>
      <c r="U39" s="97" t="s">
        <v>136</v>
      </c>
      <c r="V39" s="97" t="s">
        <v>635</v>
      </c>
      <c r="Y39" s="249"/>
    </row>
    <row r="40" spans="1:25">
      <c r="A40" s="97">
        <f t="shared" si="0"/>
        <v>40</v>
      </c>
      <c r="B40" s="279" t="s">
        <v>117</v>
      </c>
      <c r="C40" s="277">
        <v>1</v>
      </c>
      <c r="D40" s="277">
        <v>1</v>
      </c>
      <c r="E40" s="277">
        <v>1</v>
      </c>
      <c r="F40" s="277">
        <v>1</v>
      </c>
      <c r="G40" s="277">
        <v>1</v>
      </c>
      <c r="H40" s="277">
        <v>1</v>
      </c>
      <c r="I40" s="277">
        <v>1</v>
      </c>
      <c r="J40" s="277">
        <v>1</v>
      </c>
      <c r="K40" s="277">
        <v>1</v>
      </c>
      <c r="L40" s="277">
        <v>1</v>
      </c>
      <c r="M40" s="277">
        <v>1</v>
      </c>
      <c r="N40" s="277">
        <v>1</v>
      </c>
      <c r="O40" s="274">
        <f t="shared" si="10"/>
        <v>1</v>
      </c>
      <c r="Q40" s="97" t="s">
        <v>8</v>
      </c>
      <c r="R40" s="274">
        <f t="shared" si="11"/>
        <v>12</v>
      </c>
      <c r="S40" s="249" t="str">
        <f t="shared" si="4"/>
        <v>CFG - FTS-11</v>
      </c>
      <c r="U40" s="97" t="s">
        <v>136</v>
      </c>
      <c r="V40" s="97" t="s">
        <v>635</v>
      </c>
      <c r="Y40" s="249"/>
    </row>
    <row r="41" spans="1:25">
      <c r="A41" s="97">
        <f t="shared" si="0"/>
        <v>41</v>
      </c>
      <c r="B41" s="279" t="s">
        <v>118</v>
      </c>
      <c r="C41" s="277">
        <v>5</v>
      </c>
      <c r="D41" s="277">
        <v>5</v>
      </c>
      <c r="E41" s="277">
        <v>5</v>
      </c>
      <c r="F41" s="277">
        <v>5</v>
      </c>
      <c r="G41" s="277">
        <v>5</v>
      </c>
      <c r="H41" s="277">
        <v>5</v>
      </c>
      <c r="I41" s="277">
        <v>5</v>
      </c>
      <c r="J41" s="277">
        <v>5</v>
      </c>
      <c r="K41" s="277">
        <v>5</v>
      </c>
      <c r="L41" s="277">
        <v>5</v>
      </c>
      <c r="M41" s="277">
        <v>5</v>
      </c>
      <c r="N41" s="277">
        <v>5</v>
      </c>
      <c r="O41" s="274">
        <f t="shared" si="10"/>
        <v>5</v>
      </c>
      <c r="Q41" s="97" t="s">
        <v>8</v>
      </c>
      <c r="R41" s="274">
        <f t="shared" si="11"/>
        <v>60</v>
      </c>
      <c r="S41" s="249" t="str">
        <f t="shared" si="4"/>
        <v>CFG - FTS-12</v>
      </c>
      <c r="U41" s="97" t="s">
        <v>136</v>
      </c>
      <c r="V41" s="97" t="s">
        <v>635</v>
      </c>
      <c r="Y41" s="249"/>
    </row>
    <row r="42" spans="1:25">
      <c r="A42" s="97">
        <f t="shared" si="0"/>
        <v>42</v>
      </c>
      <c r="B42" s="279" t="s">
        <v>119</v>
      </c>
      <c r="C42" s="277">
        <v>1</v>
      </c>
      <c r="D42" s="277">
        <v>1</v>
      </c>
      <c r="E42" s="277">
        <v>1</v>
      </c>
      <c r="F42" s="277">
        <v>1</v>
      </c>
      <c r="G42" s="277">
        <v>1</v>
      </c>
      <c r="H42" s="277">
        <v>1</v>
      </c>
      <c r="I42" s="277">
        <v>1</v>
      </c>
      <c r="J42" s="277">
        <v>1</v>
      </c>
      <c r="K42" s="277">
        <v>1</v>
      </c>
      <c r="L42" s="277">
        <v>1</v>
      </c>
      <c r="M42" s="277">
        <v>1</v>
      </c>
      <c r="N42" s="277">
        <v>1</v>
      </c>
      <c r="O42" s="274">
        <f t="shared" si="10"/>
        <v>1</v>
      </c>
      <c r="Q42" s="97" t="s">
        <v>8</v>
      </c>
      <c r="R42" s="274">
        <f t="shared" si="11"/>
        <v>12</v>
      </c>
      <c r="S42" s="249" t="str">
        <f t="shared" si="4"/>
        <v>CFG - FTS-NGV</v>
      </c>
      <c r="U42" s="97" t="s">
        <v>136</v>
      </c>
      <c r="V42" s="97" t="s">
        <v>635</v>
      </c>
      <c r="Y42" s="249"/>
    </row>
    <row r="43" spans="1:25">
      <c r="A43" s="97">
        <f t="shared" si="0"/>
        <v>43</v>
      </c>
      <c r="B43" s="279" t="s">
        <v>99</v>
      </c>
      <c r="C43" s="277">
        <v>893</v>
      </c>
      <c r="D43" s="277">
        <v>886</v>
      </c>
      <c r="E43" s="277">
        <v>887</v>
      </c>
      <c r="F43" s="277">
        <v>896</v>
      </c>
      <c r="G43" s="277">
        <v>900</v>
      </c>
      <c r="H43" s="277">
        <v>910</v>
      </c>
      <c r="I43" s="277">
        <v>893</v>
      </c>
      <c r="J43" s="277">
        <v>883</v>
      </c>
      <c r="K43" s="277">
        <v>892</v>
      </c>
      <c r="L43" s="277">
        <v>894</v>
      </c>
      <c r="M43" s="277">
        <v>893</v>
      </c>
      <c r="N43" s="277">
        <v>886</v>
      </c>
      <c r="O43" s="274">
        <f t="shared" si="10"/>
        <v>892.75</v>
      </c>
      <c r="Q43" s="97" t="s">
        <v>7</v>
      </c>
      <c r="R43" s="274">
        <f t="shared" si="11"/>
        <v>10713</v>
      </c>
      <c r="S43" s="249" t="str">
        <f t="shared" si="4"/>
        <v>FPU - FPU - GS - 1</v>
      </c>
      <c r="U43" s="97" t="s">
        <v>137</v>
      </c>
      <c r="V43" s="97" t="s">
        <v>635</v>
      </c>
      <c r="Y43" s="249"/>
    </row>
    <row r="44" spans="1:25">
      <c r="A44" s="97">
        <f t="shared" si="0"/>
        <v>44</v>
      </c>
      <c r="B44" s="279" t="s">
        <v>138</v>
      </c>
      <c r="C44" s="277">
        <v>376</v>
      </c>
      <c r="D44" s="277">
        <v>375</v>
      </c>
      <c r="E44" s="277">
        <v>370</v>
      </c>
      <c r="F44" s="277">
        <v>368</v>
      </c>
      <c r="G44" s="277">
        <v>370</v>
      </c>
      <c r="H44" s="277">
        <v>372</v>
      </c>
      <c r="I44" s="277">
        <v>370</v>
      </c>
      <c r="J44" s="277">
        <v>376</v>
      </c>
      <c r="K44" s="277">
        <v>375</v>
      </c>
      <c r="L44" s="277">
        <v>373</v>
      </c>
      <c r="M44" s="277">
        <v>371</v>
      </c>
      <c r="N44" s="277">
        <v>369</v>
      </c>
      <c r="O44" s="274">
        <f t="shared" si="10"/>
        <v>372.08333333333331</v>
      </c>
      <c r="Q44" s="97" t="s">
        <v>7</v>
      </c>
      <c r="R44" s="274">
        <f>+SUM(C44:N44)</f>
        <v>4465</v>
      </c>
      <c r="S44" s="249" t="str">
        <f t="shared" si="4"/>
        <v>FPU - FPU - GSTS - 1</v>
      </c>
      <c r="U44" s="97" t="s">
        <v>139</v>
      </c>
      <c r="V44" s="97" t="s">
        <v>635</v>
      </c>
      <c r="Y44" s="249"/>
    </row>
    <row r="45" spans="1:25">
      <c r="A45" s="97">
        <f t="shared" si="0"/>
        <v>45</v>
      </c>
      <c r="B45" s="279" t="s">
        <v>140</v>
      </c>
      <c r="C45" s="277">
        <v>2132</v>
      </c>
      <c r="D45" s="277">
        <v>2126</v>
      </c>
      <c r="E45" s="277">
        <v>2135</v>
      </c>
      <c r="F45" s="277">
        <v>2134</v>
      </c>
      <c r="G45" s="277">
        <v>2106</v>
      </c>
      <c r="H45" s="277">
        <v>2111</v>
      </c>
      <c r="I45" s="277">
        <v>2143</v>
      </c>
      <c r="J45" s="277">
        <v>2138</v>
      </c>
      <c r="K45" s="277">
        <v>2131</v>
      </c>
      <c r="L45" s="277">
        <v>2145</v>
      </c>
      <c r="M45" s="277">
        <v>2154</v>
      </c>
      <c r="N45" s="277">
        <v>2161</v>
      </c>
      <c r="O45" s="274">
        <f t="shared" si="10"/>
        <v>2134.6666666666665</v>
      </c>
      <c r="Q45" s="97" t="s">
        <v>7</v>
      </c>
      <c r="R45" s="274">
        <f t="shared" si="11"/>
        <v>25616</v>
      </c>
      <c r="S45" s="249" t="str">
        <f t="shared" si="4"/>
        <v>FPU - FPU - GS - 2</v>
      </c>
      <c r="U45" s="97" t="s">
        <v>137</v>
      </c>
      <c r="V45" s="97" t="s">
        <v>635</v>
      </c>
      <c r="Y45" s="249"/>
    </row>
    <row r="46" spans="1:25">
      <c r="A46" s="97">
        <f t="shared" si="0"/>
        <v>46</v>
      </c>
      <c r="B46" s="279" t="s">
        <v>141</v>
      </c>
      <c r="C46" s="277">
        <v>797</v>
      </c>
      <c r="D46" s="277">
        <v>808</v>
      </c>
      <c r="E46" s="277">
        <v>813</v>
      </c>
      <c r="F46" s="277">
        <v>819</v>
      </c>
      <c r="G46" s="277">
        <v>816</v>
      </c>
      <c r="H46" s="277">
        <v>818</v>
      </c>
      <c r="I46" s="277">
        <v>824</v>
      </c>
      <c r="J46" s="277">
        <v>817</v>
      </c>
      <c r="K46" s="277">
        <v>820</v>
      </c>
      <c r="L46" s="277">
        <v>828</v>
      </c>
      <c r="M46" s="277">
        <v>828</v>
      </c>
      <c r="N46" s="277">
        <v>829</v>
      </c>
      <c r="O46" s="274">
        <f t="shared" si="10"/>
        <v>818.08333333333337</v>
      </c>
      <c r="Q46" s="97" t="s">
        <v>7</v>
      </c>
      <c r="R46" s="274">
        <f t="shared" si="11"/>
        <v>9817</v>
      </c>
      <c r="S46" s="249" t="str">
        <f t="shared" si="4"/>
        <v>FPU - FPU - GSTS - 2</v>
      </c>
      <c r="U46" s="97" t="s">
        <v>139</v>
      </c>
      <c r="V46" s="97" t="s">
        <v>635</v>
      </c>
      <c r="Y46" s="249"/>
    </row>
    <row r="47" spans="1:25">
      <c r="A47" s="97">
        <f t="shared" si="0"/>
        <v>47</v>
      </c>
      <c r="B47" s="279" t="s">
        <v>142</v>
      </c>
      <c r="C47" s="277">
        <v>247</v>
      </c>
      <c r="D47" s="277">
        <v>250</v>
      </c>
      <c r="E47" s="277">
        <v>247</v>
      </c>
      <c r="F47" s="277">
        <v>251</v>
      </c>
      <c r="G47" s="277">
        <v>253</v>
      </c>
      <c r="H47" s="277">
        <v>256</v>
      </c>
      <c r="I47" s="277">
        <v>253</v>
      </c>
      <c r="J47" s="277">
        <v>258</v>
      </c>
      <c r="K47" s="277">
        <v>260</v>
      </c>
      <c r="L47" s="277">
        <v>262</v>
      </c>
      <c r="M47" s="277">
        <v>261</v>
      </c>
      <c r="N47" s="277">
        <v>266</v>
      </c>
      <c r="O47" s="274">
        <f t="shared" si="10"/>
        <v>255.33333333333334</v>
      </c>
      <c r="Q47" s="97" t="s">
        <v>7</v>
      </c>
      <c r="R47" s="274">
        <f t="shared" si="11"/>
        <v>3064</v>
      </c>
      <c r="S47" s="249" t="str">
        <f t="shared" si="4"/>
        <v>FPU - FPU - CS - GS</v>
      </c>
      <c r="U47" s="97" t="s">
        <v>137</v>
      </c>
      <c r="V47" s="97" t="s">
        <v>635</v>
      </c>
      <c r="Y47" s="249"/>
    </row>
    <row r="48" spans="1:25">
      <c r="A48" s="97">
        <f t="shared" si="0"/>
        <v>48</v>
      </c>
      <c r="B48" s="279" t="s">
        <v>143</v>
      </c>
      <c r="C48" s="277">
        <v>649</v>
      </c>
      <c r="D48" s="277">
        <v>658</v>
      </c>
      <c r="E48" s="277">
        <v>664</v>
      </c>
      <c r="F48" s="277">
        <v>661</v>
      </c>
      <c r="G48" s="277">
        <v>652</v>
      </c>
      <c r="H48" s="277">
        <v>647</v>
      </c>
      <c r="I48" s="277">
        <v>650</v>
      </c>
      <c r="J48" s="277">
        <v>643</v>
      </c>
      <c r="K48" s="277">
        <v>644</v>
      </c>
      <c r="L48" s="277">
        <v>647</v>
      </c>
      <c r="M48" s="277">
        <v>652</v>
      </c>
      <c r="N48" s="277">
        <v>657</v>
      </c>
      <c r="O48" s="274">
        <f t="shared" si="10"/>
        <v>652</v>
      </c>
      <c r="Q48" s="97" t="s">
        <v>7</v>
      </c>
      <c r="R48" s="274">
        <f t="shared" si="11"/>
        <v>7824</v>
      </c>
      <c r="S48" s="249" t="str">
        <f t="shared" si="4"/>
        <v>FPU - FPU - LVS</v>
      </c>
      <c r="U48" s="97" t="s">
        <v>144</v>
      </c>
      <c r="V48" s="97" t="s">
        <v>635</v>
      </c>
      <c r="Y48" s="249"/>
    </row>
    <row r="49" spans="1:25">
      <c r="A49" s="97">
        <f t="shared" si="0"/>
        <v>49</v>
      </c>
      <c r="B49" s="279" t="s">
        <v>145</v>
      </c>
      <c r="C49" s="277">
        <v>0</v>
      </c>
      <c r="D49" s="277">
        <v>0</v>
      </c>
      <c r="E49" s="277">
        <v>0</v>
      </c>
      <c r="F49" s="277">
        <v>0</v>
      </c>
      <c r="G49" s="277">
        <v>0</v>
      </c>
      <c r="H49" s="277">
        <v>0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4">
        <f t="shared" si="10"/>
        <v>0</v>
      </c>
      <c r="Q49" s="97" t="s">
        <v>7</v>
      </c>
      <c r="R49" s="274">
        <f t="shared" si="11"/>
        <v>0</v>
      </c>
      <c r="S49" s="249" t="str">
        <f t="shared" si="4"/>
        <v>FPU - FPU - LVTS &lt;50k</v>
      </c>
      <c r="V49" s="97" t="s">
        <v>635</v>
      </c>
      <c r="Y49" s="249"/>
    </row>
    <row r="50" spans="1:25">
      <c r="A50" s="97">
        <f t="shared" si="0"/>
        <v>50</v>
      </c>
      <c r="B50" s="279" t="s">
        <v>146</v>
      </c>
      <c r="C50" s="277">
        <v>1264</v>
      </c>
      <c r="D50" s="277">
        <v>1264</v>
      </c>
      <c r="E50" s="277">
        <v>1261</v>
      </c>
      <c r="F50" s="277">
        <v>1271</v>
      </c>
      <c r="G50" s="277">
        <v>1276</v>
      </c>
      <c r="H50" s="277">
        <v>1278</v>
      </c>
      <c r="I50" s="277">
        <v>1273</v>
      </c>
      <c r="J50" s="277">
        <v>1269</v>
      </c>
      <c r="K50" s="277">
        <v>1264</v>
      </c>
      <c r="L50" s="277">
        <v>1269</v>
      </c>
      <c r="M50" s="277">
        <v>1264</v>
      </c>
      <c r="N50" s="277">
        <v>1264</v>
      </c>
      <c r="O50" s="274">
        <f t="shared" si="10"/>
        <v>1268.0833333333333</v>
      </c>
      <c r="Q50" s="97" t="s">
        <v>7</v>
      </c>
      <c r="R50" s="274">
        <f t="shared" si="11"/>
        <v>15217</v>
      </c>
      <c r="S50" s="249" t="str">
        <f t="shared" si="4"/>
        <v>FPU - FPU - LVTS &gt;50k</v>
      </c>
      <c r="U50" s="97" t="s">
        <v>147</v>
      </c>
      <c r="V50" s="97" t="s">
        <v>635</v>
      </c>
      <c r="Y50" s="249"/>
    </row>
    <row r="51" spans="1:25">
      <c r="A51" s="97">
        <f t="shared" si="0"/>
        <v>51</v>
      </c>
      <c r="B51" s="279" t="s">
        <v>148</v>
      </c>
      <c r="C51" s="277">
        <v>0</v>
      </c>
      <c r="D51" s="277">
        <v>0</v>
      </c>
      <c r="E51" s="277">
        <v>0</v>
      </c>
      <c r="F51" s="277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274">
        <f t="shared" si="10"/>
        <v>0</v>
      </c>
      <c r="Q51" s="97" t="s">
        <v>7</v>
      </c>
      <c r="R51" s="274">
        <f t="shared" si="11"/>
        <v>0</v>
      </c>
      <c r="S51" s="249" t="str">
        <f t="shared" si="4"/>
        <v>FPU - FPU - IS</v>
      </c>
      <c r="V51" s="97" t="s">
        <v>635</v>
      </c>
      <c r="Y51" s="249"/>
    </row>
    <row r="52" spans="1:25">
      <c r="A52" s="97">
        <f t="shared" si="0"/>
        <v>52</v>
      </c>
      <c r="B52" s="279" t="s">
        <v>149</v>
      </c>
      <c r="C52" s="277">
        <v>19</v>
      </c>
      <c r="D52" s="277">
        <v>18</v>
      </c>
      <c r="E52" s="277">
        <v>18</v>
      </c>
      <c r="F52" s="277">
        <v>18</v>
      </c>
      <c r="G52" s="277">
        <v>18</v>
      </c>
      <c r="H52" s="277">
        <v>18</v>
      </c>
      <c r="I52" s="277">
        <v>18</v>
      </c>
      <c r="J52" s="277">
        <v>18</v>
      </c>
      <c r="K52" s="277">
        <v>18</v>
      </c>
      <c r="L52" s="277">
        <v>18</v>
      </c>
      <c r="M52" s="277">
        <v>18</v>
      </c>
      <c r="N52" s="277">
        <v>18</v>
      </c>
      <c r="O52" s="274">
        <f t="shared" si="10"/>
        <v>18.083333333333332</v>
      </c>
      <c r="Q52" s="97" t="s">
        <v>7</v>
      </c>
      <c r="R52" s="274">
        <f t="shared" si="11"/>
        <v>217</v>
      </c>
      <c r="S52" s="249" t="str">
        <f t="shared" si="4"/>
        <v>FPU - FPU - ITS</v>
      </c>
      <c r="U52" s="97" t="s">
        <v>150</v>
      </c>
      <c r="V52" s="97" t="s">
        <v>635</v>
      </c>
      <c r="Y52" s="249"/>
    </row>
    <row r="53" spans="1:25">
      <c r="A53" s="97">
        <f t="shared" si="0"/>
        <v>53</v>
      </c>
      <c r="B53" s="279" t="s">
        <v>151</v>
      </c>
      <c r="C53" s="277">
        <v>34</v>
      </c>
      <c r="D53" s="277">
        <v>34</v>
      </c>
      <c r="E53" s="277">
        <v>32</v>
      </c>
      <c r="F53" s="277">
        <v>32</v>
      </c>
      <c r="G53" s="277">
        <v>32</v>
      </c>
      <c r="H53" s="277">
        <v>32</v>
      </c>
      <c r="I53" s="277">
        <v>32</v>
      </c>
      <c r="J53" s="277">
        <v>32</v>
      </c>
      <c r="K53" s="277">
        <v>32</v>
      </c>
      <c r="L53" s="277">
        <v>33</v>
      </c>
      <c r="M53" s="277">
        <v>33</v>
      </c>
      <c r="N53" s="277">
        <v>31</v>
      </c>
      <c r="O53" s="274">
        <f t="shared" si="10"/>
        <v>32.416666666666664</v>
      </c>
      <c r="Q53" s="97" t="s">
        <v>7</v>
      </c>
      <c r="R53" s="274">
        <f t="shared" si="11"/>
        <v>389</v>
      </c>
      <c r="S53" s="249" t="str">
        <f t="shared" si="4"/>
        <v>FPU - FPU - GLS</v>
      </c>
      <c r="U53" s="97" t="s">
        <v>152</v>
      </c>
      <c r="V53" s="97" t="s">
        <v>635</v>
      </c>
      <c r="Y53" s="249"/>
    </row>
    <row r="54" spans="1:25">
      <c r="A54" s="97">
        <f t="shared" si="0"/>
        <v>54</v>
      </c>
      <c r="B54" s="279" t="s">
        <v>153</v>
      </c>
      <c r="C54" s="277">
        <v>0</v>
      </c>
      <c r="D54" s="277">
        <v>0</v>
      </c>
      <c r="E54" s="277">
        <v>0</v>
      </c>
      <c r="F54" s="277">
        <v>0</v>
      </c>
      <c r="G54" s="277">
        <v>0</v>
      </c>
      <c r="H54" s="277">
        <v>0</v>
      </c>
      <c r="I54" s="277">
        <v>0</v>
      </c>
      <c r="J54" s="277">
        <v>0</v>
      </c>
      <c r="K54" s="277">
        <v>0</v>
      </c>
      <c r="L54" s="277">
        <v>0</v>
      </c>
      <c r="M54" s="277">
        <v>0</v>
      </c>
      <c r="N54" s="277">
        <v>0</v>
      </c>
      <c r="O54" s="274">
        <f t="shared" si="10"/>
        <v>0</v>
      </c>
      <c r="Q54" s="97" t="s">
        <v>7</v>
      </c>
      <c r="R54" s="274">
        <f t="shared" si="11"/>
        <v>0</v>
      </c>
      <c r="S54" s="249" t="str">
        <f t="shared" si="4"/>
        <v>FPU - FPU-NGVS</v>
      </c>
      <c r="V54" s="97" t="s">
        <v>635</v>
      </c>
      <c r="Y54" s="249"/>
    </row>
    <row r="55" spans="1:25">
      <c r="A55" s="97">
        <f t="shared" si="0"/>
        <v>55</v>
      </c>
      <c r="B55" s="279" t="s">
        <v>154</v>
      </c>
      <c r="C55" s="277">
        <v>2</v>
      </c>
      <c r="D55" s="277">
        <v>2</v>
      </c>
      <c r="E55" s="277">
        <v>2</v>
      </c>
      <c r="F55" s="277">
        <v>2</v>
      </c>
      <c r="G55" s="277">
        <v>2</v>
      </c>
      <c r="H55" s="277">
        <v>2</v>
      </c>
      <c r="I55" s="277">
        <v>2</v>
      </c>
      <c r="J55" s="277">
        <v>2</v>
      </c>
      <c r="K55" s="277">
        <v>2</v>
      </c>
      <c r="L55" s="277">
        <v>2</v>
      </c>
      <c r="M55" s="277">
        <v>2</v>
      </c>
      <c r="N55" s="277">
        <v>2</v>
      </c>
      <c r="O55" s="274">
        <f t="shared" si="10"/>
        <v>2</v>
      </c>
      <c r="Q55" s="97" t="s">
        <v>7</v>
      </c>
      <c r="R55" s="274">
        <f t="shared" si="11"/>
        <v>24</v>
      </c>
      <c r="S55" s="249" t="str">
        <f t="shared" si="4"/>
        <v>FPU - FPU- NGVTS</v>
      </c>
      <c r="U55" s="97" t="s">
        <v>139</v>
      </c>
      <c r="V55" s="97" t="s">
        <v>635</v>
      </c>
      <c r="Y55" s="249"/>
    </row>
    <row r="56" spans="1:25">
      <c r="A56" s="97">
        <f t="shared" si="0"/>
        <v>56</v>
      </c>
      <c r="B56" s="279" t="s">
        <v>155</v>
      </c>
      <c r="C56" s="277">
        <v>4</v>
      </c>
      <c r="D56" s="277">
        <v>4</v>
      </c>
      <c r="E56" s="277">
        <v>4</v>
      </c>
      <c r="F56" s="277">
        <v>4</v>
      </c>
      <c r="G56" s="277">
        <v>4</v>
      </c>
      <c r="H56" s="277">
        <v>4</v>
      </c>
      <c r="I56" s="277">
        <v>4</v>
      </c>
      <c r="J56" s="277">
        <v>4</v>
      </c>
      <c r="K56" s="277">
        <v>4</v>
      </c>
      <c r="L56" s="277">
        <v>4</v>
      </c>
      <c r="M56" s="277">
        <v>4</v>
      </c>
      <c r="N56" s="277">
        <v>4</v>
      </c>
      <c r="O56" s="274">
        <f t="shared" si="10"/>
        <v>4</v>
      </c>
      <c r="Q56" s="97" t="s">
        <v>5</v>
      </c>
      <c r="R56" s="274">
        <f>+SUM(C56:N56)</f>
        <v>48</v>
      </c>
      <c r="S56" s="249" t="str">
        <f t="shared" si="4"/>
        <v>FT - FT-Comm PA</v>
      </c>
      <c r="T56" s="249"/>
      <c r="U56" s="97" t="s">
        <v>156</v>
      </c>
      <c r="V56" s="97" t="s">
        <v>635</v>
      </c>
      <c r="Y56" s="249"/>
    </row>
    <row r="57" spans="1:25">
      <c r="A57" s="97">
        <f t="shared" si="0"/>
        <v>57</v>
      </c>
      <c r="B57" s="279" t="s">
        <v>157</v>
      </c>
      <c r="C57" s="277">
        <v>29</v>
      </c>
      <c r="D57" s="277">
        <v>28</v>
      </c>
      <c r="E57" s="277">
        <v>29</v>
      </c>
      <c r="F57" s="277">
        <v>29</v>
      </c>
      <c r="G57" s="277">
        <v>29</v>
      </c>
      <c r="H57" s="277">
        <v>29</v>
      </c>
      <c r="I57" s="277">
        <v>29</v>
      </c>
      <c r="J57" s="277">
        <v>29</v>
      </c>
      <c r="K57" s="277">
        <v>29</v>
      </c>
      <c r="L57" s="277">
        <v>30</v>
      </c>
      <c r="M57" s="277">
        <v>30</v>
      </c>
      <c r="N57" s="277">
        <v>31</v>
      </c>
      <c r="O57" s="274">
        <f t="shared" si="10"/>
        <v>29.25</v>
      </c>
      <c r="Q57" s="97" t="s">
        <v>5</v>
      </c>
      <c r="R57" s="274">
        <f t="shared" si="11"/>
        <v>351</v>
      </c>
      <c r="S57" s="249" t="str">
        <f t="shared" si="4"/>
        <v>FT - FT-Comm Small</v>
      </c>
      <c r="T57" s="249"/>
      <c r="U57" s="97" t="s">
        <v>156</v>
      </c>
      <c r="V57" s="97" t="s">
        <v>635</v>
      </c>
      <c r="Y57" s="249"/>
    </row>
    <row r="58" spans="1:25">
      <c r="A58" s="97">
        <f t="shared" si="0"/>
        <v>58</v>
      </c>
      <c r="B58" s="279" t="s">
        <v>159</v>
      </c>
      <c r="C58" s="277">
        <v>9</v>
      </c>
      <c r="D58" s="277">
        <v>9</v>
      </c>
      <c r="E58" s="277">
        <v>9</v>
      </c>
      <c r="F58" s="277">
        <v>9</v>
      </c>
      <c r="G58" s="277">
        <v>9</v>
      </c>
      <c r="H58" s="277">
        <v>9</v>
      </c>
      <c r="I58" s="277">
        <v>9</v>
      </c>
      <c r="J58" s="277">
        <v>9</v>
      </c>
      <c r="K58" s="277">
        <v>9</v>
      </c>
      <c r="L58" s="277">
        <v>10</v>
      </c>
      <c r="M58" s="277">
        <v>9</v>
      </c>
      <c r="N58" s="277">
        <v>10</v>
      </c>
      <c r="O58" s="274">
        <f t="shared" si="10"/>
        <v>9.1666666666666661</v>
      </c>
      <c r="Q58" s="97" t="s">
        <v>5</v>
      </c>
      <c r="R58" s="274">
        <f t="shared" si="11"/>
        <v>110</v>
      </c>
      <c r="S58" s="249" t="str">
        <f t="shared" si="4"/>
        <v>FT - FT-Transportation</v>
      </c>
      <c r="T58" s="249"/>
      <c r="U58" s="97" t="s">
        <v>160</v>
      </c>
      <c r="V58" s="97" t="s">
        <v>635</v>
      </c>
      <c r="Y58" s="249"/>
    </row>
    <row r="59" spans="1:25">
      <c r="A59" s="97">
        <f t="shared" si="0"/>
        <v>59</v>
      </c>
      <c r="B59" s="276" t="s">
        <v>95</v>
      </c>
      <c r="C59" s="277">
        <v>22</v>
      </c>
      <c r="D59" s="277">
        <v>22</v>
      </c>
      <c r="E59" s="277">
        <v>22</v>
      </c>
      <c r="F59" s="277">
        <v>22</v>
      </c>
      <c r="G59" s="277">
        <v>22</v>
      </c>
      <c r="H59" s="277">
        <v>22</v>
      </c>
      <c r="I59" s="277">
        <v>22</v>
      </c>
      <c r="J59" s="277">
        <v>22</v>
      </c>
      <c r="K59" s="277">
        <v>22</v>
      </c>
      <c r="L59" s="277">
        <v>21</v>
      </c>
      <c r="M59" s="277">
        <v>21</v>
      </c>
      <c r="N59" s="277">
        <v>21</v>
      </c>
      <c r="O59" s="274">
        <f t="shared" si="10"/>
        <v>21.75</v>
      </c>
      <c r="Q59" s="97" t="s">
        <v>4</v>
      </c>
      <c r="R59" s="274">
        <f t="shared" si="11"/>
        <v>261</v>
      </c>
      <c r="S59" s="249" t="str">
        <f t="shared" si="4"/>
        <v>IGC - IGC - TS2</v>
      </c>
      <c r="U59" s="97" t="s">
        <v>161</v>
      </c>
      <c r="V59" s="97" t="s">
        <v>635</v>
      </c>
      <c r="Y59" s="249"/>
    </row>
    <row r="60" spans="1:25">
      <c r="A60" s="97">
        <f t="shared" si="0"/>
        <v>60</v>
      </c>
      <c r="B60" s="276" t="s">
        <v>96</v>
      </c>
      <c r="C60" s="277">
        <v>1</v>
      </c>
      <c r="D60" s="277">
        <v>1</v>
      </c>
      <c r="E60" s="277">
        <v>1</v>
      </c>
      <c r="F60" s="277">
        <v>1</v>
      </c>
      <c r="G60" s="277">
        <v>1</v>
      </c>
      <c r="H60" s="277">
        <v>1</v>
      </c>
      <c r="I60" s="277">
        <v>1</v>
      </c>
      <c r="J60" s="277">
        <v>1</v>
      </c>
      <c r="K60" s="277">
        <v>1</v>
      </c>
      <c r="L60" s="277">
        <v>1</v>
      </c>
      <c r="M60" s="277">
        <v>1</v>
      </c>
      <c r="N60" s="277">
        <v>1</v>
      </c>
      <c r="O60" s="274">
        <f t="shared" si="10"/>
        <v>1</v>
      </c>
      <c r="Q60" s="97" t="s">
        <v>4</v>
      </c>
      <c r="R60" s="274">
        <f t="shared" si="11"/>
        <v>12</v>
      </c>
      <c r="S60" s="249" t="str">
        <f t="shared" si="4"/>
        <v>IGC - IGC - TS3</v>
      </c>
      <c r="U60" s="97" t="s">
        <v>162</v>
      </c>
      <c r="V60" s="97" t="s">
        <v>635</v>
      </c>
      <c r="Y60" s="249"/>
    </row>
    <row r="61" spans="1:25">
      <c r="A61" s="97">
        <f t="shared" si="0"/>
        <v>61</v>
      </c>
      <c r="B61" s="285" t="s">
        <v>97</v>
      </c>
      <c r="C61" s="277">
        <v>2</v>
      </c>
      <c r="D61" s="277">
        <v>2</v>
      </c>
      <c r="E61" s="277">
        <v>2</v>
      </c>
      <c r="F61" s="277">
        <v>2</v>
      </c>
      <c r="G61" s="277">
        <v>2</v>
      </c>
      <c r="H61" s="277">
        <v>2</v>
      </c>
      <c r="I61" s="277">
        <v>2</v>
      </c>
      <c r="J61" s="277">
        <v>2</v>
      </c>
      <c r="K61" s="277">
        <v>2</v>
      </c>
      <c r="L61" s="277">
        <v>2</v>
      </c>
      <c r="M61" s="277">
        <v>2</v>
      </c>
      <c r="N61" s="277">
        <v>2</v>
      </c>
      <c r="O61" s="283">
        <f t="shared" si="10"/>
        <v>2</v>
      </c>
      <c r="Q61" s="97" t="s">
        <v>4</v>
      </c>
      <c r="R61" s="274">
        <f t="shared" si="11"/>
        <v>24</v>
      </c>
      <c r="S61" s="249" t="str">
        <f t="shared" si="4"/>
        <v>IGC - IGC - TS4</v>
      </c>
      <c r="U61" s="97" t="s">
        <v>163</v>
      </c>
      <c r="V61" s="97" t="s">
        <v>635</v>
      </c>
      <c r="Y61" s="249"/>
    </row>
    <row r="62" spans="1:25">
      <c r="A62" s="97">
        <f t="shared" si="0"/>
        <v>62</v>
      </c>
      <c r="B62" s="286" t="s">
        <v>164</v>
      </c>
      <c r="C62" s="281">
        <f t="shared" ref="C62:N62" si="13">SUM(C26:C61)</f>
        <v>7980</v>
      </c>
      <c r="D62" s="281">
        <f t="shared" si="13"/>
        <v>7987</v>
      </c>
      <c r="E62" s="281">
        <f t="shared" si="13"/>
        <v>8000</v>
      </c>
      <c r="F62" s="281">
        <f t="shared" si="13"/>
        <v>8023</v>
      </c>
      <c r="G62" s="281">
        <f t="shared" si="13"/>
        <v>7997</v>
      </c>
      <c r="H62" s="281">
        <f t="shared" si="13"/>
        <v>8009</v>
      </c>
      <c r="I62" s="281">
        <f t="shared" si="13"/>
        <v>8017</v>
      </c>
      <c r="J62" s="281">
        <f t="shared" si="13"/>
        <v>8008</v>
      </c>
      <c r="K62" s="281">
        <f t="shared" si="13"/>
        <v>8009</v>
      </c>
      <c r="L62" s="281">
        <f t="shared" si="13"/>
        <v>8050</v>
      </c>
      <c r="M62" s="281">
        <f t="shared" si="13"/>
        <v>8051</v>
      </c>
      <c r="N62" s="281">
        <f t="shared" si="13"/>
        <v>8058</v>
      </c>
      <c r="O62" s="274">
        <f>SUM(O26:O61)</f>
        <v>8015.7499999999991</v>
      </c>
      <c r="R62" s="274">
        <f t="shared" si="11"/>
        <v>96189</v>
      </c>
      <c r="S62" s="249"/>
      <c r="Y62" s="249"/>
    </row>
    <row r="63" spans="1:25">
      <c r="A63" s="97">
        <f t="shared" si="0"/>
        <v>63</v>
      </c>
      <c r="B63" s="284" t="s">
        <v>165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R63" s="97"/>
      <c r="S63" s="249"/>
      <c r="Y63" s="249"/>
    </row>
    <row r="64" spans="1:25">
      <c r="A64" s="97">
        <f t="shared" si="0"/>
        <v>64</v>
      </c>
      <c r="B64" s="276" t="s">
        <v>100</v>
      </c>
      <c r="C64" s="277">
        <v>0</v>
      </c>
      <c r="D64" s="277">
        <v>0</v>
      </c>
      <c r="E64" s="277">
        <v>0</v>
      </c>
      <c r="F64" s="277">
        <v>0</v>
      </c>
      <c r="G64" s="277">
        <v>0</v>
      </c>
      <c r="H64" s="277">
        <v>0</v>
      </c>
      <c r="I64" s="277">
        <v>0</v>
      </c>
      <c r="J64" s="277">
        <v>0</v>
      </c>
      <c r="K64" s="277">
        <v>0</v>
      </c>
      <c r="L64" s="277">
        <v>0</v>
      </c>
      <c r="M64" s="277">
        <v>0</v>
      </c>
      <c r="N64" s="277">
        <v>0</v>
      </c>
      <c r="O64" s="274">
        <f t="shared" ref="O64:O70" si="14">AVERAGE(C64:N64)</f>
        <v>0</v>
      </c>
      <c r="Q64" s="97" t="s">
        <v>8</v>
      </c>
      <c r="R64" s="274">
        <f t="shared" ref="R64:R71" si="15">+SUM(C64:N64)</f>
        <v>0</v>
      </c>
      <c r="S64" s="249" t="str">
        <f>CONCATENATE(Q64," - ",B64," - ",T64)</f>
        <v>CFG - FTS-A - Fixed NR</v>
      </c>
      <c r="T64" s="97" t="s">
        <v>166</v>
      </c>
      <c r="U64" s="97" t="s">
        <v>136</v>
      </c>
      <c r="V64" s="97" t="s">
        <v>635</v>
      </c>
      <c r="Y64" s="249"/>
    </row>
    <row r="65" spans="1:25">
      <c r="A65" s="97">
        <f t="shared" si="0"/>
        <v>65</v>
      </c>
      <c r="B65" s="276" t="s">
        <v>101</v>
      </c>
      <c r="C65" s="277">
        <v>1</v>
      </c>
      <c r="D65" s="277">
        <v>1</v>
      </c>
      <c r="E65" s="277">
        <v>1</v>
      </c>
      <c r="F65" s="277">
        <v>1</v>
      </c>
      <c r="G65" s="277">
        <v>1</v>
      </c>
      <c r="H65" s="277">
        <v>1</v>
      </c>
      <c r="I65" s="277">
        <v>1</v>
      </c>
      <c r="J65" s="277">
        <v>1</v>
      </c>
      <c r="K65" s="277">
        <v>1</v>
      </c>
      <c r="L65" s="277">
        <v>1</v>
      </c>
      <c r="M65" s="277">
        <v>1</v>
      </c>
      <c r="N65" s="277">
        <v>1</v>
      </c>
      <c r="O65" s="274">
        <f t="shared" si="14"/>
        <v>1</v>
      </c>
      <c r="Q65" s="97" t="s">
        <v>8</v>
      </c>
      <c r="R65" s="274">
        <f t="shared" si="15"/>
        <v>12</v>
      </c>
      <c r="S65" s="249" t="str">
        <f t="shared" ref="S65:S70" si="16">CONCATENATE(Q65," - ",B65," - ",T65)</f>
        <v>CFG - FTS-B - Fixed NR</v>
      </c>
      <c r="T65" s="97" t="s">
        <v>166</v>
      </c>
      <c r="U65" s="97" t="s">
        <v>136</v>
      </c>
      <c r="V65" s="97" t="s">
        <v>635</v>
      </c>
      <c r="Y65" s="249"/>
    </row>
    <row r="66" spans="1:25">
      <c r="A66" s="97">
        <f t="shared" si="0"/>
        <v>66</v>
      </c>
      <c r="B66" s="276" t="s">
        <v>102</v>
      </c>
      <c r="C66" s="277">
        <v>37</v>
      </c>
      <c r="D66" s="277">
        <v>36</v>
      </c>
      <c r="E66" s="277">
        <v>37</v>
      </c>
      <c r="F66" s="277">
        <v>38</v>
      </c>
      <c r="G66" s="277">
        <v>38</v>
      </c>
      <c r="H66" s="277">
        <v>40</v>
      </c>
      <c r="I66" s="277">
        <v>41</v>
      </c>
      <c r="J66" s="277">
        <v>42</v>
      </c>
      <c r="K66" s="277">
        <v>43</v>
      </c>
      <c r="L66" s="277">
        <v>42</v>
      </c>
      <c r="M66" s="277">
        <v>43</v>
      </c>
      <c r="N66" s="277">
        <v>43</v>
      </c>
      <c r="O66" s="274">
        <f t="shared" si="14"/>
        <v>40</v>
      </c>
      <c r="Q66" s="97" t="s">
        <v>8</v>
      </c>
      <c r="R66" s="274">
        <f t="shared" si="15"/>
        <v>480</v>
      </c>
      <c r="S66" s="249" t="str">
        <f t="shared" si="16"/>
        <v>CFG - FTS-1 - Fixed NR</v>
      </c>
      <c r="T66" s="97" t="s">
        <v>166</v>
      </c>
      <c r="U66" s="97" t="s">
        <v>136</v>
      </c>
      <c r="V66" s="97" t="s">
        <v>635</v>
      </c>
      <c r="Y66" s="249"/>
    </row>
    <row r="67" spans="1:25">
      <c r="A67" s="97">
        <f t="shared" ref="A67:A130" si="17">+A66+1</f>
        <v>67</v>
      </c>
      <c r="B67" s="279" t="s">
        <v>103</v>
      </c>
      <c r="C67" s="277">
        <v>5</v>
      </c>
      <c r="D67" s="277">
        <v>6</v>
      </c>
      <c r="E67" s="277">
        <v>6</v>
      </c>
      <c r="F67" s="277">
        <v>6</v>
      </c>
      <c r="G67" s="277">
        <v>6</v>
      </c>
      <c r="H67" s="277">
        <v>6</v>
      </c>
      <c r="I67" s="277">
        <v>6</v>
      </c>
      <c r="J67" s="277">
        <v>5</v>
      </c>
      <c r="K67" s="277">
        <v>5</v>
      </c>
      <c r="L67" s="277">
        <v>5</v>
      </c>
      <c r="M67" s="277">
        <v>5</v>
      </c>
      <c r="N67" s="277">
        <v>6</v>
      </c>
      <c r="O67" s="274">
        <f t="shared" si="14"/>
        <v>5.583333333333333</v>
      </c>
      <c r="Q67" s="97" t="s">
        <v>8</v>
      </c>
      <c r="R67" s="274">
        <f t="shared" si="15"/>
        <v>67</v>
      </c>
      <c r="S67" s="249" t="str">
        <f t="shared" si="16"/>
        <v>CFG - FTS-2 - Fixed NR</v>
      </c>
      <c r="T67" s="97" t="s">
        <v>166</v>
      </c>
      <c r="U67" s="97" t="s">
        <v>136</v>
      </c>
      <c r="V67" s="97" t="s">
        <v>635</v>
      </c>
      <c r="Y67" s="249"/>
    </row>
    <row r="68" spans="1:25">
      <c r="A68" s="97">
        <f t="shared" si="17"/>
        <v>68</v>
      </c>
      <c r="B68" s="279" t="s">
        <v>104</v>
      </c>
      <c r="C68" s="277">
        <v>10</v>
      </c>
      <c r="D68" s="277">
        <v>10</v>
      </c>
      <c r="E68" s="277">
        <v>10</v>
      </c>
      <c r="F68" s="277">
        <v>10</v>
      </c>
      <c r="G68" s="277">
        <v>10</v>
      </c>
      <c r="H68" s="277">
        <v>10</v>
      </c>
      <c r="I68" s="277">
        <v>10</v>
      </c>
      <c r="J68" s="277">
        <v>10</v>
      </c>
      <c r="K68" s="277">
        <v>10</v>
      </c>
      <c r="L68" s="277">
        <v>9</v>
      </c>
      <c r="M68" s="277">
        <v>10</v>
      </c>
      <c r="N68" s="277">
        <v>10</v>
      </c>
      <c r="O68" s="274">
        <f t="shared" si="14"/>
        <v>9.9166666666666661</v>
      </c>
      <c r="Q68" s="97" t="s">
        <v>8</v>
      </c>
      <c r="R68" s="274">
        <f t="shared" si="15"/>
        <v>119</v>
      </c>
      <c r="S68" s="249" t="str">
        <f t="shared" si="16"/>
        <v>CFG - FTS-2.1 - Fixed NR</v>
      </c>
      <c r="T68" s="97" t="s">
        <v>166</v>
      </c>
      <c r="U68" s="97" t="s">
        <v>136</v>
      </c>
      <c r="V68" s="97" t="s">
        <v>635</v>
      </c>
      <c r="Y68" s="249"/>
    </row>
    <row r="69" spans="1:25">
      <c r="A69" s="97">
        <f t="shared" si="17"/>
        <v>69</v>
      </c>
      <c r="B69" s="279" t="s">
        <v>105</v>
      </c>
      <c r="C69" s="277">
        <v>20</v>
      </c>
      <c r="D69" s="277">
        <v>19</v>
      </c>
      <c r="E69" s="277">
        <v>19</v>
      </c>
      <c r="F69" s="277">
        <v>19</v>
      </c>
      <c r="G69" s="277">
        <v>18</v>
      </c>
      <c r="H69" s="277">
        <v>17</v>
      </c>
      <c r="I69" s="277">
        <v>17</v>
      </c>
      <c r="J69" s="277">
        <v>17</v>
      </c>
      <c r="K69" s="277">
        <v>17</v>
      </c>
      <c r="L69" s="277">
        <v>17</v>
      </c>
      <c r="M69" s="277">
        <v>17</v>
      </c>
      <c r="N69" s="277">
        <v>17</v>
      </c>
      <c r="O69" s="274">
        <f t="shared" si="14"/>
        <v>17.833333333333332</v>
      </c>
      <c r="Q69" s="97" t="s">
        <v>8</v>
      </c>
      <c r="R69" s="274">
        <f t="shared" si="15"/>
        <v>214</v>
      </c>
      <c r="S69" s="249" t="str">
        <f t="shared" si="16"/>
        <v>CFG - FTS-3 - Fixed NR</v>
      </c>
      <c r="T69" s="97" t="s">
        <v>166</v>
      </c>
      <c r="U69" s="97" t="s">
        <v>136</v>
      </c>
      <c r="V69" s="97" t="s">
        <v>635</v>
      </c>
      <c r="Y69" s="249"/>
    </row>
    <row r="70" spans="1:25">
      <c r="A70" s="97">
        <f t="shared" si="17"/>
        <v>70</v>
      </c>
      <c r="B70" s="285" t="s">
        <v>106</v>
      </c>
      <c r="C70" s="277">
        <v>7</v>
      </c>
      <c r="D70" s="277">
        <v>7</v>
      </c>
      <c r="E70" s="277">
        <v>7</v>
      </c>
      <c r="F70" s="277">
        <v>7</v>
      </c>
      <c r="G70" s="277">
        <v>7</v>
      </c>
      <c r="H70" s="277">
        <v>7</v>
      </c>
      <c r="I70" s="277">
        <v>7</v>
      </c>
      <c r="J70" s="277">
        <v>7</v>
      </c>
      <c r="K70" s="277">
        <v>7</v>
      </c>
      <c r="L70" s="277">
        <v>7</v>
      </c>
      <c r="M70" s="277">
        <v>7</v>
      </c>
      <c r="N70" s="277">
        <v>7</v>
      </c>
      <c r="O70" s="274">
        <f t="shared" si="14"/>
        <v>7</v>
      </c>
      <c r="Q70" s="97" t="s">
        <v>8</v>
      </c>
      <c r="R70" s="274">
        <f t="shared" si="15"/>
        <v>84</v>
      </c>
      <c r="S70" s="249" t="str">
        <f t="shared" si="16"/>
        <v>CFG - FTS-3.1 - Fixed NR</v>
      </c>
      <c r="T70" s="97" t="s">
        <v>166</v>
      </c>
      <c r="U70" s="97" t="s">
        <v>136</v>
      </c>
      <c r="V70" s="97" t="s">
        <v>635</v>
      </c>
      <c r="W70" s="249">
        <f>R15+R24+R62+R71</f>
        <v>1032390</v>
      </c>
      <c r="Y70" s="249"/>
    </row>
    <row r="71" spans="1:25">
      <c r="A71" s="97">
        <f t="shared" si="17"/>
        <v>71</v>
      </c>
      <c r="B71" s="286" t="s">
        <v>167</v>
      </c>
      <c r="C71" s="281">
        <f t="shared" ref="C71:N71" si="18">SUM(C64:C70)</f>
        <v>80</v>
      </c>
      <c r="D71" s="281">
        <f t="shared" si="18"/>
        <v>79</v>
      </c>
      <c r="E71" s="281">
        <f t="shared" si="18"/>
        <v>80</v>
      </c>
      <c r="F71" s="281">
        <f t="shared" si="18"/>
        <v>81</v>
      </c>
      <c r="G71" s="281">
        <f t="shared" si="18"/>
        <v>80</v>
      </c>
      <c r="H71" s="281">
        <f t="shared" si="18"/>
        <v>81</v>
      </c>
      <c r="I71" s="281">
        <f t="shared" si="18"/>
        <v>82</v>
      </c>
      <c r="J71" s="281">
        <f t="shared" si="18"/>
        <v>82</v>
      </c>
      <c r="K71" s="281">
        <f t="shared" si="18"/>
        <v>83</v>
      </c>
      <c r="L71" s="281">
        <f t="shared" si="18"/>
        <v>81</v>
      </c>
      <c r="M71" s="281">
        <f t="shared" si="18"/>
        <v>83</v>
      </c>
      <c r="N71" s="281">
        <f t="shared" si="18"/>
        <v>84</v>
      </c>
      <c r="O71" s="281">
        <f>SUM(O64:O70)</f>
        <v>81.333333333333329</v>
      </c>
      <c r="R71" s="274">
        <f t="shared" si="15"/>
        <v>976</v>
      </c>
      <c r="W71" s="249">
        <f>SUM(R56:R58)</f>
        <v>509</v>
      </c>
      <c r="Y71" s="249"/>
    </row>
    <row r="72" spans="1:25">
      <c r="A72" s="97">
        <f t="shared" si="17"/>
        <v>72</v>
      </c>
      <c r="B72" s="284" t="s">
        <v>168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R72" s="97"/>
      <c r="S72" s="249"/>
      <c r="W72" s="249">
        <f>SUM(R257:R260)</f>
        <v>0</v>
      </c>
      <c r="Y72" s="249"/>
    </row>
    <row r="73" spans="1:25">
      <c r="A73" s="97">
        <f t="shared" si="17"/>
        <v>73</v>
      </c>
      <c r="B73" s="152" t="s">
        <v>169</v>
      </c>
      <c r="C73" s="277">
        <v>2</v>
      </c>
      <c r="D73" s="277">
        <v>2</v>
      </c>
      <c r="E73" s="277">
        <v>2</v>
      </c>
      <c r="F73" s="277">
        <v>2</v>
      </c>
      <c r="G73" s="277">
        <v>2</v>
      </c>
      <c r="H73" s="277">
        <v>2</v>
      </c>
      <c r="I73" s="277">
        <v>2</v>
      </c>
      <c r="J73" s="277">
        <v>2</v>
      </c>
      <c r="K73" s="277">
        <v>2</v>
      </c>
      <c r="L73" s="277">
        <v>2</v>
      </c>
      <c r="M73" s="277">
        <v>2</v>
      </c>
      <c r="N73" s="277">
        <v>2</v>
      </c>
      <c r="O73" s="274">
        <f t="shared" ref="O73:O87" si="19">AVERAGE(C73:N73)</f>
        <v>2</v>
      </c>
      <c r="Q73" s="97" t="s">
        <v>8</v>
      </c>
      <c r="R73" s="274">
        <f t="shared" ref="R73:R88" si="20">+SUM(C73:N73)</f>
        <v>24</v>
      </c>
      <c r="U73" s="97" t="s">
        <v>170</v>
      </c>
      <c r="W73" s="249">
        <f>W70-W71+W72</f>
        <v>1031881</v>
      </c>
      <c r="Y73" s="249"/>
    </row>
    <row r="74" spans="1:25">
      <c r="A74" s="97">
        <f t="shared" si="17"/>
        <v>74</v>
      </c>
      <c r="B74" s="152" t="s">
        <v>171</v>
      </c>
      <c r="C74" s="277">
        <v>1</v>
      </c>
      <c r="D74" s="277">
        <v>1</v>
      </c>
      <c r="E74" s="277">
        <v>1</v>
      </c>
      <c r="F74" s="277">
        <v>1</v>
      </c>
      <c r="G74" s="277">
        <v>1</v>
      </c>
      <c r="H74" s="277">
        <v>1</v>
      </c>
      <c r="I74" s="277">
        <v>1</v>
      </c>
      <c r="J74" s="277">
        <v>1</v>
      </c>
      <c r="K74" s="277">
        <v>1</v>
      </c>
      <c r="L74" s="277">
        <v>1</v>
      </c>
      <c r="M74" s="277">
        <v>1</v>
      </c>
      <c r="N74" s="277">
        <v>1</v>
      </c>
      <c r="O74" s="274">
        <f t="shared" si="19"/>
        <v>1</v>
      </c>
      <c r="Q74" s="97" t="s">
        <v>8</v>
      </c>
      <c r="R74" s="274">
        <f t="shared" si="20"/>
        <v>12</v>
      </c>
      <c r="U74" s="97" t="s">
        <v>170</v>
      </c>
      <c r="Y74" s="249"/>
    </row>
    <row r="75" spans="1:25">
      <c r="A75" s="97">
        <f t="shared" si="17"/>
        <v>75</v>
      </c>
      <c r="B75" s="152" t="s">
        <v>172</v>
      </c>
      <c r="C75" s="277">
        <v>1</v>
      </c>
      <c r="D75" s="277">
        <v>1</v>
      </c>
      <c r="E75" s="277">
        <v>1</v>
      </c>
      <c r="F75" s="277">
        <v>1</v>
      </c>
      <c r="G75" s="277">
        <v>1</v>
      </c>
      <c r="H75" s="277">
        <v>1</v>
      </c>
      <c r="I75" s="277">
        <v>1</v>
      </c>
      <c r="J75" s="277">
        <v>1</v>
      </c>
      <c r="K75" s="277">
        <v>1</v>
      </c>
      <c r="L75" s="277">
        <v>1</v>
      </c>
      <c r="M75" s="277">
        <v>1</v>
      </c>
      <c r="N75" s="277">
        <v>1</v>
      </c>
      <c r="O75" s="274">
        <f t="shared" si="19"/>
        <v>1</v>
      </c>
      <c r="Q75" s="97" t="s">
        <v>8</v>
      </c>
      <c r="R75" s="274">
        <f t="shared" si="20"/>
        <v>12</v>
      </c>
      <c r="U75" s="97" t="s">
        <v>170</v>
      </c>
      <c r="Y75" s="249"/>
    </row>
    <row r="76" spans="1:25">
      <c r="A76" s="97">
        <f t="shared" si="17"/>
        <v>76</v>
      </c>
      <c r="B76" s="152" t="s">
        <v>173</v>
      </c>
      <c r="C76" s="277">
        <v>1</v>
      </c>
      <c r="D76" s="277">
        <v>1</v>
      </c>
      <c r="E76" s="277">
        <v>1</v>
      </c>
      <c r="F76" s="277">
        <v>1</v>
      </c>
      <c r="G76" s="277">
        <v>1</v>
      </c>
      <c r="H76" s="277">
        <v>1</v>
      </c>
      <c r="I76" s="277">
        <v>1</v>
      </c>
      <c r="J76" s="277">
        <v>1</v>
      </c>
      <c r="K76" s="277">
        <v>1</v>
      </c>
      <c r="L76" s="277">
        <v>1</v>
      </c>
      <c r="M76" s="277">
        <v>1</v>
      </c>
      <c r="N76" s="277">
        <v>1</v>
      </c>
      <c r="O76" s="274">
        <f t="shared" si="19"/>
        <v>1</v>
      </c>
      <c r="Q76" s="97" t="s">
        <v>8</v>
      </c>
      <c r="R76" s="274">
        <f t="shared" si="20"/>
        <v>12</v>
      </c>
      <c r="U76" s="97" t="s">
        <v>170</v>
      </c>
      <c r="Y76" s="249"/>
    </row>
    <row r="77" spans="1:25">
      <c r="A77" s="97">
        <f t="shared" si="17"/>
        <v>77</v>
      </c>
      <c r="B77" s="152" t="s">
        <v>174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  <c r="O77" s="274">
        <f t="shared" si="19"/>
        <v>0</v>
      </c>
      <c r="Q77" s="97" t="s">
        <v>8</v>
      </c>
      <c r="R77" s="274">
        <f t="shared" si="20"/>
        <v>0</v>
      </c>
      <c r="U77" s="97" t="s">
        <v>170</v>
      </c>
      <c r="Y77" s="249"/>
    </row>
    <row r="78" spans="1:25">
      <c r="A78" s="97">
        <f t="shared" si="17"/>
        <v>78</v>
      </c>
      <c r="B78" s="152" t="s">
        <v>175</v>
      </c>
      <c r="C78" s="277">
        <v>1</v>
      </c>
      <c r="D78" s="277">
        <v>1</v>
      </c>
      <c r="E78" s="277">
        <v>1</v>
      </c>
      <c r="F78" s="277">
        <v>1</v>
      </c>
      <c r="G78" s="277">
        <v>1</v>
      </c>
      <c r="H78" s="277">
        <v>1</v>
      </c>
      <c r="I78" s="277">
        <v>1</v>
      </c>
      <c r="J78" s="277">
        <v>1</v>
      </c>
      <c r="K78" s="277">
        <v>1</v>
      </c>
      <c r="L78" s="277">
        <v>1</v>
      </c>
      <c r="M78" s="277">
        <v>1</v>
      </c>
      <c r="N78" s="277">
        <v>1</v>
      </c>
      <c r="O78" s="274">
        <f t="shared" si="19"/>
        <v>1</v>
      </c>
      <c r="Q78" s="97" t="s">
        <v>8</v>
      </c>
      <c r="R78" s="274">
        <f t="shared" si="20"/>
        <v>12</v>
      </c>
      <c r="U78" s="97" t="s">
        <v>170</v>
      </c>
      <c r="Y78" s="249"/>
    </row>
    <row r="79" spans="1:25" ht="10.5" customHeight="1">
      <c r="A79" s="97">
        <f t="shared" si="17"/>
        <v>79</v>
      </c>
      <c r="B79" s="152" t="s">
        <v>176</v>
      </c>
      <c r="C79" s="277">
        <v>1</v>
      </c>
      <c r="D79" s="277">
        <v>1</v>
      </c>
      <c r="E79" s="277">
        <v>1</v>
      </c>
      <c r="F79" s="277">
        <v>1</v>
      </c>
      <c r="G79" s="277">
        <v>1</v>
      </c>
      <c r="H79" s="277">
        <v>1</v>
      </c>
      <c r="I79" s="277">
        <v>1</v>
      </c>
      <c r="J79" s="277">
        <v>1</v>
      </c>
      <c r="K79" s="277">
        <v>1</v>
      </c>
      <c r="L79" s="277">
        <v>1</v>
      </c>
      <c r="M79" s="277">
        <v>1</v>
      </c>
      <c r="N79" s="277">
        <v>1</v>
      </c>
      <c r="O79" s="274">
        <f t="shared" si="19"/>
        <v>1</v>
      </c>
      <c r="Q79" s="97" t="s">
        <v>8</v>
      </c>
      <c r="R79" s="274">
        <f t="shared" si="20"/>
        <v>12</v>
      </c>
      <c r="U79" s="97" t="s">
        <v>170</v>
      </c>
      <c r="Y79" s="249"/>
    </row>
    <row r="80" spans="1:25">
      <c r="A80" s="97">
        <f t="shared" si="17"/>
        <v>80</v>
      </c>
      <c r="B80" s="152" t="s">
        <v>177</v>
      </c>
      <c r="C80" s="277">
        <v>1</v>
      </c>
      <c r="D80" s="277">
        <v>1</v>
      </c>
      <c r="E80" s="277">
        <v>1</v>
      </c>
      <c r="F80" s="277">
        <v>1</v>
      </c>
      <c r="G80" s="277">
        <v>1</v>
      </c>
      <c r="H80" s="277">
        <v>1</v>
      </c>
      <c r="I80" s="277">
        <v>1</v>
      </c>
      <c r="J80" s="277">
        <v>1</v>
      </c>
      <c r="K80" s="277">
        <v>1</v>
      </c>
      <c r="L80" s="277">
        <v>1</v>
      </c>
      <c r="M80" s="277">
        <v>1</v>
      </c>
      <c r="N80" s="277">
        <v>1</v>
      </c>
      <c r="O80" s="274">
        <f t="shared" si="19"/>
        <v>1</v>
      </c>
      <c r="Q80" s="97" t="s">
        <v>7</v>
      </c>
      <c r="R80" s="274">
        <f t="shared" si="20"/>
        <v>12</v>
      </c>
      <c r="U80" s="97" t="s">
        <v>178</v>
      </c>
      <c r="Y80" s="249"/>
    </row>
    <row r="81" spans="1:25">
      <c r="A81" s="97">
        <f t="shared" si="17"/>
        <v>81</v>
      </c>
      <c r="B81" s="152" t="s">
        <v>179</v>
      </c>
      <c r="C81" s="277">
        <v>1</v>
      </c>
      <c r="D81" s="277">
        <v>1</v>
      </c>
      <c r="E81" s="277">
        <v>1</v>
      </c>
      <c r="F81" s="277">
        <v>1</v>
      </c>
      <c r="G81" s="277">
        <v>1</v>
      </c>
      <c r="H81" s="277">
        <v>1</v>
      </c>
      <c r="I81" s="277">
        <v>1</v>
      </c>
      <c r="J81" s="277">
        <v>1</v>
      </c>
      <c r="K81" s="277">
        <v>1</v>
      </c>
      <c r="L81" s="277">
        <v>1</v>
      </c>
      <c r="M81" s="277">
        <v>1</v>
      </c>
      <c r="N81" s="277">
        <v>1</v>
      </c>
      <c r="O81" s="274">
        <f t="shared" si="19"/>
        <v>1</v>
      </c>
      <c r="Q81" s="97" t="s">
        <v>8</v>
      </c>
      <c r="R81" s="274">
        <f t="shared" si="20"/>
        <v>12</v>
      </c>
      <c r="U81" s="97" t="s">
        <v>170</v>
      </c>
      <c r="Y81" s="249"/>
    </row>
    <row r="82" spans="1:25">
      <c r="A82" s="97">
        <f t="shared" si="17"/>
        <v>82</v>
      </c>
      <c r="B82" s="152" t="s">
        <v>180</v>
      </c>
      <c r="C82" s="277">
        <v>1</v>
      </c>
      <c r="D82" s="277">
        <v>1</v>
      </c>
      <c r="E82" s="277">
        <v>1</v>
      </c>
      <c r="F82" s="277">
        <v>1</v>
      </c>
      <c r="G82" s="277">
        <v>1</v>
      </c>
      <c r="H82" s="277">
        <v>1</v>
      </c>
      <c r="I82" s="277">
        <v>1</v>
      </c>
      <c r="J82" s="277">
        <v>1</v>
      </c>
      <c r="K82" s="277">
        <v>1</v>
      </c>
      <c r="L82" s="277">
        <v>1</v>
      </c>
      <c r="M82" s="277">
        <v>1</v>
      </c>
      <c r="N82" s="277">
        <v>1</v>
      </c>
      <c r="O82" s="274">
        <f t="shared" si="19"/>
        <v>1</v>
      </c>
      <c r="Q82" s="97" t="s">
        <v>8</v>
      </c>
      <c r="R82" s="274">
        <f t="shared" si="20"/>
        <v>12</v>
      </c>
      <c r="U82" s="97" t="s">
        <v>170</v>
      </c>
      <c r="Y82" s="249"/>
    </row>
    <row r="83" spans="1:25">
      <c r="A83" s="97">
        <f t="shared" si="17"/>
        <v>83</v>
      </c>
      <c r="B83" s="152" t="s">
        <v>181</v>
      </c>
      <c r="C83" s="277">
        <v>1</v>
      </c>
      <c r="D83" s="277">
        <v>1</v>
      </c>
      <c r="E83" s="277">
        <v>1</v>
      </c>
      <c r="F83" s="277">
        <v>1</v>
      </c>
      <c r="G83" s="277">
        <v>1</v>
      </c>
      <c r="H83" s="277">
        <v>1</v>
      </c>
      <c r="I83" s="277">
        <v>1</v>
      </c>
      <c r="J83" s="277">
        <v>1</v>
      </c>
      <c r="K83" s="277">
        <v>1</v>
      </c>
      <c r="L83" s="277">
        <v>1</v>
      </c>
      <c r="M83" s="277">
        <v>1</v>
      </c>
      <c r="N83" s="277">
        <v>1</v>
      </c>
      <c r="O83" s="274">
        <f t="shared" si="19"/>
        <v>1</v>
      </c>
      <c r="Q83" s="97" t="s">
        <v>8</v>
      </c>
      <c r="R83" s="274">
        <f t="shared" si="20"/>
        <v>12</v>
      </c>
      <c r="U83" s="97" t="s">
        <v>170</v>
      </c>
      <c r="Y83" s="249"/>
    </row>
    <row r="84" spans="1:25">
      <c r="A84" s="97">
        <f t="shared" si="17"/>
        <v>84</v>
      </c>
      <c r="B84" s="288" t="s">
        <v>182</v>
      </c>
      <c r="C84" s="277">
        <v>0</v>
      </c>
      <c r="D84" s="277">
        <v>0</v>
      </c>
      <c r="E84" s="277">
        <v>0</v>
      </c>
      <c r="F84" s="277">
        <v>0</v>
      </c>
      <c r="G84" s="277">
        <v>0</v>
      </c>
      <c r="H84" s="277">
        <v>0</v>
      </c>
      <c r="I84" s="277">
        <v>0</v>
      </c>
      <c r="J84" s="277">
        <v>0</v>
      </c>
      <c r="K84" s="277">
        <v>0</v>
      </c>
      <c r="L84" s="277">
        <v>0</v>
      </c>
      <c r="M84" s="277">
        <v>0</v>
      </c>
      <c r="N84" s="277">
        <v>0</v>
      </c>
      <c r="O84" s="274">
        <f t="shared" si="19"/>
        <v>0</v>
      </c>
      <c r="Q84" s="97" t="s">
        <v>8</v>
      </c>
      <c r="R84" s="274">
        <f t="shared" si="20"/>
        <v>0</v>
      </c>
      <c r="U84" s="97" t="s">
        <v>170</v>
      </c>
      <c r="Y84" s="249"/>
    </row>
    <row r="85" spans="1:25">
      <c r="A85" s="97">
        <f t="shared" si="17"/>
        <v>85</v>
      </c>
      <c r="B85" s="152" t="s">
        <v>183</v>
      </c>
      <c r="C85" s="277">
        <v>1</v>
      </c>
      <c r="D85" s="277">
        <v>1</v>
      </c>
      <c r="E85" s="277">
        <v>1</v>
      </c>
      <c r="F85" s="277">
        <v>1</v>
      </c>
      <c r="G85" s="277">
        <v>1</v>
      </c>
      <c r="H85" s="277">
        <v>1</v>
      </c>
      <c r="I85" s="277">
        <v>1</v>
      </c>
      <c r="J85" s="277">
        <v>1</v>
      </c>
      <c r="K85" s="277">
        <v>1</v>
      </c>
      <c r="L85" s="277">
        <v>1</v>
      </c>
      <c r="M85" s="277">
        <v>1</v>
      </c>
      <c r="N85" s="277">
        <v>1</v>
      </c>
      <c r="O85" s="274">
        <f t="shared" si="19"/>
        <v>1</v>
      </c>
      <c r="Q85" s="97" t="s">
        <v>7</v>
      </c>
      <c r="R85" s="274">
        <f t="shared" si="20"/>
        <v>12</v>
      </c>
      <c r="U85" s="97" t="s">
        <v>178</v>
      </c>
      <c r="Y85" s="249"/>
    </row>
    <row r="86" spans="1:25">
      <c r="A86" s="97">
        <f t="shared" si="17"/>
        <v>86</v>
      </c>
      <c r="B86" s="152" t="s">
        <v>184</v>
      </c>
      <c r="C86" s="277">
        <v>1</v>
      </c>
      <c r="D86" s="277">
        <v>1</v>
      </c>
      <c r="E86" s="277">
        <v>1</v>
      </c>
      <c r="F86" s="277">
        <v>1</v>
      </c>
      <c r="G86" s="277">
        <v>1</v>
      </c>
      <c r="H86" s="277">
        <v>1</v>
      </c>
      <c r="I86" s="277">
        <v>1</v>
      </c>
      <c r="J86" s="277">
        <v>1</v>
      </c>
      <c r="K86" s="277">
        <v>1</v>
      </c>
      <c r="L86" s="277">
        <v>1</v>
      </c>
      <c r="M86" s="277">
        <v>1</v>
      </c>
      <c r="N86" s="277">
        <v>1</v>
      </c>
      <c r="O86" s="274">
        <f t="shared" si="19"/>
        <v>1</v>
      </c>
      <c r="Q86" s="97" t="s">
        <v>7</v>
      </c>
      <c r="R86" s="274">
        <f t="shared" si="20"/>
        <v>12</v>
      </c>
      <c r="U86" s="97" t="s">
        <v>178</v>
      </c>
      <c r="Y86" s="249"/>
    </row>
    <row r="87" spans="1:25">
      <c r="A87" s="97">
        <f t="shared" si="17"/>
        <v>87</v>
      </c>
      <c r="B87" s="288" t="s">
        <v>185</v>
      </c>
      <c r="C87" s="277">
        <v>1</v>
      </c>
      <c r="D87" s="277">
        <v>1</v>
      </c>
      <c r="E87" s="277">
        <v>1</v>
      </c>
      <c r="F87" s="277">
        <v>1</v>
      </c>
      <c r="G87" s="277">
        <v>1</v>
      </c>
      <c r="H87" s="277">
        <v>1</v>
      </c>
      <c r="I87" s="277">
        <v>1</v>
      </c>
      <c r="J87" s="277">
        <v>1</v>
      </c>
      <c r="K87" s="277">
        <v>1</v>
      </c>
      <c r="L87" s="277">
        <v>1</v>
      </c>
      <c r="M87" s="277">
        <v>1</v>
      </c>
      <c r="N87" s="277">
        <v>1</v>
      </c>
      <c r="O87" s="283">
        <f t="shared" si="19"/>
        <v>1</v>
      </c>
      <c r="Q87" s="97" t="s">
        <v>8</v>
      </c>
      <c r="R87" s="274">
        <f t="shared" si="20"/>
        <v>12</v>
      </c>
      <c r="U87" s="97" t="s">
        <v>170</v>
      </c>
      <c r="Y87" s="249"/>
    </row>
    <row r="88" spans="1:25">
      <c r="A88" s="97">
        <f t="shared" si="17"/>
        <v>88</v>
      </c>
      <c r="B88" s="286" t="s">
        <v>186</v>
      </c>
      <c r="C88" s="281">
        <f>SUM(C73:C87)</f>
        <v>14</v>
      </c>
      <c r="D88" s="281">
        <f t="shared" ref="D88:N88" si="21">SUM(D73:D87)</f>
        <v>14</v>
      </c>
      <c r="E88" s="281">
        <f t="shared" si="21"/>
        <v>14</v>
      </c>
      <c r="F88" s="281">
        <f t="shared" si="21"/>
        <v>14</v>
      </c>
      <c r="G88" s="281">
        <f t="shared" si="21"/>
        <v>14</v>
      </c>
      <c r="H88" s="281">
        <f t="shared" si="21"/>
        <v>14</v>
      </c>
      <c r="I88" s="281">
        <f t="shared" si="21"/>
        <v>14</v>
      </c>
      <c r="J88" s="281">
        <f t="shared" si="21"/>
        <v>14</v>
      </c>
      <c r="K88" s="281">
        <f t="shared" si="21"/>
        <v>14</v>
      </c>
      <c r="L88" s="281">
        <f t="shared" si="21"/>
        <v>14</v>
      </c>
      <c r="M88" s="281">
        <f t="shared" si="21"/>
        <v>14</v>
      </c>
      <c r="N88" s="281">
        <f t="shared" si="21"/>
        <v>14</v>
      </c>
      <c r="O88" s="274">
        <f>SUM(O73:O87)</f>
        <v>14</v>
      </c>
      <c r="R88" s="274">
        <f t="shared" si="20"/>
        <v>168</v>
      </c>
      <c r="Y88" s="249"/>
    </row>
    <row r="89" spans="1:25">
      <c r="A89" s="97">
        <f t="shared" si="17"/>
        <v>89</v>
      </c>
      <c r="B89" s="284" t="s">
        <v>187</v>
      </c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R89" s="97"/>
      <c r="Y89" s="249"/>
    </row>
    <row r="90" spans="1:25">
      <c r="A90" s="97">
        <f t="shared" si="17"/>
        <v>90</v>
      </c>
      <c r="B90" s="288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4"/>
      <c r="Q90" s="97" t="s">
        <v>8</v>
      </c>
      <c r="R90" s="274">
        <f>+SUM(C90:N90)</f>
        <v>0</v>
      </c>
      <c r="U90" s="97" t="s">
        <v>170</v>
      </c>
      <c r="Y90" s="249"/>
    </row>
    <row r="91" spans="1:25">
      <c r="A91" s="97">
        <f t="shared" si="17"/>
        <v>91</v>
      </c>
      <c r="B91" s="152" t="s">
        <v>188</v>
      </c>
      <c r="C91" s="277">
        <v>1</v>
      </c>
      <c r="D91" s="277">
        <v>1</v>
      </c>
      <c r="E91" s="277">
        <v>1</v>
      </c>
      <c r="F91" s="277">
        <v>1</v>
      </c>
      <c r="G91" s="277">
        <v>1</v>
      </c>
      <c r="H91" s="277">
        <v>1</v>
      </c>
      <c r="I91" s="277">
        <v>1</v>
      </c>
      <c r="J91" s="277">
        <v>1</v>
      </c>
      <c r="K91" s="277">
        <v>1</v>
      </c>
      <c r="L91" s="277">
        <v>1</v>
      </c>
      <c r="M91" s="277">
        <v>1</v>
      </c>
      <c r="N91" s="277">
        <v>1</v>
      </c>
      <c r="O91" s="274">
        <f>AVERAGE(C91:N91)</f>
        <v>1</v>
      </c>
      <c r="Q91" s="97" t="s">
        <v>8</v>
      </c>
      <c r="R91" s="274">
        <f>+SUM(C91:N91)</f>
        <v>12</v>
      </c>
      <c r="U91" s="97" t="s">
        <v>170</v>
      </c>
      <c r="Y91" s="249"/>
    </row>
    <row r="92" spans="1:25">
      <c r="A92" s="97">
        <f t="shared" si="17"/>
        <v>92</v>
      </c>
      <c r="B92" s="152" t="s">
        <v>189</v>
      </c>
      <c r="C92" s="277">
        <v>1</v>
      </c>
      <c r="D92" s="277">
        <v>1</v>
      </c>
      <c r="E92" s="277">
        <v>1</v>
      </c>
      <c r="F92" s="277">
        <v>1</v>
      </c>
      <c r="G92" s="277">
        <v>1</v>
      </c>
      <c r="H92" s="277">
        <v>1</v>
      </c>
      <c r="I92" s="277">
        <v>1</v>
      </c>
      <c r="J92" s="277">
        <v>1</v>
      </c>
      <c r="K92" s="277">
        <v>1</v>
      </c>
      <c r="L92" s="277">
        <v>1</v>
      </c>
      <c r="M92" s="277">
        <v>1</v>
      </c>
      <c r="N92" s="277">
        <v>1</v>
      </c>
      <c r="O92" s="274">
        <f>AVERAGE(C92:N92)</f>
        <v>1</v>
      </c>
      <c r="Q92" s="97" t="s">
        <v>7</v>
      </c>
      <c r="R92" s="274">
        <f>+SUM(C92:N92)</f>
        <v>12</v>
      </c>
      <c r="U92" s="97" t="s">
        <v>178</v>
      </c>
      <c r="Y92" s="249"/>
    </row>
    <row r="93" spans="1:25">
      <c r="A93" s="97">
        <f t="shared" si="17"/>
        <v>93</v>
      </c>
      <c r="B93" s="152" t="s">
        <v>217</v>
      </c>
      <c r="C93" s="277">
        <v>1</v>
      </c>
      <c r="D93" s="277">
        <v>1</v>
      </c>
      <c r="E93" s="277">
        <v>1</v>
      </c>
      <c r="F93" s="277">
        <v>1</v>
      </c>
      <c r="G93" s="277">
        <v>1</v>
      </c>
      <c r="H93" s="277">
        <v>1</v>
      </c>
      <c r="I93" s="277">
        <v>1</v>
      </c>
      <c r="J93" s="277">
        <v>1</v>
      </c>
      <c r="K93" s="277">
        <v>1</v>
      </c>
      <c r="L93" s="277">
        <v>1</v>
      </c>
      <c r="M93" s="277">
        <v>1</v>
      </c>
      <c r="N93" s="277">
        <v>1</v>
      </c>
      <c r="O93" s="274">
        <f>AVERAGE(C93:N93)</f>
        <v>1</v>
      </c>
      <c r="Q93" s="97" t="s">
        <v>7</v>
      </c>
      <c r="R93" s="274">
        <f>+SUM(C93:N93)</f>
        <v>12</v>
      </c>
      <c r="U93" s="97" t="s">
        <v>178</v>
      </c>
      <c r="Y93" s="249"/>
    </row>
    <row r="94" spans="1:25">
      <c r="A94" s="97">
        <f t="shared" si="17"/>
        <v>94</v>
      </c>
      <c r="B94" s="286" t="s">
        <v>191</v>
      </c>
      <c r="C94" s="281">
        <f>SUM(C90:C93)</f>
        <v>3</v>
      </c>
      <c r="D94" s="281">
        <f t="shared" ref="D94:O94" si="22">SUM(D90:D93)</f>
        <v>3</v>
      </c>
      <c r="E94" s="281">
        <f t="shared" si="22"/>
        <v>3</v>
      </c>
      <c r="F94" s="281">
        <f t="shared" si="22"/>
        <v>3</v>
      </c>
      <c r="G94" s="281">
        <f t="shared" si="22"/>
        <v>3</v>
      </c>
      <c r="H94" s="281">
        <f t="shared" si="22"/>
        <v>3</v>
      </c>
      <c r="I94" s="281">
        <f t="shared" si="22"/>
        <v>3</v>
      </c>
      <c r="J94" s="281">
        <f t="shared" si="22"/>
        <v>3</v>
      </c>
      <c r="K94" s="281">
        <f t="shared" si="22"/>
        <v>3</v>
      </c>
      <c r="L94" s="281">
        <f t="shared" si="22"/>
        <v>3</v>
      </c>
      <c r="M94" s="281">
        <f t="shared" si="22"/>
        <v>3</v>
      </c>
      <c r="N94" s="281">
        <f t="shared" si="22"/>
        <v>3</v>
      </c>
      <c r="O94" s="281">
        <f t="shared" si="22"/>
        <v>3</v>
      </c>
      <c r="R94" s="274">
        <f>+SUM(C94:N94)</f>
        <v>36</v>
      </c>
      <c r="Y94" s="249"/>
    </row>
    <row r="95" spans="1:25">
      <c r="A95" s="97">
        <f t="shared" si="17"/>
        <v>95</v>
      </c>
      <c r="B95" s="28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Y95" s="249"/>
    </row>
    <row r="96" spans="1:25">
      <c r="A96" s="97">
        <f t="shared" si="17"/>
        <v>96</v>
      </c>
      <c r="B96" s="152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4">
        <v>0</v>
      </c>
      <c r="Q96" s="97" t="s">
        <v>8</v>
      </c>
      <c r="U96" s="97" t="s">
        <v>170</v>
      </c>
      <c r="Y96" s="249"/>
    </row>
    <row r="97" spans="1:25">
      <c r="A97" s="97">
        <f t="shared" si="17"/>
        <v>97</v>
      </c>
      <c r="B97" s="153" t="s">
        <v>172</v>
      </c>
      <c r="C97" s="277">
        <v>0</v>
      </c>
      <c r="D97" s="277">
        <v>0</v>
      </c>
      <c r="E97" s="277">
        <v>0</v>
      </c>
      <c r="F97" s="277">
        <v>0</v>
      </c>
      <c r="G97" s="277">
        <v>0</v>
      </c>
      <c r="H97" s="277">
        <v>0</v>
      </c>
      <c r="I97" s="277">
        <v>0</v>
      </c>
      <c r="J97" s="277">
        <v>0</v>
      </c>
      <c r="K97" s="277">
        <v>0</v>
      </c>
      <c r="L97" s="277">
        <v>0</v>
      </c>
      <c r="M97" s="277">
        <v>0</v>
      </c>
      <c r="N97" s="277"/>
      <c r="O97" s="274">
        <f>AVERAGE(C97:N97)</f>
        <v>0</v>
      </c>
      <c r="Q97" s="97" t="s">
        <v>8</v>
      </c>
      <c r="R97" s="274">
        <f>+SUM(C97:N97)</f>
        <v>0</v>
      </c>
      <c r="U97" s="97" t="s">
        <v>170</v>
      </c>
      <c r="Y97" s="249"/>
    </row>
    <row r="98" spans="1:25">
      <c r="A98" s="97">
        <f t="shared" si="17"/>
        <v>98</v>
      </c>
      <c r="B98" s="286" t="s">
        <v>193</v>
      </c>
      <c r="C98" s="281">
        <f t="shared" ref="C98:N98" si="23">SUM(C96:C97)</f>
        <v>0</v>
      </c>
      <c r="D98" s="281">
        <f t="shared" si="23"/>
        <v>0</v>
      </c>
      <c r="E98" s="281">
        <f t="shared" si="23"/>
        <v>0</v>
      </c>
      <c r="F98" s="281">
        <f t="shared" si="23"/>
        <v>0</v>
      </c>
      <c r="G98" s="281">
        <f t="shared" si="23"/>
        <v>0</v>
      </c>
      <c r="H98" s="281">
        <f t="shared" si="23"/>
        <v>0</v>
      </c>
      <c r="I98" s="281">
        <f t="shared" si="23"/>
        <v>0</v>
      </c>
      <c r="J98" s="281">
        <f t="shared" si="23"/>
        <v>0</v>
      </c>
      <c r="K98" s="281">
        <f t="shared" si="23"/>
        <v>0</v>
      </c>
      <c r="L98" s="281">
        <f t="shared" si="23"/>
        <v>0</v>
      </c>
      <c r="M98" s="281">
        <f t="shared" si="23"/>
        <v>0</v>
      </c>
      <c r="N98" s="281">
        <f t="shared" si="23"/>
        <v>0</v>
      </c>
      <c r="O98" s="281">
        <f>AVERAGE(C98:N98)</f>
        <v>0</v>
      </c>
      <c r="R98" s="274">
        <f>+SUM(C98:N98)</f>
        <v>0</v>
      </c>
      <c r="Y98" s="249"/>
    </row>
    <row r="99" spans="1:25">
      <c r="A99" s="97">
        <f t="shared" si="17"/>
        <v>99</v>
      </c>
      <c r="B99" s="286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R99" s="97"/>
      <c r="Y99" s="249"/>
    </row>
    <row r="100" spans="1:25">
      <c r="A100" s="97">
        <f t="shared" si="17"/>
        <v>100</v>
      </c>
      <c r="B100" s="289" t="s">
        <v>194</v>
      </c>
      <c r="C100" s="290">
        <f t="shared" ref="C100:O100" si="24">+C15+C24+C62+C71+C88+C94+C98</f>
        <v>84448</v>
      </c>
      <c r="D100" s="290">
        <f t="shared" si="24"/>
        <v>84656</v>
      </c>
      <c r="E100" s="290">
        <f t="shared" si="24"/>
        <v>84946</v>
      </c>
      <c r="F100" s="290">
        <f t="shared" si="24"/>
        <v>85356</v>
      </c>
      <c r="G100" s="290">
        <f t="shared" si="24"/>
        <v>85420</v>
      </c>
      <c r="H100" s="290">
        <f t="shared" si="24"/>
        <v>85702</v>
      </c>
      <c r="I100" s="290">
        <f t="shared" si="24"/>
        <v>86187</v>
      </c>
      <c r="J100" s="290">
        <f t="shared" si="24"/>
        <v>86337</v>
      </c>
      <c r="K100" s="290">
        <f t="shared" si="24"/>
        <v>86658</v>
      </c>
      <c r="L100" s="290">
        <f t="shared" si="24"/>
        <v>87141</v>
      </c>
      <c r="M100" s="290">
        <f t="shared" si="24"/>
        <v>87716</v>
      </c>
      <c r="N100" s="290">
        <f t="shared" si="24"/>
        <v>88027</v>
      </c>
      <c r="O100" s="291">
        <f t="shared" si="24"/>
        <v>86049.499999999985</v>
      </c>
      <c r="R100" s="97"/>
      <c r="Y100" s="249"/>
    </row>
    <row r="101" spans="1:25">
      <c r="A101" s="97">
        <f t="shared" si="17"/>
        <v>101</v>
      </c>
      <c r="B101" s="292" t="s">
        <v>195</v>
      </c>
      <c r="C101" s="274">
        <f t="shared" ref="C101:M101" si="25">C100-C94-C88</f>
        <v>84431</v>
      </c>
      <c r="D101" s="274">
        <f t="shared" si="25"/>
        <v>84639</v>
      </c>
      <c r="E101" s="274">
        <f t="shared" si="25"/>
        <v>84929</v>
      </c>
      <c r="F101" s="274">
        <f t="shared" si="25"/>
        <v>85339</v>
      </c>
      <c r="G101" s="274">
        <f t="shared" si="25"/>
        <v>85403</v>
      </c>
      <c r="H101" s="274">
        <f t="shared" si="25"/>
        <v>85685</v>
      </c>
      <c r="I101" s="274">
        <f t="shared" si="25"/>
        <v>86170</v>
      </c>
      <c r="J101" s="274">
        <f t="shared" si="25"/>
        <v>86320</v>
      </c>
      <c r="K101" s="274">
        <f t="shared" si="25"/>
        <v>86641</v>
      </c>
      <c r="L101" s="274">
        <f t="shared" si="25"/>
        <v>87124</v>
      </c>
      <c r="M101" s="274">
        <f t="shared" si="25"/>
        <v>87699</v>
      </c>
      <c r="N101" s="274">
        <f>N100-N94-N88</f>
        <v>88010</v>
      </c>
      <c r="O101" s="274">
        <f>O100-O94-O88</f>
        <v>86032.499999999985</v>
      </c>
      <c r="R101" s="97"/>
      <c r="Y101" s="249"/>
    </row>
    <row r="102" spans="1:25">
      <c r="A102" s="97">
        <f t="shared" si="17"/>
        <v>102</v>
      </c>
      <c r="B102" s="152" t="s">
        <v>196</v>
      </c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>
        <v>1</v>
      </c>
      <c r="O102" s="274">
        <f>AVERAGE(C102:N102)</f>
        <v>1</v>
      </c>
      <c r="Q102" s="97" t="s">
        <v>7</v>
      </c>
      <c r="R102" s="274">
        <f>+SUM(C102:N102)</f>
        <v>1</v>
      </c>
      <c r="U102" s="97" t="s">
        <v>178</v>
      </c>
      <c r="Y102" s="249"/>
    </row>
    <row r="103" spans="1:25">
      <c r="A103" s="97">
        <f t="shared" si="17"/>
        <v>103</v>
      </c>
      <c r="B103" s="152" t="s">
        <v>197</v>
      </c>
      <c r="C103" s="277">
        <v>1</v>
      </c>
      <c r="D103" s="277">
        <v>1</v>
      </c>
      <c r="E103" s="277">
        <v>1</v>
      </c>
      <c r="F103" s="277">
        <v>1</v>
      </c>
      <c r="G103" s="277">
        <v>1</v>
      </c>
      <c r="H103" s="277">
        <v>1</v>
      </c>
      <c r="I103" s="277">
        <v>1</v>
      </c>
      <c r="J103" s="277">
        <v>1</v>
      </c>
      <c r="K103" s="277">
        <v>1</v>
      </c>
      <c r="L103" s="277">
        <v>1</v>
      </c>
      <c r="M103" s="277">
        <v>1</v>
      </c>
      <c r="N103" s="277">
        <v>1</v>
      </c>
      <c r="O103" s="274">
        <f>AVERAGE(C103:N103)</f>
        <v>1</v>
      </c>
      <c r="Q103" s="97" t="s">
        <v>8</v>
      </c>
      <c r="R103" s="274">
        <f>+SUM(C103:N103)</f>
        <v>12</v>
      </c>
      <c r="U103" s="97" t="s">
        <v>170</v>
      </c>
      <c r="Y103" s="249"/>
    </row>
    <row r="104" spans="1:25">
      <c r="A104" s="97">
        <f t="shared" si="17"/>
        <v>104</v>
      </c>
      <c r="B104" s="153" t="s">
        <v>198</v>
      </c>
      <c r="C104" s="277">
        <v>1</v>
      </c>
      <c r="D104" s="277">
        <v>1</v>
      </c>
      <c r="E104" s="277">
        <v>1</v>
      </c>
      <c r="F104" s="277">
        <v>1</v>
      </c>
      <c r="G104" s="277">
        <v>1</v>
      </c>
      <c r="H104" s="277">
        <v>1</v>
      </c>
      <c r="I104" s="277">
        <v>1</v>
      </c>
      <c r="J104" s="277">
        <v>1</v>
      </c>
      <c r="K104" s="277">
        <v>1</v>
      </c>
      <c r="L104" s="277">
        <v>1</v>
      </c>
      <c r="M104" s="277">
        <v>1</v>
      </c>
      <c r="N104" s="277">
        <v>1</v>
      </c>
      <c r="O104" s="283">
        <f>AVERAGE(C104:N104)</f>
        <v>1</v>
      </c>
      <c r="Q104" s="97" t="s">
        <v>8</v>
      </c>
      <c r="R104" s="274">
        <f>+SUM(C104:N104)</f>
        <v>12</v>
      </c>
      <c r="U104" s="97" t="s">
        <v>170</v>
      </c>
      <c r="Y104" s="249"/>
    </row>
    <row r="105" spans="1:25">
      <c r="A105" s="97">
        <f t="shared" si="17"/>
        <v>105</v>
      </c>
      <c r="B105" s="286" t="s">
        <v>199</v>
      </c>
      <c r="C105" s="281">
        <f>SUM(C102:C104)</f>
        <v>2</v>
      </c>
      <c r="D105" s="281">
        <f t="shared" ref="D105:O105" si="26">SUM(D102:D104)</f>
        <v>2</v>
      </c>
      <c r="E105" s="281">
        <f t="shared" si="26"/>
        <v>2</v>
      </c>
      <c r="F105" s="281">
        <f t="shared" si="26"/>
        <v>2</v>
      </c>
      <c r="G105" s="281">
        <f t="shared" si="26"/>
        <v>2</v>
      </c>
      <c r="H105" s="281">
        <f t="shared" si="26"/>
        <v>2</v>
      </c>
      <c r="I105" s="281">
        <f t="shared" si="26"/>
        <v>2</v>
      </c>
      <c r="J105" s="281">
        <f t="shared" si="26"/>
        <v>2</v>
      </c>
      <c r="K105" s="281">
        <f t="shared" si="26"/>
        <v>2</v>
      </c>
      <c r="L105" s="281">
        <f t="shared" si="26"/>
        <v>2</v>
      </c>
      <c r="M105" s="281">
        <f t="shared" si="26"/>
        <v>2</v>
      </c>
      <c r="N105" s="281">
        <f t="shared" si="26"/>
        <v>3</v>
      </c>
      <c r="O105" s="281">
        <f t="shared" si="26"/>
        <v>3</v>
      </c>
      <c r="R105" s="274">
        <f>+SUM(C105:N105)</f>
        <v>25</v>
      </c>
      <c r="Y105" s="249"/>
    </row>
    <row r="106" spans="1:25">
      <c r="A106" s="97">
        <f t="shared" si="17"/>
        <v>106</v>
      </c>
      <c r="B106" s="284" t="s">
        <v>200</v>
      </c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R106" s="97"/>
      <c r="Y106" s="249"/>
    </row>
    <row r="107" spans="1:25">
      <c r="A107" s="97">
        <f t="shared" si="17"/>
        <v>107</v>
      </c>
      <c r="B107" s="152" t="s">
        <v>201</v>
      </c>
      <c r="C107" s="277">
        <v>0</v>
      </c>
      <c r="D107" s="277">
        <v>0</v>
      </c>
      <c r="E107" s="277">
        <v>0</v>
      </c>
      <c r="F107" s="277">
        <v>0</v>
      </c>
      <c r="G107" s="277">
        <v>0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0</v>
      </c>
      <c r="N107" s="277">
        <v>0</v>
      </c>
      <c r="O107" s="274">
        <f>AVERAGE(C107:N107)</f>
        <v>0</v>
      </c>
      <c r="Q107" s="97" t="s">
        <v>218</v>
      </c>
      <c r="R107" s="274">
        <f>+SUM(C107:N107)</f>
        <v>0</v>
      </c>
      <c r="Y107" s="249"/>
    </row>
    <row r="108" spans="1:25">
      <c r="A108" s="97">
        <f t="shared" si="17"/>
        <v>108</v>
      </c>
      <c r="B108" s="152" t="s">
        <v>202</v>
      </c>
      <c r="C108" s="277">
        <v>1</v>
      </c>
      <c r="D108" s="277">
        <v>1</v>
      </c>
      <c r="E108" s="277">
        <v>1</v>
      </c>
      <c r="F108" s="277">
        <v>1</v>
      </c>
      <c r="G108" s="277">
        <v>1</v>
      </c>
      <c r="H108" s="277">
        <v>1</v>
      </c>
      <c r="I108" s="277">
        <v>1</v>
      </c>
      <c r="J108" s="277">
        <v>1</v>
      </c>
      <c r="K108" s="277">
        <v>1</v>
      </c>
      <c r="L108" s="277">
        <v>1</v>
      </c>
      <c r="M108" s="277">
        <v>1</v>
      </c>
      <c r="N108" s="277">
        <v>1</v>
      </c>
      <c r="O108" s="274">
        <f>AVERAGE(C108:N108)</f>
        <v>1</v>
      </c>
      <c r="Q108" s="97" t="s">
        <v>8</v>
      </c>
      <c r="R108" s="274">
        <f>+SUM(C108:N108)</f>
        <v>12</v>
      </c>
      <c r="U108" s="97" t="s">
        <v>170</v>
      </c>
      <c r="Y108" s="249"/>
    </row>
    <row r="109" spans="1:25">
      <c r="A109" s="97">
        <f t="shared" si="17"/>
        <v>109</v>
      </c>
      <c r="B109" s="153" t="s">
        <v>203</v>
      </c>
      <c r="C109" s="277">
        <v>1</v>
      </c>
      <c r="D109" s="277">
        <v>1</v>
      </c>
      <c r="E109" s="277">
        <v>1</v>
      </c>
      <c r="F109" s="277">
        <v>1</v>
      </c>
      <c r="G109" s="277">
        <v>1</v>
      </c>
      <c r="H109" s="277">
        <v>1</v>
      </c>
      <c r="I109" s="277">
        <v>1</v>
      </c>
      <c r="J109" s="277">
        <v>1</v>
      </c>
      <c r="K109" s="277">
        <v>1</v>
      </c>
      <c r="L109" s="277">
        <v>1</v>
      </c>
      <c r="M109" s="277">
        <v>1</v>
      </c>
      <c r="N109" s="277">
        <v>1</v>
      </c>
      <c r="O109" s="283">
        <f>AVERAGE(C109:N109)</f>
        <v>1</v>
      </c>
      <c r="Q109" s="97" t="s">
        <v>8</v>
      </c>
      <c r="R109" s="274">
        <f>+SUM(C109:N109)</f>
        <v>12</v>
      </c>
      <c r="U109" s="97" t="s">
        <v>170</v>
      </c>
      <c r="Y109" s="249"/>
    </row>
    <row r="110" spans="1:25">
      <c r="A110" s="97">
        <f t="shared" si="17"/>
        <v>110</v>
      </c>
      <c r="B110" s="286" t="s">
        <v>204</v>
      </c>
      <c r="C110" s="281">
        <f>SUM(C107:C109)</f>
        <v>2</v>
      </c>
      <c r="D110" s="281">
        <f>SUM(D107:D109)</f>
        <v>2</v>
      </c>
      <c r="E110" s="281">
        <f t="shared" ref="E110:N110" si="27">SUM(E107:E109)</f>
        <v>2</v>
      </c>
      <c r="F110" s="281">
        <f t="shared" si="27"/>
        <v>2</v>
      </c>
      <c r="G110" s="281">
        <f t="shared" si="27"/>
        <v>2</v>
      </c>
      <c r="H110" s="281">
        <f t="shared" si="27"/>
        <v>2</v>
      </c>
      <c r="I110" s="281">
        <f t="shared" si="27"/>
        <v>2</v>
      </c>
      <c r="J110" s="281">
        <f t="shared" si="27"/>
        <v>2</v>
      </c>
      <c r="K110" s="281">
        <f t="shared" si="27"/>
        <v>2</v>
      </c>
      <c r="L110" s="281">
        <f t="shared" si="27"/>
        <v>2</v>
      </c>
      <c r="M110" s="281">
        <f t="shared" si="27"/>
        <v>2</v>
      </c>
      <c r="N110" s="281">
        <f t="shared" si="27"/>
        <v>2</v>
      </c>
      <c r="O110" s="274">
        <f>SUM(O107:O109)</f>
        <v>2</v>
      </c>
      <c r="R110" s="274">
        <f>+SUM(C110:N110)</f>
        <v>24</v>
      </c>
      <c r="Y110" s="249"/>
    </row>
    <row r="111" spans="1:25">
      <c r="A111" s="97">
        <f t="shared" si="17"/>
        <v>111</v>
      </c>
      <c r="B111" s="286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Y111" s="249"/>
    </row>
    <row r="112" spans="1:25">
      <c r="A112" s="97">
        <f t="shared" si="17"/>
        <v>112</v>
      </c>
      <c r="B112" s="289" t="s">
        <v>205</v>
      </c>
      <c r="C112" s="290">
        <f t="shared" ref="C112:O112" si="28">+C105+C110</f>
        <v>4</v>
      </c>
      <c r="D112" s="290">
        <f t="shared" si="28"/>
        <v>4</v>
      </c>
      <c r="E112" s="290">
        <f t="shared" si="28"/>
        <v>4</v>
      </c>
      <c r="F112" s="290">
        <f t="shared" si="28"/>
        <v>4</v>
      </c>
      <c r="G112" s="290">
        <f t="shared" si="28"/>
        <v>4</v>
      </c>
      <c r="H112" s="290">
        <f t="shared" si="28"/>
        <v>4</v>
      </c>
      <c r="I112" s="290">
        <f t="shared" si="28"/>
        <v>4</v>
      </c>
      <c r="J112" s="290">
        <f t="shared" si="28"/>
        <v>4</v>
      </c>
      <c r="K112" s="290">
        <f t="shared" si="28"/>
        <v>4</v>
      </c>
      <c r="L112" s="290">
        <f t="shared" si="28"/>
        <v>4</v>
      </c>
      <c r="M112" s="290">
        <f t="shared" si="28"/>
        <v>4</v>
      </c>
      <c r="N112" s="290">
        <f t="shared" si="28"/>
        <v>5</v>
      </c>
      <c r="O112" s="291">
        <f t="shared" si="28"/>
        <v>5</v>
      </c>
      <c r="R112" s="274">
        <f>+SUM(C112:N112)</f>
        <v>49</v>
      </c>
      <c r="Y112" s="249"/>
    </row>
    <row r="113" spans="1:25">
      <c r="A113" s="97">
        <f t="shared" si="17"/>
        <v>113</v>
      </c>
      <c r="B113" s="293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Y113" s="249"/>
    </row>
    <row r="114" spans="1:25">
      <c r="A114" s="97">
        <f t="shared" si="17"/>
        <v>114</v>
      </c>
      <c r="B114" s="321" t="s">
        <v>219</v>
      </c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Y114" s="249"/>
    </row>
    <row r="115" spans="1:25">
      <c r="A115" s="97">
        <f t="shared" si="17"/>
        <v>115</v>
      </c>
      <c r="B115" s="322" t="s">
        <v>138</v>
      </c>
      <c r="C115" s="277">
        <v>182</v>
      </c>
      <c r="D115" s="277">
        <v>183</v>
      </c>
      <c r="E115" s="277">
        <v>181</v>
      </c>
      <c r="F115" s="277">
        <v>179</v>
      </c>
      <c r="G115" s="277">
        <v>180</v>
      </c>
      <c r="H115" s="277">
        <v>181</v>
      </c>
      <c r="I115" s="277">
        <v>181</v>
      </c>
      <c r="J115" s="277">
        <v>183</v>
      </c>
      <c r="K115" s="277">
        <v>182</v>
      </c>
      <c r="L115" s="277">
        <v>182</v>
      </c>
      <c r="M115" s="277">
        <v>181</v>
      </c>
      <c r="N115" s="277">
        <v>181</v>
      </c>
      <c r="O115" s="274">
        <f t="shared" ref="O115:O120" si="29">AVERAGE(C115:N115)</f>
        <v>181.33333333333334</v>
      </c>
      <c r="R115" s="274">
        <f t="shared" ref="R115:R121" si="30">+SUM(C115:N115)</f>
        <v>2176</v>
      </c>
      <c r="Y115" s="249"/>
    </row>
    <row r="116" spans="1:25">
      <c r="A116" s="97">
        <f t="shared" si="17"/>
        <v>116</v>
      </c>
      <c r="B116" s="322" t="s">
        <v>141</v>
      </c>
      <c r="C116" s="277">
        <v>958</v>
      </c>
      <c r="D116" s="277">
        <v>964</v>
      </c>
      <c r="E116" s="277">
        <v>965</v>
      </c>
      <c r="F116" s="277">
        <v>965</v>
      </c>
      <c r="G116" s="277">
        <v>972</v>
      </c>
      <c r="H116" s="277">
        <v>971</v>
      </c>
      <c r="I116" s="277">
        <v>969</v>
      </c>
      <c r="J116" s="277">
        <v>972</v>
      </c>
      <c r="K116" s="277">
        <v>974</v>
      </c>
      <c r="L116" s="277">
        <v>984</v>
      </c>
      <c r="M116" s="277">
        <v>984</v>
      </c>
      <c r="N116" s="277">
        <v>983</v>
      </c>
      <c r="O116" s="274">
        <f t="shared" si="29"/>
        <v>971.75</v>
      </c>
      <c r="R116" s="274">
        <f t="shared" si="30"/>
        <v>11661</v>
      </c>
      <c r="Y116" s="249"/>
    </row>
    <row r="117" spans="1:25">
      <c r="A117" s="97">
        <f t="shared" si="17"/>
        <v>117</v>
      </c>
      <c r="B117" s="322" t="s">
        <v>145</v>
      </c>
      <c r="C117" s="277">
        <v>1192</v>
      </c>
      <c r="D117" s="277">
        <v>1180</v>
      </c>
      <c r="E117" s="277">
        <v>1183</v>
      </c>
      <c r="F117" s="277">
        <v>1186</v>
      </c>
      <c r="G117" s="277">
        <v>1204</v>
      </c>
      <c r="H117" s="277">
        <v>1188</v>
      </c>
      <c r="I117" s="277">
        <v>1187</v>
      </c>
      <c r="J117" s="277">
        <v>1184</v>
      </c>
      <c r="K117" s="277">
        <v>1184</v>
      </c>
      <c r="L117" s="277">
        <v>1191</v>
      </c>
      <c r="M117" s="277">
        <v>1183</v>
      </c>
      <c r="N117" s="277">
        <v>1182</v>
      </c>
      <c r="O117" s="274">
        <f t="shared" si="29"/>
        <v>1187</v>
      </c>
      <c r="R117" s="274">
        <f t="shared" si="30"/>
        <v>14244</v>
      </c>
      <c r="Y117" s="249"/>
    </row>
    <row r="118" spans="1:25">
      <c r="A118" s="97">
        <f t="shared" si="17"/>
        <v>118</v>
      </c>
      <c r="B118" s="322" t="s">
        <v>146</v>
      </c>
      <c r="C118" s="277">
        <v>53</v>
      </c>
      <c r="D118" s="277">
        <v>48</v>
      </c>
      <c r="E118" s="277">
        <v>57</v>
      </c>
      <c r="F118" s="277">
        <v>54</v>
      </c>
      <c r="G118" s="277">
        <v>50</v>
      </c>
      <c r="H118" s="277">
        <v>50</v>
      </c>
      <c r="I118" s="277">
        <v>45</v>
      </c>
      <c r="J118" s="277">
        <v>43</v>
      </c>
      <c r="K118" s="277">
        <v>49</v>
      </c>
      <c r="L118" s="277">
        <v>43</v>
      </c>
      <c r="M118" s="277">
        <v>44</v>
      </c>
      <c r="N118" s="277">
        <v>41</v>
      </c>
      <c r="O118" s="274">
        <f t="shared" si="29"/>
        <v>48.083333333333336</v>
      </c>
      <c r="R118" s="274">
        <f t="shared" si="30"/>
        <v>577</v>
      </c>
      <c r="Y118" s="249"/>
    </row>
    <row r="119" spans="1:25">
      <c r="A119" s="97">
        <f t="shared" si="17"/>
        <v>119</v>
      </c>
      <c r="B119" s="322" t="s">
        <v>149</v>
      </c>
      <c r="C119" s="277">
        <v>20</v>
      </c>
      <c r="D119" s="277">
        <v>18</v>
      </c>
      <c r="E119" s="277">
        <v>18</v>
      </c>
      <c r="F119" s="277">
        <v>18</v>
      </c>
      <c r="G119" s="277">
        <v>18</v>
      </c>
      <c r="H119" s="277">
        <v>18</v>
      </c>
      <c r="I119" s="277">
        <v>18</v>
      </c>
      <c r="J119" s="277">
        <v>18</v>
      </c>
      <c r="K119" s="277">
        <v>18</v>
      </c>
      <c r="L119" s="277">
        <v>18</v>
      </c>
      <c r="M119" s="277">
        <v>18</v>
      </c>
      <c r="N119" s="277">
        <v>18</v>
      </c>
      <c r="O119" s="274">
        <f t="shared" si="29"/>
        <v>18.166666666666668</v>
      </c>
      <c r="R119" s="274">
        <f t="shared" si="30"/>
        <v>218</v>
      </c>
      <c r="Y119" s="249"/>
    </row>
    <row r="120" spans="1:25">
      <c r="A120" s="97">
        <f t="shared" si="17"/>
        <v>120</v>
      </c>
      <c r="B120" s="322" t="s">
        <v>220</v>
      </c>
      <c r="C120" s="277">
        <v>7</v>
      </c>
      <c r="D120" s="277">
        <v>7</v>
      </c>
      <c r="E120" s="277">
        <v>7</v>
      </c>
      <c r="F120" s="277">
        <v>7</v>
      </c>
      <c r="G120" s="277">
        <v>7</v>
      </c>
      <c r="H120" s="277">
        <v>7</v>
      </c>
      <c r="I120" s="277">
        <v>7</v>
      </c>
      <c r="J120" s="277">
        <v>7</v>
      </c>
      <c r="K120" s="277">
        <v>7</v>
      </c>
      <c r="L120" s="277">
        <v>7</v>
      </c>
      <c r="M120" s="277">
        <v>7</v>
      </c>
      <c r="N120" s="277">
        <v>8</v>
      </c>
      <c r="O120" s="274">
        <f t="shared" si="29"/>
        <v>7.083333333333333</v>
      </c>
      <c r="R120" s="274">
        <f t="shared" si="30"/>
        <v>85</v>
      </c>
      <c r="Y120" s="249"/>
    </row>
    <row r="121" spans="1:25">
      <c r="A121" s="97">
        <f t="shared" si="17"/>
        <v>121</v>
      </c>
      <c r="B121" s="323" t="s">
        <v>221</v>
      </c>
      <c r="C121" s="294">
        <f t="shared" ref="C121:O121" si="31">+SUM(C115:C120)</f>
        <v>2412</v>
      </c>
      <c r="D121" s="294">
        <f t="shared" si="31"/>
        <v>2400</v>
      </c>
      <c r="E121" s="294">
        <f t="shared" si="31"/>
        <v>2411</v>
      </c>
      <c r="F121" s="294">
        <f t="shared" si="31"/>
        <v>2409</v>
      </c>
      <c r="G121" s="294">
        <f t="shared" si="31"/>
        <v>2431</v>
      </c>
      <c r="H121" s="294">
        <f t="shared" si="31"/>
        <v>2415</v>
      </c>
      <c r="I121" s="294">
        <f t="shared" si="31"/>
        <v>2407</v>
      </c>
      <c r="J121" s="294">
        <f t="shared" si="31"/>
        <v>2407</v>
      </c>
      <c r="K121" s="294">
        <f t="shared" si="31"/>
        <v>2414</v>
      </c>
      <c r="L121" s="294">
        <f t="shared" si="31"/>
        <v>2425</v>
      </c>
      <c r="M121" s="294">
        <f t="shared" si="31"/>
        <v>2417</v>
      </c>
      <c r="N121" s="294">
        <f t="shared" si="31"/>
        <v>2413</v>
      </c>
      <c r="O121" s="294">
        <f t="shared" si="31"/>
        <v>2413.4166666666665</v>
      </c>
      <c r="R121" s="274">
        <f t="shared" si="30"/>
        <v>28961</v>
      </c>
      <c r="Y121" s="249"/>
    </row>
    <row r="122" spans="1:25">
      <c r="A122" s="97">
        <f t="shared" si="17"/>
        <v>122</v>
      </c>
      <c r="B122" s="323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Y122" s="249"/>
    </row>
    <row r="123" spans="1:25">
      <c r="A123" s="97">
        <f t="shared" si="17"/>
        <v>123</v>
      </c>
      <c r="B123" s="321" t="s">
        <v>222</v>
      </c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Y123" s="249"/>
    </row>
    <row r="124" spans="1:25">
      <c r="A124" s="97">
        <f t="shared" si="17"/>
        <v>124</v>
      </c>
      <c r="B124" s="322" t="s">
        <v>146</v>
      </c>
      <c r="C124" s="277">
        <v>40</v>
      </c>
      <c r="D124" s="277">
        <v>39</v>
      </c>
      <c r="E124" s="277">
        <v>39</v>
      </c>
      <c r="F124" s="277">
        <v>39</v>
      </c>
      <c r="G124" s="277">
        <v>39</v>
      </c>
      <c r="H124" s="277">
        <v>39</v>
      </c>
      <c r="I124" s="277">
        <v>39</v>
      </c>
      <c r="J124" s="277">
        <v>39</v>
      </c>
      <c r="K124" s="277">
        <v>39</v>
      </c>
      <c r="L124" s="277">
        <v>39</v>
      </c>
      <c r="M124" s="277">
        <v>39</v>
      </c>
      <c r="N124" s="277">
        <v>39</v>
      </c>
      <c r="O124" s="274">
        <f>AVERAGE(C124:N124)</f>
        <v>39.083333333333336</v>
      </c>
      <c r="R124" s="274">
        <f>+SUM(C124:N124)</f>
        <v>469</v>
      </c>
      <c r="Y124" s="249"/>
    </row>
    <row r="125" spans="1:25">
      <c r="A125" s="97">
        <f t="shared" si="17"/>
        <v>125</v>
      </c>
      <c r="B125" s="322" t="s">
        <v>149</v>
      </c>
      <c r="C125" s="277">
        <v>19</v>
      </c>
      <c r="D125" s="277">
        <v>17</v>
      </c>
      <c r="E125" s="277">
        <v>17</v>
      </c>
      <c r="F125" s="277">
        <v>17</v>
      </c>
      <c r="G125" s="277">
        <v>17</v>
      </c>
      <c r="H125" s="277">
        <v>17</v>
      </c>
      <c r="I125" s="277">
        <v>17</v>
      </c>
      <c r="J125" s="277">
        <v>17</v>
      </c>
      <c r="K125" s="277">
        <v>17</v>
      </c>
      <c r="L125" s="277">
        <v>17</v>
      </c>
      <c r="M125" s="277">
        <v>17</v>
      </c>
      <c r="N125" s="277">
        <v>17</v>
      </c>
      <c r="O125" s="274">
        <f>AVERAGE(C125:N125)</f>
        <v>17.166666666666668</v>
      </c>
      <c r="R125" s="274">
        <f>+SUM(C125:N125)</f>
        <v>206</v>
      </c>
      <c r="Y125" s="249"/>
    </row>
    <row r="126" spans="1:25">
      <c r="A126" s="97">
        <f t="shared" si="17"/>
        <v>126</v>
      </c>
      <c r="B126" s="323" t="s">
        <v>223</v>
      </c>
      <c r="C126" s="274">
        <f t="shared" ref="C126:O126" si="32">+SUM(C124:C125)</f>
        <v>59</v>
      </c>
      <c r="D126" s="274">
        <f t="shared" si="32"/>
        <v>56</v>
      </c>
      <c r="E126" s="274">
        <f t="shared" si="32"/>
        <v>56</v>
      </c>
      <c r="F126" s="274">
        <f t="shared" si="32"/>
        <v>56</v>
      </c>
      <c r="G126" s="274">
        <f t="shared" si="32"/>
        <v>56</v>
      </c>
      <c r="H126" s="274">
        <f t="shared" si="32"/>
        <v>56</v>
      </c>
      <c r="I126" s="274">
        <f t="shared" si="32"/>
        <v>56</v>
      </c>
      <c r="J126" s="274">
        <f t="shared" si="32"/>
        <v>56</v>
      </c>
      <c r="K126" s="274">
        <f t="shared" si="32"/>
        <v>56</v>
      </c>
      <c r="L126" s="274">
        <f t="shared" si="32"/>
        <v>56</v>
      </c>
      <c r="M126" s="274">
        <f t="shared" si="32"/>
        <v>56</v>
      </c>
      <c r="N126" s="274">
        <f t="shared" si="32"/>
        <v>56</v>
      </c>
      <c r="O126" s="274">
        <f t="shared" si="32"/>
        <v>56.25</v>
      </c>
      <c r="R126" s="274">
        <f>+SUM(C126:N126)</f>
        <v>675</v>
      </c>
      <c r="Y126" s="249"/>
    </row>
    <row r="127" spans="1:25">
      <c r="A127" s="97">
        <f t="shared" si="17"/>
        <v>127</v>
      </c>
      <c r="B127" s="323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Y127" s="249"/>
    </row>
    <row r="128" spans="1:25">
      <c r="A128" s="97">
        <f t="shared" si="17"/>
        <v>128</v>
      </c>
      <c r="B128" s="289" t="s">
        <v>206</v>
      </c>
      <c r="C128" s="290">
        <f t="shared" ref="C128:O128" si="33">+C100+C112</f>
        <v>84452</v>
      </c>
      <c r="D128" s="290">
        <f t="shared" si="33"/>
        <v>84660</v>
      </c>
      <c r="E128" s="290">
        <f t="shared" si="33"/>
        <v>84950</v>
      </c>
      <c r="F128" s="290">
        <f t="shared" si="33"/>
        <v>85360</v>
      </c>
      <c r="G128" s="290">
        <f t="shared" si="33"/>
        <v>85424</v>
      </c>
      <c r="H128" s="290">
        <f t="shared" si="33"/>
        <v>85706</v>
      </c>
      <c r="I128" s="290">
        <f t="shared" si="33"/>
        <v>86191</v>
      </c>
      <c r="J128" s="290">
        <f t="shared" si="33"/>
        <v>86341</v>
      </c>
      <c r="K128" s="290">
        <f t="shared" si="33"/>
        <v>86662</v>
      </c>
      <c r="L128" s="290">
        <f>+L100+L112</f>
        <v>87145</v>
      </c>
      <c r="M128" s="290">
        <f t="shared" si="33"/>
        <v>87720</v>
      </c>
      <c r="N128" s="290">
        <f t="shared" si="33"/>
        <v>88032</v>
      </c>
      <c r="O128" s="291">
        <f t="shared" si="33"/>
        <v>86054.499999999985</v>
      </c>
      <c r="R128" s="274">
        <f>+SUM(C128:N128)</f>
        <v>1032643</v>
      </c>
      <c r="Y128" s="249"/>
    </row>
    <row r="129" spans="1:18">
      <c r="A129" s="97">
        <f t="shared" si="17"/>
        <v>129</v>
      </c>
      <c r="B129" s="275" t="s">
        <v>123</v>
      </c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</row>
    <row r="130" spans="1:18">
      <c r="A130" s="97">
        <f t="shared" si="17"/>
        <v>130</v>
      </c>
      <c r="B130" s="276" t="s">
        <v>100</v>
      </c>
      <c r="C130" s="274">
        <f t="shared" ref="C130:C140" si="34">+C4</f>
        <v>1144</v>
      </c>
      <c r="D130" s="274">
        <f t="shared" ref="D130:D140" si="35">AVERAGE(C4:D4)</f>
        <v>1146</v>
      </c>
      <c r="E130" s="274">
        <f t="shared" ref="E130:E140" si="36">AVERAGE(C4:E4)</f>
        <v>1149.3333333333333</v>
      </c>
      <c r="F130" s="274">
        <f t="shared" ref="F130:F140" si="37">AVERAGE(C4:F4)</f>
        <v>1149</v>
      </c>
      <c r="G130" s="274">
        <f t="shared" ref="G130:G140" si="38">AVERAGE(C4:G4)</f>
        <v>1147</v>
      </c>
      <c r="H130" s="274">
        <f t="shared" ref="H130:H140" si="39">AVERAGE(C4:H4)</f>
        <v>1144.8333333333333</v>
      </c>
      <c r="I130" s="274">
        <f t="shared" ref="I130:I140" si="40">AVERAGE(C4:I4)</f>
        <v>1143.4285714285713</v>
      </c>
      <c r="J130" s="274">
        <f t="shared" ref="J130:J140" si="41">AVERAGE(C4:J4)</f>
        <v>1142.125</v>
      </c>
      <c r="K130" s="274">
        <f t="shared" ref="K130:K140" si="42">AVERAGE(C4:K4)</f>
        <v>1140.3333333333333</v>
      </c>
      <c r="L130" s="274">
        <f t="shared" ref="L130:L140" si="43">AVERAGE(C4:L4)</f>
        <v>1139.3</v>
      </c>
      <c r="M130" s="274">
        <f t="shared" ref="M130:M140" si="44">AVERAGE(C4:M4)</f>
        <v>1139.2727272727273</v>
      </c>
      <c r="N130" s="274">
        <f t="shared" ref="N130:N140" si="45">AVERAGE(C4:N4)</f>
        <v>1138.75</v>
      </c>
      <c r="O130" s="274">
        <f t="shared" ref="O130:O139" si="46">SUM(C130:N130)</f>
        <v>13723.376298701298</v>
      </c>
    </row>
    <row r="131" spans="1:18">
      <c r="A131" s="97">
        <f t="shared" ref="A131:A194" si="47">+A130+1</f>
        <v>131</v>
      </c>
      <c r="B131" s="276" t="s">
        <v>101</v>
      </c>
      <c r="C131" s="274">
        <f t="shared" si="34"/>
        <v>2241</v>
      </c>
      <c r="D131" s="274">
        <f t="shared" si="35"/>
        <v>2243</v>
      </c>
      <c r="E131" s="274">
        <f t="shared" si="36"/>
        <v>2245.3333333333335</v>
      </c>
      <c r="F131" s="274">
        <f t="shared" si="37"/>
        <v>2244.5</v>
      </c>
      <c r="G131" s="274">
        <f t="shared" si="38"/>
        <v>2243.8000000000002</v>
      </c>
      <c r="H131" s="274">
        <f t="shared" si="39"/>
        <v>2241.8333333333335</v>
      </c>
      <c r="I131" s="274">
        <f t="shared" si="40"/>
        <v>2241.5714285714284</v>
      </c>
      <c r="J131" s="274">
        <f t="shared" si="41"/>
        <v>2241.5</v>
      </c>
      <c r="K131" s="274">
        <f t="shared" si="42"/>
        <v>2241.6666666666665</v>
      </c>
      <c r="L131" s="274">
        <f t="shared" si="43"/>
        <v>2242.4</v>
      </c>
      <c r="M131" s="274">
        <f t="shared" si="44"/>
        <v>2242.5454545454545</v>
      </c>
      <c r="N131" s="274">
        <f t="shared" si="45"/>
        <v>2243.0833333333335</v>
      </c>
      <c r="O131" s="274">
        <f t="shared" si="46"/>
        <v>26912.233549783556</v>
      </c>
    </row>
    <row r="132" spans="1:18">
      <c r="A132" s="97">
        <f t="shared" si="47"/>
        <v>132</v>
      </c>
      <c r="B132" s="276" t="s">
        <v>102</v>
      </c>
      <c r="C132" s="274">
        <f t="shared" si="34"/>
        <v>12704</v>
      </c>
      <c r="D132" s="274">
        <f t="shared" si="35"/>
        <v>12724.5</v>
      </c>
      <c r="E132" s="274">
        <f t="shared" si="36"/>
        <v>12748</v>
      </c>
      <c r="F132" s="274">
        <f t="shared" si="37"/>
        <v>12767.75</v>
      </c>
      <c r="G132" s="274">
        <f t="shared" si="38"/>
        <v>12789.8</v>
      </c>
      <c r="H132" s="274">
        <f t="shared" si="39"/>
        <v>12810.666666666666</v>
      </c>
      <c r="I132" s="274">
        <f t="shared" si="40"/>
        <v>12834.571428571429</v>
      </c>
      <c r="J132" s="274">
        <f t="shared" si="41"/>
        <v>12858.625</v>
      </c>
      <c r="K132" s="274">
        <f t="shared" si="42"/>
        <v>12889.444444444445</v>
      </c>
      <c r="L132" s="274">
        <f t="shared" si="43"/>
        <v>12922.5</v>
      </c>
      <c r="M132" s="274">
        <f t="shared" si="44"/>
        <v>12971.636363636364</v>
      </c>
      <c r="N132" s="274">
        <f t="shared" si="45"/>
        <v>13022</v>
      </c>
      <c r="O132" s="274">
        <f t="shared" si="46"/>
        <v>154043.49390331891</v>
      </c>
    </row>
    <row r="133" spans="1:18">
      <c r="A133" s="97">
        <f t="shared" si="47"/>
        <v>133</v>
      </c>
      <c r="B133" s="276" t="s">
        <v>103</v>
      </c>
      <c r="C133" s="274">
        <f t="shared" si="34"/>
        <v>732</v>
      </c>
      <c r="D133" s="274">
        <f t="shared" si="35"/>
        <v>729.5</v>
      </c>
      <c r="E133" s="274">
        <f t="shared" si="36"/>
        <v>730</v>
      </c>
      <c r="F133" s="274">
        <f t="shared" si="37"/>
        <v>730.75</v>
      </c>
      <c r="G133" s="274">
        <f t="shared" si="38"/>
        <v>730.4</v>
      </c>
      <c r="H133" s="274">
        <f t="shared" si="39"/>
        <v>730.66666666666663</v>
      </c>
      <c r="I133" s="274">
        <f t="shared" si="40"/>
        <v>730.42857142857144</v>
      </c>
      <c r="J133" s="274">
        <f t="shared" si="41"/>
        <v>730.375</v>
      </c>
      <c r="K133" s="274">
        <f t="shared" si="42"/>
        <v>730.77777777777783</v>
      </c>
      <c r="L133" s="274">
        <f t="shared" si="43"/>
        <v>731.6</v>
      </c>
      <c r="M133" s="274">
        <f t="shared" si="44"/>
        <v>732.09090909090912</v>
      </c>
      <c r="N133" s="274">
        <f t="shared" si="45"/>
        <v>732.75</v>
      </c>
      <c r="O133" s="274">
        <f t="shared" si="46"/>
        <v>8771.3389249639258</v>
      </c>
    </row>
    <row r="134" spans="1:18">
      <c r="A134" s="97">
        <f t="shared" si="47"/>
        <v>134</v>
      </c>
      <c r="B134" s="276" t="s">
        <v>104</v>
      </c>
      <c r="C134" s="274">
        <f t="shared" si="34"/>
        <v>479</v>
      </c>
      <c r="D134" s="274">
        <f t="shared" si="35"/>
        <v>482</v>
      </c>
      <c r="E134" s="274">
        <f t="shared" si="36"/>
        <v>481.33333333333331</v>
      </c>
      <c r="F134" s="274">
        <f t="shared" si="37"/>
        <v>480.75</v>
      </c>
      <c r="G134" s="274">
        <f t="shared" si="38"/>
        <v>479.6</v>
      </c>
      <c r="H134" s="274">
        <f t="shared" si="39"/>
        <v>479.5</v>
      </c>
      <c r="I134" s="274">
        <f t="shared" si="40"/>
        <v>479.57142857142856</v>
      </c>
      <c r="J134" s="274">
        <f t="shared" si="41"/>
        <v>479.625</v>
      </c>
      <c r="K134" s="274">
        <f t="shared" si="42"/>
        <v>479.88888888888891</v>
      </c>
      <c r="L134" s="274">
        <f t="shared" si="43"/>
        <v>480.1</v>
      </c>
      <c r="M134" s="274">
        <f t="shared" si="44"/>
        <v>480.27272727272725</v>
      </c>
      <c r="N134" s="274">
        <f t="shared" si="45"/>
        <v>480.33333333333331</v>
      </c>
      <c r="O134" s="274">
        <f t="shared" si="46"/>
        <v>5761.9747113997109</v>
      </c>
    </row>
    <row r="135" spans="1:18">
      <c r="A135" s="97">
        <f t="shared" si="47"/>
        <v>135</v>
      </c>
      <c r="B135" s="279" t="s">
        <v>105</v>
      </c>
      <c r="C135" s="274">
        <f t="shared" si="34"/>
        <v>16</v>
      </c>
      <c r="D135" s="274">
        <f t="shared" si="35"/>
        <v>16</v>
      </c>
      <c r="E135" s="274">
        <f t="shared" si="36"/>
        <v>16</v>
      </c>
      <c r="F135" s="274">
        <f t="shared" si="37"/>
        <v>16</v>
      </c>
      <c r="G135" s="274">
        <f t="shared" si="38"/>
        <v>16.2</v>
      </c>
      <c r="H135" s="274">
        <f t="shared" si="39"/>
        <v>16.166666666666668</v>
      </c>
      <c r="I135" s="274">
        <f t="shared" si="40"/>
        <v>16.142857142857142</v>
      </c>
      <c r="J135" s="274">
        <f t="shared" si="41"/>
        <v>16.125</v>
      </c>
      <c r="K135" s="274">
        <f t="shared" si="42"/>
        <v>16.111111111111111</v>
      </c>
      <c r="L135" s="274">
        <f t="shared" si="43"/>
        <v>16.100000000000001</v>
      </c>
      <c r="M135" s="274">
        <f t="shared" si="44"/>
        <v>16.09090909090909</v>
      </c>
      <c r="N135" s="274">
        <f t="shared" si="45"/>
        <v>16.166666666666668</v>
      </c>
      <c r="O135" s="274">
        <f t="shared" si="46"/>
        <v>193.10321067821067</v>
      </c>
    </row>
    <row r="136" spans="1:18">
      <c r="A136" s="97">
        <f t="shared" si="47"/>
        <v>136</v>
      </c>
      <c r="B136" s="279" t="s">
        <v>106</v>
      </c>
      <c r="C136" s="274">
        <f t="shared" si="34"/>
        <v>0</v>
      </c>
      <c r="D136" s="274">
        <f t="shared" si="35"/>
        <v>0</v>
      </c>
      <c r="E136" s="274">
        <f t="shared" si="36"/>
        <v>0</v>
      </c>
      <c r="F136" s="274">
        <f t="shared" si="37"/>
        <v>0</v>
      </c>
      <c r="G136" s="274">
        <f t="shared" si="38"/>
        <v>0</v>
      </c>
      <c r="H136" s="274">
        <f t="shared" si="39"/>
        <v>0</v>
      </c>
      <c r="I136" s="274">
        <f t="shared" si="40"/>
        <v>0</v>
      </c>
      <c r="J136" s="274">
        <f t="shared" si="41"/>
        <v>0</v>
      </c>
      <c r="K136" s="274">
        <f t="shared" si="42"/>
        <v>0</v>
      </c>
      <c r="L136" s="274">
        <f t="shared" si="43"/>
        <v>0</v>
      </c>
      <c r="M136" s="274">
        <f t="shared" si="44"/>
        <v>0</v>
      </c>
      <c r="N136" s="274">
        <f t="shared" si="45"/>
        <v>0</v>
      </c>
      <c r="O136" s="274">
        <f t="shared" si="46"/>
        <v>0</v>
      </c>
    </row>
    <row r="137" spans="1:18">
      <c r="A137" s="97">
        <f t="shared" si="47"/>
        <v>137</v>
      </c>
      <c r="B137" s="279" t="s">
        <v>126</v>
      </c>
      <c r="C137" s="274">
        <f t="shared" si="34"/>
        <v>56960</v>
      </c>
      <c r="D137" s="274">
        <f t="shared" si="35"/>
        <v>57038</v>
      </c>
      <c r="E137" s="274">
        <f t="shared" si="36"/>
        <v>57133.666666666664</v>
      </c>
      <c r="F137" s="274">
        <f t="shared" si="37"/>
        <v>57273.5</v>
      </c>
      <c r="G137" s="274">
        <f t="shared" si="38"/>
        <v>57372</v>
      </c>
      <c r="H137" s="274">
        <f t="shared" si="39"/>
        <v>57477.166666666664</v>
      </c>
      <c r="I137" s="274">
        <f t="shared" si="40"/>
        <v>57608.285714285717</v>
      </c>
      <c r="J137" s="274">
        <f t="shared" si="41"/>
        <v>57720</v>
      </c>
      <c r="K137" s="274">
        <f t="shared" si="42"/>
        <v>57828</v>
      </c>
      <c r="L137" s="274">
        <f t="shared" si="43"/>
        <v>57946.400000000001</v>
      </c>
      <c r="M137" s="274">
        <f t="shared" si="44"/>
        <v>58071.454545454544</v>
      </c>
      <c r="N137" s="274">
        <f t="shared" si="45"/>
        <v>58191</v>
      </c>
      <c r="O137" s="274">
        <f t="shared" si="46"/>
        <v>690619.47359307366</v>
      </c>
    </row>
    <row r="138" spans="1:18">
      <c r="A138" s="97">
        <f t="shared" si="47"/>
        <v>138</v>
      </c>
      <c r="B138" s="279" t="s">
        <v>128</v>
      </c>
      <c r="C138" s="274">
        <f t="shared" si="34"/>
        <v>564</v>
      </c>
      <c r="D138" s="274">
        <f t="shared" si="35"/>
        <v>563.5</v>
      </c>
      <c r="E138" s="274">
        <f t="shared" si="36"/>
        <v>565</v>
      </c>
      <c r="F138" s="274">
        <f t="shared" si="37"/>
        <v>568.25</v>
      </c>
      <c r="G138" s="274">
        <f t="shared" si="38"/>
        <v>569.6</v>
      </c>
      <c r="H138" s="274">
        <f t="shared" si="39"/>
        <v>572.16666666666663</v>
      </c>
      <c r="I138" s="274">
        <f t="shared" si="40"/>
        <v>575.14285714285711</v>
      </c>
      <c r="J138" s="274">
        <f t="shared" si="41"/>
        <v>577.5</v>
      </c>
      <c r="K138" s="274">
        <f t="shared" si="42"/>
        <v>581.22222222222217</v>
      </c>
      <c r="L138" s="274">
        <f t="shared" si="43"/>
        <v>586</v>
      </c>
      <c r="M138" s="274">
        <f t="shared" si="44"/>
        <v>591.63636363636363</v>
      </c>
      <c r="N138" s="274">
        <f t="shared" si="45"/>
        <v>596.75</v>
      </c>
      <c r="O138" s="274">
        <f t="shared" si="46"/>
        <v>6910.7681096681099</v>
      </c>
    </row>
    <row r="139" spans="1:18">
      <c r="A139" s="97">
        <f t="shared" si="47"/>
        <v>139</v>
      </c>
      <c r="B139" s="279" t="s">
        <v>98</v>
      </c>
      <c r="C139" s="274">
        <f t="shared" si="34"/>
        <v>565</v>
      </c>
      <c r="D139" s="274">
        <f t="shared" si="35"/>
        <v>564.5</v>
      </c>
      <c r="E139" s="274">
        <f t="shared" si="36"/>
        <v>564</v>
      </c>
      <c r="F139" s="274">
        <f t="shared" si="37"/>
        <v>562</v>
      </c>
      <c r="G139" s="274">
        <f t="shared" si="38"/>
        <v>559.4</v>
      </c>
      <c r="H139" s="274">
        <f t="shared" si="39"/>
        <v>557</v>
      </c>
      <c r="I139" s="274">
        <f t="shared" si="40"/>
        <v>555.85714285714289</v>
      </c>
      <c r="J139" s="274">
        <f t="shared" si="41"/>
        <v>555</v>
      </c>
      <c r="K139" s="274">
        <f t="shared" si="42"/>
        <v>554.55555555555554</v>
      </c>
      <c r="L139" s="274">
        <f t="shared" si="43"/>
        <v>554.5</v>
      </c>
      <c r="M139" s="274">
        <f t="shared" si="44"/>
        <v>554.36363636363637</v>
      </c>
      <c r="N139" s="274">
        <f t="shared" si="45"/>
        <v>554.33333333333337</v>
      </c>
      <c r="O139" s="274">
        <f t="shared" si="46"/>
        <v>6700.5096681096675</v>
      </c>
    </row>
    <row r="140" spans="1:18">
      <c r="A140" s="97">
        <f t="shared" si="47"/>
        <v>140</v>
      </c>
      <c r="B140" s="279" t="s">
        <v>93</v>
      </c>
      <c r="C140" s="283">
        <f t="shared" si="34"/>
        <v>676</v>
      </c>
      <c r="D140" s="283">
        <f t="shared" si="35"/>
        <v>675</v>
      </c>
      <c r="E140" s="283">
        <f t="shared" si="36"/>
        <v>674.33333333333337</v>
      </c>
      <c r="F140" s="283">
        <f t="shared" si="37"/>
        <v>674</v>
      </c>
      <c r="G140" s="283">
        <f t="shared" si="38"/>
        <v>674</v>
      </c>
      <c r="H140" s="283">
        <f t="shared" si="39"/>
        <v>673.5</v>
      </c>
      <c r="I140" s="283">
        <f t="shared" si="40"/>
        <v>673.42857142857144</v>
      </c>
      <c r="J140" s="283">
        <f t="shared" si="41"/>
        <v>673.625</v>
      </c>
      <c r="K140" s="283">
        <f t="shared" si="42"/>
        <v>673.88888888888891</v>
      </c>
      <c r="L140" s="283">
        <f t="shared" si="43"/>
        <v>674</v>
      </c>
      <c r="M140" s="283">
        <f t="shared" si="44"/>
        <v>674</v>
      </c>
      <c r="N140" s="283">
        <f t="shared" si="45"/>
        <v>673.83333333333337</v>
      </c>
      <c r="O140" s="283">
        <f>SUM(C140:N140)</f>
        <v>8089.6091269841263</v>
      </c>
    </row>
    <row r="141" spans="1:18">
      <c r="A141" s="97">
        <f t="shared" si="47"/>
        <v>141</v>
      </c>
      <c r="B141" s="280" t="s">
        <v>131</v>
      </c>
      <c r="C141" s="274">
        <f t="shared" ref="C141:O141" si="48">SUM(C130:C140)</f>
        <v>76081</v>
      </c>
      <c r="D141" s="274">
        <f t="shared" si="48"/>
        <v>76182</v>
      </c>
      <c r="E141" s="274">
        <f t="shared" si="48"/>
        <v>76306.999999999985</v>
      </c>
      <c r="F141" s="274">
        <f t="shared" si="48"/>
        <v>76466.5</v>
      </c>
      <c r="G141" s="274">
        <f t="shared" si="48"/>
        <v>76581.8</v>
      </c>
      <c r="H141" s="274">
        <f t="shared" si="48"/>
        <v>76703.5</v>
      </c>
      <c r="I141" s="274">
        <f t="shared" si="48"/>
        <v>76858.428571428565</v>
      </c>
      <c r="J141" s="274">
        <f t="shared" si="48"/>
        <v>76994.5</v>
      </c>
      <c r="K141" s="274">
        <f t="shared" si="48"/>
        <v>77135.888888888891</v>
      </c>
      <c r="L141" s="274">
        <f t="shared" si="48"/>
        <v>77292.899999999994</v>
      </c>
      <c r="M141" s="274">
        <f t="shared" si="48"/>
        <v>77473.363636363632</v>
      </c>
      <c r="N141" s="274">
        <f t="shared" si="48"/>
        <v>77648.999999999985</v>
      </c>
      <c r="O141" s="274">
        <f t="shared" si="48"/>
        <v>921725.88109668123</v>
      </c>
    </row>
    <row r="142" spans="1:18">
      <c r="A142" s="97">
        <f t="shared" si="47"/>
        <v>142</v>
      </c>
      <c r="B142" s="275" t="s">
        <v>132</v>
      </c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R142" s="97"/>
    </row>
    <row r="143" spans="1:18">
      <c r="A143" s="97">
        <f t="shared" si="47"/>
        <v>143</v>
      </c>
      <c r="B143" s="276" t="s">
        <v>100</v>
      </c>
      <c r="C143" s="274">
        <f t="shared" ref="C143:C149" si="49">+C17</f>
        <v>33</v>
      </c>
      <c r="D143" s="274">
        <f t="shared" ref="D143:D149" si="50">AVERAGE(C17:D17)</f>
        <v>34</v>
      </c>
      <c r="E143" s="274">
        <f t="shared" ref="E143:E149" si="51">AVERAGE(C17:E17)</f>
        <v>34.333333333333336</v>
      </c>
      <c r="F143" s="274">
        <f t="shared" ref="F143:F149" si="52">AVERAGE(C17:F17)</f>
        <v>34</v>
      </c>
      <c r="G143" s="274">
        <f t="shared" ref="G143:G149" si="53">AVERAGE(C17:G17)</f>
        <v>33.4</v>
      </c>
      <c r="H143" s="274">
        <f t="shared" ref="H143:H149" si="54">AVERAGE(C17:H17)</f>
        <v>33</v>
      </c>
      <c r="I143" s="274">
        <f t="shared" ref="I143:I149" si="55">AVERAGE(C17:I17)</f>
        <v>32.714285714285715</v>
      </c>
      <c r="J143" s="274">
        <f t="shared" ref="J143:J149" si="56">AVERAGE(C17:J17)</f>
        <v>32.25</v>
      </c>
      <c r="K143" s="274">
        <f t="shared" ref="K143:K149" si="57">AVERAGE(C17:K17)</f>
        <v>31.888888888888889</v>
      </c>
      <c r="L143" s="274">
        <f t="shared" ref="L143:L149" si="58">AVERAGE(C17:L17)</f>
        <v>31.7</v>
      </c>
      <c r="M143" s="274">
        <f t="shared" ref="M143:M149" si="59">AVERAGE(C17:M17)</f>
        <v>31.727272727272727</v>
      </c>
      <c r="N143" s="274">
        <f t="shared" ref="N143:N149" si="60">AVERAGE(C17:N17)</f>
        <v>31.75</v>
      </c>
      <c r="O143" s="274">
        <f t="shared" ref="O143:O149" si="61">SUM(C143:N143)</f>
        <v>393.76378066378072</v>
      </c>
      <c r="R143" s="97"/>
    </row>
    <row r="144" spans="1:18">
      <c r="A144" s="97">
        <f t="shared" si="47"/>
        <v>144</v>
      </c>
      <c r="B144" s="276" t="s">
        <v>101</v>
      </c>
      <c r="C144" s="274">
        <f t="shared" si="49"/>
        <v>63</v>
      </c>
      <c r="D144" s="274">
        <f t="shared" si="50"/>
        <v>62</v>
      </c>
      <c r="E144" s="274">
        <f t="shared" si="51"/>
        <v>61.666666666666664</v>
      </c>
      <c r="F144" s="274">
        <f t="shared" si="52"/>
        <v>61.75</v>
      </c>
      <c r="G144" s="274">
        <f t="shared" si="53"/>
        <v>61.4</v>
      </c>
      <c r="H144" s="274">
        <f t="shared" si="54"/>
        <v>61.166666666666664</v>
      </c>
      <c r="I144" s="274">
        <f t="shared" si="55"/>
        <v>61</v>
      </c>
      <c r="J144" s="274">
        <f t="shared" si="56"/>
        <v>61</v>
      </c>
      <c r="K144" s="274">
        <f t="shared" si="57"/>
        <v>61</v>
      </c>
      <c r="L144" s="274">
        <f t="shared" si="58"/>
        <v>61.2</v>
      </c>
      <c r="M144" s="274">
        <f t="shared" si="59"/>
        <v>61.272727272727273</v>
      </c>
      <c r="N144" s="274">
        <f t="shared" si="60"/>
        <v>61.333333333333336</v>
      </c>
      <c r="O144" s="274">
        <f t="shared" si="61"/>
        <v>737.78939393939402</v>
      </c>
      <c r="R144" s="97"/>
    </row>
    <row r="145" spans="1:18">
      <c r="A145" s="97">
        <f t="shared" si="47"/>
        <v>145</v>
      </c>
      <c r="B145" s="276" t="s">
        <v>102</v>
      </c>
      <c r="C145" s="274">
        <f t="shared" si="49"/>
        <v>167</v>
      </c>
      <c r="D145" s="274">
        <f t="shared" si="50"/>
        <v>167</v>
      </c>
      <c r="E145" s="274">
        <f t="shared" si="51"/>
        <v>167.33333333333334</v>
      </c>
      <c r="F145" s="274">
        <f t="shared" si="52"/>
        <v>167.25</v>
      </c>
      <c r="G145" s="274">
        <f t="shared" si="53"/>
        <v>166.6</v>
      </c>
      <c r="H145" s="274">
        <f t="shared" si="54"/>
        <v>166.16666666666666</v>
      </c>
      <c r="I145" s="274">
        <f t="shared" si="55"/>
        <v>165.85714285714286</v>
      </c>
      <c r="J145" s="274">
        <f t="shared" si="56"/>
        <v>165.75</v>
      </c>
      <c r="K145" s="274">
        <f t="shared" si="57"/>
        <v>165.55555555555554</v>
      </c>
      <c r="L145" s="274">
        <f t="shared" si="58"/>
        <v>165.5</v>
      </c>
      <c r="M145" s="274">
        <f t="shared" si="59"/>
        <v>165.45454545454547</v>
      </c>
      <c r="N145" s="274">
        <f t="shared" si="60"/>
        <v>165.41666666666666</v>
      </c>
      <c r="O145" s="274">
        <f t="shared" si="61"/>
        <v>1994.8839105339105</v>
      </c>
      <c r="R145" s="97"/>
    </row>
    <row r="146" spans="1:18">
      <c r="A146" s="97">
        <f t="shared" si="47"/>
        <v>146</v>
      </c>
      <c r="B146" s="276" t="s">
        <v>103</v>
      </c>
      <c r="C146" s="274">
        <f t="shared" si="49"/>
        <v>19</v>
      </c>
      <c r="D146" s="274">
        <f t="shared" si="50"/>
        <v>19</v>
      </c>
      <c r="E146" s="274">
        <f t="shared" si="51"/>
        <v>19.333333333333332</v>
      </c>
      <c r="F146" s="274">
        <f t="shared" si="52"/>
        <v>19.5</v>
      </c>
      <c r="G146" s="274">
        <f t="shared" si="53"/>
        <v>19.600000000000001</v>
      </c>
      <c r="H146" s="274">
        <f t="shared" si="54"/>
        <v>19.666666666666668</v>
      </c>
      <c r="I146" s="274">
        <f t="shared" si="55"/>
        <v>19.714285714285715</v>
      </c>
      <c r="J146" s="274">
        <f t="shared" si="56"/>
        <v>19.75</v>
      </c>
      <c r="K146" s="274">
        <f t="shared" si="57"/>
        <v>19.777777777777779</v>
      </c>
      <c r="L146" s="274">
        <f t="shared" si="58"/>
        <v>19.899999999999999</v>
      </c>
      <c r="M146" s="274">
        <f t="shared" si="59"/>
        <v>19.90909090909091</v>
      </c>
      <c r="N146" s="274">
        <f t="shared" si="60"/>
        <v>19.916666666666668</v>
      </c>
      <c r="O146" s="274">
        <f t="shared" si="61"/>
        <v>235.06782106782106</v>
      </c>
      <c r="R146" s="97"/>
    </row>
    <row r="147" spans="1:18">
      <c r="A147" s="97">
        <f t="shared" si="47"/>
        <v>147</v>
      </c>
      <c r="B147" s="276" t="s">
        <v>104</v>
      </c>
      <c r="C147" s="274">
        <f t="shared" si="49"/>
        <v>8</v>
      </c>
      <c r="D147" s="274">
        <f t="shared" si="50"/>
        <v>8</v>
      </c>
      <c r="E147" s="274">
        <f t="shared" si="51"/>
        <v>8</v>
      </c>
      <c r="F147" s="274">
        <f t="shared" si="52"/>
        <v>8</v>
      </c>
      <c r="G147" s="274">
        <f t="shared" si="53"/>
        <v>8</v>
      </c>
      <c r="H147" s="274">
        <f t="shared" si="54"/>
        <v>8</v>
      </c>
      <c r="I147" s="274">
        <f t="shared" si="55"/>
        <v>8</v>
      </c>
      <c r="J147" s="274">
        <f t="shared" si="56"/>
        <v>8</v>
      </c>
      <c r="K147" s="274">
        <f t="shared" si="57"/>
        <v>8</v>
      </c>
      <c r="L147" s="274">
        <f t="shared" si="58"/>
        <v>8</v>
      </c>
      <c r="M147" s="274">
        <f t="shared" si="59"/>
        <v>8</v>
      </c>
      <c r="N147" s="274">
        <f t="shared" si="60"/>
        <v>8</v>
      </c>
      <c r="O147" s="274">
        <f t="shared" si="61"/>
        <v>96</v>
      </c>
      <c r="R147" s="97"/>
    </row>
    <row r="148" spans="1:18">
      <c r="A148" s="97">
        <f t="shared" si="47"/>
        <v>148</v>
      </c>
      <c r="B148" s="279" t="s">
        <v>105</v>
      </c>
      <c r="C148" s="274">
        <f t="shared" si="49"/>
        <v>0</v>
      </c>
      <c r="D148" s="274">
        <f t="shared" si="50"/>
        <v>0</v>
      </c>
      <c r="E148" s="274">
        <f t="shared" si="51"/>
        <v>0</v>
      </c>
      <c r="F148" s="274">
        <f t="shared" si="52"/>
        <v>0</v>
      </c>
      <c r="G148" s="274">
        <f t="shared" si="53"/>
        <v>0</v>
      </c>
      <c r="H148" s="274">
        <f t="shared" si="54"/>
        <v>0</v>
      </c>
      <c r="I148" s="274">
        <f t="shared" si="55"/>
        <v>0</v>
      </c>
      <c r="J148" s="274">
        <f t="shared" si="56"/>
        <v>0</v>
      </c>
      <c r="K148" s="274">
        <f t="shared" si="57"/>
        <v>0</v>
      </c>
      <c r="L148" s="274">
        <f t="shared" si="58"/>
        <v>0</v>
      </c>
      <c r="M148" s="274">
        <f t="shared" si="59"/>
        <v>0</v>
      </c>
      <c r="N148" s="274">
        <f t="shared" si="60"/>
        <v>0</v>
      </c>
      <c r="O148" s="274">
        <f t="shared" si="61"/>
        <v>0</v>
      </c>
      <c r="R148" s="97"/>
    </row>
    <row r="149" spans="1:18">
      <c r="A149" s="97">
        <f t="shared" si="47"/>
        <v>149</v>
      </c>
      <c r="B149" s="279" t="s">
        <v>106</v>
      </c>
      <c r="C149" s="283">
        <f t="shared" si="49"/>
        <v>0</v>
      </c>
      <c r="D149" s="283">
        <f t="shared" si="50"/>
        <v>0</v>
      </c>
      <c r="E149" s="283">
        <f t="shared" si="51"/>
        <v>0</v>
      </c>
      <c r="F149" s="283">
        <f t="shared" si="52"/>
        <v>0</v>
      </c>
      <c r="G149" s="283">
        <f t="shared" si="53"/>
        <v>0</v>
      </c>
      <c r="H149" s="283">
        <f t="shared" si="54"/>
        <v>0</v>
      </c>
      <c r="I149" s="283">
        <f t="shared" si="55"/>
        <v>0</v>
      </c>
      <c r="J149" s="283">
        <f t="shared" si="56"/>
        <v>0</v>
      </c>
      <c r="K149" s="283">
        <f t="shared" si="57"/>
        <v>0</v>
      </c>
      <c r="L149" s="283">
        <f t="shared" si="58"/>
        <v>0</v>
      </c>
      <c r="M149" s="283">
        <f t="shared" si="59"/>
        <v>0</v>
      </c>
      <c r="N149" s="283">
        <f t="shared" si="60"/>
        <v>0</v>
      </c>
      <c r="O149" s="283">
        <f t="shared" si="61"/>
        <v>0</v>
      </c>
      <c r="R149" s="97"/>
    </row>
    <row r="150" spans="1:18">
      <c r="A150" s="97">
        <f t="shared" si="47"/>
        <v>150</v>
      </c>
      <c r="B150" s="280" t="s">
        <v>134</v>
      </c>
      <c r="C150" s="274">
        <f t="shared" ref="C150:O150" si="62">SUM(C143:C149)</f>
        <v>290</v>
      </c>
      <c r="D150" s="274">
        <f t="shared" si="62"/>
        <v>290</v>
      </c>
      <c r="E150" s="274">
        <f t="shared" si="62"/>
        <v>290.66666666666669</v>
      </c>
      <c r="F150" s="274">
        <f t="shared" si="62"/>
        <v>290.5</v>
      </c>
      <c r="G150" s="274">
        <f t="shared" si="62"/>
        <v>289</v>
      </c>
      <c r="H150" s="274">
        <f t="shared" si="62"/>
        <v>288</v>
      </c>
      <c r="I150" s="274">
        <f t="shared" si="62"/>
        <v>287.28571428571428</v>
      </c>
      <c r="J150" s="274">
        <f t="shared" si="62"/>
        <v>286.75</v>
      </c>
      <c r="K150" s="274">
        <f t="shared" si="62"/>
        <v>286.22222222222223</v>
      </c>
      <c r="L150" s="274">
        <f t="shared" si="62"/>
        <v>286.29999999999995</v>
      </c>
      <c r="M150" s="274">
        <f t="shared" si="62"/>
        <v>286.36363636363643</v>
      </c>
      <c r="N150" s="274">
        <f t="shared" si="62"/>
        <v>286.41666666666669</v>
      </c>
      <c r="O150" s="274">
        <f t="shared" si="62"/>
        <v>3457.5049062049061</v>
      </c>
      <c r="R150" s="97"/>
    </row>
    <row r="151" spans="1:18">
      <c r="A151" s="97">
        <f t="shared" si="47"/>
        <v>151</v>
      </c>
      <c r="B151" s="284" t="s">
        <v>135</v>
      </c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R151" s="97"/>
    </row>
    <row r="152" spans="1:18">
      <c r="A152" s="97">
        <f t="shared" si="47"/>
        <v>152</v>
      </c>
      <c r="B152" s="276" t="s">
        <v>100</v>
      </c>
      <c r="C152" s="274">
        <f t="shared" ref="C152:C187" si="63">+C26</f>
        <v>10</v>
      </c>
      <c r="D152" s="274">
        <f t="shared" ref="D152:D187" si="64">AVERAGE(C26:D26)</f>
        <v>10</v>
      </c>
      <c r="E152" s="274">
        <f t="shared" ref="E152:E187" si="65">AVERAGE(C26:E26)</f>
        <v>10</v>
      </c>
      <c r="F152" s="274">
        <f t="shared" ref="F152:F187" si="66">AVERAGE(C26:F26)</f>
        <v>10</v>
      </c>
      <c r="G152" s="274">
        <f t="shared" ref="G152:G187" si="67">AVERAGE(C26:G26)</f>
        <v>10</v>
      </c>
      <c r="H152" s="274">
        <f t="shared" ref="H152:H187" si="68">AVERAGE(C26:H26)</f>
        <v>10</v>
      </c>
      <c r="I152" s="274">
        <f t="shared" ref="I152:I187" si="69">AVERAGE(C26:I26)</f>
        <v>10</v>
      </c>
      <c r="J152" s="274">
        <f t="shared" ref="J152:J187" si="70">AVERAGE(C26:J26)</f>
        <v>10</v>
      </c>
      <c r="K152" s="274">
        <f t="shared" ref="K152:K187" si="71">AVERAGE(C26:K26)</f>
        <v>10</v>
      </c>
      <c r="L152" s="274">
        <f t="shared" ref="L152:L187" si="72">AVERAGE(C26:L26)</f>
        <v>10</v>
      </c>
      <c r="M152" s="274">
        <f t="shared" ref="M152:M187" si="73">AVERAGE(C26:M26)</f>
        <v>10</v>
      </c>
      <c r="N152" s="274">
        <f t="shared" ref="N152:N187" si="74">AVERAGE(C26:N26)</f>
        <v>10</v>
      </c>
      <c r="O152" s="274">
        <f t="shared" ref="O152:O184" si="75">SUM(C152:N152)</f>
        <v>120</v>
      </c>
      <c r="R152" s="97"/>
    </row>
    <row r="153" spans="1:18">
      <c r="A153" s="97">
        <f t="shared" si="47"/>
        <v>153</v>
      </c>
      <c r="B153" s="276" t="s">
        <v>101</v>
      </c>
      <c r="C153" s="274">
        <f t="shared" si="63"/>
        <v>7</v>
      </c>
      <c r="D153" s="274">
        <f t="shared" si="64"/>
        <v>7</v>
      </c>
      <c r="E153" s="274">
        <f t="shared" si="65"/>
        <v>7</v>
      </c>
      <c r="F153" s="274">
        <f t="shared" si="66"/>
        <v>6.75</v>
      </c>
      <c r="G153" s="274">
        <f t="shared" si="67"/>
        <v>6.6</v>
      </c>
      <c r="H153" s="274">
        <f t="shared" si="68"/>
        <v>6.5</v>
      </c>
      <c r="I153" s="274">
        <f t="shared" si="69"/>
        <v>6.4285714285714288</v>
      </c>
      <c r="J153" s="274">
        <f t="shared" si="70"/>
        <v>6.375</v>
      </c>
      <c r="K153" s="274">
        <f t="shared" si="71"/>
        <v>6.333333333333333</v>
      </c>
      <c r="L153" s="274">
        <f t="shared" si="72"/>
        <v>6.3</v>
      </c>
      <c r="M153" s="274">
        <f t="shared" si="73"/>
        <v>6.2727272727272725</v>
      </c>
      <c r="N153" s="274">
        <f t="shared" si="74"/>
        <v>6.333333333333333</v>
      </c>
      <c r="O153" s="274">
        <f t="shared" si="75"/>
        <v>78.89296536796536</v>
      </c>
      <c r="R153" s="97"/>
    </row>
    <row r="154" spans="1:18">
      <c r="A154" s="97">
        <f t="shared" si="47"/>
        <v>154</v>
      </c>
      <c r="B154" s="276" t="s">
        <v>102</v>
      </c>
      <c r="C154" s="274">
        <f t="shared" si="63"/>
        <v>230</v>
      </c>
      <c r="D154" s="274">
        <f t="shared" si="64"/>
        <v>230</v>
      </c>
      <c r="E154" s="274">
        <f t="shared" si="65"/>
        <v>230.33333333333334</v>
      </c>
      <c r="F154" s="274">
        <f t="shared" si="66"/>
        <v>230</v>
      </c>
      <c r="G154" s="274">
        <f t="shared" si="67"/>
        <v>229.8</v>
      </c>
      <c r="H154" s="274">
        <f t="shared" si="68"/>
        <v>229.33333333333334</v>
      </c>
      <c r="I154" s="274">
        <f t="shared" si="69"/>
        <v>228.71428571428572</v>
      </c>
      <c r="J154" s="274">
        <f t="shared" si="70"/>
        <v>228.375</v>
      </c>
      <c r="K154" s="274">
        <f t="shared" si="71"/>
        <v>228.55555555555554</v>
      </c>
      <c r="L154" s="274">
        <f t="shared" si="72"/>
        <v>228.6</v>
      </c>
      <c r="M154" s="274">
        <f t="shared" si="73"/>
        <v>228.54545454545453</v>
      </c>
      <c r="N154" s="274">
        <f t="shared" si="74"/>
        <v>228.41666666666666</v>
      </c>
      <c r="O154" s="274">
        <f t="shared" si="75"/>
        <v>2750.6736291486291</v>
      </c>
      <c r="R154" s="97"/>
    </row>
    <row r="155" spans="1:18">
      <c r="A155" s="97">
        <f t="shared" si="47"/>
        <v>155</v>
      </c>
      <c r="B155" s="276" t="s">
        <v>103</v>
      </c>
      <c r="C155" s="274">
        <f t="shared" si="63"/>
        <v>99</v>
      </c>
      <c r="D155" s="274">
        <f t="shared" si="64"/>
        <v>99.5</v>
      </c>
      <c r="E155" s="274">
        <f t="shared" si="65"/>
        <v>100</v>
      </c>
      <c r="F155" s="274">
        <f t="shared" si="66"/>
        <v>100.25</v>
      </c>
      <c r="G155" s="274">
        <f t="shared" si="67"/>
        <v>100.2</v>
      </c>
      <c r="H155" s="274">
        <f t="shared" si="68"/>
        <v>100.33333333333333</v>
      </c>
      <c r="I155" s="274">
        <f t="shared" si="69"/>
        <v>100.14285714285714</v>
      </c>
      <c r="J155" s="274">
        <f t="shared" si="70"/>
        <v>100.25</v>
      </c>
      <c r="K155" s="274">
        <f t="shared" si="71"/>
        <v>100.33333333333333</v>
      </c>
      <c r="L155" s="274">
        <f t="shared" si="72"/>
        <v>100.4</v>
      </c>
      <c r="M155" s="274">
        <f t="shared" si="73"/>
        <v>100.45454545454545</v>
      </c>
      <c r="N155" s="274">
        <f t="shared" si="74"/>
        <v>100.33333333333333</v>
      </c>
      <c r="O155" s="274">
        <f t="shared" si="75"/>
        <v>1201.1974025974025</v>
      </c>
      <c r="R155" s="97"/>
    </row>
    <row r="156" spans="1:18">
      <c r="A156" s="97">
        <f t="shared" si="47"/>
        <v>156</v>
      </c>
      <c r="B156" s="276" t="s">
        <v>104</v>
      </c>
      <c r="C156" s="274">
        <f t="shared" si="63"/>
        <v>210</v>
      </c>
      <c r="D156" s="274">
        <f t="shared" si="64"/>
        <v>210</v>
      </c>
      <c r="E156" s="274">
        <f t="shared" si="65"/>
        <v>210.33333333333334</v>
      </c>
      <c r="F156" s="274">
        <f t="shared" si="66"/>
        <v>210.75</v>
      </c>
      <c r="G156" s="274">
        <f t="shared" si="67"/>
        <v>210.8</v>
      </c>
      <c r="H156" s="274">
        <f t="shared" si="68"/>
        <v>210.66666666666666</v>
      </c>
      <c r="I156" s="274">
        <f t="shared" si="69"/>
        <v>210.42857142857142</v>
      </c>
      <c r="J156" s="274">
        <f t="shared" si="70"/>
        <v>210.25</v>
      </c>
      <c r="K156" s="274">
        <f t="shared" si="71"/>
        <v>210</v>
      </c>
      <c r="L156" s="274">
        <f t="shared" si="72"/>
        <v>210</v>
      </c>
      <c r="M156" s="274">
        <f t="shared" si="73"/>
        <v>210.45454545454547</v>
      </c>
      <c r="N156" s="274">
        <f t="shared" si="74"/>
        <v>210.75</v>
      </c>
      <c r="O156" s="274">
        <f t="shared" si="75"/>
        <v>2524.4331168831172</v>
      </c>
      <c r="R156" s="97"/>
    </row>
    <row r="157" spans="1:18">
      <c r="A157" s="97">
        <f t="shared" si="47"/>
        <v>157</v>
      </c>
      <c r="B157" s="279" t="s">
        <v>105</v>
      </c>
      <c r="C157" s="274">
        <f t="shared" si="63"/>
        <v>276</v>
      </c>
      <c r="D157" s="274">
        <f t="shared" si="64"/>
        <v>276.5</v>
      </c>
      <c r="E157" s="274">
        <f t="shared" si="65"/>
        <v>276.66666666666669</v>
      </c>
      <c r="F157" s="274">
        <f t="shared" si="66"/>
        <v>277.5</v>
      </c>
      <c r="G157" s="274">
        <f t="shared" si="67"/>
        <v>277.8</v>
      </c>
      <c r="H157" s="274">
        <f t="shared" si="68"/>
        <v>277.66666666666669</v>
      </c>
      <c r="I157" s="274">
        <f t="shared" si="69"/>
        <v>277.71428571428572</v>
      </c>
      <c r="J157" s="274">
        <f t="shared" si="70"/>
        <v>278</v>
      </c>
      <c r="K157" s="274">
        <f t="shared" si="71"/>
        <v>278.22222222222223</v>
      </c>
      <c r="L157" s="274">
        <f t="shared" si="72"/>
        <v>278.7</v>
      </c>
      <c r="M157" s="274">
        <f t="shared" si="73"/>
        <v>278.90909090909093</v>
      </c>
      <c r="N157" s="274">
        <f t="shared" si="74"/>
        <v>279.25</v>
      </c>
      <c r="O157" s="274">
        <f t="shared" si="75"/>
        <v>3332.9289321789324</v>
      </c>
      <c r="R157" s="97"/>
    </row>
    <row r="158" spans="1:18">
      <c r="A158" s="97">
        <f t="shared" si="47"/>
        <v>158</v>
      </c>
      <c r="B158" s="279" t="s">
        <v>106</v>
      </c>
      <c r="C158" s="274">
        <f t="shared" si="63"/>
        <v>336</v>
      </c>
      <c r="D158" s="274">
        <f t="shared" si="64"/>
        <v>336.5</v>
      </c>
      <c r="E158" s="274">
        <f t="shared" si="65"/>
        <v>337</v>
      </c>
      <c r="F158" s="274">
        <f t="shared" si="66"/>
        <v>337</v>
      </c>
      <c r="G158" s="274">
        <f t="shared" si="67"/>
        <v>337</v>
      </c>
      <c r="H158" s="274">
        <f t="shared" si="68"/>
        <v>336.83333333333331</v>
      </c>
      <c r="I158" s="274">
        <f t="shared" si="69"/>
        <v>336.42857142857144</v>
      </c>
      <c r="J158" s="274">
        <f t="shared" si="70"/>
        <v>336.875</v>
      </c>
      <c r="K158" s="274">
        <f t="shared" si="71"/>
        <v>336.55555555555554</v>
      </c>
      <c r="L158" s="274">
        <f t="shared" si="72"/>
        <v>336.7</v>
      </c>
      <c r="M158" s="274">
        <f t="shared" si="73"/>
        <v>336.45454545454544</v>
      </c>
      <c r="N158" s="274">
        <f t="shared" si="74"/>
        <v>336.08333333333331</v>
      </c>
      <c r="O158" s="274">
        <f t="shared" si="75"/>
        <v>4039.430339105339</v>
      </c>
      <c r="R158" s="97"/>
    </row>
    <row r="159" spans="1:18">
      <c r="A159" s="97">
        <f t="shared" si="47"/>
        <v>159</v>
      </c>
      <c r="B159" s="279" t="s">
        <v>107</v>
      </c>
      <c r="C159" s="274">
        <f t="shared" si="63"/>
        <v>210</v>
      </c>
      <c r="D159" s="274">
        <f t="shared" si="64"/>
        <v>210</v>
      </c>
      <c r="E159" s="274">
        <f t="shared" si="65"/>
        <v>209.66666666666666</v>
      </c>
      <c r="F159" s="274">
        <f t="shared" si="66"/>
        <v>209.5</v>
      </c>
      <c r="G159" s="274">
        <f t="shared" si="67"/>
        <v>209.8</v>
      </c>
      <c r="H159" s="274">
        <f t="shared" si="68"/>
        <v>209.83333333333334</v>
      </c>
      <c r="I159" s="274">
        <f t="shared" si="69"/>
        <v>209.85714285714286</v>
      </c>
      <c r="J159" s="274">
        <f t="shared" si="70"/>
        <v>210</v>
      </c>
      <c r="K159" s="274">
        <f t="shared" si="71"/>
        <v>210.22222222222223</v>
      </c>
      <c r="L159" s="274">
        <f t="shared" si="72"/>
        <v>210.3</v>
      </c>
      <c r="M159" s="274">
        <f t="shared" si="73"/>
        <v>210.09090909090909</v>
      </c>
      <c r="N159" s="274">
        <f t="shared" si="74"/>
        <v>210.08333333333334</v>
      </c>
      <c r="O159" s="274">
        <f t="shared" si="75"/>
        <v>2519.3536075036077</v>
      </c>
      <c r="R159" s="97"/>
    </row>
    <row r="160" spans="1:18">
      <c r="A160" s="97">
        <f t="shared" si="47"/>
        <v>160</v>
      </c>
      <c r="B160" s="279" t="s">
        <v>111</v>
      </c>
      <c r="C160" s="274">
        <f t="shared" si="63"/>
        <v>36</v>
      </c>
      <c r="D160" s="274">
        <f t="shared" si="64"/>
        <v>36</v>
      </c>
      <c r="E160" s="274">
        <f t="shared" si="65"/>
        <v>36</v>
      </c>
      <c r="F160" s="274">
        <f t="shared" si="66"/>
        <v>36</v>
      </c>
      <c r="G160" s="274">
        <f t="shared" si="67"/>
        <v>36</v>
      </c>
      <c r="H160" s="274">
        <f t="shared" si="68"/>
        <v>36</v>
      </c>
      <c r="I160" s="274">
        <f t="shared" si="69"/>
        <v>36</v>
      </c>
      <c r="J160" s="274">
        <f t="shared" si="70"/>
        <v>36</v>
      </c>
      <c r="K160" s="274">
        <f t="shared" si="71"/>
        <v>36</v>
      </c>
      <c r="L160" s="274">
        <f t="shared" si="72"/>
        <v>36</v>
      </c>
      <c r="M160" s="274">
        <f t="shared" si="73"/>
        <v>36</v>
      </c>
      <c r="N160" s="274">
        <f t="shared" si="74"/>
        <v>36</v>
      </c>
      <c r="O160" s="274">
        <f t="shared" si="75"/>
        <v>432</v>
      </c>
      <c r="R160" s="97"/>
    </row>
    <row r="161" spans="1:18">
      <c r="A161" s="97">
        <f t="shared" si="47"/>
        <v>161</v>
      </c>
      <c r="B161" s="279" t="s">
        <v>112</v>
      </c>
      <c r="C161" s="274">
        <f t="shared" si="63"/>
        <v>26</v>
      </c>
      <c r="D161" s="274">
        <f t="shared" si="64"/>
        <v>26.5</v>
      </c>
      <c r="E161" s="274">
        <f t="shared" si="65"/>
        <v>26.333333333333332</v>
      </c>
      <c r="F161" s="274">
        <f t="shared" si="66"/>
        <v>26.5</v>
      </c>
      <c r="G161" s="274">
        <f t="shared" si="67"/>
        <v>26.6</v>
      </c>
      <c r="H161" s="274">
        <f t="shared" si="68"/>
        <v>26.666666666666668</v>
      </c>
      <c r="I161" s="274">
        <f t="shared" si="69"/>
        <v>26.714285714285715</v>
      </c>
      <c r="J161" s="274">
        <f t="shared" si="70"/>
        <v>26.875</v>
      </c>
      <c r="K161" s="274">
        <f t="shared" si="71"/>
        <v>27.111111111111111</v>
      </c>
      <c r="L161" s="274">
        <f t="shared" si="72"/>
        <v>27.2</v>
      </c>
      <c r="M161" s="274">
        <f t="shared" si="73"/>
        <v>27.363636363636363</v>
      </c>
      <c r="N161" s="274">
        <f t="shared" si="74"/>
        <v>27.5</v>
      </c>
      <c r="O161" s="274">
        <f t="shared" si="75"/>
        <v>321.36403318903319</v>
      </c>
      <c r="R161" s="97"/>
    </row>
    <row r="162" spans="1:18">
      <c r="A162" s="97">
        <f t="shared" si="47"/>
        <v>162</v>
      </c>
      <c r="B162" s="279" t="s">
        <v>113</v>
      </c>
      <c r="C162" s="274">
        <f t="shared" si="63"/>
        <v>25</v>
      </c>
      <c r="D162" s="274">
        <f t="shared" si="64"/>
        <v>24.5</v>
      </c>
      <c r="E162" s="274">
        <f t="shared" si="65"/>
        <v>24.666666666666668</v>
      </c>
      <c r="F162" s="274">
        <f t="shared" si="66"/>
        <v>24.5</v>
      </c>
      <c r="G162" s="274">
        <f t="shared" si="67"/>
        <v>24.8</v>
      </c>
      <c r="H162" s="274">
        <f t="shared" si="68"/>
        <v>24.833333333333332</v>
      </c>
      <c r="I162" s="274">
        <f t="shared" si="69"/>
        <v>24.857142857142858</v>
      </c>
      <c r="J162" s="274">
        <f t="shared" si="70"/>
        <v>24.875</v>
      </c>
      <c r="K162" s="274">
        <f t="shared" si="71"/>
        <v>24.888888888888889</v>
      </c>
      <c r="L162" s="274">
        <f t="shared" si="72"/>
        <v>25</v>
      </c>
      <c r="M162" s="274">
        <f t="shared" si="73"/>
        <v>25.09090909090909</v>
      </c>
      <c r="N162" s="274">
        <f t="shared" si="74"/>
        <v>25.166666666666668</v>
      </c>
      <c r="O162" s="274">
        <f t="shared" si="75"/>
        <v>298.17860750360751</v>
      </c>
      <c r="R162" s="97"/>
    </row>
    <row r="163" spans="1:18">
      <c r="A163" s="97">
        <f t="shared" si="47"/>
        <v>163</v>
      </c>
      <c r="B163" s="279" t="s">
        <v>114</v>
      </c>
      <c r="C163" s="274">
        <f t="shared" si="63"/>
        <v>19</v>
      </c>
      <c r="D163" s="274">
        <f t="shared" si="64"/>
        <v>17.5</v>
      </c>
      <c r="E163" s="274">
        <f t="shared" si="65"/>
        <v>17.333333333333332</v>
      </c>
      <c r="F163" s="274">
        <f t="shared" si="66"/>
        <v>17.25</v>
      </c>
      <c r="G163" s="274">
        <f t="shared" si="67"/>
        <v>17.2</v>
      </c>
      <c r="H163" s="274">
        <f t="shared" si="68"/>
        <v>17.166666666666668</v>
      </c>
      <c r="I163" s="274">
        <f t="shared" si="69"/>
        <v>17.142857142857142</v>
      </c>
      <c r="J163" s="274">
        <f t="shared" si="70"/>
        <v>17.125</v>
      </c>
      <c r="K163" s="274">
        <f t="shared" si="71"/>
        <v>17.111111111111111</v>
      </c>
      <c r="L163" s="274">
        <f t="shared" si="72"/>
        <v>17.100000000000001</v>
      </c>
      <c r="M163" s="274">
        <f t="shared" si="73"/>
        <v>17.09090909090909</v>
      </c>
      <c r="N163" s="274">
        <f t="shared" si="74"/>
        <v>17.083333333333332</v>
      </c>
      <c r="O163" s="274">
        <f t="shared" si="75"/>
        <v>208.1032106782107</v>
      </c>
      <c r="R163" s="97"/>
    </row>
    <row r="164" spans="1:18">
      <c r="A164" s="97">
        <f t="shared" si="47"/>
        <v>164</v>
      </c>
      <c r="B164" s="279" t="s">
        <v>115</v>
      </c>
      <c r="C164" s="274">
        <f t="shared" si="63"/>
        <v>6</v>
      </c>
      <c r="D164" s="274">
        <f t="shared" si="64"/>
        <v>6</v>
      </c>
      <c r="E164" s="274">
        <f t="shared" si="65"/>
        <v>6</v>
      </c>
      <c r="F164" s="274">
        <f t="shared" si="66"/>
        <v>6</v>
      </c>
      <c r="G164" s="274">
        <f t="shared" si="67"/>
        <v>6</v>
      </c>
      <c r="H164" s="274">
        <f t="shared" si="68"/>
        <v>6</v>
      </c>
      <c r="I164" s="274">
        <f t="shared" si="69"/>
        <v>6</v>
      </c>
      <c r="J164" s="274">
        <f t="shared" si="70"/>
        <v>6</v>
      </c>
      <c r="K164" s="274">
        <f t="shared" si="71"/>
        <v>6</v>
      </c>
      <c r="L164" s="274">
        <f t="shared" si="72"/>
        <v>6</v>
      </c>
      <c r="M164" s="274">
        <f t="shared" si="73"/>
        <v>6.0909090909090908</v>
      </c>
      <c r="N164" s="274">
        <f t="shared" si="74"/>
        <v>6.083333333333333</v>
      </c>
      <c r="O164" s="274">
        <f t="shared" si="75"/>
        <v>72.174242424242422</v>
      </c>
      <c r="R164" s="97"/>
    </row>
    <row r="165" spans="1:18">
      <c r="A165" s="97">
        <f t="shared" si="47"/>
        <v>165</v>
      </c>
      <c r="B165" s="279" t="s">
        <v>116</v>
      </c>
      <c r="C165" s="274">
        <f t="shared" si="63"/>
        <v>3</v>
      </c>
      <c r="D165" s="274">
        <f t="shared" si="64"/>
        <v>3</v>
      </c>
      <c r="E165" s="274">
        <f t="shared" si="65"/>
        <v>3</v>
      </c>
      <c r="F165" s="274">
        <f t="shared" si="66"/>
        <v>3</v>
      </c>
      <c r="G165" s="274">
        <f t="shared" si="67"/>
        <v>3</v>
      </c>
      <c r="H165" s="274">
        <f t="shared" si="68"/>
        <v>3</v>
      </c>
      <c r="I165" s="274">
        <f t="shared" si="69"/>
        <v>3</v>
      </c>
      <c r="J165" s="274">
        <f t="shared" si="70"/>
        <v>3</v>
      </c>
      <c r="K165" s="274">
        <f t="shared" si="71"/>
        <v>3</v>
      </c>
      <c r="L165" s="274">
        <f t="shared" si="72"/>
        <v>3</v>
      </c>
      <c r="M165" s="274">
        <f t="shared" si="73"/>
        <v>3</v>
      </c>
      <c r="N165" s="274">
        <f t="shared" si="74"/>
        <v>3</v>
      </c>
      <c r="O165" s="274">
        <f t="shared" si="75"/>
        <v>36</v>
      </c>
      <c r="R165" s="97"/>
    </row>
    <row r="166" spans="1:18">
      <c r="A166" s="97">
        <f t="shared" si="47"/>
        <v>166</v>
      </c>
      <c r="B166" s="279" t="s">
        <v>117</v>
      </c>
      <c r="C166" s="274">
        <f t="shared" si="63"/>
        <v>1</v>
      </c>
      <c r="D166" s="274">
        <f t="shared" si="64"/>
        <v>1</v>
      </c>
      <c r="E166" s="274">
        <f t="shared" si="65"/>
        <v>1</v>
      </c>
      <c r="F166" s="274">
        <f t="shared" si="66"/>
        <v>1</v>
      </c>
      <c r="G166" s="274">
        <f t="shared" si="67"/>
        <v>1</v>
      </c>
      <c r="H166" s="274">
        <f t="shared" si="68"/>
        <v>1</v>
      </c>
      <c r="I166" s="274">
        <f t="shared" si="69"/>
        <v>1</v>
      </c>
      <c r="J166" s="274">
        <f t="shared" si="70"/>
        <v>1</v>
      </c>
      <c r="K166" s="274">
        <f t="shared" si="71"/>
        <v>1</v>
      </c>
      <c r="L166" s="274">
        <f t="shared" si="72"/>
        <v>1</v>
      </c>
      <c r="M166" s="274">
        <f t="shared" si="73"/>
        <v>1</v>
      </c>
      <c r="N166" s="274">
        <f t="shared" si="74"/>
        <v>1</v>
      </c>
      <c r="O166" s="274">
        <f t="shared" si="75"/>
        <v>12</v>
      </c>
      <c r="R166" s="97"/>
    </row>
    <row r="167" spans="1:18">
      <c r="A167" s="97">
        <f t="shared" si="47"/>
        <v>167</v>
      </c>
      <c r="B167" s="279" t="s">
        <v>118</v>
      </c>
      <c r="C167" s="274">
        <f t="shared" si="63"/>
        <v>5</v>
      </c>
      <c r="D167" s="274">
        <f t="shared" si="64"/>
        <v>5</v>
      </c>
      <c r="E167" s="274">
        <f t="shared" si="65"/>
        <v>5</v>
      </c>
      <c r="F167" s="274">
        <f t="shared" si="66"/>
        <v>5</v>
      </c>
      <c r="G167" s="274">
        <f t="shared" si="67"/>
        <v>5</v>
      </c>
      <c r="H167" s="274">
        <f t="shared" si="68"/>
        <v>5</v>
      </c>
      <c r="I167" s="274">
        <f t="shared" si="69"/>
        <v>5</v>
      </c>
      <c r="J167" s="274">
        <f t="shared" si="70"/>
        <v>5</v>
      </c>
      <c r="K167" s="274">
        <f t="shared" si="71"/>
        <v>5</v>
      </c>
      <c r="L167" s="274">
        <f t="shared" si="72"/>
        <v>5</v>
      </c>
      <c r="M167" s="274">
        <f t="shared" si="73"/>
        <v>5</v>
      </c>
      <c r="N167" s="274">
        <f t="shared" si="74"/>
        <v>5</v>
      </c>
      <c r="O167" s="274">
        <f t="shared" si="75"/>
        <v>60</v>
      </c>
      <c r="R167" s="97"/>
    </row>
    <row r="168" spans="1:18">
      <c r="A168" s="97">
        <f t="shared" si="47"/>
        <v>168</v>
      </c>
      <c r="B168" s="279" t="s">
        <v>119</v>
      </c>
      <c r="C168" s="274">
        <f t="shared" si="63"/>
        <v>1</v>
      </c>
      <c r="D168" s="274">
        <f t="shared" si="64"/>
        <v>1</v>
      </c>
      <c r="E168" s="274">
        <f t="shared" si="65"/>
        <v>1</v>
      </c>
      <c r="F168" s="274">
        <f t="shared" si="66"/>
        <v>1</v>
      </c>
      <c r="G168" s="274">
        <f t="shared" si="67"/>
        <v>1</v>
      </c>
      <c r="H168" s="274">
        <f t="shared" si="68"/>
        <v>1</v>
      </c>
      <c r="I168" s="274">
        <f t="shared" si="69"/>
        <v>1</v>
      </c>
      <c r="J168" s="274">
        <f t="shared" si="70"/>
        <v>1</v>
      </c>
      <c r="K168" s="274">
        <f t="shared" si="71"/>
        <v>1</v>
      </c>
      <c r="L168" s="274">
        <f t="shared" si="72"/>
        <v>1</v>
      </c>
      <c r="M168" s="274">
        <f t="shared" si="73"/>
        <v>1</v>
      </c>
      <c r="N168" s="274">
        <f t="shared" si="74"/>
        <v>1</v>
      </c>
      <c r="O168" s="274">
        <f t="shared" si="75"/>
        <v>12</v>
      </c>
      <c r="R168" s="97"/>
    </row>
    <row r="169" spans="1:18">
      <c r="A169" s="97">
        <f t="shared" si="47"/>
        <v>169</v>
      </c>
      <c r="B169" s="279" t="s">
        <v>99</v>
      </c>
      <c r="C169" s="274">
        <f t="shared" si="63"/>
        <v>893</v>
      </c>
      <c r="D169" s="274">
        <f t="shared" si="64"/>
        <v>889.5</v>
      </c>
      <c r="E169" s="274">
        <f t="shared" si="65"/>
        <v>888.66666666666663</v>
      </c>
      <c r="F169" s="274">
        <f t="shared" si="66"/>
        <v>890.5</v>
      </c>
      <c r="G169" s="274">
        <f t="shared" si="67"/>
        <v>892.4</v>
      </c>
      <c r="H169" s="274">
        <f t="shared" si="68"/>
        <v>895.33333333333337</v>
      </c>
      <c r="I169" s="274">
        <f t="shared" si="69"/>
        <v>895</v>
      </c>
      <c r="J169" s="274">
        <f t="shared" si="70"/>
        <v>893.5</v>
      </c>
      <c r="K169" s="274">
        <f t="shared" si="71"/>
        <v>893.33333333333337</v>
      </c>
      <c r="L169" s="274">
        <f t="shared" si="72"/>
        <v>893.4</v>
      </c>
      <c r="M169" s="274">
        <f t="shared" si="73"/>
        <v>893.36363636363637</v>
      </c>
      <c r="N169" s="274">
        <f t="shared" si="74"/>
        <v>892.75</v>
      </c>
      <c r="O169" s="274">
        <f t="shared" si="75"/>
        <v>10710.746969696969</v>
      </c>
      <c r="R169" s="97"/>
    </row>
    <row r="170" spans="1:18">
      <c r="A170" s="97">
        <f t="shared" si="47"/>
        <v>170</v>
      </c>
      <c r="B170" s="279" t="s">
        <v>138</v>
      </c>
      <c r="C170" s="274">
        <f t="shared" si="63"/>
        <v>376</v>
      </c>
      <c r="D170" s="274">
        <f t="shared" si="64"/>
        <v>375.5</v>
      </c>
      <c r="E170" s="274">
        <f t="shared" si="65"/>
        <v>373.66666666666669</v>
      </c>
      <c r="F170" s="274">
        <f t="shared" si="66"/>
        <v>372.25</v>
      </c>
      <c r="G170" s="274">
        <f t="shared" si="67"/>
        <v>371.8</v>
      </c>
      <c r="H170" s="274">
        <f t="shared" si="68"/>
        <v>371.83333333333331</v>
      </c>
      <c r="I170" s="274">
        <f t="shared" si="69"/>
        <v>371.57142857142856</v>
      </c>
      <c r="J170" s="274">
        <f t="shared" si="70"/>
        <v>372.125</v>
      </c>
      <c r="K170" s="274">
        <f t="shared" si="71"/>
        <v>372.44444444444446</v>
      </c>
      <c r="L170" s="274">
        <f t="shared" si="72"/>
        <v>372.5</v>
      </c>
      <c r="M170" s="274">
        <f t="shared" si="73"/>
        <v>372.36363636363637</v>
      </c>
      <c r="N170" s="274">
        <f t="shared" si="74"/>
        <v>372.08333333333331</v>
      </c>
      <c r="O170" s="274">
        <f t="shared" si="75"/>
        <v>4474.137842712842</v>
      </c>
      <c r="R170" s="97"/>
    </row>
    <row r="171" spans="1:18">
      <c r="A171" s="97">
        <f t="shared" si="47"/>
        <v>171</v>
      </c>
      <c r="B171" s="279" t="s">
        <v>140</v>
      </c>
      <c r="C171" s="274">
        <f t="shared" si="63"/>
        <v>2132</v>
      </c>
      <c r="D171" s="274">
        <f t="shared" si="64"/>
        <v>2129</v>
      </c>
      <c r="E171" s="274">
        <f t="shared" si="65"/>
        <v>2131</v>
      </c>
      <c r="F171" s="274">
        <f t="shared" si="66"/>
        <v>2131.75</v>
      </c>
      <c r="G171" s="274">
        <f t="shared" si="67"/>
        <v>2126.6</v>
      </c>
      <c r="H171" s="274">
        <f t="shared" si="68"/>
        <v>2124</v>
      </c>
      <c r="I171" s="274">
        <f t="shared" si="69"/>
        <v>2126.7142857142858</v>
      </c>
      <c r="J171" s="274">
        <f t="shared" si="70"/>
        <v>2128.125</v>
      </c>
      <c r="K171" s="274">
        <f t="shared" si="71"/>
        <v>2128.4444444444443</v>
      </c>
      <c r="L171" s="274">
        <f t="shared" si="72"/>
        <v>2130.1</v>
      </c>
      <c r="M171" s="274">
        <f t="shared" si="73"/>
        <v>2132.2727272727275</v>
      </c>
      <c r="N171" s="274">
        <f t="shared" si="74"/>
        <v>2134.6666666666665</v>
      </c>
      <c r="O171" s="274">
        <f t="shared" si="75"/>
        <v>25554.673124098128</v>
      </c>
      <c r="R171" s="97"/>
    </row>
    <row r="172" spans="1:18">
      <c r="A172" s="97">
        <f t="shared" si="47"/>
        <v>172</v>
      </c>
      <c r="B172" s="279" t="s">
        <v>141</v>
      </c>
      <c r="C172" s="274">
        <f t="shared" si="63"/>
        <v>797</v>
      </c>
      <c r="D172" s="274">
        <f t="shared" si="64"/>
        <v>802.5</v>
      </c>
      <c r="E172" s="274">
        <f t="shared" si="65"/>
        <v>806</v>
      </c>
      <c r="F172" s="274">
        <f t="shared" si="66"/>
        <v>809.25</v>
      </c>
      <c r="G172" s="274">
        <f t="shared" si="67"/>
        <v>810.6</v>
      </c>
      <c r="H172" s="274">
        <f t="shared" si="68"/>
        <v>811.83333333333337</v>
      </c>
      <c r="I172" s="274">
        <f t="shared" si="69"/>
        <v>813.57142857142856</v>
      </c>
      <c r="J172" s="274">
        <f t="shared" si="70"/>
        <v>814</v>
      </c>
      <c r="K172" s="274">
        <f t="shared" si="71"/>
        <v>814.66666666666663</v>
      </c>
      <c r="L172" s="274">
        <f t="shared" si="72"/>
        <v>816</v>
      </c>
      <c r="M172" s="274">
        <f t="shared" si="73"/>
        <v>817.09090909090912</v>
      </c>
      <c r="N172" s="274">
        <f t="shared" si="74"/>
        <v>818.08333333333337</v>
      </c>
      <c r="O172" s="274">
        <f t="shared" si="75"/>
        <v>9730.5956709956718</v>
      </c>
      <c r="R172" s="97"/>
    </row>
    <row r="173" spans="1:18">
      <c r="A173" s="97">
        <f t="shared" si="47"/>
        <v>173</v>
      </c>
      <c r="B173" s="279" t="s">
        <v>142</v>
      </c>
      <c r="C173" s="274">
        <f t="shared" si="63"/>
        <v>247</v>
      </c>
      <c r="D173" s="274">
        <f t="shared" si="64"/>
        <v>248.5</v>
      </c>
      <c r="E173" s="274">
        <f t="shared" si="65"/>
        <v>248</v>
      </c>
      <c r="F173" s="274">
        <f t="shared" si="66"/>
        <v>248.75</v>
      </c>
      <c r="G173" s="274">
        <f t="shared" si="67"/>
        <v>249.6</v>
      </c>
      <c r="H173" s="274">
        <f t="shared" si="68"/>
        <v>250.66666666666666</v>
      </c>
      <c r="I173" s="274">
        <f t="shared" si="69"/>
        <v>251</v>
      </c>
      <c r="J173" s="274">
        <f t="shared" si="70"/>
        <v>251.875</v>
      </c>
      <c r="K173" s="274">
        <f t="shared" si="71"/>
        <v>252.77777777777777</v>
      </c>
      <c r="L173" s="274">
        <f t="shared" si="72"/>
        <v>253.7</v>
      </c>
      <c r="M173" s="274">
        <f t="shared" si="73"/>
        <v>254.36363636363637</v>
      </c>
      <c r="N173" s="274">
        <f t="shared" si="74"/>
        <v>255.33333333333334</v>
      </c>
      <c r="O173" s="274">
        <f t="shared" si="75"/>
        <v>3011.566414141414</v>
      </c>
      <c r="R173" s="97"/>
    </row>
    <row r="174" spans="1:18">
      <c r="A174" s="97">
        <f t="shared" si="47"/>
        <v>174</v>
      </c>
      <c r="B174" s="279" t="s">
        <v>143</v>
      </c>
      <c r="C174" s="274">
        <f t="shared" si="63"/>
        <v>649</v>
      </c>
      <c r="D174" s="274">
        <f t="shared" si="64"/>
        <v>653.5</v>
      </c>
      <c r="E174" s="274">
        <f t="shared" si="65"/>
        <v>657</v>
      </c>
      <c r="F174" s="274">
        <f t="shared" si="66"/>
        <v>658</v>
      </c>
      <c r="G174" s="274">
        <f t="shared" si="67"/>
        <v>656.8</v>
      </c>
      <c r="H174" s="274">
        <f t="shared" si="68"/>
        <v>655.16666666666663</v>
      </c>
      <c r="I174" s="274">
        <f t="shared" si="69"/>
        <v>654.42857142857144</v>
      </c>
      <c r="J174" s="274">
        <f t="shared" si="70"/>
        <v>653</v>
      </c>
      <c r="K174" s="274">
        <f t="shared" si="71"/>
        <v>652</v>
      </c>
      <c r="L174" s="274">
        <f t="shared" si="72"/>
        <v>651.5</v>
      </c>
      <c r="M174" s="274">
        <f t="shared" si="73"/>
        <v>651.5454545454545</v>
      </c>
      <c r="N174" s="274">
        <f t="shared" si="74"/>
        <v>652</v>
      </c>
      <c r="O174" s="274">
        <f t="shared" si="75"/>
        <v>7843.9406926406919</v>
      </c>
      <c r="R174" s="97"/>
    </row>
    <row r="175" spans="1:18">
      <c r="A175" s="97">
        <f t="shared" si="47"/>
        <v>175</v>
      </c>
      <c r="B175" s="279" t="s">
        <v>145</v>
      </c>
      <c r="C175" s="274">
        <f t="shared" si="63"/>
        <v>0</v>
      </c>
      <c r="D175" s="274">
        <f t="shared" si="64"/>
        <v>0</v>
      </c>
      <c r="E175" s="274">
        <f t="shared" si="65"/>
        <v>0</v>
      </c>
      <c r="F175" s="274">
        <f t="shared" si="66"/>
        <v>0</v>
      </c>
      <c r="G175" s="274">
        <f t="shared" si="67"/>
        <v>0</v>
      </c>
      <c r="H175" s="274">
        <f t="shared" si="68"/>
        <v>0</v>
      </c>
      <c r="I175" s="274">
        <f t="shared" si="69"/>
        <v>0</v>
      </c>
      <c r="J175" s="274">
        <f t="shared" si="70"/>
        <v>0</v>
      </c>
      <c r="K175" s="274">
        <f t="shared" si="71"/>
        <v>0</v>
      </c>
      <c r="L175" s="274">
        <f t="shared" si="72"/>
        <v>0</v>
      </c>
      <c r="M175" s="274">
        <f t="shared" si="73"/>
        <v>0</v>
      </c>
      <c r="N175" s="274">
        <f t="shared" si="74"/>
        <v>0</v>
      </c>
      <c r="O175" s="274">
        <f t="shared" si="75"/>
        <v>0</v>
      </c>
      <c r="R175" s="97"/>
    </row>
    <row r="176" spans="1:18">
      <c r="A176" s="97">
        <f t="shared" si="47"/>
        <v>176</v>
      </c>
      <c r="B176" s="279" t="s">
        <v>146</v>
      </c>
      <c r="C176" s="274">
        <f t="shared" si="63"/>
        <v>1264</v>
      </c>
      <c r="D176" s="274">
        <f t="shared" si="64"/>
        <v>1264</v>
      </c>
      <c r="E176" s="274">
        <f t="shared" si="65"/>
        <v>1263</v>
      </c>
      <c r="F176" s="274">
        <f t="shared" si="66"/>
        <v>1265</v>
      </c>
      <c r="G176" s="274">
        <f t="shared" si="67"/>
        <v>1267.2</v>
      </c>
      <c r="H176" s="274">
        <f t="shared" si="68"/>
        <v>1269</v>
      </c>
      <c r="I176" s="274">
        <f t="shared" si="69"/>
        <v>1269.5714285714287</v>
      </c>
      <c r="J176" s="274">
        <f t="shared" si="70"/>
        <v>1269.5</v>
      </c>
      <c r="K176" s="274">
        <f t="shared" si="71"/>
        <v>1268.8888888888889</v>
      </c>
      <c r="L176" s="274">
        <f t="shared" si="72"/>
        <v>1268.9000000000001</v>
      </c>
      <c r="M176" s="274">
        <f t="shared" si="73"/>
        <v>1268.4545454545455</v>
      </c>
      <c r="N176" s="274">
        <f t="shared" si="74"/>
        <v>1268.0833333333333</v>
      </c>
      <c r="O176" s="274">
        <f t="shared" si="75"/>
        <v>15205.598196248196</v>
      </c>
      <c r="R176" s="97"/>
    </row>
    <row r="177" spans="1:18">
      <c r="A177" s="97">
        <f t="shared" si="47"/>
        <v>177</v>
      </c>
      <c r="B177" s="279" t="s">
        <v>148</v>
      </c>
      <c r="C177" s="274">
        <f t="shared" si="63"/>
        <v>0</v>
      </c>
      <c r="D177" s="274">
        <f t="shared" si="64"/>
        <v>0</v>
      </c>
      <c r="E177" s="274">
        <f t="shared" si="65"/>
        <v>0</v>
      </c>
      <c r="F177" s="274">
        <f t="shared" si="66"/>
        <v>0</v>
      </c>
      <c r="G177" s="274">
        <f t="shared" si="67"/>
        <v>0</v>
      </c>
      <c r="H177" s="274">
        <f t="shared" si="68"/>
        <v>0</v>
      </c>
      <c r="I177" s="274">
        <f t="shared" si="69"/>
        <v>0</v>
      </c>
      <c r="J177" s="274">
        <f t="shared" si="70"/>
        <v>0</v>
      </c>
      <c r="K177" s="274">
        <f t="shared" si="71"/>
        <v>0</v>
      </c>
      <c r="L177" s="274">
        <f t="shared" si="72"/>
        <v>0</v>
      </c>
      <c r="M177" s="274">
        <f t="shared" si="73"/>
        <v>0</v>
      </c>
      <c r="N177" s="274">
        <f t="shared" si="74"/>
        <v>0</v>
      </c>
      <c r="O177" s="274">
        <f t="shared" si="75"/>
        <v>0</v>
      </c>
      <c r="R177" s="97"/>
    </row>
    <row r="178" spans="1:18">
      <c r="A178" s="97">
        <f t="shared" si="47"/>
        <v>178</v>
      </c>
      <c r="B178" s="279" t="s">
        <v>149</v>
      </c>
      <c r="C178" s="274">
        <f t="shared" si="63"/>
        <v>19</v>
      </c>
      <c r="D178" s="274">
        <f t="shared" si="64"/>
        <v>18.5</v>
      </c>
      <c r="E178" s="274">
        <f t="shared" si="65"/>
        <v>18.333333333333332</v>
      </c>
      <c r="F178" s="274">
        <f t="shared" si="66"/>
        <v>18.25</v>
      </c>
      <c r="G178" s="274">
        <f t="shared" si="67"/>
        <v>18.2</v>
      </c>
      <c r="H178" s="274">
        <f t="shared" si="68"/>
        <v>18.166666666666668</v>
      </c>
      <c r="I178" s="274">
        <f t="shared" si="69"/>
        <v>18.142857142857142</v>
      </c>
      <c r="J178" s="274">
        <f t="shared" si="70"/>
        <v>18.125</v>
      </c>
      <c r="K178" s="274">
        <f t="shared" si="71"/>
        <v>18.111111111111111</v>
      </c>
      <c r="L178" s="274">
        <f t="shared" si="72"/>
        <v>18.100000000000001</v>
      </c>
      <c r="M178" s="274">
        <f t="shared" si="73"/>
        <v>18.09090909090909</v>
      </c>
      <c r="N178" s="274">
        <f t="shared" si="74"/>
        <v>18.083333333333332</v>
      </c>
      <c r="O178" s="274">
        <f t="shared" si="75"/>
        <v>219.1032106782107</v>
      </c>
      <c r="R178" s="97"/>
    </row>
    <row r="179" spans="1:18">
      <c r="A179" s="97">
        <f t="shared" si="47"/>
        <v>179</v>
      </c>
      <c r="B179" s="279" t="s">
        <v>151</v>
      </c>
      <c r="C179" s="274">
        <f t="shared" si="63"/>
        <v>34</v>
      </c>
      <c r="D179" s="274">
        <f t="shared" si="64"/>
        <v>34</v>
      </c>
      <c r="E179" s="274">
        <f t="shared" si="65"/>
        <v>33.333333333333336</v>
      </c>
      <c r="F179" s="274">
        <f t="shared" si="66"/>
        <v>33</v>
      </c>
      <c r="G179" s="274">
        <f t="shared" si="67"/>
        <v>32.799999999999997</v>
      </c>
      <c r="H179" s="274">
        <f t="shared" si="68"/>
        <v>32.666666666666664</v>
      </c>
      <c r="I179" s="274">
        <f t="shared" si="69"/>
        <v>32.571428571428569</v>
      </c>
      <c r="J179" s="274">
        <f t="shared" si="70"/>
        <v>32.5</v>
      </c>
      <c r="K179" s="274">
        <f t="shared" si="71"/>
        <v>32.444444444444443</v>
      </c>
      <c r="L179" s="274">
        <f t="shared" si="72"/>
        <v>32.5</v>
      </c>
      <c r="M179" s="274">
        <f t="shared" si="73"/>
        <v>32.545454545454547</v>
      </c>
      <c r="N179" s="274">
        <f t="shared" si="74"/>
        <v>32.416666666666664</v>
      </c>
      <c r="O179" s="274">
        <f t="shared" si="75"/>
        <v>394.77799422799427</v>
      </c>
      <c r="R179" s="97"/>
    </row>
    <row r="180" spans="1:18">
      <c r="A180" s="97">
        <f t="shared" si="47"/>
        <v>180</v>
      </c>
      <c r="B180" s="279" t="s">
        <v>153</v>
      </c>
      <c r="C180" s="274">
        <f t="shared" si="63"/>
        <v>0</v>
      </c>
      <c r="D180" s="274">
        <f t="shared" si="64"/>
        <v>0</v>
      </c>
      <c r="E180" s="274">
        <f t="shared" si="65"/>
        <v>0</v>
      </c>
      <c r="F180" s="274">
        <f t="shared" si="66"/>
        <v>0</v>
      </c>
      <c r="G180" s="274">
        <f t="shared" si="67"/>
        <v>0</v>
      </c>
      <c r="H180" s="274">
        <f t="shared" si="68"/>
        <v>0</v>
      </c>
      <c r="I180" s="274">
        <f t="shared" si="69"/>
        <v>0</v>
      </c>
      <c r="J180" s="274">
        <f t="shared" si="70"/>
        <v>0</v>
      </c>
      <c r="K180" s="274">
        <f t="shared" si="71"/>
        <v>0</v>
      </c>
      <c r="L180" s="274">
        <f t="shared" si="72"/>
        <v>0</v>
      </c>
      <c r="M180" s="274">
        <f t="shared" si="73"/>
        <v>0</v>
      </c>
      <c r="N180" s="274">
        <f t="shared" si="74"/>
        <v>0</v>
      </c>
      <c r="O180" s="274">
        <f>SUM(C180:N180)</f>
        <v>0</v>
      </c>
      <c r="R180" s="97"/>
    </row>
    <row r="181" spans="1:18">
      <c r="A181" s="97">
        <f t="shared" si="47"/>
        <v>181</v>
      </c>
      <c r="B181" s="279" t="s">
        <v>207</v>
      </c>
      <c r="C181" s="274">
        <f t="shared" si="63"/>
        <v>2</v>
      </c>
      <c r="D181" s="274">
        <f t="shared" si="64"/>
        <v>2</v>
      </c>
      <c r="E181" s="274">
        <f t="shared" si="65"/>
        <v>2</v>
      </c>
      <c r="F181" s="274">
        <f t="shared" si="66"/>
        <v>2</v>
      </c>
      <c r="G181" s="274">
        <f t="shared" si="67"/>
        <v>2</v>
      </c>
      <c r="H181" s="274">
        <f t="shared" si="68"/>
        <v>2</v>
      </c>
      <c r="I181" s="274">
        <f t="shared" si="69"/>
        <v>2</v>
      </c>
      <c r="J181" s="274">
        <f t="shared" si="70"/>
        <v>2</v>
      </c>
      <c r="K181" s="274">
        <f t="shared" si="71"/>
        <v>2</v>
      </c>
      <c r="L181" s="274">
        <f t="shared" si="72"/>
        <v>2</v>
      </c>
      <c r="M181" s="274">
        <f t="shared" si="73"/>
        <v>2</v>
      </c>
      <c r="N181" s="274">
        <f t="shared" si="74"/>
        <v>2</v>
      </c>
      <c r="O181" s="274">
        <f>SUM(C181:N181)</f>
        <v>24</v>
      </c>
      <c r="R181" s="97"/>
    </row>
    <row r="182" spans="1:18">
      <c r="A182" s="97">
        <f t="shared" si="47"/>
        <v>182</v>
      </c>
      <c r="B182" s="279" t="s">
        <v>155</v>
      </c>
      <c r="C182" s="274">
        <f t="shared" si="63"/>
        <v>4</v>
      </c>
      <c r="D182" s="274">
        <f t="shared" si="64"/>
        <v>4</v>
      </c>
      <c r="E182" s="274">
        <f t="shared" si="65"/>
        <v>4</v>
      </c>
      <c r="F182" s="274">
        <f t="shared" si="66"/>
        <v>4</v>
      </c>
      <c r="G182" s="274">
        <f t="shared" si="67"/>
        <v>4</v>
      </c>
      <c r="H182" s="274">
        <f t="shared" si="68"/>
        <v>4</v>
      </c>
      <c r="I182" s="274">
        <f t="shared" si="69"/>
        <v>4</v>
      </c>
      <c r="J182" s="274">
        <f t="shared" si="70"/>
        <v>4</v>
      </c>
      <c r="K182" s="274">
        <f t="shared" si="71"/>
        <v>4</v>
      </c>
      <c r="L182" s="274">
        <f t="shared" si="72"/>
        <v>4</v>
      </c>
      <c r="M182" s="274">
        <f t="shared" si="73"/>
        <v>4</v>
      </c>
      <c r="N182" s="274">
        <f t="shared" si="74"/>
        <v>4</v>
      </c>
      <c r="O182" s="274">
        <f t="shared" si="75"/>
        <v>48</v>
      </c>
      <c r="R182" s="97"/>
    </row>
    <row r="183" spans="1:18">
      <c r="A183" s="97">
        <f t="shared" si="47"/>
        <v>183</v>
      </c>
      <c r="B183" s="279" t="s">
        <v>157</v>
      </c>
      <c r="C183" s="274">
        <f t="shared" si="63"/>
        <v>29</v>
      </c>
      <c r="D183" s="274">
        <f t="shared" si="64"/>
        <v>28.5</v>
      </c>
      <c r="E183" s="274">
        <f t="shared" si="65"/>
        <v>28.666666666666668</v>
      </c>
      <c r="F183" s="274">
        <f t="shared" si="66"/>
        <v>28.75</v>
      </c>
      <c r="G183" s="274">
        <f t="shared" si="67"/>
        <v>28.8</v>
      </c>
      <c r="H183" s="274">
        <f t="shared" si="68"/>
        <v>28.833333333333332</v>
      </c>
      <c r="I183" s="274">
        <f t="shared" si="69"/>
        <v>28.857142857142858</v>
      </c>
      <c r="J183" s="274">
        <f t="shared" si="70"/>
        <v>28.875</v>
      </c>
      <c r="K183" s="274">
        <f t="shared" si="71"/>
        <v>28.888888888888889</v>
      </c>
      <c r="L183" s="274">
        <f t="shared" si="72"/>
        <v>29</v>
      </c>
      <c r="M183" s="274">
        <f t="shared" si="73"/>
        <v>29.09090909090909</v>
      </c>
      <c r="N183" s="274">
        <f t="shared" si="74"/>
        <v>29.25</v>
      </c>
      <c r="O183" s="274">
        <f t="shared" si="75"/>
        <v>346.51194083694082</v>
      </c>
      <c r="R183" s="97"/>
    </row>
    <row r="184" spans="1:18">
      <c r="A184" s="97">
        <f t="shared" si="47"/>
        <v>184</v>
      </c>
      <c r="B184" s="279" t="s">
        <v>159</v>
      </c>
      <c r="C184" s="274">
        <f t="shared" si="63"/>
        <v>9</v>
      </c>
      <c r="D184" s="274">
        <f t="shared" si="64"/>
        <v>9</v>
      </c>
      <c r="E184" s="274">
        <f t="shared" si="65"/>
        <v>9</v>
      </c>
      <c r="F184" s="274">
        <f t="shared" si="66"/>
        <v>9</v>
      </c>
      <c r="G184" s="274">
        <f t="shared" si="67"/>
        <v>9</v>
      </c>
      <c r="H184" s="274">
        <f t="shared" si="68"/>
        <v>9</v>
      </c>
      <c r="I184" s="274">
        <f t="shared" si="69"/>
        <v>9</v>
      </c>
      <c r="J184" s="274">
        <f t="shared" si="70"/>
        <v>9</v>
      </c>
      <c r="K184" s="274">
        <f t="shared" si="71"/>
        <v>9</v>
      </c>
      <c r="L184" s="274">
        <f t="shared" si="72"/>
        <v>9.1</v>
      </c>
      <c r="M184" s="274">
        <f t="shared" si="73"/>
        <v>9.0909090909090917</v>
      </c>
      <c r="N184" s="274">
        <f t="shared" si="74"/>
        <v>9.1666666666666661</v>
      </c>
      <c r="O184" s="274">
        <f t="shared" si="75"/>
        <v>108.35757575757576</v>
      </c>
      <c r="R184" s="97"/>
    </row>
    <row r="185" spans="1:18">
      <c r="A185" s="97">
        <f t="shared" si="47"/>
        <v>185</v>
      </c>
      <c r="B185" s="276" t="s">
        <v>95</v>
      </c>
      <c r="C185" s="274">
        <f t="shared" si="63"/>
        <v>22</v>
      </c>
      <c r="D185" s="274">
        <f t="shared" si="64"/>
        <v>22</v>
      </c>
      <c r="E185" s="274">
        <f t="shared" si="65"/>
        <v>22</v>
      </c>
      <c r="F185" s="274">
        <f t="shared" si="66"/>
        <v>22</v>
      </c>
      <c r="G185" s="274">
        <f t="shared" si="67"/>
        <v>22</v>
      </c>
      <c r="H185" s="274">
        <f t="shared" si="68"/>
        <v>22</v>
      </c>
      <c r="I185" s="274">
        <f t="shared" si="69"/>
        <v>22</v>
      </c>
      <c r="J185" s="274">
        <f t="shared" si="70"/>
        <v>22</v>
      </c>
      <c r="K185" s="274">
        <f t="shared" si="71"/>
        <v>22</v>
      </c>
      <c r="L185" s="274">
        <f t="shared" si="72"/>
        <v>21.9</v>
      </c>
      <c r="M185" s="274">
        <f t="shared" si="73"/>
        <v>21.818181818181817</v>
      </c>
      <c r="N185" s="274">
        <f t="shared" si="74"/>
        <v>21.75</v>
      </c>
      <c r="O185" s="274">
        <f>SUM(C185:N185)</f>
        <v>263.46818181818185</v>
      </c>
      <c r="R185" s="97"/>
    </row>
    <row r="186" spans="1:18">
      <c r="A186" s="97">
        <f t="shared" si="47"/>
        <v>186</v>
      </c>
      <c r="B186" s="276" t="s">
        <v>96</v>
      </c>
      <c r="C186" s="274">
        <f t="shared" si="63"/>
        <v>1</v>
      </c>
      <c r="D186" s="274">
        <f t="shared" si="64"/>
        <v>1</v>
      </c>
      <c r="E186" s="274">
        <f t="shared" si="65"/>
        <v>1</v>
      </c>
      <c r="F186" s="274">
        <f t="shared" si="66"/>
        <v>1</v>
      </c>
      <c r="G186" s="274">
        <f t="shared" si="67"/>
        <v>1</v>
      </c>
      <c r="H186" s="274">
        <f t="shared" si="68"/>
        <v>1</v>
      </c>
      <c r="I186" s="274">
        <f t="shared" si="69"/>
        <v>1</v>
      </c>
      <c r="J186" s="274">
        <f t="shared" si="70"/>
        <v>1</v>
      </c>
      <c r="K186" s="274">
        <f t="shared" si="71"/>
        <v>1</v>
      </c>
      <c r="L186" s="274">
        <f t="shared" si="72"/>
        <v>1</v>
      </c>
      <c r="M186" s="274">
        <f t="shared" si="73"/>
        <v>1</v>
      </c>
      <c r="N186" s="274">
        <f t="shared" si="74"/>
        <v>1</v>
      </c>
      <c r="O186" s="274">
        <f>SUM(C186:N186)</f>
        <v>12</v>
      </c>
      <c r="R186" s="97"/>
    </row>
    <row r="187" spans="1:18">
      <c r="A187" s="97">
        <f t="shared" si="47"/>
        <v>187</v>
      </c>
      <c r="B187" s="285" t="s">
        <v>97</v>
      </c>
      <c r="C187" s="283">
        <f t="shared" si="63"/>
        <v>2</v>
      </c>
      <c r="D187" s="283">
        <f t="shared" si="64"/>
        <v>2</v>
      </c>
      <c r="E187" s="283">
        <f t="shared" si="65"/>
        <v>2</v>
      </c>
      <c r="F187" s="283">
        <f t="shared" si="66"/>
        <v>2</v>
      </c>
      <c r="G187" s="283">
        <f t="shared" si="67"/>
        <v>2</v>
      </c>
      <c r="H187" s="283">
        <f t="shared" si="68"/>
        <v>2</v>
      </c>
      <c r="I187" s="283">
        <f t="shared" si="69"/>
        <v>2</v>
      </c>
      <c r="J187" s="283">
        <f t="shared" si="70"/>
        <v>2</v>
      </c>
      <c r="K187" s="283">
        <f t="shared" si="71"/>
        <v>2</v>
      </c>
      <c r="L187" s="283">
        <f t="shared" si="72"/>
        <v>2</v>
      </c>
      <c r="M187" s="283">
        <f t="shared" si="73"/>
        <v>2</v>
      </c>
      <c r="N187" s="283">
        <f t="shared" si="74"/>
        <v>2</v>
      </c>
      <c r="O187" s="283">
        <f>SUM(C187:N187)</f>
        <v>24</v>
      </c>
      <c r="R187" s="97"/>
    </row>
    <row r="188" spans="1:18">
      <c r="A188" s="97">
        <f t="shared" si="47"/>
        <v>188</v>
      </c>
      <c r="B188" s="286" t="s">
        <v>164</v>
      </c>
      <c r="C188" s="274">
        <f t="shared" ref="C188:O188" si="76">SUM(C152:C187)</f>
        <v>7980</v>
      </c>
      <c r="D188" s="274">
        <f t="shared" si="76"/>
        <v>7983.5</v>
      </c>
      <c r="E188" s="274">
        <f t="shared" si="76"/>
        <v>7988.9999999999991</v>
      </c>
      <c r="F188" s="274">
        <f t="shared" si="76"/>
        <v>7997.5</v>
      </c>
      <c r="G188" s="274">
        <f t="shared" si="76"/>
        <v>7997.4000000000005</v>
      </c>
      <c r="H188" s="274">
        <f t="shared" si="76"/>
        <v>7999.3333333333339</v>
      </c>
      <c r="I188" s="274">
        <f t="shared" si="76"/>
        <v>8001.8571428571431</v>
      </c>
      <c r="J188" s="274">
        <f t="shared" si="76"/>
        <v>8002.625</v>
      </c>
      <c r="K188" s="274">
        <f t="shared" si="76"/>
        <v>8003.3333333333321</v>
      </c>
      <c r="L188" s="274">
        <f t="shared" si="76"/>
        <v>8008</v>
      </c>
      <c r="M188" s="274">
        <f t="shared" si="76"/>
        <v>8011.9090909090919</v>
      </c>
      <c r="N188" s="274">
        <f t="shared" si="76"/>
        <v>8015.7499999999991</v>
      </c>
      <c r="O188" s="274">
        <f t="shared" si="76"/>
        <v>95990.207900432899</v>
      </c>
      <c r="R188" s="97"/>
    </row>
    <row r="189" spans="1:18">
      <c r="A189" s="97">
        <f t="shared" si="47"/>
        <v>189</v>
      </c>
      <c r="B189" s="284" t="s">
        <v>165</v>
      </c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R189" s="97"/>
    </row>
    <row r="190" spans="1:18">
      <c r="A190" s="97">
        <f t="shared" si="47"/>
        <v>190</v>
      </c>
      <c r="B190" s="276" t="s">
        <v>100</v>
      </c>
      <c r="C190" s="274">
        <f t="shared" ref="C190:C196" si="77">+C64</f>
        <v>0</v>
      </c>
      <c r="D190" s="274">
        <f t="shared" ref="D190:D196" si="78">AVERAGE(C64:D64)</f>
        <v>0</v>
      </c>
      <c r="E190" s="274">
        <f t="shared" ref="E190:E196" si="79">AVERAGE(C64:E64)</f>
        <v>0</v>
      </c>
      <c r="F190" s="274">
        <f t="shared" ref="F190:F196" si="80">AVERAGE(C64:F64)</f>
        <v>0</v>
      </c>
      <c r="G190" s="274">
        <f t="shared" ref="G190:G196" si="81">AVERAGE(C64:G64)</f>
        <v>0</v>
      </c>
      <c r="H190" s="274">
        <f t="shared" ref="H190:H196" si="82">AVERAGE(C64:H64)</f>
        <v>0</v>
      </c>
      <c r="I190" s="274">
        <f t="shared" ref="I190:I196" si="83">AVERAGE(C64:I64)</f>
        <v>0</v>
      </c>
      <c r="J190" s="274">
        <f t="shared" ref="J190:J196" si="84">AVERAGE(C64:J64)</f>
        <v>0</v>
      </c>
      <c r="K190" s="274">
        <f t="shared" ref="K190:K196" si="85">AVERAGE(C64:K64)</f>
        <v>0</v>
      </c>
      <c r="L190" s="274">
        <f t="shared" ref="L190:L196" si="86">AVERAGE(C64:L64)</f>
        <v>0</v>
      </c>
      <c r="M190" s="274">
        <f t="shared" ref="M190:M196" si="87">AVERAGE(C64:M64)</f>
        <v>0</v>
      </c>
      <c r="N190" s="274">
        <f t="shared" ref="N190:N196" si="88">AVERAGE(C64:N64)</f>
        <v>0</v>
      </c>
      <c r="O190" s="274">
        <f t="shared" ref="O190:O196" si="89">SUM(C190:N190)</f>
        <v>0</v>
      </c>
      <c r="R190" s="97"/>
    </row>
    <row r="191" spans="1:18">
      <c r="A191" s="97">
        <f t="shared" si="47"/>
        <v>191</v>
      </c>
      <c r="B191" s="276" t="s">
        <v>101</v>
      </c>
      <c r="C191" s="274">
        <f t="shared" si="77"/>
        <v>1</v>
      </c>
      <c r="D191" s="274">
        <f t="shared" si="78"/>
        <v>1</v>
      </c>
      <c r="E191" s="274">
        <f t="shared" si="79"/>
        <v>1</v>
      </c>
      <c r="F191" s="274">
        <f t="shared" si="80"/>
        <v>1</v>
      </c>
      <c r="G191" s="274">
        <f t="shared" si="81"/>
        <v>1</v>
      </c>
      <c r="H191" s="274">
        <f t="shared" si="82"/>
        <v>1</v>
      </c>
      <c r="I191" s="274">
        <f t="shared" si="83"/>
        <v>1</v>
      </c>
      <c r="J191" s="274">
        <f t="shared" si="84"/>
        <v>1</v>
      </c>
      <c r="K191" s="274">
        <f t="shared" si="85"/>
        <v>1</v>
      </c>
      <c r="L191" s="274">
        <f t="shared" si="86"/>
        <v>1</v>
      </c>
      <c r="M191" s="274">
        <f t="shared" si="87"/>
        <v>1</v>
      </c>
      <c r="N191" s="274">
        <f t="shared" si="88"/>
        <v>1</v>
      </c>
      <c r="O191" s="274">
        <f t="shared" si="89"/>
        <v>12</v>
      </c>
      <c r="R191" s="97"/>
    </row>
    <row r="192" spans="1:18">
      <c r="A192" s="97">
        <f t="shared" si="47"/>
        <v>192</v>
      </c>
      <c r="B192" s="276" t="s">
        <v>102</v>
      </c>
      <c r="C192" s="274">
        <f t="shared" si="77"/>
        <v>37</v>
      </c>
      <c r="D192" s="274">
        <f t="shared" si="78"/>
        <v>36.5</v>
      </c>
      <c r="E192" s="274">
        <f t="shared" si="79"/>
        <v>36.666666666666664</v>
      </c>
      <c r="F192" s="274">
        <f t="shared" si="80"/>
        <v>37</v>
      </c>
      <c r="G192" s="274">
        <f t="shared" si="81"/>
        <v>37.200000000000003</v>
      </c>
      <c r="H192" s="274">
        <f t="shared" si="82"/>
        <v>37.666666666666664</v>
      </c>
      <c r="I192" s="274">
        <f t="shared" si="83"/>
        <v>38.142857142857146</v>
      </c>
      <c r="J192" s="274">
        <f t="shared" si="84"/>
        <v>38.625</v>
      </c>
      <c r="K192" s="274">
        <f t="shared" si="85"/>
        <v>39.111111111111114</v>
      </c>
      <c r="L192" s="274">
        <f t="shared" si="86"/>
        <v>39.4</v>
      </c>
      <c r="M192" s="274">
        <f t="shared" si="87"/>
        <v>39.727272727272727</v>
      </c>
      <c r="N192" s="274">
        <f t="shared" si="88"/>
        <v>40</v>
      </c>
      <c r="O192" s="274">
        <f t="shared" si="89"/>
        <v>457.03957431457434</v>
      </c>
      <c r="R192" s="97"/>
    </row>
    <row r="193" spans="1:18">
      <c r="A193" s="97">
        <f t="shared" si="47"/>
        <v>193</v>
      </c>
      <c r="B193" s="276" t="s">
        <v>103</v>
      </c>
      <c r="C193" s="274">
        <f t="shared" si="77"/>
        <v>5</v>
      </c>
      <c r="D193" s="274">
        <f t="shared" si="78"/>
        <v>5.5</v>
      </c>
      <c r="E193" s="274">
        <f t="shared" si="79"/>
        <v>5.666666666666667</v>
      </c>
      <c r="F193" s="274">
        <f t="shared" si="80"/>
        <v>5.75</v>
      </c>
      <c r="G193" s="274">
        <f t="shared" si="81"/>
        <v>5.8</v>
      </c>
      <c r="H193" s="274">
        <f t="shared" si="82"/>
        <v>5.833333333333333</v>
      </c>
      <c r="I193" s="274">
        <f t="shared" si="83"/>
        <v>5.8571428571428568</v>
      </c>
      <c r="J193" s="274">
        <f t="shared" si="84"/>
        <v>5.75</v>
      </c>
      <c r="K193" s="274">
        <f t="shared" si="85"/>
        <v>5.666666666666667</v>
      </c>
      <c r="L193" s="274">
        <f t="shared" si="86"/>
        <v>5.6</v>
      </c>
      <c r="M193" s="274">
        <f t="shared" si="87"/>
        <v>5.5454545454545459</v>
      </c>
      <c r="N193" s="274">
        <f t="shared" si="88"/>
        <v>5.583333333333333</v>
      </c>
      <c r="O193" s="274">
        <f t="shared" si="89"/>
        <v>67.552597402597399</v>
      </c>
      <c r="R193" s="97"/>
    </row>
    <row r="194" spans="1:18">
      <c r="A194" s="97">
        <f t="shared" si="47"/>
        <v>194</v>
      </c>
      <c r="B194" s="276" t="s">
        <v>104</v>
      </c>
      <c r="C194" s="274">
        <f t="shared" si="77"/>
        <v>10</v>
      </c>
      <c r="D194" s="274">
        <f t="shared" si="78"/>
        <v>10</v>
      </c>
      <c r="E194" s="274">
        <f t="shared" si="79"/>
        <v>10</v>
      </c>
      <c r="F194" s="274">
        <f t="shared" si="80"/>
        <v>10</v>
      </c>
      <c r="G194" s="274">
        <f t="shared" si="81"/>
        <v>10</v>
      </c>
      <c r="H194" s="274">
        <f t="shared" si="82"/>
        <v>10</v>
      </c>
      <c r="I194" s="274">
        <f t="shared" si="83"/>
        <v>10</v>
      </c>
      <c r="J194" s="274">
        <f t="shared" si="84"/>
        <v>10</v>
      </c>
      <c r="K194" s="274">
        <f t="shared" si="85"/>
        <v>10</v>
      </c>
      <c r="L194" s="274">
        <f t="shared" si="86"/>
        <v>9.9</v>
      </c>
      <c r="M194" s="274">
        <f t="shared" si="87"/>
        <v>9.9090909090909083</v>
      </c>
      <c r="N194" s="274">
        <f t="shared" si="88"/>
        <v>9.9166666666666661</v>
      </c>
      <c r="O194" s="274">
        <f t="shared" si="89"/>
        <v>119.72575757575758</v>
      </c>
      <c r="R194" s="97"/>
    </row>
    <row r="195" spans="1:18">
      <c r="A195" s="97">
        <f t="shared" ref="A195:A254" si="90">+A194+1</f>
        <v>195</v>
      </c>
      <c r="B195" s="279" t="s">
        <v>105</v>
      </c>
      <c r="C195" s="274">
        <f t="shared" si="77"/>
        <v>20</v>
      </c>
      <c r="D195" s="274">
        <f t="shared" si="78"/>
        <v>19.5</v>
      </c>
      <c r="E195" s="274">
        <f t="shared" si="79"/>
        <v>19.333333333333332</v>
      </c>
      <c r="F195" s="274">
        <f t="shared" si="80"/>
        <v>19.25</v>
      </c>
      <c r="G195" s="274">
        <f t="shared" si="81"/>
        <v>19</v>
      </c>
      <c r="H195" s="274">
        <f t="shared" si="82"/>
        <v>18.666666666666668</v>
      </c>
      <c r="I195" s="274">
        <f t="shared" si="83"/>
        <v>18.428571428571427</v>
      </c>
      <c r="J195" s="274">
        <f t="shared" si="84"/>
        <v>18.25</v>
      </c>
      <c r="K195" s="274">
        <f t="shared" si="85"/>
        <v>18.111111111111111</v>
      </c>
      <c r="L195" s="274">
        <f t="shared" si="86"/>
        <v>18</v>
      </c>
      <c r="M195" s="274">
        <f t="shared" si="87"/>
        <v>17.90909090909091</v>
      </c>
      <c r="N195" s="274">
        <f t="shared" si="88"/>
        <v>17.833333333333332</v>
      </c>
      <c r="O195" s="274">
        <f t="shared" si="89"/>
        <v>224.28210678210678</v>
      </c>
      <c r="R195" s="97"/>
    </row>
    <row r="196" spans="1:18">
      <c r="A196" s="97">
        <f t="shared" si="90"/>
        <v>196</v>
      </c>
      <c r="B196" s="285" t="s">
        <v>106</v>
      </c>
      <c r="C196" s="283">
        <f t="shared" si="77"/>
        <v>7</v>
      </c>
      <c r="D196" s="283">
        <f t="shared" si="78"/>
        <v>7</v>
      </c>
      <c r="E196" s="283">
        <f t="shared" si="79"/>
        <v>7</v>
      </c>
      <c r="F196" s="283">
        <f t="shared" si="80"/>
        <v>7</v>
      </c>
      <c r="G196" s="283">
        <f t="shared" si="81"/>
        <v>7</v>
      </c>
      <c r="H196" s="283">
        <f t="shared" si="82"/>
        <v>7</v>
      </c>
      <c r="I196" s="283">
        <f t="shared" si="83"/>
        <v>7</v>
      </c>
      <c r="J196" s="283">
        <f t="shared" si="84"/>
        <v>7</v>
      </c>
      <c r="K196" s="283">
        <f t="shared" si="85"/>
        <v>7</v>
      </c>
      <c r="L196" s="283">
        <f t="shared" si="86"/>
        <v>7</v>
      </c>
      <c r="M196" s="283">
        <f t="shared" si="87"/>
        <v>7</v>
      </c>
      <c r="N196" s="283">
        <f t="shared" si="88"/>
        <v>7</v>
      </c>
      <c r="O196" s="283">
        <f t="shared" si="89"/>
        <v>84</v>
      </c>
      <c r="R196" s="97"/>
    </row>
    <row r="197" spans="1:18">
      <c r="A197" s="97">
        <f t="shared" si="90"/>
        <v>197</v>
      </c>
      <c r="B197" s="286" t="s">
        <v>167</v>
      </c>
      <c r="C197" s="274">
        <f t="shared" ref="C197:O197" si="91">SUM(C190:C196)</f>
        <v>80</v>
      </c>
      <c r="D197" s="274">
        <f t="shared" si="91"/>
        <v>79.5</v>
      </c>
      <c r="E197" s="274">
        <f t="shared" si="91"/>
        <v>79.666666666666657</v>
      </c>
      <c r="F197" s="274">
        <f t="shared" si="91"/>
        <v>80</v>
      </c>
      <c r="G197" s="274">
        <f t="shared" si="91"/>
        <v>80</v>
      </c>
      <c r="H197" s="274">
        <f t="shared" si="91"/>
        <v>80.166666666666671</v>
      </c>
      <c r="I197" s="274">
        <f t="shared" si="91"/>
        <v>80.428571428571431</v>
      </c>
      <c r="J197" s="274">
        <f t="shared" si="91"/>
        <v>80.625</v>
      </c>
      <c r="K197" s="274">
        <f t="shared" si="91"/>
        <v>80.888888888888886</v>
      </c>
      <c r="L197" s="274">
        <f t="shared" si="91"/>
        <v>80.900000000000006</v>
      </c>
      <c r="M197" s="274">
        <f t="shared" si="91"/>
        <v>81.090909090909093</v>
      </c>
      <c r="N197" s="274">
        <f t="shared" si="91"/>
        <v>81.333333333333329</v>
      </c>
      <c r="O197" s="274">
        <f t="shared" si="91"/>
        <v>964.60003607503609</v>
      </c>
      <c r="R197" s="97"/>
    </row>
    <row r="198" spans="1:18">
      <c r="A198" s="97">
        <f t="shared" si="90"/>
        <v>198</v>
      </c>
      <c r="B198" s="284" t="s">
        <v>168</v>
      </c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R198" s="97"/>
    </row>
    <row r="199" spans="1:18">
      <c r="A199" s="97">
        <f t="shared" si="90"/>
        <v>199</v>
      </c>
      <c r="B199" s="152" t="s">
        <v>169</v>
      </c>
      <c r="C199" s="274">
        <f t="shared" ref="C199:C209" si="92">+C73</f>
        <v>2</v>
      </c>
      <c r="D199" s="274">
        <f>AVERAGE(C73:D73)</f>
        <v>2</v>
      </c>
      <c r="E199" s="274">
        <f>AVERAGE(C73:E73)</f>
        <v>2</v>
      </c>
      <c r="F199" s="274">
        <f>AVERAGE(C73:F73)</f>
        <v>2</v>
      </c>
      <c r="G199" s="274">
        <f>AVERAGE(C73:G73)</f>
        <v>2</v>
      </c>
      <c r="H199" s="274">
        <f>AVERAGE(C73:H73)</f>
        <v>2</v>
      </c>
      <c r="I199" s="274">
        <f>AVERAGE(C73:I73)</f>
        <v>2</v>
      </c>
      <c r="J199" s="274">
        <f>AVERAGE(C73:J73)</f>
        <v>2</v>
      </c>
      <c r="K199" s="274">
        <f>AVERAGE(C73:K73)</f>
        <v>2</v>
      </c>
      <c r="L199" s="274">
        <f>AVERAGE(C73:L73)</f>
        <v>2</v>
      </c>
      <c r="M199" s="274">
        <f>AVERAGE(C73:M73)</f>
        <v>2</v>
      </c>
      <c r="N199" s="274">
        <f>AVERAGE(C73:N73)</f>
        <v>2</v>
      </c>
      <c r="O199" s="274">
        <f t="shared" ref="O199:O213" si="93">SUM(C199:N199)</f>
        <v>24</v>
      </c>
      <c r="R199" s="97"/>
    </row>
    <row r="200" spans="1:18">
      <c r="A200" s="97">
        <f t="shared" si="90"/>
        <v>200</v>
      </c>
      <c r="B200" s="152" t="s">
        <v>171</v>
      </c>
      <c r="C200" s="274">
        <f t="shared" si="92"/>
        <v>1</v>
      </c>
      <c r="D200" s="274">
        <f>AVERAGE(C74:D74)</f>
        <v>1</v>
      </c>
      <c r="E200" s="274">
        <f>AVERAGE(C74:E74)</f>
        <v>1</v>
      </c>
      <c r="F200" s="274">
        <f>AVERAGE(C74:F74)</f>
        <v>1</v>
      </c>
      <c r="G200" s="274">
        <f>AVERAGE(C74:G74)</f>
        <v>1</v>
      </c>
      <c r="H200" s="274">
        <f>AVERAGE(C74:H74)</f>
        <v>1</v>
      </c>
      <c r="I200" s="274">
        <f>AVERAGE(C74:I74)</f>
        <v>1</v>
      </c>
      <c r="J200" s="274">
        <f>AVERAGE(C74:J74)</f>
        <v>1</v>
      </c>
      <c r="K200" s="274">
        <f>AVERAGE(C74:K74)</f>
        <v>1</v>
      </c>
      <c r="L200" s="274">
        <f>AVERAGE(C74:L74)</f>
        <v>1</v>
      </c>
      <c r="M200" s="274">
        <f>AVERAGE(C74:M74)</f>
        <v>1</v>
      </c>
      <c r="N200" s="274">
        <f>AVERAGE(C74:N74)</f>
        <v>1</v>
      </c>
      <c r="O200" s="274">
        <f t="shared" si="93"/>
        <v>12</v>
      </c>
      <c r="R200" s="97"/>
    </row>
    <row r="201" spans="1:18">
      <c r="A201" s="97">
        <f t="shared" si="90"/>
        <v>201</v>
      </c>
      <c r="B201" s="152" t="s">
        <v>172</v>
      </c>
      <c r="C201" s="274">
        <f t="shared" si="92"/>
        <v>1</v>
      </c>
      <c r="D201" s="274">
        <f>AVERAGE(C75:D75)</f>
        <v>1</v>
      </c>
      <c r="E201" s="274">
        <f>AVERAGE(C75:E75)</f>
        <v>1</v>
      </c>
      <c r="F201" s="274">
        <f>AVERAGE(C75:F75)</f>
        <v>1</v>
      </c>
      <c r="G201" s="274">
        <f>AVERAGE(C75:G75)</f>
        <v>1</v>
      </c>
      <c r="H201" s="274">
        <f>AVERAGE(C75:H75)</f>
        <v>1</v>
      </c>
      <c r="I201" s="274">
        <f>AVERAGE(C75:I75)</f>
        <v>1</v>
      </c>
      <c r="J201" s="274">
        <f>AVERAGE(C75:J75)</f>
        <v>1</v>
      </c>
      <c r="K201" s="274">
        <f>AVERAGE(C75:K75)</f>
        <v>1</v>
      </c>
      <c r="L201" s="274">
        <f>AVERAGE(C75:L75)</f>
        <v>1</v>
      </c>
      <c r="M201" s="274">
        <f>AVERAGE(C75:M75)</f>
        <v>1</v>
      </c>
      <c r="N201" s="274">
        <f>AVERAGE(C75:N75)</f>
        <v>1</v>
      </c>
      <c r="O201" s="274">
        <f t="shared" si="93"/>
        <v>12</v>
      </c>
      <c r="R201" s="97"/>
    </row>
    <row r="202" spans="1:18">
      <c r="A202" s="97">
        <f t="shared" si="90"/>
        <v>202</v>
      </c>
      <c r="B202" s="152" t="s">
        <v>173</v>
      </c>
      <c r="C202" s="274">
        <f t="shared" si="92"/>
        <v>1</v>
      </c>
      <c r="D202" s="274">
        <f>AVERAGE(C76:D76)</f>
        <v>1</v>
      </c>
      <c r="E202" s="274">
        <f>AVERAGE(C76:E76)</f>
        <v>1</v>
      </c>
      <c r="F202" s="274">
        <f>AVERAGE(C76:F76)</f>
        <v>1</v>
      </c>
      <c r="G202" s="274">
        <f>AVERAGE(C76:G76)</f>
        <v>1</v>
      </c>
      <c r="H202" s="274">
        <f>AVERAGE(C76:H76)</f>
        <v>1</v>
      </c>
      <c r="I202" s="274">
        <f>AVERAGE(C76:I76)</f>
        <v>1</v>
      </c>
      <c r="J202" s="274">
        <f>AVERAGE(C76:J76)</f>
        <v>1</v>
      </c>
      <c r="K202" s="274">
        <f>AVERAGE(C76:K76)</f>
        <v>1</v>
      </c>
      <c r="L202" s="274">
        <f>AVERAGE(C76:L76)</f>
        <v>1</v>
      </c>
      <c r="M202" s="274">
        <f>AVERAGE(C76:M76)</f>
        <v>1</v>
      </c>
      <c r="N202" s="274">
        <f>AVERAGE(C76:N76)</f>
        <v>1</v>
      </c>
      <c r="O202" s="274">
        <f t="shared" si="93"/>
        <v>12</v>
      </c>
      <c r="R202" s="97"/>
    </row>
    <row r="203" spans="1:18">
      <c r="A203" s="97">
        <f t="shared" si="90"/>
        <v>203</v>
      </c>
      <c r="B203" s="152" t="s">
        <v>174</v>
      </c>
      <c r="C203" s="274">
        <f t="shared" si="92"/>
        <v>0</v>
      </c>
      <c r="D203" s="274">
        <f>AVERAGE(C77:D77)</f>
        <v>0</v>
      </c>
      <c r="E203" s="274">
        <f>AVERAGE(C77:E77)</f>
        <v>0</v>
      </c>
      <c r="F203" s="274">
        <f>AVERAGE(C77:F77)</f>
        <v>0</v>
      </c>
      <c r="G203" s="274">
        <f>AVERAGE(C77:G77)</f>
        <v>0</v>
      </c>
      <c r="H203" s="274">
        <f>AVERAGE(C77:H77)</f>
        <v>0</v>
      </c>
      <c r="I203" s="274">
        <f>AVERAGE(C77:I77)</f>
        <v>0</v>
      </c>
      <c r="J203" s="274">
        <f>AVERAGE(C77:J77)</f>
        <v>0</v>
      </c>
      <c r="K203" s="274">
        <f>AVERAGE(C77:K77)</f>
        <v>0</v>
      </c>
      <c r="L203" s="274">
        <f>AVERAGE(C77:L77)</f>
        <v>0</v>
      </c>
      <c r="M203" s="274">
        <f>AVERAGE(C77:M77)</f>
        <v>0</v>
      </c>
      <c r="N203" s="274">
        <f>AVERAGE(C77:N77)</f>
        <v>0</v>
      </c>
      <c r="O203" s="274">
        <f t="shared" si="93"/>
        <v>0</v>
      </c>
      <c r="R203" s="97"/>
    </row>
    <row r="204" spans="1:18">
      <c r="A204" s="97">
        <f t="shared" si="90"/>
        <v>204</v>
      </c>
      <c r="B204" s="152" t="s">
        <v>175</v>
      </c>
      <c r="C204" s="274">
        <f t="shared" si="92"/>
        <v>1</v>
      </c>
      <c r="D204" s="274">
        <f>IFERROR(AVERAGE(C78:D78),0)</f>
        <v>1</v>
      </c>
      <c r="E204" s="274">
        <f>IFERROR(AVERAGE($C$78:E78),0)</f>
        <v>1</v>
      </c>
      <c r="F204" s="274">
        <f>IFERROR(AVERAGE($C$78:F78),0)</f>
        <v>1</v>
      </c>
      <c r="G204" s="274">
        <f>IFERROR(AVERAGE($C$78:G78),0)</f>
        <v>1</v>
      </c>
      <c r="H204" s="274">
        <f>IFERROR(AVERAGE($C$78:H78),0)</f>
        <v>1</v>
      </c>
      <c r="I204" s="274">
        <f>IFERROR(AVERAGE($C$78:I78),0)</f>
        <v>1</v>
      </c>
      <c r="J204" s="274">
        <f>IFERROR(AVERAGE($C$78:J78),0)</f>
        <v>1</v>
      </c>
      <c r="K204" s="274">
        <f>IFERROR(AVERAGE($C$78:K78),0)</f>
        <v>1</v>
      </c>
      <c r="L204" s="274">
        <f>IFERROR(AVERAGE($C$78:L78),0)</f>
        <v>1</v>
      </c>
      <c r="M204" s="274">
        <f>IFERROR(AVERAGE($C$78:M78),0)</f>
        <v>1</v>
      </c>
      <c r="N204" s="274">
        <f>IFERROR(AVERAGE($C$78:N78),0)</f>
        <v>1</v>
      </c>
      <c r="O204" s="274">
        <f t="shared" si="93"/>
        <v>12</v>
      </c>
      <c r="R204" s="97"/>
    </row>
    <row r="205" spans="1:18">
      <c r="A205" s="97">
        <f t="shared" si="90"/>
        <v>205</v>
      </c>
      <c r="B205" s="152" t="s">
        <v>176</v>
      </c>
      <c r="C205" s="274">
        <f t="shared" si="92"/>
        <v>1</v>
      </c>
      <c r="D205" s="274">
        <f>IFERROR(AVERAGE($C$79:D79),0)</f>
        <v>1</v>
      </c>
      <c r="E205" s="274">
        <f>IFERROR(AVERAGE($C$79:E79),0)</f>
        <v>1</v>
      </c>
      <c r="F205" s="274">
        <f>IFERROR(AVERAGE($C$79:F79),0)</f>
        <v>1</v>
      </c>
      <c r="G205" s="274">
        <f>IFERROR(AVERAGE($C$79:G79),0)</f>
        <v>1</v>
      </c>
      <c r="H205" s="274">
        <f>IFERROR(AVERAGE($C$79:H79),0)</f>
        <v>1</v>
      </c>
      <c r="I205" s="274">
        <f>IFERROR(AVERAGE($C$79:I79),0)</f>
        <v>1</v>
      </c>
      <c r="J205" s="274">
        <f>IFERROR(AVERAGE($C$79:J79),0)</f>
        <v>1</v>
      </c>
      <c r="K205" s="274">
        <f>IFERROR(AVERAGE($C$79:K79),0)</f>
        <v>1</v>
      </c>
      <c r="L205" s="274">
        <f>IFERROR(AVERAGE($C$79:L79),0)</f>
        <v>1</v>
      </c>
      <c r="M205" s="274">
        <f>IFERROR(AVERAGE($C$79:M79),0)</f>
        <v>1</v>
      </c>
      <c r="N205" s="274">
        <f>IFERROR(AVERAGE($C$79:N79),0)</f>
        <v>1</v>
      </c>
      <c r="O205" s="274">
        <f t="shared" si="93"/>
        <v>12</v>
      </c>
      <c r="R205" s="97"/>
    </row>
    <row r="206" spans="1:18">
      <c r="A206" s="97">
        <f t="shared" si="90"/>
        <v>206</v>
      </c>
      <c r="B206" s="152" t="s">
        <v>177</v>
      </c>
      <c r="C206" s="274">
        <f t="shared" si="92"/>
        <v>1</v>
      </c>
      <c r="D206" s="274">
        <f>IFERROR(AVERAGE($C$80:D80),0)</f>
        <v>1</v>
      </c>
      <c r="E206" s="274">
        <f>IFERROR(AVERAGE($C$80:E80),0)</f>
        <v>1</v>
      </c>
      <c r="F206" s="274">
        <f>IFERROR(AVERAGE($C$80:F80),0)</f>
        <v>1</v>
      </c>
      <c r="G206" s="274">
        <f>IFERROR(AVERAGE($C$80:G80),0)</f>
        <v>1</v>
      </c>
      <c r="H206" s="274">
        <f>IFERROR(AVERAGE($C$80:H80),0)</f>
        <v>1</v>
      </c>
      <c r="I206" s="274">
        <f>IFERROR(AVERAGE($C$80:I80),0)</f>
        <v>1</v>
      </c>
      <c r="J206" s="274">
        <f>IFERROR(AVERAGE($C$80:J80),0)</f>
        <v>1</v>
      </c>
      <c r="K206" s="274">
        <f>IFERROR(AVERAGE($C$80:K80),0)</f>
        <v>1</v>
      </c>
      <c r="L206" s="274">
        <f>IFERROR(AVERAGE($C$80:L80),0)</f>
        <v>1</v>
      </c>
      <c r="M206" s="274">
        <f>IFERROR(AVERAGE($C$80:M80),0)</f>
        <v>1</v>
      </c>
      <c r="N206" s="274">
        <f>IFERROR(AVERAGE($C$80:N80),0)</f>
        <v>1</v>
      </c>
      <c r="O206" s="274">
        <f t="shared" si="93"/>
        <v>12</v>
      </c>
      <c r="R206" s="97"/>
    </row>
    <row r="207" spans="1:18">
      <c r="A207" s="97">
        <f t="shared" si="90"/>
        <v>207</v>
      </c>
      <c r="B207" s="288" t="s">
        <v>179</v>
      </c>
      <c r="C207" s="274">
        <f t="shared" si="92"/>
        <v>1</v>
      </c>
      <c r="D207" s="274">
        <f>IFERROR(AVERAGE($C$81:D81),0)</f>
        <v>1</v>
      </c>
      <c r="E207" s="274">
        <f>IFERROR(AVERAGE($C$81:E81),0)</f>
        <v>1</v>
      </c>
      <c r="F207" s="274">
        <f>IFERROR(AVERAGE($C$81:F81),0)</f>
        <v>1</v>
      </c>
      <c r="G207" s="274">
        <f>IFERROR(AVERAGE($C$81:G81),0)</f>
        <v>1</v>
      </c>
      <c r="H207" s="274">
        <f>IFERROR(AVERAGE($C$81:H81),0)</f>
        <v>1</v>
      </c>
      <c r="I207" s="274">
        <f>IFERROR(AVERAGE($C$81:I81),0)</f>
        <v>1</v>
      </c>
      <c r="J207" s="274">
        <f>IFERROR(AVERAGE($C$81:J81),0)</f>
        <v>1</v>
      </c>
      <c r="K207" s="274">
        <f>IFERROR(AVERAGE($C$81:K81),0)</f>
        <v>1</v>
      </c>
      <c r="L207" s="274">
        <f>IFERROR(AVERAGE($C$81:L81),0)</f>
        <v>1</v>
      </c>
      <c r="M207" s="274">
        <f>IFERROR(AVERAGE($C$81:M81),0)</f>
        <v>1</v>
      </c>
      <c r="N207" s="274">
        <f>IFERROR(AVERAGE($C$81:N81),0)</f>
        <v>1</v>
      </c>
      <c r="O207" s="274">
        <f t="shared" si="93"/>
        <v>12</v>
      </c>
      <c r="R207" s="97"/>
    </row>
    <row r="208" spans="1:18">
      <c r="A208" s="97">
        <f t="shared" si="90"/>
        <v>208</v>
      </c>
      <c r="B208" s="152" t="s">
        <v>180</v>
      </c>
      <c r="C208" s="274">
        <f t="shared" si="92"/>
        <v>1</v>
      </c>
      <c r="D208" s="274">
        <f>IFERROR(AVERAGE($C$82:D82),0)</f>
        <v>1</v>
      </c>
      <c r="E208" s="274">
        <f>IFERROR(AVERAGE($C$82:E82),0)</f>
        <v>1</v>
      </c>
      <c r="F208" s="274">
        <f>IFERROR(AVERAGE($C$82:F82),0)</f>
        <v>1</v>
      </c>
      <c r="G208" s="274">
        <f>IFERROR(AVERAGE($C$82:G82),0)</f>
        <v>1</v>
      </c>
      <c r="H208" s="274">
        <f>IFERROR(AVERAGE($C$82:H82),0)</f>
        <v>1</v>
      </c>
      <c r="I208" s="274">
        <f>IFERROR(AVERAGE($C$82:I82),0)</f>
        <v>1</v>
      </c>
      <c r="J208" s="274">
        <f>IFERROR(AVERAGE($C$82:J82),0)</f>
        <v>1</v>
      </c>
      <c r="K208" s="274">
        <f>IFERROR(AVERAGE($C$82:K82),0)</f>
        <v>1</v>
      </c>
      <c r="L208" s="274">
        <f>IFERROR(AVERAGE($C$82:L82),0)</f>
        <v>1</v>
      </c>
      <c r="M208" s="274">
        <f>IFERROR(AVERAGE($C$82:M82),0)</f>
        <v>1</v>
      </c>
      <c r="N208" s="274">
        <f>IFERROR(AVERAGE($C$82:N82),0)</f>
        <v>1</v>
      </c>
      <c r="O208" s="274">
        <f t="shared" si="93"/>
        <v>12</v>
      </c>
      <c r="R208" s="97"/>
    </row>
    <row r="209" spans="1:18">
      <c r="A209" s="97">
        <f t="shared" si="90"/>
        <v>209</v>
      </c>
      <c r="B209" s="152" t="s">
        <v>181</v>
      </c>
      <c r="C209" s="274">
        <f t="shared" si="92"/>
        <v>1</v>
      </c>
      <c r="D209" s="274">
        <f>IFERROR(AVERAGE($C$83:D83),0)</f>
        <v>1</v>
      </c>
      <c r="E209" s="274">
        <f>IFERROR(AVERAGE($C$78:E83),0)</f>
        <v>1</v>
      </c>
      <c r="F209" s="274">
        <f>IFERROR(AVERAGE($C$78:F83),0)</f>
        <v>1</v>
      </c>
      <c r="G209" s="274">
        <f>IFERROR(AVERAGE($C$78:G83),0)</f>
        <v>1</v>
      </c>
      <c r="H209" s="274">
        <f>IFERROR(AVERAGE($C$78:H83),0)</f>
        <v>1</v>
      </c>
      <c r="I209" s="274">
        <f>IFERROR(AVERAGE($C$78:I83),0)</f>
        <v>1</v>
      </c>
      <c r="J209" s="274">
        <f>IFERROR(AVERAGE($C$78:J83),0)</f>
        <v>1</v>
      </c>
      <c r="K209" s="274">
        <f>IFERROR(AVERAGE($C$78:K83),0)</f>
        <v>1</v>
      </c>
      <c r="L209" s="274">
        <f>IFERROR(AVERAGE($C$78:L83),0)</f>
        <v>1</v>
      </c>
      <c r="M209" s="274">
        <f>IFERROR(AVERAGE($C$78:M83),0)</f>
        <v>1</v>
      </c>
      <c r="N209" s="274">
        <f>IFERROR(AVERAGE($C$78:N83),0)</f>
        <v>1</v>
      </c>
      <c r="O209" s="274">
        <f t="shared" si="93"/>
        <v>12</v>
      </c>
      <c r="R209" s="97"/>
    </row>
    <row r="210" spans="1:18">
      <c r="A210" s="97">
        <f t="shared" si="90"/>
        <v>210</v>
      </c>
      <c r="B210" s="288" t="s">
        <v>182</v>
      </c>
      <c r="C210" s="274">
        <v>0</v>
      </c>
      <c r="D210" s="274">
        <v>0</v>
      </c>
      <c r="E210" s="274">
        <v>0</v>
      </c>
      <c r="F210" s="274">
        <v>0</v>
      </c>
      <c r="G210" s="274">
        <v>0</v>
      </c>
      <c r="H210" s="274">
        <v>0</v>
      </c>
      <c r="I210" s="274">
        <v>0</v>
      </c>
      <c r="J210" s="274">
        <v>0</v>
      </c>
      <c r="K210" s="274">
        <v>0</v>
      </c>
      <c r="L210" s="274">
        <v>0</v>
      </c>
      <c r="M210" s="274">
        <v>0</v>
      </c>
      <c r="N210" s="274">
        <v>0</v>
      </c>
      <c r="O210" s="274">
        <f t="shared" si="93"/>
        <v>0</v>
      </c>
      <c r="R210" s="97"/>
    </row>
    <row r="211" spans="1:18">
      <c r="A211" s="97">
        <f t="shared" si="90"/>
        <v>211</v>
      </c>
      <c r="B211" s="152" t="s">
        <v>183</v>
      </c>
      <c r="C211" s="274">
        <f>+C85</f>
        <v>1</v>
      </c>
      <c r="D211" s="274">
        <f>IFERROR(AVERAGE($C$85:D85),0)</f>
        <v>1</v>
      </c>
      <c r="E211" s="274">
        <f>IFERROR(AVERAGE($C$85:E85),0)</f>
        <v>1</v>
      </c>
      <c r="F211" s="274">
        <f>IFERROR(AVERAGE($C$85:F85),0)</f>
        <v>1</v>
      </c>
      <c r="G211" s="274">
        <f>IFERROR(AVERAGE($C$85:G85),0)</f>
        <v>1</v>
      </c>
      <c r="H211" s="274">
        <f>IFERROR(AVERAGE($C$85:H85),0)</f>
        <v>1</v>
      </c>
      <c r="I211" s="274">
        <f>IFERROR(AVERAGE($C$85:I85),0)</f>
        <v>1</v>
      </c>
      <c r="J211" s="274">
        <f>IFERROR(AVERAGE($C$85:J85),0)</f>
        <v>1</v>
      </c>
      <c r="K211" s="274">
        <f>IFERROR(AVERAGE($C$85:K85),0)</f>
        <v>1</v>
      </c>
      <c r="L211" s="274">
        <f>IFERROR(AVERAGE($C$85:L85),0)</f>
        <v>1</v>
      </c>
      <c r="M211" s="274">
        <f>IFERROR(AVERAGE($C$85:M85),0)</f>
        <v>1</v>
      </c>
      <c r="N211" s="274">
        <f>IFERROR(AVERAGE($C$85:N85),0)</f>
        <v>1</v>
      </c>
      <c r="O211" s="274">
        <f>SUM(C211:N211)</f>
        <v>12</v>
      </c>
      <c r="R211" s="97"/>
    </row>
    <row r="212" spans="1:18">
      <c r="A212" s="97">
        <f t="shared" si="90"/>
        <v>212</v>
      </c>
      <c r="B212" s="152" t="s">
        <v>184</v>
      </c>
      <c r="C212" s="274">
        <f>+C86</f>
        <v>1</v>
      </c>
      <c r="D212" s="274">
        <f>IFERROR(AVERAGE($C$86:D86),0)</f>
        <v>1</v>
      </c>
      <c r="E212" s="274">
        <f>IFERROR(AVERAGE($C$86:E86),0)</f>
        <v>1</v>
      </c>
      <c r="F212" s="274">
        <f>IFERROR(AVERAGE($C$86:F86),0)</f>
        <v>1</v>
      </c>
      <c r="G212" s="274">
        <f>IFERROR(AVERAGE($C$86:G86),0)</f>
        <v>1</v>
      </c>
      <c r="H212" s="274">
        <f>IFERROR(AVERAGE($C$86:H86),0)</f>
        <v>1</v>
      </c>
      <c r="I212" s="274">
        <f>IFERROR(AVERAGE($C$86:I86),0)</f>
        <v>1</v>
      </c>
      <c r="J212" s="274">
        <f>IFERROR(AVERAGE($C$86:J86),0)</f>
        <v>1</v>
      </c>
      <c r="K212" s="274">
        <f>IFERROR(AVERAGE($C$86:K86),0)</f>
        <v>1</v>
      </c>
      <c r="L212" s="274">
        <f>IFERROR(AVERAGE($C$86:L86),0)</f>
        <v>1</v>
      </c>
      <c r="M212" s="274">
        <f>IFERROR(AVERAGE($C$86:M86),0)</f>
        <v>1</v>
      </c>
      <c r="N212" s="274">
        <f>IFERROR(AVERAGE($C$86:N86),0)</f>
        <v>1</v>
      </c>
      <c r="O212" s="274">
        <f t="shared" si="93"/>
        <v>12</v>
      </c>
      <c r="R212" s="97"/>
    </row>
    <row r="213" spans="1:18">
      <c r="A213" s="97">
        <f t="shared" si="90"/>
        <v>213</v>
      </c>
      <c r="B213" s="288" t="s">
        <v>185</v>
      </c>
      <c r="C213" s="283">
        <f>+C87</f>
        <v>1</v>
      </c>
      <c r="D213" s="283">
        <f>IFERROR(AVERAGE($C$87:D87),0)</f>
        <v>1</v>
      </c>
      <c r="E213" s="283">
        <f>IFERROR(AVERAGE($C$87:E87),0)</f>
        <v>1</v>
      </c>
      <c r="F213" s="283">
        <f>IFERROR(AVERAGE($C$87:F87),0)</f>
        <v>1</v>
      </c>
      <c r="G213" s="283">
        <f>IFERROR(AVERAGE($C$87:G87),0)</f>
        <v>1</v>
      </c>
      <c r="H213" s="283">
        <f>IFERROR(AVERAGE($C$87:H87),0)</f>
        <v>1</v>
      </c>
      <c r="I213" s="283">
        <f>IFERROR(AVERAGE($C$87:I87),0)</f>
        <v>1</v>
      </c>
      <c r="J213" s="283">
        <f>IFERROR(AVERAGE($C$87:J87),0)</f>
        <v>1</v>
      </c>
      <c r="K213" s="283">
        <f>IFERROR(AVERAGE($C$87:K87),0)</f>
        <v>1</v>
      </c>
      <c r="L213" s="283">
        <f>IFERROR(AVERAGE($C$87:L87),0)</f>
        <v>1</v>
      </c>
      <c r="M213" s="283">
        <f>IFERROR(AVERAGE($C$87:M87),0)</f>
        <v>1</v>
      </c>
      <c r="N213" s="283">
        <f>IFERROR(AVERAGE($C$87:N87),0)</f>
        <v>1</v>
      </c>
      <c r="O213" s="283">
        <f t="shared" si="93"/>
        <v>12</v>
      </c>
      <c r="R213" s="97"/>
    </row>
    <row r="214" spans="1:18">
      <c r="A214" s="97">
        <f t="shared" si="90"/>
        <v>214</v>
      </c>
      <c r="B214" s="286" t="s">
        <v>186</v>
      </c>
      <c r="C214" s="274">
        <f>SUM(C199:C213)</f>
        <v>14</v>
      </c>
      <c r="D214" s="274">
        <f t="shared" ref="D214:N214" si="94">SUM(D199:D213)</f>
        <v>14</v>
      </c>
      <c r="E214" s="274">
        <f t="shared" si="94"/>
        <v>14</v>
      </c>
      <c r="F214" s="274">
        <f t="shared" si="94"/>
        <v>14</v>
      </c>
      <c r="G214" s="274">
        <f t="shared" si="94"/>
        <v>14</v>
      </c>
      <c r="H214" s="274">
        <f t="shared" si="94"/>
        <v>14</v>
      </c>
      <c r="I214" s="274">
        <f t="shared" si="94"/>
        <v>14</v>
      </c>
      <c r="J214" s="274">
        <f t="shared" si="94"/>
        <v>14</v>
      </c>
      <c r="K214" s="274">
        <f t="shared" si="94"/>
        <v>14</v>
      </c>
      <c r="L214" s="274">
        <f t="shared" si="94"/>
        <v>14</v>
      </c>
      <c r="M214" s="274">
        <f t="shared" si="94"/>
        <v>14</v>
      </c>
      <c r="N214" s="274">
        <f t="shared" si="94"/>
        <v>14</v>
      </c>
      <c r="O214" s="274">
        <f>SUM(O199:O207)</f>
        <v>108</v>
      </c>
      <c r="R214" s="97"/>
    </row>
    <row r="215" spans="1:18">
      <c r="A215" s="97">
        <f t="shared" si="90"/>
        <v>215</v>
      </c>
      <c r="B215" s="284" t="s">
        <v>187</v>
      </c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R215" s="97"/>
    </row>
    <row r="216" spans="1:18">
      <c r="A216" s="97">
        <f t="shared" si="90"/>
        <v>216</v>
      </c>
      <c r="B216" s="288" t="s">
        <v>179</v>
      </c>
      <c r="C216" s="274">
        <v>0</v>
      </c>
      <c r="D216" s="274">
        <v>0</v>
      </c>
      <c r="E216" s="274">
        <v>0</v>
      </c>
      <c r="F216" s="274">
        <v>0</v>
      </c>
      <c r="G216" s="274">
        <v>0</v>
      </c>
      <c r="H216" s="274">
        <v>0</v>
      </c>
      <c r="I216" s="274">
        <v>0</v>
      </c>
      <c r="J216" s="274">
        <v>0</v>
      </c>
      <c r="K216" s="274">
        <v>0</v>
      </c>
      <c r="L216" s="274">
        <v>0</v>
      </c>
      <c r="M216" s="274">
        <v>0</v>
      </c>
      <c r="N216" s="274">
        <v>0</v>
      </c>
      <c r="O216" s="274">
        <f>SUM(C216:N216)</f>
        <v>0</v>
      </c>
      <c r="R216" s="97"/>
    </row>
    <row r="217" spans="1:18">
      <c r="A217" s="97">
        <f t="shared" si="90"/>
        <v>217</v>
      </c>
      <c r="B217" s="152" t="s">
        <v>188</v>
      </c>
      <c r="C217" s="274">
        <f>+C91</f>
        <v>1</v>
      </c>
      <c r="D217" s="274">
        <f>AVERAGE(C91:D91)</f>
        <v>1</v>
      </c>
      <c r="E217" s="274">
        <f>AVERAGE(C91:E91)</f>
        <v>1</v>
      </c>
      <c r="F217" s="274">
        <f>AVERAGE(C91:F91)</f>
        <v>1</v>
      </c>
      <c r="G217" s="274">
        <f>AVERAGE(C91:G91)</f>
        <v>1</v>
      </c>
      <c r="H217" s="274">
        <f>AVERAGE(C91:H91)</f>
        <v>1</v>
      </c>
      <c r="I217" s="274">
        <f>AVERAGE(C91:I91)</f>
        <v>1</v>
      </c>
      <c r="J217" s="274">
        <f>AVERAGE(C91:J91)</f>
        <v>1</v>
      </c>
      <c r="K217" s="274">
        <f>AVERAGE(C91:K91)</f>
        <v>1</v>
      </c>
      <c r="L217" s="274">
        <f>AVERAGE(C91:L91)</f>
        <v>1</v>
      </c>
      <c r="M217" s="274">
        <f>AVERAGE(C91:M91)</f>
        <v>1</v>
      </c>
      <c r="N217" s="274">
        <f>AVERAGE(C91:N91)</f>
        <v>1</v>
      </c>
      <c r="O217" s="274">
        <f>SUM(C217:N217)</f>
        <v>12</v>
      </c>
      <c r="R217" s="97"/>
    </row>
    <row r="218" spans="1:18">
      <c r="A218" s="97">
        <f t="shared" si="90"/>
        <v>218</v>
      </c>
      <c r="B218" s="152" t="s">
        <v>189</v>
      </c>
      <c r="C218" s="274">
        <f>+C92</f>
        <v>1</v>
      </c>
      <c r="D218" s="274">
        <f>AVERAGE(C92:D92)</f>
        <v>1</v>
      </c>
      <c r="E218" s="274">
        <f>AVERAGE(C92:E92)</f>
        <v>1</v>
      </c>
      <c r="F218" s="274">
        <f>AVERAGE(C92:F92)</f>
        <v>1</v>
      </c>
      <c r="G218" s="274">
        <f>AVERAGE(C92:G92)</f>
        <v>1</v>
      </c>
      <c r="H218" s="274">
        <f>AVERAGE(C92:H92)</f>
        <v>1</v>
      </c>
      <c r="I218" s="274">
        <f>AVERAGE(C92:I92)</f>
        <v>1</v>
      </c>
      <c r="J218" s="274">
        <f>AVERAGE(C92:J92)</f>
        <v>1</v>
      </c>
      <c r="K218" s="274">
        <f>AVERAGE(C92:K92)</f>
        <v>1</v>
      </c>
      <c r="L218" s="274">
        <f>AVERAGE(C92:L92)</f>
        <v>1</v>
      </c>
      <c r="M218" s="274">
        <f>AVERAGE(C92:M92)</f>
        <v>1</v>
      </c>
      <c r="N218" s="274">
        <f>AVERAGE(C92:N92)</f>
        <v>1</v>
      </c>
      <c r="O218" s="274">
        <f>SUM(C218:N218)</f>
        <v>12</v>
      </c>
      <c r="R218" s="97"/>
    </row>
    <row r="219" spans="1:18">
      <c r="A219" s="97">
        <f t="shared" si="90"/>
        <v>219</v>
      </c>
      <c r="B219" s="152" t="s">
        <v>217</v>
      </c>
      <c r="C219" s="274">
        <f>+C93</f>
        <v>1</v>
      </c>
      <c r="D219" s="274">
        <f>AVERAGE(C93:D93)</f>
        <v>1</v>
      </c>
      <c r="E219" s="274">
        <f>AVERAGE(C93:E93)</f>
        <v>1</v>
      </c>
      <c r="F219" s="274">
        <f>AVERAGE(C93:F93)</f>
        <v>1</v>
      </c>
      <c r="G219" s="274">
        <f>AVERAGE(C93:G93)</f>
        <v>1</v>
      </c>
      <c r="H219" s="274">
        <f>AVERAGE(C93:H93)</f>
        <v>1</v>
      </c>
      <c r="I219" s="274">
        <f>AVERAGE(C93:I93)</f>
        <v>1</v>
      </c>
      <c r="J219" s="274">
        <f>AVERAGE(C93:J93)</f>
        <v>1</v>
      </c>
      <c r="K219" s="274">
        <f>AVERAGE(C93:K93)</f>
        <v>1</v>
      </c>
      <c r="L219" s="274">
        <f>AVERAGE(C93:L93)</f>
        <v>1</v>
      </c>
      <c r="M219" s="274">
        <f>AVERAGE(C93:M93)</f>
        <v>1</v>
      </c>
      <c r="N219" s="274">
        <f>AVERAGE(C93:N93)</f>
        <v>1</v>
      </c>
      <c r="O219" s="274">
        <f>SUM(C219:N219)</f>
        <v>12</v>
      </c>
      <c r="R219" s="97"/>
    </row>
    <row r="220" spans="1:18">
      <c r="A220" s="97">
        <f t="shared" si="90"/>
        <v>220</v>
      </c>
      <c r="B220" s="286" t="s">
        <v>191</v>
      </c>
      <c r="C220" s="281">
        <f>SUM(C216:C219)</f>
        <v>3</v>
      </c>
      <c r="D220" s="281">
        <f t="shared" ref="D220:N220" si="95">SUM(D216:D219)</f>
        <v>3</v>
      </c>
      <c r="E220" s="281">
        <f t="shared" si="95"/>
        <v>3</v>
      </c>
      <c r="F220" s="281">
        <f t="shared" si="95"/>
        <v>3</v>
      </c>
      <c r="G220" s="281">
        <f t="shared" si="95"/>
        <v>3</v>
      </c>
      <c r="H220" s="281">
        <f t="shared" si="95"/>
        <v>3</v>
      </c>
      <c r="I220" s="281">
        <f t="shared" si="95"/>
        <v>3</v>
      </c>
      <c r="J220" s="281">
        <f t="shared" si="95"/>
        <v>3</v>
      </c>
      <c r="K220" s="281">
        <f t="shared" si="95"/>
        <v>3</v>
      </c>
      <c r="L220" s="281">
        <f t="shared" si="95"/>
        <v>3</v>
      </c>
      <c r="M220" s="281">
        <f t="shared" si="95"/>
        <v>3</v>
      </c>
      <c r="N220" s="281">
        <f t="shared" si="95"/>
        <v>3</v>
      </c>
      <c r="O220" s="281">
        <f>SUM(C220:N220)</f>
        <v>36</v>
      </c>
      <c r="R220" s="97"/>
    </row>
    <row r="221" spans="1:18">
      <c r="A221" s="97">
        <f t="shared" si="90"/>
        <v>221</v>
      </c>
      <c r="B221" s="284" t="s">
        <v>192</v>
      </c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R221" s="97"/>
    </row>
    <row r="222" spans="1:18">
      <c r="A222" s="97">
        <f t="shared" si="90"/>
        <v>222</v>
      </c>
      <c r="B222" s="152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R222" s="97"/>
    </row>
    <row r="223" spans="1:18">
      <c r="A223" s="97">
        <f t="shared" si="90"/>
        <v>223</v>
      </c>
      <c r="B223" s="152" t="s">
        <v>172</v>
      </c>
      <c r="C223" s="283">
        <f>+C97</f>
        <v>0</v>
      </c>
      <c r="D223" s="283">
        <f>AVERAGE(C97:D97)</f>
        <v>0</v>
      </c>
      <c r="E223" s="283">
        <f>AVERAGE(C97:E97)</f>
        <v>0</v>
      </c>
      <c r="F223" s="283">
        <f>AVERAGE(C97:F97)</f>
        <v>0</v>
      </c>
      <c r="G223" s="283">
        <f>AVERAGE(C97:G97)</f>
        <v>0</v>
      </c>
      <c r="H223" s="283">
        <f>AVERAGE(C97:H97)</f>
        <v>0</v>
      </c>
      <c r="I223" s="283">
        <f>AVERAGE(C97:I97)</f>
        <v>0</v>
      </c>
      <c r="J223" s="283">
        <f>AVERAGE(C97:J97)</f>
        <v>0</v>
      </c>
      <c r="K223" s="283">
        <f>AVERAGE(C97:K97)</f>
        <v>0</v>
      </c>
      <c r="L223" s="283">
        <f>AVERAGE(C97:L97)</f>
        <v>0</v>
      </c>
      <c r="M223" s="283">
        <f>AVERAGE(C97:M97)</f>
        <v>0</v>
      </c>
      <c r="N223" s="283">
        <f>AVERAGE(C97:N97)</f>
        <v>0</v>
      </c>
      <c r="O223" s="283">
        <f>SUM(C223:N223)</f>
        <v>0</v>
      </c>
      <c r="R223" s="97"/>
    </row>
    <row r="224" spans="1:18">
      <c r="A224" s="97">
        <f t="shared" si="90"/>
        <v>224</v>
      </c>
      <c r="B224" s="286" t="s">
        <v>193</v>
      </c>
      <c r="C224" s="274">
        <f t="shared" ref="C224:O224" si="96">SUM(C222:C223)</f>
        <v>0</v>
      </c>
      <c r="D224" s="274">
        <f t="shared" si="96"/>
        <v>0</v>
      </c>
      <c r="E224" s="274">
        <f t="shared" si="96"/>
        <v>0</v>
      </c>
      <c r="F224" s="274">
        <f t="shared" si="96"/>
        <v>0</v>
      </c>
      <c r="G224" s="274">
        <f t="shared" si="96"/>
        <v>0</v>
      </c>
      <c r="H224" s="274">
        <f t="shared" si="96"/>
        <v>0</v>
      </c>
      <c r="I224" s="274">
        <f t="shared" si="96"/>
        <v>0</v>
      </c>
      <c r="J224" s="274">
        <f t="shared" si="96"/>
        <v>0</v>
      </c>
      <c r="K224" s="274">
        <f t="shared" si="96"/>
        <v>0</v>
      </c>
      <c r="L224" s="274">
        <f t="shared" si="96"/>
        <v>0</v>
      </c>
      <c r="M224" s="274">
        <f t="shared" si="96"/>
        <v>0</v>
      </c>
      <c r="N224" s="274">
        <f t="shared" si="96"/>
        <v>0</v>
      </c>
      <c r="O224" s="274">
        <f t="shared" si="96"/>
        <v>0</v>
      </c>
      <c r="R224" s="97"/>
    </row>
    <row r="225" spans="1:18">
      <c r="A225" s="97">
        <f t="shared" si="90"/>
        <v>225</v>
      </c>
      <c r="B225" s="286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R225" s="97"/>
    </row>
    <row r="226" spans="1:18">
      <c r="A226" s="97">
        <f t="shared" si="90"/>
        <v>226</v>
      </c>
      <c r="B226" s="289" t="s">
        <v>194</v>
      </c>
      <c r="C226" s="290">
        <f t="shared" ref="C226:O226" si="97">+C141+C150+C188+C197+C214+C220+C224</f>
        <v>84448</v>
      </c>
      <c r="D226" s="290">
        <f t="shared" si="97"/>
        <v>84552</v>
      </c>
      <c r="E226" s="290">
        <f t="shared" si="97"/>
        <v>84683.333333333328</v>
      </c>
      <c r="F226" s="290">
        <f t="shared" si="97"/>
        <v>84851.5</v>
      </c>
      <c r="G226" s="290">
        <f t="shared" si="97"/>
        <v>84965.2</v>
      </c>
      <c r="H226" s="290">
        <f t="shared" si="97"/>
        <v>85088</v>
      </c>
      <c r="I226" s="290">
        <f t="shared" si="97"/>
        <v>85244.999999999985</v>
      </c>
      <c r="J226" s="290">
        <f t="shared" si="97"/>
        <v>85381.5</v>
      </c>
      <c r="K226" s="290">
        <f t="shared" si="97"/>
        <v>85523.333333333328</v>
      </c>
      <c r="L226" s="290">
        <f t="shared" si="97"/>
        <v>85685.099999999991</v>
      </c>
      <c r="M226" s="290">
        <f t="shared" si="97"/>
        <v>85869.727272727265</v>
      </c>
      <c r="N226" s="290">
        <f t="shared" si="97"/>
        <v>86049.499999999985</v>
      </c>
      <c r="O226" s="291">
        <f t="shared" si="97"/>
        <v>1022282.193939394</v>
      </c>
      <c r="R226" s="97"/>
    </row>
    <row r="227" spans="1:18">
      <c r="A227" s="97">
        <f t="shared" si="90"/>
        <v>227</v>
      </c>
      <c r="B227" s="292" t="s">
        <v>195</v>
      </c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R227" s="97"/>
    </row>
    <row r="228" spans="1:18">
      <c r="A228" s="97">
        <f t="shared" si="90"/>
        <v>228</v>
      </c>
      <c r="B228" s="152" t="s">
        <v>196</v>
      </c>
      <c r="C228" s="274">
        <f>+C102</f>
        <v>0</v>
      </c>
      <c r="D228" s="274">
        <f>IFERROR(AVERAGE($C102:D102),0)</f>
        <v>0</v>
      </c>
      <c r="E228" s="274">
        <f>IFERROR(AVERAGE($C102:E102),0)</f>
        <v>0</v>
      </c>
      <c r="F228" s="274">
        <f>IFERROR(AVERAGE($C102:F102),0)</f>
        <v>0</v>
      </c>
      <c r="G228" s="274">
        <f>IFERROR(AVERAGE($C102:G102),0)</f>
        <v>0</v>
      </c>
      <c r="H228" s="274">
        <f>IFERROR(AVERAGE($C102:H102),0)</f>
        <v>0</v>
      </c>
      <c r="I228" s="274">
        <f>IFERROR(AVERAGE($C102:I102),0)</f>
        <v>0</v>
      </c>
      <c r="J228" s="274">
        <f>IFERROR(AVERAGE($C102:J102),0)</f>
        <v>0</v>
      </c>
      <c r="K228" s="274">
        <f>IFERROR(AVERAGE($C102:K102),0)</f>
        <v>0</v>
      </c>
      <c r="L228" s="274">
        <f>IFERROR(AVERAGE($C102:L102),0)</f>
        <v>0</v>
      </c>
      <c r="M228" s="274">
        <f>IFERROR(AVERAGE($C102:M102),0)</f>
        <v>0</v>
      </c>
      <c r="N228" s="274">
        <f>IFERROR(AVERAGE($C102:N102),0)</f>
        <v>1</v>
      </c>
      <c r="O228" s="274">
        <f>SUM(C228:N228)</f>
        <v>1</v>
      </c>
      <c r="R228" s="97"/>
    </row>
    <row r="229" spans="1:18">
      <c r="A229" s="97">
        <f t="shared" si="90"/>
        <v>229</v>
      </c>
      <c r="B229" s="152" t="s">
        <v>197</v>
      </c>
      <c r="C229" s="274">
        <f>+C103</f>
        <v>1</v>
      </c>
      <c r="D229" s="274">
        <f>AVERAGE(C103:D103)</f>
        <v>1</v>
      </c>
      <c r="E229" s="274">
        <f>AVERAGE(C103:E103)</f>
        <v>1</v>
      </c>
      <c r="F229" s="274">
        <f>AVERAGE(C103:F103)</f>
        <v>1</v>
      </c>
      <c r="G229" s="274">
        <f>AVERAGE(C103:G103)</f>
        <v>1</v>
      </c>
      <c r="H229" s="274">
        <f>AVERAGE(C103:H103)</f>
        <v>1</v>
      </c>
      <c r="I229" s="274">
        <f>AVERAGE(C103:I103)</f>
        <v>1</v>
      </c>
      <c r="J229" s="274">
        <f>AVERAGE(C103:J103)</f>
        <v>1</v>
      </c>
      <c r="K229" s="274">
        <f>AVERAGE(C103:K103)</f>
        <v>1</v>
      </c>
      <c r="L229" s="274">
        <f>AVERAGE(C103:L103)</f>
        <v>1</v>
      </c>
      <c r="M229" s="274">
        <f>AVERAGE(C103:M103)</f>
        <v>1</v>
      </c>
      <c r="N229" s="274">
        <f>AVERAGE(C103:N103)</f>
        <v>1</v>
      </c>
      <c r="O229" s="274">
        <f>SUM(C229:N229)</f>
        <v>12</v>
      </c>
      <c r="R229" s="97"/>
    </row>
    <row r="230" spans="1:18">
      <c r="A230" s="97">
        <f t="shared" si="90"/>
        <v>230</v>
      </c>
      <c r="B230" s="153" t="s">
        <v>198</v>
      </c>
      <c r="C230" s="283">
        <f>+C104</f>
        <v>1</v>
      </c>
      <c r="D230" s="283">
        <f>AVERAGE(C104:D104)</f>
        <v>1</v>
      </c>
      <c r="E230" s="283">
        <f>AVERAGE(C104:E104)</f>
        <v>1</v>
      </c>
      <c r="F230" s="283">
        <f>AVERAGE(C104:F104)</f>
        <v>1</v>
      </c>
      <c r="G230" s="283">
        <f>AVERAGE(C104:G104)</f>
        <v>1</v>
      </c>
      <c r="H230" s="283">
        <f>AVERAGE(C104:H104)</f>
        <v>1</v>
      </c>
      <c r="I230" s="283">
        <f>AVERAGE(C104:I104)</f>
        <v>1</v>
      </c>
      <c r="J230" s="283">
        <f>AVERAGE(C104:J104)</f>
        <v>1</v>
      </c>
      <c r="K230" s="283">
        <f>AVERAGE(C104:K104)</f>
        <v>1</v>
      </c>
      <c r="L230" s="283">
        <f>AVERAGE(C104:L104)</f>
        <v>1</v>
      </c>
      <c r="M230" s="283">
        <f>AVERAGE(C104:M104)</f>
        <v>1</v>
      </c>
      <c r="N230" s="283">
        <f>AVERAGE(C104:N104)</f>
        <v>1</v>
      </c>
      <c r="O230" s="283">
        <f>SUM(C230:N230)</f>
        <v>12</v>
      </c>
      <c r="R230" s="97"/>
    </row>
    <row r="231" spans="1:18">
      <c r="A231" s="97">
        <f t="shared" si="90"/>
        <v>231</v>
      </c>
      <c r="B231" s="286" t="s">
        <v>199</v>
      </c>
      <c r="C231" s="274">
        <f>SUM(C229:C230)</f>
        <v>2</v>
      </c>
      <c r="D231" s="274">
        <f t="shared" ref="D231:O231" si="98">SUM(D229:D230)</f>
        <v>2</v>
      </c>
      <c r="E231" s="274">
        <f t="shared" si="98"/>
        <v>2</v>
      </c>
      <c r="F231" s="274">
        <f t="shared" si="98"/>
        <v>2</v>
      </c>
      <c r="G231" s="274">
        <f t="shared" si="98"/>
        <v>2</v>
      </c>
      <c r="H231" s="274">
        <f t="shared" si="98"/>
        <v>2</v>
      </c>
      <c r="I231" s="274">
        <f t="shared" si="98"/>
        <v>2</v>
      </c>
      <c r="J231" s="274">
        <f t="shared" si="98"/>
        <v>2</v>
      </c>
      <c r="K231" s="274">
        <f t="shared" si="98"/>
        <v>2</v>
      </c>
      <c r="L231" s="274">
        <f t="shared" si="98"/>
        <v>2</v>
      </c>
      <c r="M231" s="274">
        <f t="shared" si="98"/>
        <v>2</v>
      </c>
      <c r="N231" s="274">
        <f t="shared" si="98"/>
        <v>2</v>
      </c>
      <c r="O231" s="274">
        <f t="shared" si="98"/>
        <v>24</v>
      </c>
      <c r="R231" s="97"/>
    </row>
    <row r="232" spans="1:18">
      <c r="A232" s="97">
        <f t="shared" si="90"/>
        <v>232</v>
      </c>
      <c r="B232" s="284" t="s">
        <v>200</v>
      </c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R232" s="97"/>
    </row>
    <row r="233" spans="1:18">
      <c r="A233" s="97">
        <f t="shared" si="90"/>
        <v>233</v>
      </c>
      <c r="B233" s="152" t="s">
        <v>202</v>
      </c>
      <c r="C233" s="274">
        <f>+C108</f>
        <v>1</v>
      </c>
      <c r="D233" s="274">
        <f>AVERAGE(C108:D108)</f>
        <v>1</v>
      </c>
      <c r="E233" s="274">
        <f>AVERAGE(C108:E108)</f>
        <v>1</v>
      </c>
      <c r="F233" s="274">
        <f>AVERAGE(C108:F108)</f>
        <v>1</v>
      </c>
      <c r="G233" s="274">
        <f>AVERAGE(C108:G108)</f>
        <v>1</v>
      </c>
      <c r="H233" s="274">
        <f>AVERAGE(C108:H108)</f>
        <v>1</v>
      </c>
      <c r="I233" s="274">
        <f>AVERAGE(C108:I108)</f>
        <v>1</v>
      </c>
      <c r="J233" s="274">
        <f>AVERAGE(C108:J108)</f>
        <v>1</v>
      </c>
      <c r="K233" s="274">
        <f>AVERAGE(C108:K108)</f>
        <v>1</v>
      </c>
      <c r="L233" s="274">
        <f>AVERAGE(C108:L108)</f>
        <v>1</v>
      </c>
      <c r="M233" s="274">
        <f>AVERAGE(C108:M108)</f>
        <v>1</v>
      </c>
      <c r="N233" s="274">
        <f>AVERAGE(C108:N108)</f>
        <v>1</v>
      </c>
      <c r="O233" s="274">
        <f>SUM(C233:N233)</f>
        <v>12</v>
      </c>
      <c r="R233" s="97"/>
    </row>
    <row r="234" spans="1:18">
      <c r="A234" s="97">
        <f t="shared" si="90"/>
        <v>234</v>
      </c>
      <c r="B234" s="153" t="s">
        <v>203</v>
      </c>
      <c r="C234" s="283">
        <f>+C109</f>
        <v>1</v>
      </c>
      <c r="D234" s="283">
        <f>AVERAGE(C109:D109)</f>
        <v>1</v>
      </c>
      <c r="E234" s="283">
        <f>AVERAGE(C109:E109)</f>
        <v>1</v>
      </c>
      <c r="F234" s="283">
        <f>AVERAGE(C109:F109)</f>
        <v>1</v>
      </c>
      <c r="G234" s="283">
        <f>AVERAGE(C109:G109)</f>
        <v>1</v>
      </c>
      <c r="H234" s="283">
        <f>AVERAGE(C109:H109)</f>
        <v>1</v>
      </c>
      <c r="I234" s="283">
        <f>AVERAGE(C109:I109)</f>
        <v>1</v>
      </c>
      <c r="J234" s="283">
        <f>AVERAGE(C109:J109)</f>
        <v>1</v>
      </c>
      <c r="K234" s="283">
        <f>AVERAGE(C109:K109)</f>
        <v>1</v>
      </c>
      <c r="L234" s="283">
        <f>AVERAGE(C109:L109)</f>
        <v>1</v>
      </c>
      <c r="M234" s="283">
        <f>AVERAGE(C109:M109)</f>
        <v>1</v>
      </c>
      <c r="N234" s="283">
        <f>AVERAGE(C109:N109)</f>
        <v>1</v>
      </c>
      <c r="O234" s="283">
        <f>SUM(C234:N234)</f>
        <v>12</v>
      </c>
    </row>
    <row r="235" spans="1:18">
      <c r="A235" s="97">
        <f t="shared" si="90"/>
        <v>235</v>
      </c>
      <c r="B235" s="286" t="s">
        <v>204</v>
      </c>
      <c r="C235" s="274">
        <f t="shared" ref="C235:N235" si="99">SUM(C233:C234)</f>
        <v>2</v>
      </c>
      <c r="D235" s="274">
        <f t="shared" si="99"/>
        <v>2</v>
      </c>
      <c r="E235" s="274">
        <f t="shared" si="99"/>
        <v>2</v>
      </c>
      <c r="F235" s="274">
        <f t="shared" si="99"/>
        <v>2</v>
      </c>
      <c r="G235" s="274">
        <f t="shared" si="99"/>
        <v>2</v>
      </c>
      <c r="H235" s="274">
        <f t="shared" si="99"/>
        <v>2</v>
      </c>
      <c r="I235" s="274">
        <f t="shared" si="99"/>
        <v>2</v>
      </c>
      <c r="J235" s="274">
        <f t="shared" si="99"/>
        <v>2</v>
      </c>
      <c r="K235" s="274">
        <f t="shared" si="99"/>
        <v>2</v>
      </c>
      <c r="L235" s="274">
        <f t="shared" si="99"/>
        <v>2</v>
      </c>
      <c r="M235" s="274">
        <f t="shared" si="99"/>
        <v>2</v>
      </c>
      <c r="N235" s="274">
        <f t="shared" si="99"/>
        <v>2</v>
      </c>
      <c r="O235" s="274">
        <f>SUM(C235:N235)</f>
        <v>24</v>
      </c>
    </row>
    <row r="236" spans="1:18">
      <c r="A236" s="97">
        <f t="shared" si="90"/>
        <v>236</v>
      </c>
      <c r="B236" s="286"/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74"/>
      <c r="O236" s="274"/>
    </row>
    <row r="237" spans="1:18">
      <c r="A237" s="97">
        <f t="shared" si="90"/>
        <v>237</v>
      </c>
      <c r="B237" s="289" t="s">
        <v>205</v>
      </c>
      <c r="C237" s="290">
        <f t="shared" ref="C237:O237" si="100">+C231+C235</f>
        <v>4</v>
      </c>
      <c r="D237" s="290">
        <f t="shared" si="100"/>
        <v>4</v>
      </c>
      <c r="E237" s="290">
        <f t="shared" si="100"/>
        <v>4</v>
      </c>
      <c r="F237" s="290">
        <f t="shared" si="100"/>
        <v>4</v>
      </c>
      <c r="G237" s="290">
        <f t="shared" si="100"/>
        <v>4</v>
      </c>
      <c r="H237" s="290">
        <f t="shared" si="100"/>
        <v>4</v>
      </c>
      <c r="I237" s="290">
        <f t="shared" si="100"/>
        <v>4</v>
      </c>
      <c r="J237" s="290">
        <f t="shared" si="100"/>
        <v>4</v>
      </c>
      <c r="K237" s="290">
        <f t="shared" si="100"/>
        <v>4</v>
      </c>
      <c r="L237" s="290">
        <f t="shared" si="100"/>
        <v>4</v>
      </c>
      <c r="M237" s="290">
        <f t="shared" si="100"/>
        <v>4</v>
      </c>
      <c r="N237" s="290">
        <f t="shared" si="100"/>
        <v>4</v>
      </c>
      <c r="O237" s="291">
        <f t="shared" si="100"/>
        <v>48</v>
      </c>
    </row>
    <row r="238" spans="1:18">
      <c r="A238" s="97">
        <f t="shared" si="90"/>
        <v>238</v>
      </c>
      <c r="B238" s="286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74"/>
    </row>
    <row r="239" spans="1:18">
      <c r="A239" s="97">
        <f t="shared" si="90"/>
        <v>239</v>
      </c>
      <c r="B239" s="289" t="s">
        <v>206</v>
      </c>
      <c r="C239" s="290">
        <f t="shared" ref="C239:O239" si="101">+C226+C237</f>
        <v>84452</v>
      </c>
      <c r="D239" s="290">
        <f t="shared" si="101"/>
        <v>84556</v>
      </c>
      <c r="E239" s="290">
        <f t="shared" si="101"/>
        <v>84687.333333333328</v>
      </c>
      <c r="F239" s="290">
        <f t="shared" si="101"/>
        <v>84855.5</v>
      </c>
      <c r="G239" s="290">
        <f t="shared" si="101"/>
        <v>84969.2</v>
      </c>
      <c r="H239" s="290">
        <f t="shared" si="101"/>
        <v>85092</v>
      </c>
      <c r="I239" s="290">
        <f t="shared" si="101"/>
        <v>85248.999999999985</v>
      </c>
      <c r="J239" s="290">
        <f t="shared" si="101"/>
        <v>85385.5</v>
      </c>
      <c r="K239" s="290">
        <f t="shared" si="101"/>
        <v>85527.333333333328</v>
      </c>
      <c r="L239" s="290">
        <f t="shared" si="101"/>
        <v>85689.099999999991</v>
      </c>
      <c r="M239" s="290">
        <f t="shared" si="101"/>
        <v>85873.727272727265</v>
      </c>
      <c r="N239" s="290">
        <f t="shared" si="101"/>
        <v>86053.499999999985</v>
      </c>
      <c r="O239" s="291">
        <f t="shared" si="101"/>
        <v>1022330.193939394</v>
      </c>
    </row>
    <row r="240" spans="1:18">
      <c r="A240" s="97">
        <f t="shared" si="90"/>
        <v>240</v>
      </c>
    </row>
    <row r="241" spans="1:15">
      <c r="A241" s="97">
        <f t="shared" si="90"/>
        <v>241</v>
      </c>
      <c r="B241" s="321" t="s">
        <v>219</v>
      </c>
      <c r="C241" s="294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94"/>
      <c r="O241" s="294"/>
    </row>
    <row r="242" spans="1:15">
      <c r="A242" s="97">
        <f t="shared" si="90"/>
        <v>242</v>
      </c>
      <c r="B242" s="322" t="s">
        <v>138</v>
      </c>
      <c r="C242" s="274">
        <f t="shared" ref="C242:C247" si="102">+C115</f>
        <v>182</v>
      </c>
      <c r="D242" s="274">
        <f>AVERAGE($C115:D115)</f>
        <v>182.5</v>
      </c>
      <c r="E242" s="274">
        <f>AVERAGE($C115:E115)</f>
        <v>182</v>
      </c>
      <c r="F242" s="274">
        <f>AVERAGE($C115:F115)</f>
        <v>181.25</v>
      </c>
      <c r="G242" s="274">
        <f>AVERAGE($C115:G115)</f>
        <v>181</v>
      </c>
      <c r="H242" s="274">
        <f>AVERAGE($C115:H115)</f>
        <v>181</v>
      </c>
      <c r="I242" s="274">
        <f>AVERAGE($C115:I115)</f>
        <v>181</v>
      </c>
      <c r="J242" s="274">
        <f>AVERAGE($C115:J115)</f>
        <v>181.25</v>
      </c>
      <c r="K242" s="274">
        <f>AVERAGE($C115:K115)</f>
        <v>181.33333333333334</v>
      </c>
      <c r="L242" s="274">
        <f>AVERAGE($C115:L115)</f>
        <v>181.4</v>
      </c>
      <c r="M242" s="274">
        <f>AVERAGE($C115:M115)</f>
        <v>181.36363636363637</v>
      </c>
      <c r="N242" s="274">
        <f>AVERAGE($C115:N115)</f>
        <v>181.33333333333334</v>
      </c>
      <c r="O242" s="274">
        <f t="shared" ref="O242:O247" si="103">AVERAGE(C242:N242)</f>
        <v>181.45252525252525</v>
      </c>
    </row>
    <row r="243" spans="1:15">
      <c r="A243" s="97">
        <f t="shared" si="90"/>
        <v>243</v>
      </c>
      <c r="B243" s="322" t="s">
        <v>141</v>
      </c>
      <c r="C243" s="274">
        <f t="shared" si="102"/>
        <v>958</v>
      </c>
      <c r="D243" s="274">
        <f>AVERAGE($C116:D116)</f>
        <v>961</v>
      </c>
      <c r="E243" s="274">
        <f>AVERAGE($C116:E116)</f>
        <v>962.33333333333337</v>
      </c>
      <c r="F243" s="274">
        <f>AVERAGE($C116:F116)</f>
        <v>963</v>
      </c>
      <c r="G243" s="274">
        <f>AVERAGE($C116:G116)</f>
        <v>964.8</v>
      </c>
      <c r="H243" s="274">
        <f>AVERAGE($C116:H116)</f>
        <v>965.83333333333337</v>
      </c>
      <c r="I243" s="274">
        <f>AVERAGE($C116:I116)</f>
        <v>966.28571428571433</v>
      </c>
      <c r="J243" s="274">
        <f>AVERAGE($C116:J116)</f>
        <v>967</v>
      </c>
      <c r="K243" s="274">
        <f>AVERAGE($C116:K116)</f>
        <v>967.77777777777783</v>
      </c>
      <c r="L243" s="274">
        <f>AVERAGE($C116:L116)</f>
        <v>969.4</v>
      </c>
      <c r="M243" s="274">
        <f>AVERAGE($C116:M116)</f>
        <v>970.72727272727275</v>
      </c>
      <c r="N243" s="274">
        <f>AVERAGE($C116:N116)</f>
        <v>971.75</v>
      </c>
      <c r="O243" s="274">
        <f t="shared" si="103"/>
        <v>965.6589526214525</v>
      </c>
    </row>
    <row r="244" spans="1:15">
      <c r="A244" s="97">
        <f t="shared" si="90"/>
        <v>244</v>
      </c>
      <c r="B244" s="322" t="s">
        <v>145</v>
      </c>
      <c r="C244" s="274">
        <f t="shared" si="102"/>
        <v>1192</v>
      </c>
      <c r="D244" s="274">
        <f>AVERAGE($C117:D117)</f>
        <v>1186</v>
      </c>
      <c r="E244" s="274">
        <f>AVERAGE($C117:E117)</f>
        <v>1185</v>
      </c>
      <c r="F244" s="274">
        <f>AVERAGE($C117:F117)</f>
        <v>1185.25</v>
      </c>
      <c r="G244" s="274">
        <f>AVERAGE($C117:G117)</f>
        <v>1189</v>
      </c>
      <c r="H244" s="274">
        <f>AVERAGE($C117:H117)</f>
        <v>1188.8333333333333</v>
      </c>
      <c r="I244" s="274">
        <f>AVERAGE($C117:I117)</f>
        <v>1188.5714285714287</v>
      </c>
      <c r="J244" s="274">
        <f>AVERAGE($C117:J117)</f>
        <v>1188</v>
      </c>
      <c r="K244" s="274">
        <f>AVERAGE($C117:K117)</f>
        <v>1187.5555555555557</v>
      </c>
      <c r="L244" s="274">
        <f>AVERAGE($C117:L117)</f>
        <v>1187.9000000000001</v>
      </c>
      <c r="M244" s="274">
        <f>AVERAGE($C117:M117)</f>
        <v>1187.4545454545455</v>
      </c>
      <c r="N244" s="274">
        <f>AVERAGE($C117:N117)</f>
        <v>1187</v>
      </c>
      <c r="O244" s="274">
        <f t="shared" si="103"/>
        <v>1187.7137385762387</v>
      </c>
    </row>
    <row r="245" spans="1:15">
      <c r="A245" s="97">
        <f t="shared" si="90"/>
        <v>245</v>
      </c>
      <c r="B245" s="322" t="s">
        <v>146</v>
      </c>
      <c r="C245" s="274">
        <f t="shared" si="102"/>
        <v>53</v>
      </c>
      <c r="D245" s="274">
        <f>AVERAGE($C118:D118)</f>
        <v>50.5</v>
      </c>
      <c r="E245" s="274">
        <f>AVERAGE($C118:E118)</f>
        <v>52.666666666666664</v>
      </c>
      <c r="F245" s="274">
        <f>AVERAGE($C118:F118)</f>
        <v>53</v>
      </c>
      <c r="G245" s="274">
        <f>AVERAGE($C118:G118)</f>
        <v>52.4</v>
      </c>
      <c r="H245" s="274">
        <f>AVERAGE($C118:H118)</f>
        <v>52</v>
      </c>
      <c r="I245" s="274">
        <f>AVERAGE($C118:I118)</f>
        <v>51</v>
      </c>
      <c r="J245" s="274">
        <f>AVERAGE($C118:J118)</f>
        <v>50</v>
      </c>
      <c r="K245" s="274">
        <f>AVERAGE($C118:K118)</f>
        <v>49.888888888888886</v>
      </c>
      <c r="L245" s="274">
        <f>AVERAGE($C118:L118)</f>
        <v>49.2</v>
      </c>
      <c r="M245" s="274">
        <f>AVERAGE($C118:M118)</f>
        <v>48.727272727272727</v>
      </c>
      <c r="N245" s="274">
        <f>AVERAGE($C118:N118)</f>
        <v>48.083333333333336</v>
      </c>
      <c r="O245" s="274">
        <f t="shared" si="103"/>
        <v>50.872180134680143</v>
      </c>
    </row>
    <row r="246" spans="1:15">
      <c r="A246" s="97">
        <f t="shared" si="90"/>
        <v>246</v>
      </c>
      <c r="B246" s="322" t="s">
        <v>149</v>
      </c>
      <c r="C246" s="274">
        <f t="shared" si="102"/>
        <v>20</v>
      </c>
      <c r="D246" s="274">
        <f>AVERAGE($C119:D119)</f>
        <v>19</v>
      </c>
      <c r="E246" s="274">
        <f>AVERAGE($C119:E119)</f>
        <v>18.666666666666668</v>
      </c>
      <c r="F246" s="274">
        <f>AVERAGE($C119:F119)</f>
        <v>18.5</v>
      </c>
      <c r="G246" s="274">
        <f>AVERAGE($C119:G119)</f>
        <v>18.399999999999999</v>
      </c>
      <c r="H246" s="274">
        <f>AVERAGE($C119:H119)</f>
        <v>18.333333333333332</v>
      </c>
      <c r="I246" s="274">
        <f>AVERAGE($C119:I119)</f>
        <v>18.285714285714285</v>
      </c>
      <c r="J246" s="274">
        <f>AVERAGE($C119:J119)</f>
        <v>18.25</v>
      </c>
      <c r="K246" s="274">
        <f>AVERAGE($C119:K119)</f>
        <v>18.222222222222221</v>
      </c>
      <c r="L246" s="274">
        <f>AVERAGE($C119:L119)</f>
        <v>18.2</v>
      </c>
      <c r="M246" s="274">
        <f>AVERAGE($C119:M119)</f>
        <v>18.181818181818183</v>
      </c>
      <c r="N246" s="274">
        <f>AVERAGE($C119:N119)</f>
        <v>18.166666666666668</v>
      </c>
      <c r="O246" s="274">
        <f t="shared" si="103"/>
        <v>18.517201779701779</v>
      </c>
    </row>
    <row r="247" spans="1:15">
      <c r="A247" s="97">
        <f t="shared" si="90"/>
        <v>247</v>
      </c>
      <c r="B247" s="322" t="s">
        <v>220</v>
      </c>
      <c r="C247" s="274">
        <f t="shared" si="102"/>
        <v>7</v>
      </c>
      <c r="D247" s="274">
        <f>AVERAGE($C120:D120)</f>
        <v>7</v>
      </c>
      <c r="E247" s="274">
        <f>AVERAGE($C120:E120)</f>
        <v>7</v>
      </c>
      <c r="F247" s="274">
        <f>AVERAGE($C120:F120)</f>
        <v>7</v>
      </c>
      <c r="G247" s="274">
        <f>AVERAGE($C120:G120)</f>
        <v>7</v>
      </c>
      <c r="H247" s="274">
        <f>AVERAGE($C120:H120)</f>
        <v>7</v>
      </c>
      <c r="I247" s="274">
        <f>AVERAGE($C120:I120)</f>
        <v>7</v>
      </c>
      <c r="J247" s="274">
        <f>AVERAGE($C120:J120)</f>
        <v>7</v>
      </c>
      <c r="K247" s="274">
        <f>AVERAGE($C120:K120)</f>
        <v>7</v>
      </c>
      <c r="L247" s="274">
        <f>AVERAGE($C120:L120)</f>
        <v>7</v>
      </c>
      <c r="M247" s="274">
        <f>AVERAGE($C120:M120)</f>
        <v>7</v>
      </c>
      <c r="N247" s="274">
        <f>AVERAGE($C120:N120)</f>
        <v>7.083333333333333</v>
      </c>
      <c r="O247" s="274">
        <f t="shared" si="103"/>
        <v>7.0069444444444438</v>
      </c>
    </row>
    <row r="248" spans="1:15">
      <c r="A248" s="97">
        <f t="shared" si="90"/>
        <v>248</v>
      </c>
      <c r="B248" s="323" t="s">
        <v>221</v>
      </c>
      <c r="C248" s="294">
        <f t="shared" ref="C248:O248" si="104">+SUM(C242:C247)</f>
        <v>2412</v>
      </c>
      <c r="D248" s="294">
        <f t="shared" si="104"/>
        <v>2406</v>
      </c>
      <c r="E248" s="294">
        <f t="shared" si="104"/>
        <v>2407.6666666666665</v>
      </c>
      <c r="F248" s="294">
        <f t="shared" si="104"/>
        <v>2408</v>
      </c>
      <c r="G248" s="294">
        <f t="shared" si="104"/>
        <v>2412.6000000000004</v>
      </c>
      <c r="H248" s="294">
        <f t="shared" si="104"/>
        <v>2413.0000000000005</v>
      </c>
      <c r="I248" s="294">
        <f t="shared" si="104"/>
        <v>2412.1428571428573</v>
      </c>
      <c r="J248" s="294">
        <f t="shared" si="104"/>
        <v>2411.5</v>
      </c>
      <c r="K248" s="294">
        <f t="shared" si="104"/>
        <v>2411.7777777777778</v>
      </c>
      <c r="L248" s="294">
        <f t="shared" si="104"/>
        <v>2413.0999999999995</v>
      </c>
      <c r="M248" s="294">
        <f t="shared" si="104"/>
        <v>2413.454545454545</v>
      </c>
      <c r="N248" s="294">
        <f t="shared" si="104"/>
        <v>2413.4166666666665</v>
      </c>
      <c r="O248" s="294">
        <f t="shared" si="104"/>
        <v>2411.2215428090426</v>
      </c>
    </row>
    <row r="249" spans="1:15">
      <c r="A249" s="97">
        <f t="shared" si="90"/>
        <v>249</v>
      </c>
      <c r="B249" s="323"/>
      <c r="C249" s="294"/>
      <c r="D249" s="294"/>
      <c r="E249" s="294"/>
      <c r="F249" s="294"/>
      <c r="G249" s="294"/>
      <c r="H249" s="294"/>
      <c r="I249" s="294"/>
      <c r="J249" s="294"/>
      <c r="K249" s="294"/>
      <c r="L249" s="294"/>
      <c r="M249" s="294"/>
      <c r="N249" s="294"/>
      <c r="O249" s="294"/>
    </row>
    <row r="250" spans="1:15">
      <c r="A250" s="97">
        <f t="shared" si="90"/>
        <v>250</v>
      </c>
      <c r="B250" s="321" t="s">
        <v>222</v>
      </c>
      <c r="C250" s="294"/>
      <c r="D250" s="294"/>
      <c r="E250" s="294"/>
      <c r="F250" s="294"/>
      <c r="G250" s="294"/>
      <c r="H250" s="294"/>
      <c r="I250" s="294"/>
      <c r="J250" s="294"/>
      <c r="K250" s="294"/>
      <c r="L250" s="294"/>
      <c r="M250" s="294"/>
      <c r="N250" s="294"/>
      <c r="O250" s="294"/>
    </row>
    <row r="251" spans="1:15">
      <c r="A251" s="97">
        <f t="shared" si="90"/>
        <v>251</v>
      </c>
      <c r="B251" s="322" t="s">
        <v>146</v>
      </c>
      <c r="C251" s="274">
        <f>+C124</f>
        <v>40</v>
      </c>
      <c r="D251" s="274">
        <f>AVERAGE($C124:D124)</f>
        <v>39.5</v>
      </c>
      <c r="E251" s="274">
        <f>AVERAGE($C124:E124)</f>
        <v>39.333333333333336</v>
      </c>
      <c r="F251" s="274">
        <f>AVERAGE($C124:F124)</f>
        <v>39.25</v>
      </c>
      <c r="G251" s="274">
        <f>AVERAGE($C124:G124)</f>
        <v>39.200000000000003</v>
      </c>
      <c r="H251" s="274">
        <f>AVERAGE($C124:H124)</f>
        <v>39.166666666666664</v>
      </c>
      <c r="I251" s="274">
        <f>AVERAGE($C124:I124)</f>
        <v>39.142857142857146</v>
      </c>
      <c r="J251" s="274">
        <f>AVERAGE($C124:J124)</f>
        <v>39.125</v>
      </c>
      <c r="K251" s="274">
        <f>AVERAGE($C124:K124)</f>
        <v>39.111111111111114</v>
      </c>
      <c r="L251" s="274">
        <f>AVERAGE($C124:L124)</f>
        <v>39.1</v>
      </c>
      <c r="M251" s="274">
        <f>AVERAGE($C124:M124)</f>
        <v>39.090909090909093</v>
      </c>
      <c r="N251" s="274">
        <f>AVERAGE($C124:N124)</f>
        <v>39.083333333333336</v>
      </c>
      <c r="O251" s="274">
        <f>AVERAGE(C251:N251)</f>
        <v>39.258600889850889</v>
      </c>
    </row>
    <row r="252" spans="1:15">
      <c r="A252" s="97">
        <f t="shared" si="90"/>
        <v>252</v>
      </c>
      <c r="B252" s="322" t="s">
        <v>149</v>
      </c>
      <c r="C252" s="274">
        <f>+C125</f>
        <v>19</v>
      </c>
      <c r="D252" s="274">
        <f>AVERAGE($C125:D125)</f>
        <v>18</v>
      </c>
      <c r="E252" s="274">
        <f>AVERAGE($C125:E125)</f>
        <v>17.666666666666668</v>
      </c>
      <c r="F252" s="274">
        <f>AVERAGE($C125:F125)</f>
        <v>17.5</v>
      </c>
      <c r="G252" s="274">
        <f>AVERAGE($C125:G125)</f>
        <v>17.399999999999999</v>
      </c>
      <c r="H252" s="274">
        <f>AVERAGE($C125:H125)</f>
        <v>17.333333333333332</v>
      </c>
      <c r="I252" s="274">
        <f>AVERAGE($C125:I125)</f>
        <v>17.285714285714285</v>
      </c>
      <c r="J252" s="274">
        <f>AVERAGE($C125:J125)</f>
        <v>17.25</v>
      </c>
      <c r="K252" s="274">
        <f>AVERAGE($C125:K125)</f>
        <v>17.222222222222221</v>
      </c>
      <c r="L252" s="274">
        <f>AVERAGE($C125:L125)</f>
        <v>17.2</v>
      </c>
      <c r="M252" s="274">
        <f>AVERAGE($C125:M125)</f>
        <v>17.181818181818183</v>
      </c>
      <c r="N252" s="274">
        <f>AVERAGE($C125:N125)</f>
        <v>17.166666666666668</v>
      </c>
      <c r="O252" s="274">
        <f>AVERAGE(C252:N252)</f>
        <v>17.517201779701779</v>
      </c>
    </row>
    <row r="253" spans="1:15">
      <c r="A253" s="97">
        <f t="shared" si="90"/>
        <v>253</v>
      </c>
      <c r="B253" s="323" t="s">
        <v>223</v>
      </c>
      <c r="C253" s="274">
        <f t="shared" ref="C253:O253" si="105">+SUM(C251:C252)</f>
        <v>59</v>
      </c>
      <c r="D253" s="274">
        <f t="shared" si="105"/>
        <v>57.5</v>
      </c>
      <c r="E253" s="274">
        <f t="shared" si="105"/>
        <v>57</v>
      </c>
      <c r="F253" s="274">
        <f t="shared" si="105"/>
        <v>56.75</v>
      </c>
      <c r="G253" s="274">
        <f t="shared" si="105"/>
        <v>56.6</v>
      </c>
      <c r="H253" s="274">
        <f t="shared" si="105"/>
        <v>56.5</v>
      </c>
      <c r="I253" s="274">
        <f t="shared" si="105"/>
        <v>56.428571428571431</v>
      </c>
      <c r="J253" s="274">
        <f t="shared" si="105"/>
        <v>56.375</v>
      </c>
      <c r="K253" s="274">
        <f t="shared" si="105"/>
        <v>56.333333333333336</v>
      </c>
      <c r="L253" s="274">
        <f t="shared" si="105"/>
        <v>56.3</v>
      </c>
      <c r="M253" s="274">
        <f t="shared" si="105"/>
        <v>56.27272727272728</v>
      </c>
      <c r="N253" s="274">
        <f t="shared" si="105"/>
        <v>56.25</v>
      </c>
      <c r="O253" s="274">
        <f t="shared" si="105"/>
        <v>56.775802669552668</v>
      </c>
    </row>
    <row r="254" spans="1:15">
      <c r="A254" s="97">
        <f t="shared" si="90"/>
        <v>254</v>
      </c>
      <c r="B254" s="323"/>
      <c r="C254" s="274"/>
      <c r="D254" s="274"/>
      <c r="E254" s="274"/>
      <c r="F254" s="274"/>
      <c r="G254" s="274"/>
      <c r="H254" s="274"/>
      <c r="I254" s="274"/>
      <c r="J254" s="274"/>
      <c r="K254" s="274"/>
      <c r="L254" s="274"/>
      <c r="M254" s="274"/>
      <c r="N254" s="274"/>
      <c r="O254" s="274"/>
    </row>
    <row r="257" spans="2:22"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298"/>
      <c r="S257" s="132"/>
    </row>
    <row r="258" spans="2:22"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298"/>
      <c r="S258" s="132"/>
    </row>
    <row r="259" spans="2:22">
      <c r="B259" s="132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132"/>
      <c r="N259" s="132"/>
      <c r="O259" s="132"/>
      <c r="P259" s="132"/>
      <c r="Q259" s="132"/>
      <c r="R259" s="298"/>
      <c r="S259" s="132"/>
    </row>
    <row r="260" spans="2:22">
      <c r="B260" s="132"/>
      <c r="C260" s="298"/>
      <c r="D260" s="298"/>
      <c r="E260" s="298"/>
      <c r="F260" s="298"/>
      <c r="G260" s="298"/>
      <c r="H260" s="298"/>
      <c r="I260" s="298"/>
      <c r="J260" s="298"/>
      <c r="K260" s="298"/>
      <c r="L260" s="298"/>
      <c r="M260" s="298"/>
      <c r="N260" s="298"/>
      <c r="O260" s="132"/>
      <c r="P260" s="132"/>
      <c r="Q260" s="132"/>
      <c r="R260" s="298"/>
      <c r="S260" s="132"/>
    </row>
    <row r="261" spans="2:22"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</row>
    <row r="263" spans="2:22">
      <c r="B263" s="262" t="s">
        <v>285</v>
      </c>
      <c r="C263" s="262">
        <v>17</v>
      </c>
      <c r="D263" s="262">
        <v>17</v>
      </c>
      <c r="E263" s="262">
        <v>17</v>
      </c>
      <c r="F263" s="262">
        <v>17</v>
      </c>
      <c r="G263" s="262">
        <v>17</v>
      </c>
      <c r="H263" s="262">
        <v>17</v>
      </c>
      <c r="I263" s="262">
        <v>17</v>
      </c>
      <c r="J263" s="262">
        <v>17</v>
      </c>
      <c r="K263" s="262">
        <v>17</v>
      </c>
      <c r="L263" s="262">
        <v>18</v>
      </c>
      <c r="M263" s="262">
        <v>18</v>
      </c>
      <c r="N263" s="262">
        <v>18</v>
      </c>
      <c r="O263" s="262">
        <f t="shared" ref="O263:O268" si="106">SUM(C263:N263)</f>
        <v>207</v>
      </c>
      <c r="P263" s="262"/>
      <c r="Q263" s="262" t="s">
        <v>5</v>
      </c>
      <c r="R263" s="299">
        <f t="shared" ref="R263:R268" si="107">O263</f>
        <v>207</v>
      </c>
      <c r="S263" s="262" t="s">
        <v>285</v>
      </c>
      <c r="T263" s="262"/>
      <c r="U263" s="262" t="s">
        <v>725</v>
      </c>
      <c r="V263" s="262" t="s">
        <v>635</v>
      </c>
    </row>
    <row r="264" spans="2:22">
      <c r="B264" s="262" t="s">
        <v>286</v>
      </c>
      <c r="C264" s="262">
        <v>4</v>
      </c>
      <c r="D264" s="262">
        <v>4</v>
      </c>
      <c r="E264" s="262">
        <v>4</v>
      </c>
      <c r="F264" s="262">
        <v>4</v>
      </c>
      <c r="G264" s="262">
        <v>4</v>
      </c>
      <c r="H264" s="262">
        <v>4</v>
      </c>
      <c r="I264" s="262">
        <v>4</v>
      </c>
      <c r="J264" s="262">
        <v>4</v>
      </c>
      <c r="K264" s="262">
        <v>4</v>
      </c>
      <c r="L264" s="262">
        <v>4</v>
      </c>
      <c r="M264" s="262">
        <v>4</v>
      </c>
      <c r="N264" s="262">
        <v>4</v>
      </c>
      <c r="O264" s="262">
        <f t="shared" si="106"/>
        <v>48</v>
      </c>
      <c r="P264" s="262"/>
      <c r="Q264" s="262" t="s">
        <v>5</v>
      </c>
      <c r="R264" s="299">
        <f t="shared" si="107"/>
        <v>48</v>
      </c>
      <c r="S264" s="262" t="s">
        <v>286</v>
      </c>
      <c r="T264" s="262"/>
      <c r="U264" s="262" t="s">
        <v>725</v>
      </c>
      <c r="V264" s="262" t="s">
        <v>635</v>
      </c>
    </row>
    <row r="265" spans="2:22">
      <c r="B265" s="262" t="s">
        <v>287</v>
      </c>
      <c r="C265" s="262">
        <v>2</v>
      </c>
      <c r="D265" s="262">
        <v>2</v>
      </c>
      <c r="E265" s="262">
        <v>2</v>
      </c>
      <c r="F265" s="262">
        <v>2</v>
      </c>
      <c r="G265" s="262">
        <v>2</v>
      </c>
      <c r="H265" s="262">
        <v>2</v>
      </c>
      <c r="I265" s="262">
        <v>2</v>
      </c>
      <c r="J265" s="262">
        <v>2</v>
      </c>
      <c r="K265" s="262">
        <v>2</v>
      </c>
      <c r="L265" s="262">
        <v>2</v>
      </c>
      <c r="M265" s="262">
        <v>2</v>
      </c>
      <c r="N265" s="262">
        <v>2</v>
      </c>
      <c r="O265" s="262">
        <f t="shared" si="106"/>
        <v>24</v>
      </c>
      <c r="P265" s="262"/>
      <c r="Q265" s="262" t="s">
        <v>5</v>
      </c>
      <c r="R265" s="299">
        <f t="shared" si="107"/>
        <v>24</v>
      </c>
      <c r="S265" s="262" t="s">
        <v>288</v>
      </c>
      <c r="T265" s="262"/>
      <c r="U265" s="262" t="s">
        <v>725</v>
      </c>
      <c r="V265" s="262" t="s">
        <v>635</v>
      </c>
    </row>
    <row r="266" spans="2:22">
      <c r="B266" s="262" t="s">
        <v>288</v>
      </c>
      <c r="C266" s="262">
        <v>2</v>
      </c>
      <c r="D266" s="262">
        <v>2</v>
      </c>
      <c r="E266" s="262">
        <v>2</v>
      </c>
      <c r="F266" s="262">
        <v>2</v>
      </c>
      <c r="G266" s="262">
        <v>2</v>
      </c>
      <c r="H266" s="262">
        <v>2</v>
      </c>
      <c r="I266" s="262">
        <v>2</v>
      </c>
      <c r="J266" s="262">
        <v>2</v>
      </c>
      <c r="K266" s="262">
        <v>2</v>
      </c>
      <c r="L266" s="262">
        <v>2</v>
      </c>
      <c r="M266" s="262">
        <v>2</v>
      </c>
      <c r="N266" s="262">
        <v>2</v>
      </c>
      <c r="O266" s="262">
        <f t="shared" si="106"/>
        <v>24</v>
      </c>
      <c r="P266" s="262"/>
      <c r="Q266" s="262" t="s">
        <v>5</v>
      </c>
      <c r="R266" s="299">
        <f t="shared" si="107"/>
        <v>24</v>
      </c>
      <c r="S266" s="262" t="s">
        <v>288</v>
      </c>
      <c r="T266" s="262"/>
      <c r="U266" s="262" t="s">
        <v>725</v>
      </c>
      <c r="V266" s="262" t="s">
        <v>635</v>
      </c>
    </row>
    <row r="267" spans="2:22">
      <c r="B267" s="262" t="s">
        <v>289</v>
      </c>
      <c r="C267" s="262">
        <v>4</v>
      </c>
      <c r="D267" s="262">
        <v>4</v>
      </c>
      <c r="E267" s="262">
        <v>4</v>
      </c>
      <c r="F267" s="262">
        <v>4</v>
      </c>
      <c r="G267" s="262">
        <v>4</v>
      </c>
      <c r="H267" s="262">
        <v>4</v>
      </c>
      <c r="I267" s="262">
        <v>4</v>
      </c>
      <c r="J267" s="262">
        <v>4</v>
      </c>
      <c r="K267" s="262">
        <v>4</v>
      </c>
      <c r="L267" s="262">
        <v>4</v>
      </c>
      <c r="M267" s="262">
        <v>4</v>
      </c>
      <c r="N267" s="262">
        <v>4</v>
      </c>
      <c r="O267" s="262">
        <f t="shared" si="106"/>
        <v>48</v>
      </c>
      <c r="P267" s="262"/>
      <c r="Q267" s="262" t="s">
        <v>5</v>
      </c>
      <c r="R267" s="299">
        <f t="shared" si="107"/>
        <v>48</v>
      </c>
      <c r="S267" s="262" t="s">
        <v>285</v>
      </c>
      <c r="T267" s="262"/>
      <c r="U267" s="262" t="s">
        <v>725</v>
      </c>
      <c r="V267" s="262" t="s">
        <v>635</v>
      </c>
    </row>
    <row r="268" spans="2:22">
      <c r="B268" s="262" t="s">
        <v>290</v>
      </c>
      <c r="C268" s="262">
        <v>4</v>
      </c>
      <c r="D268" s="262">
        <v>4</v>
      </c>
      <c r="E268" s="262">
        <v>4</v>
      </c>
      <c r="F268" s="262">
        <v>4</v>
      </c>
      <c r="G268" s="262">
        <v>4</v>
      </c>
      <c r="H268" s="262">
        <v>4</v>
      </c>
      <c r="I268" s="262">
        <v>4</v>
      </c>
      <c r="J268" s="262">
        <v>4</v>
      </c>
      <c r="K268" s="262">
        <v>4</v>
      </c>
      <c r="L268" s="262">
        <v>4</v>
      </c>
      <c r="M268" s="262">
        <v>4</v>
      </c>
      <c r="N268" s="262">
        <v>4</v>
      </c>
      <c r="O268" s="262">
        <f t="shared" si="106"/>
        <v>48</v>
      </c>
      <c r="P268" s="262"/>
      <c r="Q268" s="262" t="s">
        <v>5</v>
      </c>
      <c r="R268" s="299">
        <f t="shared" si="107"/>
        <v>48</v>
      </c>
      <c r="S268" s="262" t="s">
        <v>286</v>
      </c>
      <c r="T268" s="262"/>
      <c r="U268" s="262" t="s">
        <v>725</v>
      </c>
      <c r="V268" s="262" t="s">
        <v>635</v>
      </c>
    </row>
  </sheetData>
  <pageMargins left="0.75" right="0.5" top="0.75" bottom="0.75" header="1" footer="0"/>
  <pageSetup scale="53" fitToHeight="2" orientation="portrait" r:id="rId1"/>
  <headerFooter alignWithMargins="0"/>
  <rowBreaks count="1" manualBreakCount="1">
    <brk id="127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DA88-965A-44E8-8C52-6DFCBD95370B}">
  <sheetPr codeName="Sheet4">
    <tabColor theme="0" tint="-0.34998626667073579"/>
  </sheetPr>
  <dimension ref="A1:V267"/>
  <sheetViews>
    <sheetView workbookViewId="0"/>
  </sheetViews>
  <sheetFormatPr defaultColWidth="9.140625" defaultRowHeight="12.75"/>
  <cols>
    <col min="1" max="1" width="3.5703125" style="97" customWidth="1"/>
    <col min="2" max="2" width="39" style="97" bestFit="1" customWidth="1"/>
    <col min="3" max="4" width="13" style="97" bestFit="1" customWidth="1"/>
    <col min="5" max="5" width="13.85546875" style="97" bestFit="1" customWidth="1"/>
    <col min="6" max="6" width="13.42578125" style="97" bestFit="1" customWidth="1"/>
    <col min="7" max="7" width="13.85546875" style="97" bestFit="1" customWidth="1"/>
    <col min="8" max="8" width="14.140625" style="97" bestFit="1" customWidth="1"/>
    <col min="9" max="9" width="13.85546875" style="97" bestFit="1" customWidth="1"/>
    <col min="10" max="10" width="14.140625" style="97" bestFit="1" customWidth="1"/>
    <col min="11" max="11" width="13.85546875" style="97" bestFit="1" customWidth="1"/>
    <col min="12" max="13" width="14.140625" style="97" bestFit="1" customWidth="1"/>
    <col min="14" max="14" width="13.85546875" style="97" bestFit="1" customWidth="1"/>
    <col min="15" max="15" width="15.5703125" style="97" bestFit="1" customWidth="1"/>
    <col min="16" max="16" width="16.42578125" style="97" customWidth="1"/>
    <col min="17" max="17" width="7.140625" style="97" customWidth="1"/>
    <col min="18" max="18" width="20.28515625" style="97" bestFit="1" customWidth="1"/>
    <col min="19" max="19" width="9.140625" style="97"/>
    <col min="20" max="20" width="27" style="97" bestFit="1" customWidth="1"/>
    <col min="21" max="21" width="11.42578125" style="97" bestFit="1" customWidth="1"/>
    <col min="22" max="22" width="9.140625" style="97" bestFit="1" customWidth="1"/>
    <col min="23" max="16384" width="9.140625" style="97"/>
  </cols>
  <sheetData>
    <row r="1" spans="1:22" ht="13.5" thickBot="1">
      <c r="B1" s="270" t="s">
        <v>120</v>
      </c>
      <c r="C1" s="251">
        <v>1</v>
      </c>
      <c r="D1" s="251">
        <v>2</v>
      </c>
      <c r="E1" s="251">
        <v>3</v>
      </c>
      <c r="F1" s="251">
        <v>4</v>
      </c>
      <c r="G1" s="251">
        <v>5</v>
      </c>
      <c r="H1" s="251">
        <v>6</v>
      </c>
      <c r="I1" s="251">
        <v>7</v>
      </c>
      <c r="J1" s="251">
        <v>8</v>
      </c>
      <c r="K1" s="251">
        <v>9</v>
      </c>
      <c r="L1" s="251">
        <v>10</v>
      </c>
      <c r="M1" s="251">
        <v>11</v>
      </c>
      <c r="N1" s="251">
        <v>12</v>
      </c>
      <c r="O1" s="251" t="s">
        <v>121</v>
      </c>
      <c r="U1" s="97" t="s">
        <v>717</v>
      </c>
      <c r="V1" s="97" t="s">
        <v>719</v>
      </c>
    </row>
    <row r="2" spans="1:22" ht="13.5" thickBot="1">
      <c r="A2" s="97">
        <v>2</v>
      </c>
      <c r="B2" s="272" t="s">
        <v>122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6"/>
    </row>
    <row r="3" spans="1:22">
      <c r="A3" s="97">
        <f t="shared" ref="A3:A66" si="0">+A2+1</f>
        <v>3</v>
      </c>
      <c r="B3" s="327" t="s">
        <v>123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R3" s="97" t="s">
        <v>10</v>
      </c>
      <c r="T3" s="97" t="s">
        <v>124</v>
      </c>
    </row>
    <row r="4" spans="1:22">
      <c r="A4" s="97">
        <f t="shared" si="0"/>
        <v>4</v>
      </c>
      <c r="B4" s="174" t="s">
        <v>100</v>
      </c>
      <c r="C4" s="328">
        <v>9304.3399999999492</v>
      </c>
      <c r="D4" s="328">
        <v>8690.9800000000196</v>
      </c>
      <c r="E4" s="328">
        <v>8168.41</v>
      </c>
      <c r="F4" s="328">
        <v>7560.1500000000296</v>
      </c>
      <c r="G4" s="328">
        <v>7083.8</v>
      </c>
      <c r="H4" s="328">
        <v>6038.5899999999301</v>
      </c>
      <c r="I4" s="328">
        <v>6297.5799999999799</v>
      </c>
      <c r="J4" s="328">
        <v>5751.4699999999702</v>
      </c>
      <c r="K4" s="328">
        <v>5897.2799999999797</v>
      </c>
      <c r="L4" s="328">
        <v>5915.1200000000299</v>
      </c>
      <c r="M4" s="328">
        <v>6863.1400000000403</v>
      </c>
      <c r="N4" s="328">
        <v>10214.6</v>
      </c>
      <c r="O4" s="326">
        <f t="shared" ref="O4:O15" si="1">SUM(C4:N4)</f>
        <v>87785.459999999934</v>
      </c>
      <c r="Q4" s="97" t="s">
        <v>8</v>
      </c>
      <c r="R4" s="97" t="str">
        <f>CONCATENATE(Q4," - ",B4, " R")</f>
        <v>CFG - FTS-A R</v>
      </c>
      <c r="T4" s="97" t="s">
        <v>125</v>
      </c>
      <c r="U4" s="249">
        <f>MAX(C4:N4)</f>
        <v>10214.6</v>
      </c>
      <c r="V4" s="249">
        <f>IFERROR(INDEX($C$1:$N$1,MATCH(U4,C4:N4,0)),0)</f>
        <v>12</v>
      </c>
    </row>
    <row r="5" spans="1:22">
      <c r="A5" s="97">
        <f t="shared" si="0"/>
        <v>5</v>
      </c>
      <c r="B5" s="174" t="s">
        <v>101</v>
      </c>
      <c r="C5" s="328">
        <v>30526.8100000001</v>
      </c>
      <c r="D5" s="328">
        <v>28752.9199999997</v>
      </c>
      <c r="E5" s="328">
        <v>26441.780000000101</v>
      </c>
      <c r="F5" s="328">
        <v>25540.749999999702</v>
      </c>
      <c r="G5" s="328">
        <v>22868.559999999899</v>
      </c>
      <c r="H5" s="328">
        <v>19729.030000000101</v>
      </c>
      <c r="I5" s="328">
        <v>21177.149999999801</v>
      </c>
      <c r="J5" s="328">
        <v>18547.690000000199</v>
      </c>
      <c r="K5" s="328">
        <v>19607.430000000099</v>
      </c>
      <c r="L5" s="328">
        <v>18460.66</v>
      </c>
      <c r="M5" s="328">
        <v>22127.529999999799</v>
      </c>
      <c r="N5" s="328">
        <v>34755.479999999799</v>
      </c>
      <c r="O5" s="326">
        <f t="shared" si="1"/>
        <v>288535.78999999934</v>
      </c>
      <c r="Q5" s="97" t="s">
        <v>8</v>
      </c>
      <c r="R5" s="97" t="str">
        <f>CONCATENATE(Q5," - ",B5, " R")</f>
        <v>CFG - FTS-B R</v>
      </c>
      <c r="T5" s="97" t="s">
        <v>125</v>
      </c>
      <c r="U5" s="249">
        <f t="shared" ref="U5:U68" si="2">MAX(C5:N5)</f>
        <v>34755.479999999799</v>
      </c>
      <c r="V5" s="249">
        <f t="shared" ref="V5:V68" si="3">IFERROR(INDEX($C$1:$N$1,MATCH(U5,C5:N5,0)),0)</f>
        <v>12</v>
      </c>
    </row>
    <row r="6" spans="1:22">
      <c r="A6" s="97">
        <f t="shared" si="0"/>
        <v>6</v>
      </c>
      <c r="B6" s="174" t="s">
        <v>102</v>
      </c>
      <c r="C6" s="328">
        <v>282158.34000000003</v>
      </c>
      <c r="D6" s="328">
        <v>257382.34000000701</v>
      </c>
      <c r="E6" s="328">
        <v>248581.78000000701</v>
      </c>
      <c r="F6" s="328">
        <v>192277.800000007</v>
      </c>
      <c r="G6" s="328">
        <v>172694.88000000399</v>
      </c>
      <c r="H6" s="328">
        <v>142423.02000000299</v>
      </c>
      <c r="I6" s="328">
        <v>145778.42000000499</v>
      </c>
      <c r="J6" s="328">
        <v>128228.06999999</v>
      </c>
      <c r="K6" s="328">
        <v>134306.989999994</v>
      </c>
      <c r="L6" s="328">
        <v>143261.790000004</v>
      </c>
      <c r="M6" s="328">
        <v>176786.36000001</v>
      </c>
      <c r="N6" s="328">
        <v>311585.450000012</v>
      </c>
      <c r="O6" s="326">
        <f t="shared" si="1"/>
        <v>2335465.2400000431</v>
      </c>
      <c r="Q6" s="97" t="s">
        <v>8</v>
      </c>
      <c r="R6" s="97" t="str">
        <f>CONCATENATE(Q6," - ",B6," R")</f>
        <v>CFG - FTS-1 R</v>
      </c>
      <c r="T6" s="97" t="s">
        <v>125</v>
      </c>
      <c r="U6" s="249">
        <f t="shared" si="2"/>
        <v>311585.450000012</v>
      </c>
      <c r="V6" s="249">
        <f t="shared" si="3"/>
        <v>12</v>
      </c>
    </row>
    <row r="7" spans="1:22">
      <c r="A7" s="97">
        <f t="shared" si="0"/>
        <v>7</v>
      </c>
      <c r="B7" s="174" t="s">
        <v>103</v>
      </c>
      <c r="C7" s="328">
        <v>77820.039999999994</v>
      </c>
      <c r="D7" s="328">
        <v>69158.13</v>
      </c>
      <c r="E7" s="328">
        <v>72673.949999999895</v>
      </c>
      <c r="F7" s="328">
        <v>31794.07</v>
      </c>
      <c r="G7" s="328">
        <v>23663.41</v>
      </c>
      <c r="H7" s="328">
        <v>15816.55</v>
      </c>
      <c r="I7" s="328">
        <v>15089.15</v>
      </c>
      <c r="J7" s="328">
        <v>12204.48</v>
      </c>
      <c r="K7" s="328">
        <v>12764.86</v>
      </c>
      <c r="L7" s="328">
        <v>16406.96</v>
      </c>
      <c r="M7" s="328">
        <v>24668.769999999899</v>
      </c>
      <c r="N7" s="328">
        <v>54357.43</v>
      </c>
      <c r="O7" s="326">
        <f t="shared" si="1"/>
        <v>426417.79999999976</v>
      </c>
      <c r="Q7" s="97" t="s">
        <v>8</v>
      </c>
      <c r="R7" s="97" t="str">
        <f>CONCATENATE(Q7," - ",B7," R")</f>
        <v>CFG - FTS-2 R</v>
      </c>
      <c r="T7" s="97" t="s">
        <v>125</v>
      </c>
      <c r="U7" s="249">
        <f t="shared" si="2"/>
        <v>77820.039999999994</v>
      </c>
      <c r="V7" s="249">
        <f t="shared" si="3"/>
        <v>1</v>
      </c>
    </row>
    <row r="8" spans="1:22">
      <c r="A8" s="97">
        <f t="shared" si="0"/>
        <v>8</v>
      </c>
      <c r="B8" s="174" t="s">
        <v>104</v>
      </c>
      <c r="C8" s="328">
        <v>83012.129999999903</v>
      </c>
      <c r="D8" s="328">
        <v>77089.73</v>
      </c>
      <c r="E8" s="328">
        <v>71926.5799999999</v>
      </c>
      <c r="F8" s="328">
        <v>23127.64</v>
      </c>
      <c r="G8" s="328">
        <v>15532.69</v>
      </c>
      <c r="H8" s="328">
        <v>11880.63</v>
      </c>
      <c r="I8" s="328">
        <v>12433.83</v>
      </c>
      <c r="J8" s="328">
        <v>9476.7800000000097</v>
      </c>
      <c r="K8" s="328">
        <v>8691.9</v>
      </c>
      <c r="L8" s="328">
        <v>13416.31</v>
      </c>
      <c r="M8" s="328">
        <v>23512.93</v>
      </c>
      <c r="N8" s="328">
        <v>59335.03</v>
      </c>
      <c r="O8" s="326">
        <f t="shared" si="1"/>
        <v>409436.17999999982</v>
      </c>
      <c r="Q8" s="97" t="s">
        <v>8</v>
      </c>
      <c r="R8" s="97" t="str">
        <f>CONCATENATE(Q8," - ",B8," R")</f>
        <v>CFG - FTS-2.1 R</v>
      </c>
      <c r="T8" s="97" t="s">
        <v>125</v>
      </c>
      <c r="U8" s="249">
        <f t="shared" si="2"/>
        <v>83012.129999999903</v>
      </c>
      <c r="V8" s="249">
        <f t="shared" si="3"/>
        <v>1</v>
      </c>
    </row>
    <row r="9" spans="1:22">
      <c r="A9" s="97">
        <f t="shared" si="0"/>
        <v>9</v>
      </c>
      <c r="B9" s="329" t="s">
        <v>105</v>
      </c>
      <c r="C9" s="328">
        <v>6290.37</v>
      </c>
      <c r="D9" s="328">
        <v>5042.5200000000004</v>
      </c>
      <c r="E9" s="328">
        <v>4505.2</v>
      </c>
      <c r="F9" s="328">
        <v>1465.73</v>
      </c>
      <c r="G9" s="328">
        <v>1415</v>
      </c>
      <c r="H9" s="328">
        <v>1065.32</v>
      </c>
      <c r="I9" s="328">
        <v>788.93</v>
      </c>
      <c r="J9" s="328">
        <v>394.32</v>
      </c>
      <c r="K9" s="328">
        <v>684.14</v>
      </c>
      <c r="L9" s="328">
        <v>1342.83</v>
      </c>
      <c r="M9" s="328">
        <v>2395.58</v>
      </c>
      <c r="N9" s="328">
        <v>7058.65</v>
      </c>
      <c r="O9" s="326">
        <f t="shared" si="1"/>
        <v>32448.590000000004</v>
      </c>
      <c r="Q9" s="97" t="s">
        <v>8</v>
      </c>
      <c r="R9" s="97" t="str">
        <f>CONCATENATE(Q9," - ",B9, " R")</f>
        <v>CFG - FTS-3 R</v>
      </c>
      <c r="T9" s="97" t="s">
        <v>125</v>
      </c>
      <c r="U9" s="249">
        <f t="shared" si="2"/>
        <v>7058.65</v>
      </c>
      <c r="V9" s="249">
        <f t="shared" si="3"/>
        <v>12</v>
      </c>
    </row>
    <row r="10" spans="1:22">
      <c r="A10" s="97">
        <f t="shared" si="0"/>
        <v>10</v>
      </c>
      <c r="B10" s="329" t="s">
        <v>106</v>
      </c>
      <c r="C10" s="328">
        <v>0</v>
      </c>
      <c r="D10" s="328">
        <v>0</v>
      </c>
      <c r="E10" s="328">
        <v>0</v>
      </c>
      <c r="F10" s="328">
        <v>0</v>
      </c>
      <c r="G10" s="328">
        <v>0</v>
      </c>
      <c r="H10" s="328">
        <v>0</v>
      </c>
      <c r="I10" s="328">
        <v>0</v>
      </c>
      <c r="J10" s="328">
        <v>0</v>
      </c>
      <c r="K10" s="328">
        <v>0</v>
      </c>
      <c r="L10" s="328">
        <v>0</v>
      </c>
      <c r="M10" s="328">
        <v>0</v>
      </c>
      <c r="N10" s="328">
        <v>0</v>
      </c>
      <c r="O10" s="326">
        <f t="shared" si="1"/>
        <v>0</v>
      </c>
      <c r="Q10" s="97" t="s">
        <v>8</v>
      </c>
      <c r="R10" s="97" t="str">
        <f>CONCATENATE(Q10," - ",B10, " R")</f>
        <v>CFG - FTS-3.1 R</v>
      </c>
      <c r="T10" s="97" t="s">
        <v>125</v>
      </c>
      <c r="U10" s="249">
        <f t="shared" si="2"/>
        <v>0</v>
      </c>
      <c r="V10" s="249">
        <f t="shared" si="3"/>
        <v>1</v>
      </c>
    </row>
    <row r="11" spans="1:22">
      <c r="A11" s="97">
        <f t="shared" si="0"/>
        <v>11</v>
      </c>
      <c r="B11" s="329" t="s">
        <v>126</v>
      </c>
      <c r="C11" s="328">
        <v>1891241.4500000305</v>
      </c>
      <c r="D11" s="328">
        <v>1677873.8000000319</v>
      </c>
      <c r="E11" s="328">
        <v>1521634.1000000073</v>
      </c>
      <c r="F11" s="328">
        <v>1400471.4900000286</v>
      </c>
      <c r="G11" s="328">
        <v>1306732.8000000303</v>
      </c>
      <c r="H11" s="328">
        <v>993212.99000004982</v>
      </c>
      <c r="I11" s="328">
        <v>853601.52000002691</v>
      </c>
      <c r="J11" s="328">
        <v>767283.78000003565</v>
      </c>
      <c r="K11" s="328">
        <v>763359.69000002486</v>
      </c>
      <c r="L11" s="328">
        <v>831943.12000005401</v>
      </c>
      <c r="M11" s="328">
        <v>1175988.1900000391</v>
      </c>
      <c r="N11" s="328">
        <v>1892109.2100000058</v>
      </c>
      <c r="O11" s="326">
        <f t="shared" si="1"/>
        <v>15075452.140000366</v>
      </c>
      <c r="P11" s="249"/>
      <c r="Q11" s="97" t="s">
        <v>7</v>
      </c>
      <c r="R11" s="97" t="str">
        <f t="shared" ref="R11:R61" si="4">CONCATENATE(Q11," - ",B11)</f>
        <v>FPU - FPU - RS</v>
      </c>
      <c r="T11" s="97" t="s">
        <v>127</v>
      </c>
      <c r="U11" s="249">
        <f t="shared" si="2"/>
        <v>1892109.2100000058</v>
      </c>
      <c r="V11" s="249">
        <f t="shared" si="3"/>
        <v>12</v>
      </c>
    </row>
    <row r="12" spans="1:22">
      <c r="A12" s="97">
        <f t="shared" si="0"/>
        <v>12</v>
      </c>
      <c r="B12" s="329" t="s">
        <v>128</v>
      </c>
      <c r="C12" s="328">
        <v>8879.6400000000049</v>
      </c>
      <c r="D12" s="328">
        <v>8188.7899999999972</v>
      </c>
      <c r="E12" s="328">
        <v>6928.2599999999984</v>
      </c>
      <c r="F12" s="328">
        <v>6827.1700000000037</v>
      </c>
      <c r="G12" s="328">
        <v>6243.0299999999943</v>
      </c>
      <c r="H12" s="328">
        <v>4099.4499999999953</v>
      </c>
      <c r="I12" s="328">
        <v>2621.2499999999973</v>
      </c>
      <c r="J12" s="328">
        <v>2436.509999999997</v>
      </c>
      <c r="K12" s="328">
        <v>2492.3499999999981</v>
      </c>
      <c r="L12" s="328">
        <v>3079.7499999999986</v>
      </c>
      <c r="M12" s="328">
        <v>7006</v>
      </c>
      <c r="N12" s="328">
        <v>8701.4700000000012</v>
      </c>
      <c r="O12" s="326">
        <f t="shared" si="1"/>
        <v>67503.669999999984</v>
      </c>
      <c r="Q12" s="97" t="s">
        <v>7</v>
      </c>
      <c r="R12" s="97" t="str">
        <f t="shared" si="4"/>
        <v>FPU - FPU - RS-GS</v>
      </c>
      <c r="T12" s="97" t="s">
        <v>127</v>
      </c>
      <c r="U12" s="249">
        <f t="shared" si="2"/>
        <v>8879.6400000000049</v>
      </c>
      <c r="V12" s="249">
        <f t="shared" si="3"/>
        <v>1</v>
      </c>
    </row>
    <row r="13" spans="1:22">
      <c r="A13" s="97">
        <f t="shared" si="0"/>
        <v>13</v>
      </c>
      <c r="B13" s="329" t="s">
        <v>98</v>
      </c>
      <c r="C13" s="328">
        <v>8151.8499999999776</v>
      </c>
      <c r="D13" s="328">
        <v>7549.4599999999673</v>
      </c>
      <c r="E13" s="328">
        <v>6797.8399999999692</v>
      </c>
      <c r="F13" s="328">
        <v>6009.1499999999733</v>
      </c>
      <c r="G13" s="328">
        <v>5323.240000000008</v>
      </c>
      <c r="H13" s="328">
        <v>4575.8299999999963</v>
      </c>
      <c r="I13" s="328">
        <v>4700.0099999999948</v>
      </c>
      <c r="J13" s="328">
        <v>4104.8500000000095</v>
      </c>
      <c r="K13" s="328">
        <v>4652.2699999999977</v>
      </c>
      <c r="L13" s="328">
        <v>4668.5899999999956</v>
      </c>
      <c r="M13" s="328">
        <v>5208.640000000024</v>
      </c>
      <c r="N13" s="328">
        <v>7924.1799999999757</v>
      </c>
      <c r="O13" s="326">
        <f t="shared" si="1"/>
        <v>69665.909999999887</v>
      </c>
      <c r="Q13" s="97" t="s">
        <v>5</v>
      </c>
      <c r="R13" s="97" t="str">
        <f t="shared" si="4"/>
        <v>FT - FT-RS</v>
      </c>
      <c r="T13" s="97" t="s">
        <v>129</v>
      </c>
      <c r="U13" s="249">
        <f t="shared" si="2"/>
        <v>8151.8499999999776</v>
      </c>
      <c r="V13" s="249">
        <f t="shared" si="3"/>
        <v>1</v>
      </c>
    </row>
    <row r="14" spans="1:22">
      <c r="A14" s="97">
        <f t="shared" si="0"/>
        <v>14</v>
      </c>
      <c r="B14" s="329" t="s">
        <v>93</v>
      </c>
      <c r="C14" s="330">
        <v>12095.140000000001</v>
      </c>
      <c r="D14" s="330">
        <v>9833.1400000000049</v>
      </c>
      <c r="E14" s="330">
        <v>10152.490000000002</v>
      </c>
      <c r="F14" s="330">
        <v>10868.439999999984</v>
      </c>
      <c r="G14" s="330">
        <v>10105.520000000002</v>
      </c>
      <c r="H14" s="330">
        <v>9038.2800000000061</v>
      </c>
      <c r="I14" s="330">
        <v>10027.969999999992</v>
      </c>
      <c r="J14" s="330">
        <v>8411.3600000000115</v>
      </c>
      <c r="K14" s="330">
        <v>8850.9299999999948</v>
      </c>
      <c r="L14" s="330">
        <v>8731.8499999999967</v>
      </c>
      <c r="M14" s="330">
        <v>10559.289999999992</v>
      </c>
      <c r="N14" s="330">
        <v>11851.660000000005</v>
      </c>
      <c r="O14" s="331">
        <f t="shared" si="1"/>
        <v>120526.06999999999</v>
      </c>
      <c r="Q14" s="97" t="s">
        <v>4</v>
      </c>
      <c r="R14" s="97" t="str">
        <f t="shared" si="4"/>
        <v>IGC - IGC - TS1</v>
      </c>
      <c r="T14" s="97" t="s">
        <v>130</v>
      </c>
      <c r="U14" s="249">
        <f t="shared" si="2"/>
        <v>12095.140000000001</v>
      </c>
      <c r="V14" s="249">
        <f t="shared" si="3"/>
        <v>1</v>
      </c>
    </row>
    <row r="15" spans="1:22">
      <c r="A15" s="97">
        <f t="shared" si="0"/>
        <v>15</v>
      </c>
      <c r="B15" s="332" t="s">
        <v>131</v>
      </c>
      <c r="C15" s="326">
        <f t="shared" ref="C15:N15" si="5">SUM(C4:C14)</f>
        <v>2409480.1100000306</v>
      </c>
      <c r="D15" s="326">
        <f t="shared" si="5"/>
        <v>2149561.8100000387</v>
      </c>
      <c r="E15" s="326">
        <f t="shared" si="5"/>
        <v>1977810.3900000143</v>
      </c>
      <c r="F15" s="326">
        <f t="shared" si="5"/>
        <v>1705942.3900000351</v>
      </c>
      <c r="G15" s="326">
        <f t="shared" si="5"/>
        <v>1571662.9300000342</v>
      </c>
      <c r="H15" s="326">
        <f t="shared" si="5"/>
        <v>1207879.6900000528</v>
      </c>
      <c r="I15" s="326">
        <f t="shared" si="5"/>
        <v>1072515.8100000317</v>
      </c>
      <c r="J15" s="326">
        <f t="shared" si="5"/>
        <v>956839.31000002578</v>
      </c>
      <c r="K15" s="326">
        <f t="shared" si="5"/>
        <v>961307.84000001894</v>
      </c>
      <c r="L15" s="326">
        <f t="shared" si="5"/>
        <v>1047226.980000058</v>
      </c>
      <c r="M15" s="326">
        <f t="shared" si="5"/>
        <v>1455116.4300000491</v>
      </c>
      <c r="N15" s="326">
        <f t="shared" si="5"/>
        <v>2397893.1600000178</v>
      </c>
      <c r="O15" s="326">
        <f t="shared" si="1"/>
        <v>18913236.850000408</v>
      </c>
      <c r="T15" s="249"/>
      <c r="U15" s="249"/>
      <c r="V15" s="249"/>
    </row>
    <row r="16" spans="1:22">
      <c r="A16" s="97">
        <f t="shared" si="0"/>
        <v>16</v>
      </c>
      <c r="B16" s="327" t="s">
        <v>132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T16" s="249"/>
      <c r="U16" s="249"/>
      <c r="V16" s="249"/>
    </row>
    <row r="17" spans="1:22">
      <c r="A17" s="97">
        <f t="shared" si="0"/>
        <v>17</v>
      </c>
      <c r="B17" s="174" t="s">
        <v>100</v>
      </c>
      <c r="C17" s="328">
        <v>399.16</v>
      </c>
      <c r="D17" s="328">
        <v>306.31</v>
      </c>
      <c r="E17" s="328">
        <v>1161.76</v>
      </c>
      <c r="F17" s="303">
        <v>-586.84</v>
      </c>
      <c r="G17" s="328">
        <v>286.5</v>
      </c>
      <c r="H17" s="328">
        <v>167.91</v>
      </c>
      <c r="I17" s="328">
        <v>163.94</v>
      </c>
      <c r="J17" s="328">
        <v>131.25</v>
      </c>
      <c r="K17" s="328">
        <v>136.77000000000001</v>
      </c>
      <c r="L17" s="328">
        <v>166.92</v>
      </c>
      <c r="M17" s="328">
        <v>262.89</v>
      </c>
      <c r="N17" s="328">
        <v>326.2</v>
      </c>
      <c r="O17" s="326">
        <f t="shared" ref="O17:O24" si="6">SUM(C17:N17)</f>
        <v>2922.77</v>
      </c>
      <c r="Q17" s="97" t="s">
        <v>8</v>
      </c>
      <c r="R17" s="97" t="str">
        <f>CONCATENATE(Q17," - ",B17," - ",S17)</f>
        <v>CFG - FTS-A - Fixed R</v>
      </c>
      <c r="S17" s="97" t="s">
        <v>133</v>
      </c>
      <c r="T17" s="97" t="s">
        <v>125</v>
      </c>
      <c r="U17" s="249">
        <f t="shared" si="2"/>
        <v>1161.76</v>
      </c>
      <c r="V17" s="249">
        <f t="shared" si="3"/>
        <v>3</v>
      </c>
    </row>
    <row r="18" spans="1:22">
      <c r="A18" s="97">
        <f t="shared" si="0"/>
        <v>18</v>
      </c>
      <c r="B18" s="174" t="s">
        <v>101</v>
      </c>
      <c r="C18" s="328">
        <v>928.23</v>
      </c>
      <c r="D18" s="328">
        <v>869.9</v>
      </c>
      <c r="E18" s="328">
        <v>721.32</v>
      </c>
      <c r="F18" s="303">
        <v>701.26</v>
      </c>
      <c r="G18" s="328">
        <v>641.38</v>
      </c>
      <c r="H18" s="328">
        <v>559.57000000000005</v>
      </c>
      <c r="I18" s="328">
        <v>584.25</v>
      </c>
      <c r="J18" s="328">
        <v>535.37</v>
      </c>
      <c r="K18" s="328">
        <v>547.42999999999995</v>
      </c>
      <c r="L18" s="328">
        <v>540.42999999999995</v>
      </c>
      <c r="M18" s="328">
        <v>617.96</v>
      </c>
      <c r="N18" s="328">
        <v>910.05</v>
      </c>
      <c r="O18" s="326">
        <f t="shared" si="6"/>
        <v>8157.1500000000005</v>
      </c>
      <c r="Q18" s="97" t="s">
        <v>8</v>
      </c>
      <c r="R18" s="97" t="str">
        <f t="shared" ref="R18:R23" si="7">CONCATENATE(Q18," - ",B18," - ",S18)</f>
        <v>CFG - FTS-B - Fixed R</v>
      </c>
      <c r="S18" s="97" t="s">
        <v>133</v>
      </c>
      <c r="T18" s="97" t="s">
        <v>125</v>
      </c>
      <c r="U18" s="249">
        <f t="shared" si="2"/>
        <v>928.23</v>
      </c>
      <c r="V18" s="249">
        <f t="shared" si="3"/>
        <v>1</v>
      </c>
    </row>
    <row r="19" spans="1:22">
      <c r="A19" s="97">
        <f t="shared" si="0"/>
        <v>19</v>
      </c>
      <c r="B19" s="174" t="s">
        <v>102</v>
      </c>
      <c r="C19" s="328">
        <v>3786.61</v>
      </c>
      <c r="D19" s="328">
        <v>3369.33</v>
      </c>
      <c r="E19" s="328">
        <v>2894.43</v>
      </c>
      <c r="F19" s="303">
        <v>2683.18</v>
      </c>
      <c r="G19" s="328">
        <v>2376.4699999999998</v>
      </c>
      <c r="H19" s="328">
        <v>2112.23</v>
      </c>
      <c r="I19" s="328">
        <v>2088.54</v>
      </c>
      <c r="J19" s="328">
        <v>1753.54</v>
      </c>
      <c r="K19" s="328">
        <v>1909.74</v>
      </c>
      <c r="L19" s="328">
        <v>1927.71</v>
      </c>
      <c r="M19" s="328">
        <v>2210.08</v>
      </c>
      <c r="N19" s="328">
        <v>4034.53</v>
      </c>
      <c r="O19" s="326">
        <f t="shared" si="6"/>
        <v>31146.39</v>
      </c>
      <c r="Q19" s="97" t="s">
        <v>8</v>
      </c>
      <c r="R19" s="97" t="str">
        <f t="shared" si="7"/>
        <v>CFG - FTS-1 - Fixed R</v>
      </c>
      <c r="S19" s="97" t="s">
        <v>133</v>
      </c>
      <c r="T19" s="97" t="s">
        <v>125</v>
      </c>
      <c r="U19" s="249">
        <f t="shared" si="2"/>
        <v>4034.53</v>
      </c>
      <c r="V19" s="249">
        <f t="shared" si="3"/>
        <v>12</v>
      </c>
    </row>
    <row r="20" spans="1:22">
      <c r="A20" s="97">
        <f t="shared" si="0"/>
        <v>20</v>
      </c>
      <c r="B20" s="174" t="s">
        <v>103</v>
      </c>
      <c r="C20" s="328">
        <v>1803.85</v>
      </c>
      <c r="D20" s="328">
        <v>1723.72</v>
      </c>
      <c r="E20" s="328">
        <v>1467.97</v>
      </c>
      <c r="F20" s="303">
        <v>768.6</v>
      </c>
      <c r="G20" s="328">
        <v>208.79</v>
      </c>
      <c r="H20" s="328">
        <v>348.54</v>
      </c>
      <c r="I20" s="328">
        <v>403.78</v>
      </c>
      <c r="J20" s="328">
        <v>355.24</v>
      </c>
      <c r="K20" s="328">
        <v>392.47</v>
      </c>
      <c r="L20" s="328">
        <v>567.27</v>
      </c>
      <c r="M20" s="328">
        <v>809.62</v>
      </c>
      <c r="N20" s="328">
        <v>1411.52</v>
      </c>
      <c r="O20" s="326">
        <f t="shared" si="6"/>
        <v>10261.370000000001</v>
      </c>
      <c r="Q20" s="97" t="s">
        <v>8</v>
      </c>
      <c r="R20" s="97" t="str">
        <f t="shared" si="7"/>
        <v>CFG - FTS-2 - Fixed R</v>
      </c>
      <c r="S20" s="97" t="s">
        <v>133</v>
      </c>
      <c r="T20" s="97" t="s">
        <v>125</v>
      </c>
      <c r="U20" s="249">
        <f t="shared" si="2"/>
        <v>1803.85</v>
      </c>
      <c r="V20" s="249">
        <f t="shared" si="3"/>
        <v>1</v>
      </c>
    </row>
    <row r="21" spans="1:22">
      <c r="A21" s="97">
        <f t="shared" si="0"/>
        <v>21</v>
      </c>
      <c r="B21" s="174" t="s">
        <v>104</v>
      </c>
      <c r="C21" s="328">
        <v>1705.72</v>
      </c>
      <c r="D21" s="328">
        <v>1764.35</v>
      </c>
      <c r="E21" s="328">
        <v>1451.82</v>
      </c>
      <c r="F21" s="303">
        <v>548.66</v>
      </c>
      <c r="G21" s="328">
        <v>371.44</v>
      </c>
      <c r="H21" s="328">
        <v>141.84</v>
      </c>
      <c r="I21" s="328">
        <v>164.1</v>
      </c>
      <c r="J21" s="328">
        <v>104.56</v>
      </c>
      <c r="K21" s="328">
        <v>148.08000000000001</v>
      </c>
      <c r="L21" s="328">
        <v>54.49</v>
      </c>
      <c r="M21" s="328">
        <v>345.47</v>
      </c>
      <c r="N21" s="328">
        <v>1096.78</v>
      </c>
      <c r="O21" s="326">
        <f t="shared" si="6"/>
        <v>7897.3099999999995</v>
      </c>
      <c r="Q21" s="97" t="s">
        <v>8</v>
      </c>
      <c r="R21" s="97" t="str">
        <f t="shared" si="7"/>
        <v>CFG - FTS-2.1 - Fixed R</v>
      </c>
      <c r="S21" s="97" t="s">
        <v>133</v>
      </c>
      <c r="T21" s="97" t="s">
        <v>125</v>
      </c>
      <c r="U21" s="249">
        <f t="shared" si="2"/>
        <v>1764.35</v>
      </c>
      <c r="V21" s="249">
        <f t="shared" si="3"/>
        <v>2</v>
      </c>
    </row>
    <row r="22" spans="1:22">
      <c r="A22" s="97">
        <f t="shared" si="0"/>
        <v>22</v>
      </c>
      <c r="B22" s="329" t="s">
        <v>105</v>
      </c>
      <c r="C22" s="328">
        <v>0</v>
      </c>
      <c r="D22" s="328">
        <v>0</v>
      </c>
      <c r="E22" s="328">
        <v>0</v>
      </c>
      <c r="F22" s="328">
        <v>0</v>
      </c>
      <c r="G22" s="328">
        <v>0</v>
      </c>
      <c r="H22" s="328">
        <v>0</v>
      </c>
      <c r="I22" s="328">
        <v>0</v>
      </c>
      <c r="J22" s="328">
        <v>0</v>
      </c>
      <c r="K22" s="328">
        <v>0</v>
      </c>
      <c r="L22" s="328">
        <v>0</v>
      </c>
      <c r="M22" s="328">
        <v>0</v>
      </c>
      <c r="N22" s="328">
        <v>0</v>
      </c>
      <c r="O22" s="326">
        <f t="shared" si="6"/>
        <v>0</v>
      </c>
      <c r="Q22" s="97" t="s">
        <v>8</v>
      </c>
      <c r="R22" s="97" t="str">
        <f t="shared" si="7"/>
        <v>CFG - FTS-3 - Fixed R</v>
      </c>
      <c r="S22" s="97" t="s">
        <v>133</v>
      </c>
      <c r="T22" s="97" t="s">
        <v>125</v>
      </c>
      <c r="U22" s="249">
        <f t="shared" si="2"/>
        <v>0</v>
      </c>
      <c r="V22" s="249">
        <f t="shared" si="3"/>
        <v>1</v>
      </c>
    </row>
    <row r="23" spans="1:22">
      <c r="A23" s="97">
        <f t="shared" si="0"/>
        <v>23</v>
      </c>
      <c r="B23" s="329" t="s">
        <v>106</v>
      </c>
      <c r="C23" s="330">
        <v>0</v>
      </c>
      <c r="D23" s="330">
        <v>0</v>
      </c>
      <c r="E23" s="330">
        <v>0</v>
      </c>
      <c r="F23" s="330">
        <v>0</v>
      </c>
      <c r="G23" s="330">
        <v>0</v>
      </c>
      <c r="H23" s="330">
        <v>0</v>
      </c>
      <c r="I23" s="330">
        <v>0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  <c r="O23" s="331">
        <f t="shared" si="6"/>
        <v>0</v>
      </c>
      <c r="Q23" s="97" t="s">
        <v>8</v>
      </c>
      <c r="R23" s="97" t="str">
        <f t="shared" si="7"/>
        <v>CFG - FTS-3.1 - Fixed R</v>
      </c>
      <c r="S23" s="97" t="s">
        <v>133</v>
      </c>
      <c r="T23" s="97" t="s">
        <v>125</v>
      </c>
      <c r="U23" s="249">
        <f t="shared" si="2"/>
        <v>0</v>
      </c>
      <c r="V23" s="249">
        <f t="shared" si="3"/>
        <v>1</v>
      </c>
    </row>
    <row r="24" spans="1:22">
      <c r="A24" s="97">
        <f t="shared" si="0"/>
        <v>24</v>
      </c>
      <c r="B24" s="332" t="s">
        <v>134</v>
      </c>
      <c r="C24" s="326">
        <f t="shared" ref="C24:N24" si="8">SUM(C17:C23)</f>
        <v>8623.57</v>
      </c>
      <c r="D24" s="326">
        <f t="shared" si="8"/>
        <v>8033.6100000000006</v>
      </c>
      <c r="E24" s="326">
        <f t="shared" si="8"/>
        <v>7697.3</v>
      </c>
      <c r="F24" s="326">
        <f t="shared" si="8"/>
        <v>4114.8599999999997</v>
      </c>
      <c r="G24" s="326">
        <f t="shared" si="8"/>
        <v>3884.58</v>
      </c>
      <c r="H24" s="326">
        <f t="shared" si="8"/>
        <v>3330.09</v>
      </c>
      <c r="I24" s="326">
        <f t="shared" si="8"/>
        <v>3404.61</v>
      </c>
      <c r="J24" s="326">
        <f t="shared" si="8"/>
        <v>2879.9599999999996</v>
      </c>
      <c r="K24" s="326">
        <f t="shared" si="8"/>
        <v>3134.49</v>
      </c>
      <c r="L24" s="326">
        <f t="shared" si="8"/>
        <v>3256.8199999999997</v>
      </c>
      <c r="M24" s="326">
        <f t="shared" si="8"/>
        <v>4246.0199999999995</v>
      </c>
      <c r="N24" s="326">
        <f t="shared" si="8"/>
        <v>7779.0800000000008</v>
      </c>
      <c r="O24" s="326">
        <f t="shared" si="6"/>
        <v>60384.989999999991</v>
      </c>
      <c r="U24" s="249"/>
      <c r="V24" s="249"/>
    </row>
    <row r="25" spans="1:22">
      <c r="A25" s="97">
        <f t="shared" si="0"/>
        <v>25</v>
      </c>
      <c r="B25" s="284" t="s">
        <v>135</v>
      </c>
      <c r="C25" s="304"/>
      <c r="D25" s="304"/>
      <c r="E25" s="333"/>
      <c r="F25" s="333"/>
      <c r="G25" s="333"/>
      <c r="H25" s="333"/>
      <c r="I25" s="334"/>
      <c r="J25" s="334"/>
      <c r="K25" s="334"/>
      <c r="L25" s="333"/>
      <c r="M25" s="334"/>
      <c r="N25" s="334"/>
      <c r="O25" s="326"/>
      <c r="U25" s="249"/>
      <c r="V25" s="249"/>
    </row>
    <row r="26" spans="1:22">
      <c r="A26" s="97">
        <f t="shared" si="0"/>
        <v>26</v>
      </c>
      <c r="B26" s="174" t="s">
        <v>100</v>
      </c>
      <c r="C26" s="328">
        <v>33.29</v>
      </c>
      <c r="D26" s="328">
        <v>38.619999999999997</v>
      </c>
      <c r="E26" s="328">
        <v>34.380000000000003</v>
      </c>
      <c r="F26" s="328">
        <v>24.2</v>
      </c>
      <c r="G26" s="328">
        <v>20.94</v>
      </c>
      <c r="H26" s="328">
        <v>18.82</v>
      </c>
      <c r="I26" s="328">
        <v>23.18</v>
      </c>
      <c r="J26" s="328">
        <v>18.829999999999998</v>
      </c>
      <c r="K26" s="328">
        <v>21.96</v>
      </c>
      <c r="L26" s="328">
        <v>21.89</v>
      </c>
      <c r="M26" s="328">
        <v>21.08</v>
      </c>
      <c r="N26" s="328">
        <v>47</v>
      </c>
      <c r="O26" s="326">
        <f t="shared" ref="O26:O62" si="9">SUM(C26:N26)</f>
        <v>324.19</v>
      </c>
      <c r="Q26" s="97" t="s">
        <v>8</v>
      </c>
      <c r="R26" s="97" t="str">
        <f t="shared" ref="R26:R32" si="10">CONCATENATE(Q26," - ",B26," NR")</f>
        <v>CFG - FTS-A NR</v>
      </c>
      <c r="T26" s="97" t="s">
        <v>136</v>
      </c>
      <c r="U26" s="249">
        <f t="shared" si="2"/>
        <v>47</v>
      </c>
      <c r="V26" s="249">
        <f t="shared" si="3"/>
        <v>12</v>
      </c>
    </row>
    <row r="27" spans="1:22">
      <c r="A27" s="97">
        <f t="shared" si="0"/>
        <v>27</v>
      </c>
      <c r="B27" s="174" t="s">
        <v>101</v>
      </c>
      <c r="C27" s="328">
        <v>98.33</v>
      </c>
      <c r="D27" s="328">
        <v>76.53</v>
      </c>
      <c r="E27" s="328">
        <v>65.599999999999994</v>
      </c>
      <c r="F27" s="328">
        <v>61.66</v>
      </c>
      <c r="G27" s="328">
        <v>55.19</v>
      </c>
      <c r="H27" s="328">
        <v>53.03</v>
      </c>
      <c r="I27" s="328">
        <v>59.29</v>
      </c>
      <c r="J27" s="328">
        <v>53.19</v>
      </c>
      <c r="K27" s="328">
        <v>55.29</v>
      </c>
      <c r="L27" s="328">
        <v>59.45</v>
      </c>
      <c r="M27" s="328">
        <v>64.8</v>
      </c>
      <c r="N27" s="328">
        <v>130.69</v>
      </c>
      <c r="O27" s="326">
        <f t="shared" si="9"/>
        <v>833.05</v>
      </c>
      <c r="Q27" s="97" t="s">
        <v>8</v>
      </c>
      <c r="R27" s="97" t="str">
        <f t="shared" si="10"/>
        <v>CFG - FTS-B NR</v>
      </c>
      <c r="T27" s="97" t="s">
        <v>136</v>
      </c>
      <c r="U27" s="249">
        <f t="shared" si="2"/>
        <v>130.69</v>
      </c>
      <c r="V27" s="249">
        <f t="shared" si="3"/>
        <v>12</v>
      </c>
    </row>
    <row r="28" spans="1:22">
      <c r="A28" s="97">
        <f t="shared" si="0"/>
        <v>28</v>
      </c>
      <c r="B28" s="174" t="s">
        <v>102</v>
      </c>
      <c r="C28" s="328">
        <v>5955.12</v>
      </c>
      <c r="D28" s="328">
        <v>4611.13</v>
      </c>
      <c r="E28" s="328">
        <v>5624.82</v>
      </c>
      <c r="F28" s="328">
        <v>3262.5</v>
      </c>
      <c r="G28" s="328">
        <v>4720.46</v>
      </c>
      <c r="H28" s="328">
        <v>2813.71</v>
      </c>
      <c r="I28" s="328">
        <v>3777.09</v>
      </c>
      <c r="J28" s="328">
        <v>3014.1</v>
      </c>
      <c r="K28" s="328">
        <v>3023.23</v>
      </c>
      <c r="L28" s="328">
        <v>2970.45</v>
      </c>
      <c r="M28" s="328">
        <v>3365.09</v>
      </c>
      <c r="N28" s="328">
        <v>6565.8</v>
      </c>
      <c r="O28" s="326">
        <f t="shared" si="9"/>
        <v>49703.5</v>
      </c>
      <c r="Q28" s="97" t="s">
        <v>8</v>
      </c>
      <c r="R28" s="97" t="str">
        <f t="shared" si="10"/>
        <v>CFG - FTS-1 NR</v>
      </c>
      <c r="T28" s="97" t="s">
        <v>136</v>
      </c>
      <c r="U28" s="249">
        <f t="shared" si="2"/>
        <v>6565.8</v>
      </c>
      <c r="V28" s="249">
        <f t="shared" si="3"/>
        <v>12</v>
      </c>
    </row>
    <row r="29" spans="1:22">
      <c r="A29" s="97">
        <f t="shared" si="0"/>
        <v>29</v>
      </c>
      <c r="B29" s="174" t="s">
        <v>103</v>
      </c>
      <c r="C29" s="328">
        <v>7434.17</v>
      </c>
      <c r="D29" s="328">
        <v>7691.49</v>
      </c>
      <c r="E29" s="328">
        <v>6862.13</v>
      </c>
      <c r="F29" s="328">
        <v>4437.5600000000004</v>
      </c>
      <c r="G29" s="328">
        <v>4203.76</v>
      </c>
      <c r="H29" s="328">
        <v>4214.78</v>
      </c>
      <c r="I29" s="328">
        <v>4503.5200000000004</v>
      </c>
      <c r="J29" s="328">
        <v>4237.84</v>
      </c>
      <c r="K29" s="328">
        <v>4512.09</v>
      </c>
      <c r="L29" s="328">
        <v>4361.01</v>
      </c>
      <c r="M29" s="328">
        <v>4845.78</v>
      </c>
      <c r="N29" s="328">
        <v>6944.24</v>
      </c>
      <c r="O29" s="326">
        <f t="shared" si="9"/>
        <v>64248.369999999995</v>
      </c>
      <c r="Q29" s="97" t="s">
        <v>8</v>
      </c>
      <c r="R29" s="97" t="str">
        <f t="shared" si="10"/>
        <v>CFG - FTS-2 NR</v>
      </c>
      <c r="T29" s="97" t="s">
        <v>136</v>
      </c>
      <c r="U29" s="249">
        <f t="shared" si="2"/>
        <v>7691.49</v>
      </c>
      <c r="V29" s="249">
        <f t="shared" si="3"/>
        <v>2</v>
      </c>
    </row>
    <row r="30" spans="1:22">
      <c r="A30" s="97">
        <f t="shared" si="0"/>
        <v>30</v>
      </c>
      <c r="B30" s="174" t="s">
        <v>104</v>
      </c>
      <c r="C30" s="328">
        <v>36956.980000000003</v>
      </c>
      <c r="D30" s="328">
        <v>36464.339999999997</v>
      </c>
      <c r="E30" s="328">
        <v>32532.69</v>
      </c>
      <c r="F30" s="328">
        <v>25008.84</v>
      </c>
      <c r="G30" s="328">
        <v>27917.360000000001</v>
      </c>
      <c r="H30" s="328">
        <v>27467.05</v>
      </c>
      <c r="I30" s="328">
        <v>28227.9</v>
      </c>
      <c r="J30" s="328">
        <v>25631.05</v>
      </c>
      <c r="K30" s="328">
        <v>32964.129999999997</v>
      </c>
      <c r="L30" s="328">
        <v>32162.05</v>
      </c>
      <c r="M30" s="328">
        <v>30654.14</v>
      </c>
      <c r="N30" s="328">
        <v>39269.379999999997</v>
      </c>
      <c r="O30" s="326">
        <f t="shared" si="9"/>
        <v>375255.91</v>
      </c>
      <c r="Q30" s="97" t="s">
        <v>8</v>
      </c>
      <c r="R30" s="97" t="str">
        <f t="shared" si="10"/>
        <v>CFG - FTS-2.1 NR</v>
      </c>
      <c r="T30" s="97" t="s">
        <v>136</v>
      </c>
      <c r="U30" s="249">
        <f t="shared" si="2"/>
        <v>39269.379999999997</v>
      </c>
      <c r="V30" s="249">
        <f t="shared" si="3"/>
        <v>12</v>
      </c>
    </row>
    <row r="31" spans="1:22">
      <c r="A31" s="97">
        <f t="shared" si="0"/>
        <v>31</v>
      </c>
      <c r="B31" s="329" t="s">
        <v>105</v>
      </c>
      <c r="C31" s="328">
        <v>97935.47</v>
      </c>
      <c r="D31" s="328">
        <v>96505.71</v>
      </c>
      <c r="E31" s="328">
        <v>91085.510000000198</v>
      </c>
      <c r="F31" s="328">
        <v>69821.440000000002</v>
      </c>
      <c r="G31" s="328">
        <v>72826.179999999993</v>
      </c>
      <c r="H31" s="328">
        <v>71864.009999999995</v>
      </c>
      <c r="I31" s="328">
        <v>78960.38</v>
      </c>
      <c r="J31" s="328">
        <v>73982.350000000006</v>
      </c>
      <c r="K31" s="328">
        <v>78372.52</v>
      </c>
      <c r="L31" s="328">
        <v>79356</v>
      </c>
      <c r="M31" s="328">
        <v>87965.29</v>
      </c>
      <c r="N31" s="328">
        <v>95958.31</v>
      </c>
      <c r="O31" s="326">
        <f t="shared" si="9"/>
        <v>994633.17000000016</v>
      </c>
      <c r="Q31" s="97" t="s">
        <v>8</v>
      </c>
      <c r="R31" s="97" t="str">
        <f t="shared" si="10"/>
        <v>CFG - FTS-3 NR</v>
      </c>
      <c r="T31" s="97" t="s">
        <v>136</v>
      </c>
      <c r="U31" s="249">
        <f t="shared" si="2"/>
        <v>97935.47</v>
      </c>
      <c r="V31" s="249">
        <f t="shared" si="3"/>
        <v>1</v>
      </c>
    </row>
    <row r="32" spans="1:22">
      <c r="A32" s="97">
        <f t="shared" si="0"/>
        <v>32</v>
      </c>
      <c r="B32" s="329" t="s">
        <v>106</v>
      </c>
      <c r="C32" s="328">
        <v>251738.49</v>
      </c>
      <c r="D32" s="328">
        <v>198000.9</v>
      </c>
      <c r="E32" s="328">
        <v>201057.4</v>
      </c>
      <c r="F32" s="328">
        <v>142793.26999999999</v>
      </c>
      <c r="G32" s="328">
        <v>152203.15</v>
      </c>
      <c r="H32" s="328">
        <v>164263.1</v>
      </c>
      <c r="I32" s="328">
        <v>173342.65</v>
      </c>
      <c r="J32" s="328">
        <v>166956.10999999999</v>
      </c>
      <c r="K32" s="328">
        <v>167173.04</v>
      </c>
      <c r="L32" s="328">
        <v>169734.99</v>
      </c>
      <c r="M32" s="328">
        <v>186184.67</v>
      </c>
      <c r="N32" s="328">
        <v>214203.68</v>
      </c>
      <c r="O32" s="326">
        <f t="shared" si="9"/>
        <v>2187651.4499999997</v>
      </c>
      <c r="Q32" s="97" t="s">
        <v>8</v>
      </c>
      <c r="R32" s="97" t="str">
        <f t="shared" si="10"/>
        <v>CFG - FTS-3.1 NR</v>
      </c>
      <c r="T32" s="97" t="s">
        <v>136</v>
      </c>
      <c r="U32" s="249">
        <f t="shared" si="2"/>
        <v>251738.49</v>
      </c>
      <c r="V32" s="249">
        <f t="shared" si="3"/>
        <v>1</v>
      </c>
    </row>
    <row r="33" spans="1:22">
      <c r="A33" s="97">
        <f t="shared" si="0"/>
        <v>33</v>
      </c>
      <c r="B33" s="329" t="s">
        <v>107</v>
      </c>
      <c r="C33" s="328">
        <v>315029.52</v>
      </c>
      <c r="D33" s="328">
        <v>291896.26</v>
      </c>
      <c r="E33" s="328">
        <v>259484.25</v>
      </c>
      <c r="F33" s="328">
        <v>169294.02</v>
      </c>
      <c r="G33" s="328">
        <v>179796.55</v>
      </c>
      <c r="H33" s="328">
        <v>204112.94</v>
      </c>
      <c r="I33" s="328">
        <v>201064.48</v>
      </c>
      <c r="J33" s="328">
        <v>192507.27</v>
      </c>
      <c r="K33" s="328">
        <v>210640.82</v>
      </c>
      <c r="L33" s="328">
        <v>201618.71</v>
      </c>
      <c r="M33" s="328">
        <v>242001.14</v>
      </c>
      <c r="N33" s="328">
        <v>302201.37</v>
      </c>
      <c r="O33" s="326">
        <f t="shared" si="9"/>
        <v>2769647.3300000005</v>
      </c>
      <c r="Q33" s="97" t="s">
        <v>8</v>
      </c>
      <c r="R33" s="97" t="str">
        <f t="shared" si="4"/>
        <v>CFG - FTS-4</v>
      </c>
      <c r="T33" s="97" t="s">
        <v>136</v>
      </c>
      <c r="U33" s="249">
        <f t="shared" si="2"/>
        <v>315029.52</v>
      </c>
      <c r="V33" s="249">
        <f t="shared" si="3"/>
        <v>1</v>
      </c>
    </row>
    <row r="34" spans="1:22">
      <c r="A34" s="97">
        <f t="shared" si="0"/>
        <v>34</v>
      </c>
      <c r="B34" s="329" t="s">
        <v>111</v>
      </c>
      <c r="C34" s="328">
        <v>96443.98</v>
      </c>
      <c r="D34" s="328">
        <v>94903.99</v>
      </c>
      <c r="E34" s="328">
        <v>96641.11</v>
      </c>
      <c r="F34" s="328">
        <v>102407.06</v>
      </c>
      <c r="G34" s="328">
        <v>79561.509999999995</v>
      </c>
      <c r="H34" s="328">
        <v>71654.539999999994</v>
      </c>
      <c r="I34" s="328">
        <v>73766.02</v>
      </c>
      <c r="J34" s="328">
        <v>78402.23</v>
      </c>
      <c r="K34" s="328">
        <v>77419.789999999994</v>
      </c>
      <c r="L34" s="328">
        <v>75065.679999999993</v>
      </c>
      <c r="M34" s="328">
        <v>81864.36</v>
      </c>
      <c r="N34" s="328">
        <v>100755.6</v>
      </c>
      <c r="O34" s="326">
        <f t="shared" si="9"/>
        <v>1028885.8700000001</v>
      </c>
      <c r="Q34" s="97" t="s">
        <v>8</v>
      </c>
      <c r="R34" s="97" t="str">
        <f t="shared" si="4"/>
        <v>CFG - FTS-5</v>
      </c>
      <c r="T34" s="97" t="s">
        <v>136</v>
      </c>
      <c r="U34" s="249">
        <f t="shared" si="2"/>
        <v>102407.06</v>
      </c>
      <c r="V34" s="249">
        <f t="shared" si="3"/>
        <v>4</v>
      </c>
    </row>
    <row r="35" spans="1:22">
      <c r="A35" s="97">
        <f t="shared" si="0"/>
        <v>35</v>
      </c>
      <c r="B35" s="329" t="s">
        <v>112</v>
      </c>
      <c r="C35" s="328">
        <v>169998.7</v>
      </c>
      <c r="D35" s="328">
        <v>167495.51999999999</v>
      </c>
      <c r="E35" s="328">
        <v>142365.28</v>
      </c>
      <c r="F35" s="328">
        <v>128419.87</v>
      </c>
      <c r="G35" s="328">
        <v>140902.14000000001</v>
      </c>
      <c r="H35" s="328">
        <v>132430.56</v>
      </c>
      <c r="I35" s="328">
        <v>121325.89</v>
      </c>
      <c r="J35" s="328">
        <v>133049.67000000001</v>
      </c>
      <c r="K35" s="328">
        <v>165432.1</v>
      </c>
      <c r="L35" s="328">
        <v>185261.89</v>
      </c>
      <c r="M35" s="328">
        <v>153598.25</v>
      </c>
      <c r="N35" s="328">
        <v>192900.41</v>
      </c>
      <c r="O35" s="326">
        <f t="shared" si="9"/>
        <v>1833180.28</v>
      </c>
      <c r="Q35" s="97" t="s">
        <v>8</v>
      </c>
      <c r="R35" s="97" t="str">
        <f t="shared" si="4"/>
        <v>CFG - FTS-6</v>
      </c>
      <c r="T35" s="97" t="s">
        <v>136</v>
      </c>
      <c r="U35" s="249">
        <f t="shared" si="2"/>
        <v>192900.41</v>
      </c>
      <c r="V35" s="249">
        <f t="shared" si="3"/>
        <v>12</v>
      </c>
    </row>
    <row r="36" spans="1:22">
      <c r="A36" s="97">
        <f t="shared" si="0"/>
        <v>36</v>
      </c>
      <c r="B36" s="329" t="s">
        <v>113</v>
      </c>
      <c r="C36" s="328">
        <v>346062.07</v>
      </c>
      <c r="D36" s="328">
        <v>314780.88</v>
      </c>
      <c r="E36" s="328">
        <v>339262.41</v>
      </c>
      <c r="F36" s="328">
        <v>261539.26</v>
      </c>
      <c r="G36" s="328">
        <v>299213.09999999998</v>
      </c>
      <c r="H36" s="328">
        <v>309218.94</v>
      </c>
      <c r="I36" s="328">
        <v>285129.86</v>
      </c>
      <c r="J36" s="328">
        <v>285009.28000000003</v>
      </c>
      <c r="K36" s="328">
        <v>296773.46999999997</v>
      </c>
      <c r="L36" s="328">
        <v>314846.81</v>
      </c>
      <c r="M36" s="328">
        <v>328306.51</v>
      </c>
      <c r="N36" s="328">
        <v>371823.23</v>
      </c>
      <c r="O36" s="326">
        <f t="shared" si="9"/>
        <v>3751965.82</v>
      </c>
      <c r="Q36" s="97" t="s">
        <v>8</v>
      </c>
      <c r="R36" s="97" t="str">
        <f t="shared" si="4"/>
        <v>CFG - FTS-7</v>
      </c>
      <c r="T36" s="97" t="s">
        <v>136</v>
      </c>
      <c r="U36" s="249">
        <f t="shared" si="2"/>
        <v>371823.23</v>
      </c>
      <c r="V36" s="249">
        <f t="shared" si="3"/>
        <v>12</v>
      </c>
    </row>
    <row r="37" spans="1:22">
      <c r="A37" s="97">
        <f t="shared" si="0"/>
        <v>37</v>
      </c>
      <c r="B37" s="329" t="s">
        <v>114</v>
      </c>
      <c r="C37" s="328">
        <v>612891.48</v>
      </c>
      <c r="D37" s="328">
        <v>472862.38</v>
      </c>
      <c r="E37" s="328">
        <v>483373.07</v>
      </c>
      <c r="F37" s="328">
        <v>348753.45</v>
      </c>
      <c r="G37" s="328">
        <v>361464.85</v>
      </c>
      <c r="H37" s="328">
        <v>376002.94</v>
      </c>
      <c r="I37" s="328">
        <v>409085.97</v>
      </c>
      <c r="J37" s="328">
        <v>406233.59</v>
      </c>
      <c r="K37" s="328">
        <v>398849.58</v>
      </c>
      <c r="L37" s="328">
        <v>432092.67</v>
      </c>
      <c r="M37" s="328">
        <v>439627.42</v>
      </c>
      <c r="N37" s="328">
        <v>486999.92</v>
      </c>
      <c r="O37" s="326">
        <f t="shared" si="9"/>
        <v>5228237.3199999994</v>
      </c>
      <c r="Q37" s="97" t="s">
        <v>8</v>
      </c>
      <c r="R37" s="97" t="str">
        <f t="shared" si="4"/>
        <v>CFG - FTS-8</v>
      </c>
      <c r="T37" s="97" t="s">
        <v>136</v>
      </c>
      <c r="U37" s="249">
        <f t="shared" si="2"/>
        <v>612891.48</v>
      </c>
      <c r="V37" s="249">
        <f t="shared" si="3"/>
        <v>1</v>
      </c>
    </row>
    <row r="38" spans="1:22">
      <c r="A38" s="97">
        <f t="shared" si="0"/>
        <v>38</v>
      </c>
      <c r="B38" s="329" t="s">
        <v>115</v>
      </c>
      <c r="C38" s="328">
        <v>318555.51</v>
      </c>
      <c r="D38" s="328">
        <v>311481.09000000003</v>
      </c>
      <c r="E38" s="328">
        <v>311634.71000000002</v>
      </c>
      <c r="F38" s="328">
        <v>247234.77</v>
      </c>
      <c r="G38" s="328">
        <v>260757.21</v>
      </c>
      <c r="H38" s="328">
        <v>258734.74</v>
      </c>
      <c r="I38" s="328">
        <v>280970.06</v>
      </c>
      <c r="J38" s="328">
        <v>266952.08</v>
      </c>
      <c r="K38" s="328">
        <v>265032.03000000003</v>
      </c>
      <c r="L38" s="328">
        <v>269177.12</v>
      </c>
      <c r="M38" s="328">
        <v>274840.53999999998</v>
      </c>
      <c r="N38" s="328">
        <v>306399.55</v>
      </c>
      <c r="O38" s="326">
        <f t="shared" si="9"/>
        <v>3371769.41</v>
      </c>
      <c r="Q38" s="97" t="s">
        <v>8</v>
      </c>
      <c r="R38" s="97" t="str">
        <f t="shared" si="4"/>
        <v>CFG - FTS-9</v>
      </c>
      <c r="T38" s="97" t="s">
        <v>136</v>
      </c>
      <c r="U38" s="249">
        <f t="shared" si="2"/>
        <v>318555.51</v>
      </c>
      <c r="V38" s="249">
        <f t="shared" si="3"/>
        <v>1</v>
      </c>
    </row>
    <row r="39" spans="1:22">
      <c r="A39" s="97">
        <f t="shared" si="0"/>
        <v>39</v>
      </c>
      <c r="B39" s="329" t="s">
        <v>116</v>
      </c>
      <c r="C39" s="328">
        <v>221082.93</v>
      </c>
      <c r="D39" s="328">
        <v>210678.64</v>
      </c>
      <c r="E39" s="328">
        <v>238265.05</v>
      </c>
      <c r="F39" s="328">
        <v>226183.56</v>
      </c>
      <c r="G39" s="328">
        <v>210807.03</v>
      </c>
      <c r="H39" s="328">
        <v>230522.88</v>
      </c>
      <c r="I39" s="328">
        <v>231727.01</v>
      </c>
      <c r="J39" s="328">
        <v>250211.47</v>
      </c>
      <c r="K39" s="328">
        <v>225939.39</v>
      </c>
      <c r="L39" s="328">
        <v>240235.38</v>
      </c>
      <c r="M39" s="328">
        <v>257910.26</v>
      </c>
      <c r="N39" s="328">
        <v>245187.85</v>
      </c>
      <c r="O39" s="326">
        <f t="shared" si="9"/>
        <v>2788751.4499999997</v>
      </c>
      <c r="Q39" s="97" t="s">
        <v>8</v>
      </c>
      <c r="R39" s="97" t="str">
        <f t="shared" si="4"/>
        <v>CFG - FTS-10</v>
      </c>
      <c r="T39" s="97" t="s">
        <v>136</v>
      </c>
      <c r="U39" s="249">
        <f t="shared" si="2"/>
        <v>257910.26</v>
      </c>
      <c r="V39" s="249">
        <f t="shared" si="3"/>
        <v>11</v>
      </c>
    </row>
    <row r="40" spans="1:22">
      <c r="A40" s="97">
        <f t="shared" si="0"/>
        <v>40</v>
      </c>
      <c r="B40" s="329" t="s">
        <v>117</v>
      </c>
      <c r="C40" s="328">
        <v>238439.79</v>
      </c>
      <c r="D40" s="328">
        <v>219634.24</v>
      </c>
      <c r="E40" s="328">
        <v>219026.02</v>
      </c>
      <c r="F40" s="328">
        <v>203773.24</v>
      </c>
      <c r="G40" s="328">
        <v>205528.06</v>
      </c>
      <c r="H40" s="328">
        <v>168184.81</v>
      </c>
      <c r="I40" s="328">
        <v>161036.29999999999</v>
      </c>
      <c r="J40" s="328">
        <v>155018.89000000001</v>
      </c>
      <c r="K40" s="328">
        <v>152144.92000000001</v>
      </c>
      <c r="L40" s="328">
        <v>162663.1</v>
      </c>
      <c r="M40" s="328">
        <v>151757.25</v>
      </c>
      <c r="N40" s="328">
        <v>113252.75</v>
      </c>
      <c r="O40" s="326">
        <f t="shared" si="9"/>
        <v>2150459.37</v>
      </c>
      <c r="Q40" s="97" t="s">
        <v>8</v>
      </c>
      <c r="R40" s="97" t="str">
        <f t="shared" si="4"/>
        <v>CFG - FTS-11</v>
      </c>
      <c r="T40" s="97" t="s">
        <v>136</v>
      </c>
      <c r="U40" s="249">
        <f t="shared" si="2"/>
        <v>238439.79</v>
      </c>
      <c r="V40" s="249">
        <f t="shared" si="3"/>
        <v>1</v>
      </c>
    </row>
    <row r="41" spans="1:22">
      <c r="A41" s="97">
        <f t="shared" si="0"/>
        <v>41</v>
      </c>
      <c r="B41" s="329" t="s">
        <v>118</v>
      </c>
      <c r="C41" s="328">
        <v>1131632.79</v>
      </c>
      <c r="D41" s="328">
        <v>1342514.69</v>
      </c>
      <c r="E41" s="328">
        <v>1426039.8</v>
      </c>
      <c r="F41" s="328">
        <v>1263862.54</v>
      </c>
      <c r="G41" s="328">
        <v>1380812.42</v>
      </c>
      <c r="H41" s="328">
        <v>1177266</v>
      </c>
      <c r="I41" s="328">
        <v>1036496.39</v>
      </c>
      <c r="J41" s="328">
        <v>1490100.25</v>
      </c>
      <c r="K41" s="328">
        <v>1362603.7</v>
      </c>
      <c r="L41" s="328">
        <v>1508102.17</v>
      </c>
      <c r="M41" s="328">
        <v>1198377.82</v>
      </c>
      <c r="N41" s="328">
        <v>1582231.07</v>
      </c>
      <c r="O41" s="326">
        <f t="shared" si="9"/>
        <v>15900039.640000001</v>
      </c>
      <c r="Q41" s="97" t="s">
        <v>8</v>
      </c>
      <c r="R41" s="97" t="str">
        <f t="shared" si="4"/>
        <v>CFG - FTS-12</v>
      </c>
      <c r="T41" s="97" t="s">
        <v>136</v>
      </c>
      <c r="U41" s="249">
        <f t="shared" si="2"/>
        <v>1582231.07</v>
      </c>
      <c r="V41" s="249">
        <f t="shared" si="3"/>
        <v>12</v>
      </c>
    </row>
    <row r="42" spans="1:22" ht="12" customHeight="1">
      <c r="A42" s="97">
        <f t="shared" si="0"/>
        <v>42</v>
      </c>
      <c r="B42" s="329" t="s">
        <v>119</v>
      </c>
      <c r="C42" s="328">
        <v>153010.59</v>
      </c>
      <c r="D42" s="328">
        <v>156994.46</v>
      </c>
      <c r="E42" s="328">
        <v>174294.91</v>
      </c>
      <c r="F42" s="328">
        <v>160792.45000000001</v>
      </c>
      <c r="G42" s="328">
        <v>163273.72</v>
      </c>
      <c r="H42" s="328">
        <v>113851.97</v>
      </c>
      <c r="I42" s="328">
        <v>130017.39</v>
      </c>
      <c r="J42" s="328">
        <v>137359.85</v>
      </c>
      <c r="K42" s="328">
        <v>113729.2</v>
      </c>
      <c r="L42" s="328">
        <v>117563.31</v>
      </c>
      <c r="M42" s="328">
        <v>101686.91</v>
      </c>
      <c r="N42" s="328">
        <v>103266.51</v>
      </c>
      <c r="O42" s="326">
        <f t="shared" si="9"/>
        <v>1625841.2699999998</v>
      </c>
      <c r="Q42" s="97" t="s">
        <v>8</v>
      </c>
      <c r="R42" s="97" t="str">
        <f t="shared" si="4"/>
        <v>CFG - FTS-NGV</v>
      </c>
      <c r="T42" s="97" t="s">
        <v>136</v>
      </c>
      <c r="U42" s="249">
        <f t="shared" si="2"/>
        <v>174294.91</v>
      </c>
      <c r="V42" s="249">
        <f t="shared" si="3"/>
        <v>3</v>
      </c>
    </row>
    <row r="43" spans="1:22">
      <c r="A43" s="97">
        <f t="shared" si="0"/>
        <v>43</v>
      </c>
      <c r="B43" s="329" t="s">
        <v>99</v>
      </c>
      <c r="C43" s="328">
        <v>112594.67999999991</v>
      </c>
      <c r="D43" s="328">
        <v>105231.62000000011</v>
      </c>
      <c r="E43" s="328">
        <v>95836.109999999957</v>
      </c>
      <c r="F43" s="328">
        <v>55780.88</v>
      </c>
      <c r="G43" s="328">
        <v>54246.519999999982</v>
      </c>
      <c r="H43" s="328">
        <v>57077.84000000004</v>
      </c>
      <c r="I43" s="328">
        <v>54602.700000000033</v>
      </c>
      <c r="J43" s="328">
        <v>56697.169999999911</v>
      </c>
      <c r="K43" s="328">
        <v>56444.82999999998</v>
      </c>
      <c r="L43" s="328">
        <v>67324.350000000108</v>
      </c>
      <c r="M43" s="328">
        <v>77802.219999999958</v>
      </c>
      <c r="N43" s="328">
        <v>88079.530000000057</v>
      </c>
      <c r="O43" s="326">
        <f t="shared" si="9"/>
        <v>881718.45</v>
      </c>
      <c r="Q43" s="97" t="s">
        <v>7</v>
      </c>
      <c r="R43" s="97" t="str">
        <f t="shared" si="4"/>
        <v>FPU - FPU - GS - 1</v>
      </c>
      <c r="T43" s="97" t="s">
        <v>137</v>
      </c>
      <c r="U43" s="249">
        <f t="shared" si="2"/>
        <v>112594.67999999991</v>
      </c>
      <c r="V43" s="249">
        <f t="shared" si="3"/>
        <v>1</v>
      </c>
    </row>
    <row r="44" spans="1:22">
      <c r="A44" s="97">
        <f t="shared" si="0"/>
        <v>44</v>
      </c>
      <c r="B44" s="329" t="s">
        <v>138</v>
      </c>
      <c r="C44" s="328">
        <v>81342.739999999991</v>
      </c>
      <c r="D44" s="328">
        <v>74148.84</v>
      </c>
      <c r="E44" s="328">
        <v>68949.600000000049</v>
      </c>
      <c r="F44" s="328">
        <v>43852.700000000019</v>
      </c>
      <c r="G44" s="328">
        <v>37492.729999999996</v>
      </c>
      <c r="H44" s="328">
        <v>41663.570000000029</v>
      </c>
      <c r="I44" s="328">
        <v>42561.060000000027</v>
      </c>
      <c r="J44" s="328">
        <v>40150.650000000023</v>
      </c>
      <c r="K44" s="328">
        <v>41785.400000000016</v>
      </c>
      <c r="L44" s="328">
        <v>46696.43</v>
      </c>
      <c r="M44" s="328">
        <v>55369.41</v>
      </c>
      <c r="N44" s="328">
        <v>65370.720000000023</v>
      </c>
      <c r="O44" s="326">
        <f t="shared" si="9"/>
        <v>639383.85000000009</v>
      </c>
      <c r="Q44" s="97" t="s">
        <v>7</v>
      </c>
      <c r="R44" s="97" t="str">
        <f t="shared" si="4"/>
        <v>FPU - FPU - GSTS - 1</v>
      </c>
      <c r="T44" s="97" t="s">
        <v>139</v>
      </c>
      <c r="U44" s="249">
        <f t="shared" si="2"/>
        <v>81342.739999999991</v>
      </c>
      <c r="V44" s="249">
        <f t="shared" si="3"/>
        <v>1</v>
      </c>
    </row>
    <row r="45" spans="1:22">
      <c r="A45" s="97">
        <f t="shared" si="0"/>
        <v>45</v>
      </c>
      <c r="B45" s="329" t="s">
        <v>140</v>
      </c>
      <c r="C45" s="328">
        <v>753628.78000000084</v>
      </c>
      <c r="D45" s="328">
        <v>711406.97000000137</v>
      </c>
      <c r="E45" s="328">
        <v>634567.1599999984</v>
      </c>
      <c r="F45" s="328">
        <v>415225.57000000012</v>
      </c>
      <c r="G45" s="328">
        <v>367517.95000000036</v>
      </c>
      <c r="H45" s="328">
        <v>372169.02000000008</v>
      </c>
      <c r="I45" s="328">
        <v>401731.58999999962</v>
      </c>
      <c r="J45" s="328">
        <v>383709.75000000023</v>
      </c>
      <c r="K45" s="328">
        <v>387533.17999999848</v>
      </c>
      <c r="L45" s="328">
        <v>416251.21999999986</v>
      </c>
      <c r="M45" s="328">
        <v>491136.83999999985</v>
      </c>
      <c r="N45" s="328">
        <v>625746.28999999969</v>
      </c>
      <c r="O45" s="326">
        <f t="shared" si="9"/>
        <v>5960624.3199999994</v>
      </c>
      <c r="Q45" s="97" t="s">
        <v>7</v>
      </c>
      <c r="R45" s="97" t="str">
        <f t="shared" si="4"/>
        <v>FPU - FPU - GS - 2</v>
      </c>
      <c r="T45" s="97" t="s">
        <v>137</v>
      </c>
      <c r="U45" s="249">
        <f t="shared" si="2"/>
        <v>753628.78000000084</v>
      </c>
      <c r="V45" s="249">
        <f t="shared" si="3"/>
        <v>1</v>
      </c>
    </row>
    <row r="46" spans="1:22">
      <c r="A46" s="97">
        <f t="shared" si="0"/>
        <v>46</v>
      </c>
      <c r="B46" s="329" t="s">
        <v>141</v>
      </c>
      <c r="C46" s="328">
        <v>559631.99999999965</v>
      </c>
      <c r="D46" s="328">
        <v>532495.30999999947</v>
      </c>
      <c r="E46" s="328">
        <v>489516.7399999997</v>
      </c>
      <c r="F46" s="328">
        <v>337336.429999999</v>
      </c>
      <c r="G46" s="328">
        <v>319692.14000000019</v>
      </c>
      <c r="H46" s="328">
        <v>336741.00999999972</v>
      </c>
      <c r="I46" s="328">
        <v>377574.19999999995</v>
      </c>
      <c r="J46" s="328">
        <v>355402.2999999997</v>
      </c>
      <c r="K46" s="328">
        <v>364700.26999999973</v>
      </c>
      <c r="L46" s="328">
        <v>380351.39000000013</v>
      </c>
      <c r="M46" s="328">
        <v>435766.74000000011</v>
      </c>
      <c r="N46" s="328">
        <v>507232.96000000037</v>
      </c>
      <c r="O46" s="326">
        <f t="shared" si="9"/>
        <v>4996441.4899999974</v>
      </c>
      <c r="Q46" s="97" t="s">
        <v>7</v>
      </c>
      <c r="R46" s="97" t="str">
        <f t="shared" si="4"/>
        <v>FPU - FPU - GSTS - 2</v>
      </c>
      <c r="T46" s="97" t="s">
        <v>139</v>
      </c>
      <c r="U46" s="249">
        <f t="shared" si="2"/>
        <v>559631.99999999965</v>
      </c>
      <c r="V46" s="249">
        <f t="shared" si="3"/>
        <v>1</v>
      </c>
    </row>
    <row r="47" spans="1:22">
      <c r="A47" s="97">
        <f t="shared" si="0"/>
        <v>47</v>
      </c>
      <c r="B47" s="329" t="s">
        <v>142</v>
      </c>
      <c r="C47" s="328">
        <v>9579.64</v>
      </c>
      <c r="D47" s="328">
        <v>8305.06</v>
      </c>
      <c r="E47" s="328">
        <v>7562.9399999999987</v>
      </c>
      <c r="F47" s="328">
        <v>5300.3200000000006</v>
      </c>
      <c r="G47" s="328">
        <v>4957.1900000000005</v>
      </c>
      <c r="H47" s="328">
        <v>3495.6699999999992</v>
      </c>
      <c r="I47" s="328">
        <v>3305.3699999999994</v>
      </c>
      <c r="J47" s="328">
        <v>2572.5899999999979</v>
      </c>
      <c r="K47" s="328">
        <v>2326.8800000000015</v>
      </c>
      <c r="L47" s="328">
        <v>2270.12</v>
      </c>
      <c r="M47" s="328">
        <v>3878.74</v>
      </c>
      <c r="N47" s="328">
        <v>6665.7699999999968</v>
      </c>
      <c r="O47" s="326">
        <f t="shared" si="9"/>
        <v>60220.289999999994</v>
      </c>
      <c r="Q47" s="97" t="s">
        <v>7</v>
      </c>
      <c r="R47" s="97" t="str">
        <f t="shared" si="4"/>
        <v>FPU - FPU - CS - GS</v>
      </c>
      <c r="T47" s="97" t="s">
        <v>137</v>
      </c>
      <c r="U47" s="249">
        <f t="shared" si="2"/>
        <v>9579.64</v>
      </c>
      <c r="V47" s="249">
        <f t="shared" si="3"/>
        <v>1</v>
      </c>
    </row>
    <row r="48" spans="1:22">
      <c r="A48" s="97">
        <f t="shared" si="0"/>
        <v>48</v>
      </c>
      <c r="B48" s="329" t="s">
        <v>143</v>
      </c>
      <c r="C48" s="328">
        <v>974676.7999999997</v>
      </c>
      <c r="D48" s="328">
        <v>890403.72999999952</v>
      </c>
      <c r="E48" s="328">
        <v>768485.90000000037</v>
      </c>
      <c r="F48" s="328">
        <v>520549.05999999988</v>
      </c>
      <c r="G48" s="328">
        <v>532530.59999999928</v>
      </c>
      <c r="H48" s="328">
        <v>504845.4800000001</v>
      </c>
      <c r="I48" s="328">
        <v>555153.19999999972</v>
      </c>
      <c r="J48" s="328">
        <v>552266.67000000062</v>
      </c>
      <c r="K48" s="328">
        <v>499601.75999999989</v>
      </c>
      <c r="L48" s="328">
        <v>536777.77999999968</v>
      </c>
      <c r="M48" s="328">
        <v>633818.38999999966</v>
      </c>
      <c r="N48" s="328">
        <v>735277.42999999912</v>
      </c>
      <c r="O48" s="326">
        <f t="shared" si="9"/>
        <v>7704386.799999997</v>
      </c>
      <c r="Q48" s="97" t="s">
        <v>7</v>
      </c>
      <c r="R48" s="97" t="str">
        <f t="shared" si="4"/>
        <v>FPU - FPU - LVS</v>
      </c>
      <c r="T48" s="97" t="s">
        <v>144</v>
      </c>
      <c r="U48" s="249">
        <f t="shared" si="2"/>
        <v>974676.7999999997</v>
      </c>
      <c r="V48" s="249">
        <f t="shared" si="3"/>
        <v>1</v>
      </c>
    </row>
    <row r="49" spans="1:22">
      <c r="A49" s="97">
        <f t="shared" si="0"/>
        <v>49</v>
      </c>
      <c r="B49" s="329" t="s">
        <v>145</v>
      </c>
      <c r="C49" s="328">
        <v>0</v>
      </c>
      <c r="D49" s="328">
        <v>0</v>
      </c>
      <c r="E49" s="328">
        <v>0</v>
      </c>
      <c r="F49" s="328">
        <v>0</v>
      </c>
      <c r="G49" s="328">
        <v>0</v>
      </c>
      <c r="H49" s="328">
        <v>0</v>
      </c>
      <c r="I49" s="328">
        <v>0</v>
      </c>
      <c r="J49" s="328">
        <v>0</v>
      </c>
      <c r="K49" s="328">
        <v>0</v>
      </c>
      <c r="L49" s="328">
        <v>0</v>
      </c>
      <c r="M49" s="328">
        <v>0</v>
      </c>
      <c r="N49" s="328">
        <v>0</v>
      </c>
      <c r="O49" s="326">
        <f t="shared" si="9"/>
        <v>0</v>
      </c>
      <c r="Q49" s="97" t="s">
        <v>7</v>
      </c>
      <c r="R49" s="97" t="str">
        <f t="shared" si="4"/>
        <v>FPU - FPU - LVTS &lt;50k</v>
      </c>
      <c r="U49" s="249">
        <f t="shared" si="2"/>
        <v>0</v>
      </c>
      <c r="V49" s="249">
        <f t="shared" si="3"/>
        <v>1</v>
      </c>
    </row>
    <row r="50" spans="1:22">
      <c r="A50" s="97">
        <f t="shared" si="0"/>
        <v>50</v>
      </c>
      <c r="B50" s="329" t="s">
        <v>146</v>
      </c>
      <c r="C50" s="328">
        <v>3227691.1699999995</v>
      </c>
      <c r="D50" s="328">
        <v>3004281.2699999963</v>
      </c>
      <c r="E50" s="328">
        <v>2834520.8200000031</v>
      </c>
      <c r="F50" s="328">
        <v>2186329.3499999982</v>
      </c>
      <c r="G50" s="328">
        <v>2061075.5500000007</v>
      </c>
      <c r="H50" s="328">
        <v>2197247.7000000025</v>
      </c>
      <c r="I50" s="328">
        <v>2335218.3700000006</v>
      </c>
      <c r="J50" s="328">
        <v>2243943.689999999</v>
      </c>
      <c r="K50" s="328">
        <v>2290174.8200000012</v>
      </c>
      <c r="L50" s="328">
        <v>2320817.4899999993</v>
      </c>
      <c r="M50" s="328">
        <v>2467079.5799999991</v>
      </c>
      <c r="N50" s="328">
        <v>2742142.8999999994</v>
      </c>
      <c r="O50" s="326">
        <f t="shared" si="9"/>
        <v>29910522.709999993</v>
      </c>
      <c r="Q50" s="97" t="s">
        <v>7</v>
      </c>
      <c r="R50" s="97" t="str">
        <f t="shared" si="4"/>
        <v>FPU - FPU - LVTS &gt;50k</v>
      </c>
      <c r="T50" s="97" t="s">
        <v>147</v>
      </c>
      <c r="U50" s="249">
        <f t="shared" si="2"/>
        <v>3227691.1699999995</v>
      </c>
      <c r="V50" s="249">
        <f t="shared" si="3"/>
        <v>1</v>
      </c>
    </row>
    <row r="51" spans="1:22">
      <c r="A51" s="97">
        <f t="shared" si="0"/>
        <v>51</v>
      </c>
      <c r="B51" s="329" t="s">
        <v>148</v>
      </c>
      <c r="C51" s="328">
        <v>0</v>
      </c>
      <c r="D51" s="328">
        <v>0</v>
      </c>
      <c r="E51" s="328">
        <v>0</v>
      </c>
      <c r="F51" s="328">
        <v>0</v>
      </c>
      <c r="G51" s="328">
        <v>0</v>
      </c>
      <c r="H51" s="328">
        <v>0</v>
      </c>
      <c r="I51" s="328">
        <v>0</v>
      </c>
      <c r="J51" s="328">
        <v>0</v>
      </c>
      <c r="K51" s="328">
        <v>0</v>
      </c>
      <c r="L51" s="328">
        <v>0</v>
      </c>
      <c r="M51" s="328">
        <v>0</v>
      </c>
      <c r="N51" s="328">
        <v>0</v>
      </c>
      <c r="O51" s="326">
        <f t="shared" si="9"/>
        <v>0</v>
      </c>
      <c r="Q51" s="97" t="s">
        <v>7</v>
      </c>
      <c r="R51" s="97" t="str">
        <f t="shared" si="4"/>
        <v>FPU - FPU - IS</v>
      </c>
      <c r="U51" s="249">
        <f t="shared" si="2"/>
        <v>0</v>
      </c>
      <c r="V51" s="249">
        <f t="shared" si="3"/>
        <v>1</v>
      </c>
    </row>
    <row r="52" spans="1:22">
      <c r="A52" s="97">
        <f t="shared" si="0"/>
        <v>52</v>
      </c>
      <c r="B52" s="329" t="s">
        <v>149</v>
      </c>
      <c r="C52" s="328">
        <v>851790.52000000014</v>
      </c>
      <c r="D52" s="328">
        <v>787098.26</v>
      </c>
      <c r="E52" s="328">
        <v>908778.47999999986</v>
      </c>
      <c r="F52" s="328">
        <v>792996.58000000007</v>
      </c>
      <c r="G52" s="328">
        <v>859956.37</v>
      </c>
      <c r="H52" s="328">
        <v>776215</v>
      </c>
      <c r="I52" s="328">
        <v>829501.29</v>
      </c>
      <c r="J52" s="328">
        <v>830301.94000000018</v>
      </c>
      <c r="K52" s="328">
        <v>796929.13</v>
      </c>
      <c r="L52" s="328">
        <v>852212.8899999999</v>
      </c>
      <c r="M52" s="328">
        <v>859689.58000000007</v>
      </c>
      <c r="N52" s="328">
        <v>901924.75</v>
      </c>
      <c r="O52" s="326">
        <f t="shared" si="9"/>
        <v>10047394.789999999</v>
      </c>
      <c r="Q52" s="97" t="s">
        <v>7</v>
      </c>
      <c r="R52" s="97" t="str">
        <f t="shared" si="4"/>
        <v>FPU - FPU - ITS</v>
      </c>
      <c r="T52" s="97" t="s">
        <v>150</v>
      </c>
      <c r="U52" s="249">
        <f t="shared" si="2"/>
        <v>908778.47999999986</v>
      </c>
      <c r="V52" s="249">
        <f t="shared" si="3"/>
        <v>3</v>
      </c>
    </row>
    <row r="53" spans="1:22">
      <c r="A53" s="97">
        <f t="shared" si="0"/>
        <v>53</v>
      </c>
      <c r="B53" s="329" t="s">
        <v>151</v>
      </c>
      <c r="C53" s="328">
        <v>8386.2199999999993</v>
      </c>
      <c r="D53" s="328">
        <v>9802.2199999999993</v>
      </c>
      <c r="E53" s="328">
        <v>9094.2199999999993</v>
      </c>
      <c r="F53" s="328">
        <v>9094.2199999999993</v>
      </c>
      <c r="G53" s="328">
        <v>9094.2199999999993</v>
      </c>
      <c r="H53" s="328">
        <v>9094.2199999999993</v>
      </c>
      <c r="I53" s="328">
        <v>9094.2199999999993</v>
      </c>
      <c r="J53" s="328">
        <v>9094.2199999999993</v>
      </c>
      <c r="K53" s="328">
        <v>9094.2199999999993</v>
      </c>
      <c r="L53" s="328">
        <v>9094.2199999999993</v>
      </c>
      <c r="M53" s="328">
        <v>9094.2199999999993</v>
      </c>
      <c r="N53" s="328">
        <v>9094.2199999999993</v>
      </c>
      <c r="O53" s="326">
        <f t="shared" si="9"/>
        <v>109130.64</v>
      </c>
      <c r="Q53" s="97" t="s">
        <v>7</v>
      </c>
      <c r="R53" s="97" t="str">
        <f t="shared" si="4"/>
        <v>FPU - FPU - GLS</v>
      </c>
      <c r="T53" s="97" t="s">
        <v>152</v>
      </c>
      <c r="U53" s="249">
        <f t="shared" si="2"/>
        <v>9802.2199999999993</v>
      </c>
      <c r="V53" s="249">
        <f t="shared" si="3"/>
        <v>2</v>
      </c>
    </row>
    <row r="54" spans="1:22">
      <c r="A54" s="97">
        <f t="shared" si="0"/>
        <v>54</v>
      </c>
      <c r="B54" s="329" t="s">
        <v>153</v>
      </c>
      <c r="C54" s="328">
        <v>0</v>
      </c>
      <c r="D54" s="328">
        <v>0</v>
      </c>
      <c r="E54" s="328">
        <v>0</v>
      </c>
      <c r="F54" s="328">
        <v>0</v>
      </c>
      <c r="G54" s="328">
        <v>0</v>
      </c>
      <c r="H54" s="328">
        <v>0</v>
      </c>
      <c r="I54" s="328">
        <v>0</v>
      </c>
      <c r="J54" s="328">
        <v>0</v>
      </c>
      <c r="K54" s="328">
        <v>0</v>
      </c>
      <c r="L54" s="328">
        <v>0</v>
      </c>
      <c r="M54" s="328">
        <v>0</v>
      </c>
      <c r="N54" s="328">
        <v>0</v>
      </c>
      <c r="O54" s="326">
        <f t="shared" si="9"/>
        <v>0</v>
      </c>
      <c r="Q54" s="97" t="s">
        <v>7</v>
      </c>
      <c r="R54" s="97" t="str">
        <f t="shared" si="4"/>
        <v>FPU - FPU-NGVS</v>
      </c>
      <c r="U54" s="249">
        <f t="shared" si="2"/>
        <v>0</v>
      </c>
      <c r="V54" s="249">
        <f t="shared" si="3"/>
        <v>1</v>
      </c>
    </row>
    <row r="55" spans="1:22">
      <c r="A55" s="97">
        <f t="shared" si="0"/>
        <v>55</v>
      </c>
      <c r="B55" s="329" t="s">
        <v>154</v>
      </c>
      <c r="C55" s="328">
        <v>72940.95</v>
      </c>
      <c r="D55" s="328">
        <v>65897.960000000006</v>
      </c>
      <c r="E55" s="328">
        <v>74564.42</v>
      </c>
      <c r="F55" s="328">
        <v>78931.460000000006</v>
      </c>
      <c r="G55" s="328">
        <v>76319.290000000008</v>
      </c>
      <c r="H55" s="328">
        <v>80862.350000000006</v>
      </c>
      <c r="I55" s="328">
        <v>86853.45</v>
      </c>
      <c r="J55" s="328">
        <v>82327.23</v>
      </c>
      <c r="K55" s="328">
        <v>83346.28</v>
      </c>
      <c r="L55" s="328">
        <v>83457.350000000006</v>
      </c>
      <c r="M55" s="328">
        <v>78034.28</v>
      </c>
      <c r="N55" s="328">
        <v>79617.850000000006</v>
      </c>
      <c r="O55" s="326">
        <f t="shared" si="9"/>
        <v>943152.87</v>
      </c>
      <c r="Q55" s="97" t="s">
        <v>7</v>
      </c>
      <c r="R55" s="97" t="str">
        <f t="shared" si="4"/>
        <v>FPU - FPU- NGVTS</v>
      </c>
      <c r="T55" s="97" t="s">
        <v>139</v>
      </c>
      <c r="U55" s="249">
        <f t="shared" si="2"/>
        <v>86853.45</v>
      </c>
      <c r="V55" s="249">
        <f t="shared" si="3"/>
        <v>7</v>
      </c>
    </row>
    <row r="56" spans="1:22">
      <c r="A56" s="97">
        <f t="shared" si="0"/>
        <v>56</v>
      </c>
      <c r="B56" s="329" t="s">
        <v>155</v>
      </c>
      <c r="C56" s="328">
        <v>45.27</v>
      </c>
      <c r="D56" s="328">
        <v>65.489999999999995</v>
      </c>
      <c r="E56" s="328">
        <v>42.220000000000006</v>
      </c>
      <c r="F56" s="328">
        <v>5.2</v>
      </c>
      <c r="G56" s="328">
        <v>6</v>
      </c>
      <c r="H56" s="328">
        <v>22.88</v>
      </c>
      <c r="I56" s="328">
        <v>7.28</v>
      </c>
      <c r="J56" s="328">
        <v>0</v>
      </c>
      <c r="K56" s="328">
        <v>13.52</v>
      </c>
      <c r="L56" s="328">
        <v>21.849999999999998</v>
      </c>
      <c r="M56" s="328">
        <v>8.4</v>
      </c>
      <c r="N56" s="328">
        <v>41.07</v>
      </c>
      <c r="O56" s="326">
        <f t="shared" si="9"/>
        <v>279.18</v>
      </c>
      <c r="Q56" s="97" t="s">
        <v>5</v>
      </c>
      <c r="R56" s="97" t="str">
        <f t="shared" si="4"/>
        <v>FT - FT-Comm PA</v>
      </c>
      <c r="S56" s="97" t="s">
        <v>89</v>
      </c>
      <c r="T56" s="97" t="s">
        <v>156</v>
      </c>
      <c r="U56" s="249">
        <f t="shared" si="2"/>
        <v>65.489999999999995</v>
      </c>
      <c r="V56" s="249">
        <f t="shared" si="3"/>
        <v>2</v>
      </c>
    </row>
    <row r="57" spans="1:22">
      <c r="A57" s="97">
        <f t="shared" si="0"/>
        <v>57</v>
      </c>
      <c r="B57" s="329" t="s">
        <v>157</v>
      </c>
      <c r="C57" s="328">
        <v>23251.81</v>
      </c>
      <c r="D57" s="328">
        <v>26261.599999999999</v>
      </c>
      <c r="E57" s="328">
        <v>23615.64</v>
      </c>
      <c r="F57" s="328">
        <v>15649</v>
      </c>
      <c r="G57" s="328">
        <v>6008</v>
      </c>
      <c r="H57" s="328">
        <v>6947.33</v>
      </c>
      <c r="I57" s="328">
        <v>7986.83</v>
      </c>
      <c r="J57" s="328">
        <v>5908.23</v>
      </c>
      <c r="K57" s="328">
        <v>6998.9699999999993</v>
      </c>
      <c r="L57" s="328">
        <v>10863.320000000002</v>
      </c>
      <c r="M57" s="328">
        <v>15168.46</v>
      </c>
      <c r="N57" s="328">
        <v>24367.879999999997</v>
      </c>
      <c r="O57" s="326">
        <f t="shared" si="9"/>
        <v>173027.07</v>
      </c>
      <c r="Q57" s="97" t="s">
        <v>5</v>
      </c>
      <c r="R57" s="97" t="str">
        <f t="shared" si="4"/>
        <v>FT - FT-Comm Small</v>
      </c>
      <c r="S57" s="97" t="s">
        <v>158</v>
      </c>
      <c r="T57" s="97" t="s">
        <v>156</v>
      </c>
      <c r="U57" s="249">
        <f t="shared" si="2"/>
        <v>26261.599999999999</v>
      </c>
      <c r="V57" s="249">
        <f t="shared" si="3"/>
        <v>2</v>
      </c>
    </row>
    <row r="58" spans="1:22">
      <c r="A58" s="97">
        <f t="shared" si="0"/>
        <v>58</v>
      </c>
      <c r="B58" s="329" t="s">
        <v>159</v>
      </c>
      <c r="C58" s="328">
        <v>2296.37</v>
      </c>
      <c r="D58" s="328">
        <v>2247.7600000000002</v>
      </c>
      <c r="E58" s="328">
        <v>2181.04</v>
      </c>
      <c r="F58" s="328">
        <v>1667</v>
      </c>
      <c r="G58" s="328">
        <v>1349</v>
      </c>
      <c r="H58" s="328">
        <v>1423.44</v>
      </c>
      <c r="I58" s="328">
        <v>1536.51</v>
      </c>
      <c r="J58" s="328">
        <v>1368.5700000000002</v>
      </c>
      <c r="K58" s="328">
        <v>1864.38</v>
      </c>
      <c r="L58" s="328">
        <v>1894.73</v>
      </c>
      <c r="M58" s="328">
        <v>2098.0499999999997</v>
      </c>
      <c r="N58" s="328">
        <v>2431.4</v>
      </c>
      <c r="O58" s="326">
        <f t="shared" si="9"/>
        <v>22358.25</v>
      </c>
      <c r="Q58" s="97" t="s">
        <v>5</v>
      </c>
      <c r="R58" s="97" t="str">
        <f t="shared" si="4"/>
        <v>FT - FT-Transportation</v>
      </c>
      <c r="S58" s="97" t="s">
        <v>158</v>
      </c>
      <c r="T58" s="97" t="s">
        <v>160</v>
      </c>
      <c r="U58" s="249">
        <f t="shared" si="2"/>
        <v>2431.4</v>
      </c>
      <c r="V58" s="249">
        <f t="shared" si="3"/>
        <v>12</v>
      </c>
    </row>
    <row r="59" spans="1:22">
      <c r="A59" s="97">
        <f t="shared" si="0"/>
        <v>59</v>
      </c>
      <c r="B59" s="174" t="s">
        <v>95</v>
      </c>
      <c r="C59" s="328">
        <v>7392.8199999999988</v>
      </c>
      <c r="D59" s="328">
        <v>7396.12</v>
      </c>
      <c r="E59" s="328">
        <v>7179.5</v>
      </c>
      <c r="F59" s="328">
        <v>6443.3700000000017</v>
      </c>
      <c r="G59" s="328">
        <v>6559.7</v>
      </c>
      <c r="H59" s="328">
        <v>6108.75</v>
      </c>
      <c r="I59" s="328">
        <v>6833.6</v>
      </c>
      <c r="J59" s="328">
        <v>5995.8999999999987</v>
      </c>
      <c r="K59" s="328">
        <v>6874.9099999999989</v>
      </c>
      <c r="L59" s="328">
        <v>5936.35</v>
      </c>
      <c r="M59" s="328">
        <v>7011.8499999999995</v>
      </c>
      <c r="N59" s="328">
        <v>6728.0899999999992</v>
      </c>
      <c r="O59" s="326">
        <f t="shared" si="9"/>
        <v>80460.960000000006</v>
      </c>
      <c r="Q59" s="97" t="s">
        <v>4</v>
      </c>
      <c r="R59" s="97" t="str">
        <f t="shared" si="4"/>
        <v>IGC - IGC - TS2</v>
      </c>
      <c r="T59" s="97" t="s">
        <v>161</v>
      </c>
      <c r="U59" s="249">
        <f t="shared" si="2"/>
        <v>7396.12</v>
      </c>
      <c r="V59" s="249">
        <f t="shared" si="3"/>
        <v>2</v>
      </c>
    </row>
    <row r="60" spans="1:22">
      <c r="A60" s="97">
        <f t="shared" si="0"/>
        <v>60</v>
      </c>
      <c r="B60" s="174" t="s">
        <v>96</v>
      </c>
      <c r="C60" s="328">
        <v>325.58999999999997</v>
      </c>
      <c r="D60" s="328">
        <v>296.39999999999998</v>
      </c>
      <c r="E60" s="328">
        <v>392.9</v>
      </c>
      <c r="F60" s="328">
        <v>348.94</v>
      </c>
      <c r="G60" s="328">
        <v>499.33</v>
      </c>
      <c r="H60" s="328">
        <v>354.32</v>
      </c>
      <c r="I60" s="328">
        <v>445.32</v>
      </c>
      <c r="J60" s="328">
        <v>406.96</v>
      </c>
      <c r="K60" s="328">
        <v>342.1</v>
      </c>
      <c r="L60" s="328">
        <v>262.31</v>
      </c>
      <c r="M60" s="328">
        <v>421.06</v>
      </c>
      <c r="N60" s="328">
        <v>571.37</v>
      </c>
      <c r="O60" s="326">
        <f t="shared" si="9"/>
        <v>4666.6000000000004</v>
      </c>
      <c r="Q60" s="97" t="s">
        <v>4</v>
      </c>
      <c r="R60" s="97" t="str">
        <f t="shared" si="4"/>
        <v>IGC - IGC - TS3</v>
      </c>
      <c r="T60" s="97" t="s">
        <v>162</v>
      </c>
      <c r="U60" s="249">
        <f t="shared" si="2"/>
        <v>571.37</v>
      </c>
      <c r="V60" s="249">
        <f t="shared" si="3"/>
        <v>12</v>
      </c>
    </row>
    <row r="61" spans="1:22">
      <c r="A61" s="97">
        <f t="shared" si="0"/>
        <v>61</v>
      </c>
      <c r="B61" s="335" t="s">
        <v>97</v>
      </c>
      <c r="C61" s="330">
        <v>0</v>
      </c>
      <c r="D61" s="330">
        <v>0</v>
      </c>
      <c r="E61" s="330">
        <v>0</v>
      </c>
      <c r="F61" s="330">
        <v>0</v>
      </c>
      <c r="G61" s="330">
        <v>0</v>
      </c>
      <c r="H61" s="330">
        <v>0</v>
      </c>
      <c r="I61" s="330">
        <v>0</v>
      </c>
      <c r="J61" s="330">
        <v>0</v>
      </c>
      <c r="K61" s="330">
        <v>0</v>
      </c>
      <c r="L61" s="330">
        <v>0</v>
      </c>
      <c r="M61" s="330">
        <v>0</v>
      </c>
      <c r="N61" s="330">
        <v>0</v>
      </c>
      <c r="O61" s="331">
        <f t="shared" si="9"/>
        <v>0</v>
      </c>
      <c r="Q61" s="97" t="s">
        <v>4</v>
      </c>
      <c r="R61" s="97" t="str">
        <f t="shared" si="4"/>
        <v>IGC - IGC - TS4</v>
      </c>
      <c r="T61" s="97" t="s">
        <v>163</v>
      </c>
      <c r="U61" s="249">
        <f t="shared" si="2"/>
        <v>0</v>
      </c>
      <c r="V61" s="249">
        <f t="shared" si="3"/>
        <v>1</v>
      </c>
    </row>
    <row r="62" spans="1:22">
      <c r="A62" s="97">
        <f t="shared" si="0"/>
        <v>62</v>
      </c>
      <c r="B62" s="336" t="s">
        <v>164</v>
      </c>
      <c r="C62" s="326">
        <f>SUM(C26:C61)</f>
        <v>10688874.569999998</v>
      </c>
      <c r="D62" s="326">
        <f t="shared" ref="D62:N62" si="11">SUM(D26:D61)</f>
        <v>10151969.479999997</v>
      </c>
      <c r="E62" s="326">
        <f t="shared" si="11"/>
        <v>9952936.8300000038</v>
      </c>
      <c r="F62" s="326">
        <f>SUM(F26:F61)</f>
        <v>7827179.7699999986</v>
      </c>
      <c r="G62" s="326">
        <f t="shared" si="11"/>
        <v>7881368.2200000016</v>
      </c>
      <c r="H62" s="326">
        <f t="shared" si="11"/>
        <v>7706943.4000000032</v>
      </c>
      <c r="I62" s="326">
        <f t="shared" si="11"/>
        <v>7931918.370000001</v>
      </c>
      <c r="J62" s="326">
        <f t="shared" si="11"/>
        <v>8238883.9200000009</v>
      </c>
      <c r="K62" s="326">
        <f t="shared" si="11"/>
        <v>8102717.9099999974</v>
      </c>
      <c r="L62" s="326">
        <f t="shared" si="11"/>
        <v>8529524.4800000004</v>
      </c>
      <c r="M62" s="326">
        <f t="shared" si="11"/>
        <v>8679449.1300000008</v>
      </c>
      <c r="N62" s="326">
        <f t="shared" si="11"/>
        <v>9963429.589999998</v>
      </c>
      <c r="O62" s="326">
        <f t="shared" si="9"/>
        <v>105655195.67</v>
      </c>
      <c r="U62" s="249"/>
      <c r="V62" s="249"/>
    </row>
    <row r="63" spans="1:22">
      <c r="A63" s="97">
        <f t="shared" si="0"/>
        <v>63</v>
      </c>
      <c r="B63" s="284" t="s">
        <v>165</v>
      </c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U63" s="249"/>
      <c r="V63" s="249"/>
    </row>
    <row r="64" spans="1:22">
      <c r="A64" s="97">
        <f t="shared" si="0"/>
        <v>64</v>
      </c>
      <c r="B64" s="174" t="s">
        <v>100</v>
      </c>
      <c r="C64" s="337">
        <v>0</v>
      </c>
      <c r="D64" s="337">
        <v>0</v>
      </c>
      <c r="E64" s="337">
        <v>0</v>
      </c>
      <c r="F64" s="337">
        <v>0</v>
      </c>
      <c r="G64" s="337">
        <v>0</v>
      </c>
      <c r="H64" s="337">
        <v>0</v>
      </c>
      <c r="I64" s="337">
        <v>0</v>
      </c>
      <c r="J64" s="337">
        <v>0</v>
      </c>
      <c r="K64" s="337">
        <v>0</v>
      </c>
      <c r="L64" s="337">
        <v>0</v>
      </c>
      <c r="M64" s="337">
        <v>0</v>
      </c>
      <c r="N64" s="337">
        <v>0</v>
      </c>
      <c r="O64" s="326">
        <f t="shared" ref="O64:O71" si="12">SUM(C64:N64)</f>
        <v>0</v>
      </c>
      <c r="Q64" s="97" t="s">
        <v>8</v>
      </c>
      <c r="R64" s="97" t="str">
        <f>CONCATENATE(Q64," - ",B64," - ",S64)</f>
        <v>CFG - FTS-A - Fixed NR</v>
      </c>
      <c r="S64" s="97" t="s">
        <v>166</v>
      </c>
      <c r="T64" s="97" t="s">
        <v>136</v>
      </c>
      <c r="U64" s="249">
        <f t="shared" si="2"/>
        <v>0</v>
      </c>
      <c r="V64" s="249">
        <f t="shared" si="3"/>
        <v>1</v>
      </c>
    </row>
    <row r="65" spans="1:22">
      <c r="A65" s="97">
        <f t="shared" si="0"/>
        <v>65</v>
      </c>
      <c r="B65" s="174" t="s">
        <v>101</v>
      </c>
      <c r="C65" s="337">
        <v>1.03</v>
      </c>
      <c r="D65" s="337">
        <v>1.03</v>
      </c>
      <c r="E65" s="337">
        <v>2.08</v>
      </c>
      <c r="F65" s="337">
        <v>2.08</v>
      </c>
      <c r="G65" s="337">
        <v>1.03</v>
      </c>
      <c r="H65" s="337">
        <v>1.03</v>
      </c>
      <c r="I65" s="337">
        <v>3.11</v>
      </c>
      <c r="J65" s="337">
        <v>2.08</v>
      </c>
      <c r="K65" s="337">
        <v>1.03</v>
      </c>
      <c r="L65" s="337">
        <v>2.08</v>
      </c>
      <c r="M65" s="337">
        <v>2.08</v>
      </c>
      <c r="N65" s="337">
        <v>2.08</v>
      </c>
      <c r="O65" s="326">
        <f t="shared" si="12"/>
        <v>20.739999999999995</v>
      </c>
      <c r="Q65" s="97" t="s">
        <v>8</v>
      </c>
      <c r="R65" s="97" t="str">
        <f t="shared" ref="R65:R70" si="13">CONCATENATE(Q65," - ",B65," - ",S65)</f>
        <v>CFG - FTS-B - Fixed NR</v>
      </c>
      <c r="S65" s="97" t="s">
        <v>166</v>
      </c>
      <c r="T65" s="97" t="s">
        <v>136</v>
      </c>
      <c r="U65" s="249">
        <f t="shared" si="2"/>
        <v>3.11</v>
      </c>
      <c r="V65" s="249">
        <f t="shared" si="3"/>
        <v>7</v>
      </c>
    </row>
    <row r="66" spans="1:22">
      <c r="A66" s="97">
        <f t="shared" si="0"/>
        <v>66</v>
      </c>
      <c r="B66" s="174" t="s">
        <v>102</v>
      </c>
      <c r="C66" s="337">
        <v>543.84</v>
      </c>
      <c r="D66" s="337">
        <v>493.86</v>
      </c>
      <c r="E66" s="337">
        <v>461.81</v>
      </c>
      <c r="F66" s="337">
        <v>322.88</v>
      </c>
      <c r="G66" s="337">
        <v>322.10000000000002</v>
      </c>
      <c r="H66" s="337">
        <v>512.94000000000005</v>
      </c>
      <c r="I66" s="337">
        <v>542.54</v>
      </c>
      <c r="J66" s="337">
        <v>624.33000000000004</v>
      </c>
      <c r="K66" s="337">
        <v>574.72</v>
      </c>
      <c r="L66" s="337">
        <v>485.46</v>
      </c>
      <c r="M66" s="337">
        <v>559.62</v>
      </c>
      <c r="N66" s="337">
        <v>739.48</v>
      </c>
      <c r="O66" s="326">
        <f t="shared" si="12"/>
        <v>6183.58</v>
      </c>
      <c r="Q66" s="97" t="s">
        <v>8</v>
      </c>
      <c r="R66" s="97" t="str">
        <f t="shared" si="13"/>
        <v>CFG - FTS-1 - Fixed NR</v>
      </c>
      <c r="S66" s="97" t="s">
        <v>166</v>
      </c>
      <c r="T66" s="97" t="s">
        <v>136</v>
      </c>
      <c r="U66" s="249">
        <f t="shared" si="2"/>
        <v>739.48</v>
      </c>
      <c r="V66" s="249">
        <f t="shared" si="3"/>
        <v>12</v>
      </c>
    </row>
    <row r="67" spans="1:22">
      <c r="A67" s="97">
        <f t="shared" ref="A67:A130" si="14">+A66+1</f>
        <v>67</v>
      </c>
      <c r="B67" s="329" t="s">
        <v>103</v>
      </c>
      <c r="C67" s="337">
        <v>237.97</v>
      </c>
      <c r="D67" s="337">
        <v>218.61</v>
      </c>
      <c r="E67" s="337">
        <v>187.94</v>
      </c>
      <c r="F67" s="337">
        <v>472.1</v>
      </c>
      <c r="G67" s="337">
        <v>137.96</v>
      </c>
      <c r="H67" s="337">
        <v>-112.03</v>
      </c>
      <c r="I67" s="337">
        <v>276.92</v>
      </c>
      <c r="J67" s="337">
        <v>204.54</v>
      </c>
      <c r="K67" s="337">
        <v>177.56</v>
      </c>
      <c r="L67" s="337">
        <v>176.09</v>
      </c>
      <c r="M67" s="337">
        <v>201.93</v>
      </c>
      <c r="N67" s="337">
        <v>210.25</v>
      </c>
      <c r="O67" s="326">
        <f t="shared" si="12"/>
        <v>2389.8399999999997</v>
      </c>
      <c r="Q67" s="97" t="s">
        <v>8</v>
      </c>
      <c r="R67" s="97" t="str">
        <f t="shared" si="13"/>
        <v>CFG - FTS-2 - Fixed NR</v>
      </c>
      <c r="S67" s="97" t="s">
        <v>166</v>
      </c>
      <c r="T67" s="97" t="s">
        <v>136</v>
      </c>
      <c r="U67" s="249">
        <f t="shared" si="2"/>
        <v>472.1</v>
      </c>
      <c r="V67" s="249">
        <f t="shared" si="3"/>
        <v>4</v>
      </c>
    </row>
    <row r="68" spans="1:22">
      <c r="A68" s="97">
        <f t="shared" si="14"/>
        <v>68</v>
      </c>
      <c r="B68" s="329" t="s">
        <v>104</v>
      </c>
      <c r="C68" s="337">
        <v>1454.24</v>
      </c>
      <c r="D68" s="337">
        <v>1468.02</v>
      </c>
      <c r="E68" s="337">
        <v>1416.31</v>
      </c>
      <c r="F68" s="337">
        <v>868.39</v>
      </c>
      <c r="G68" s="337">
        <v>867.23</v>
      </c>
      <c r="H68" s="337">
        <v>1167.31</v>
      </c>
      <c r="I68" s="337">
        <v>1167.04</v>
      </c>
      <c r="J68" s="337">
        <v>1160.98</v>
      </c>
      <c r="K68" s="337">
        <v>999.97</v>
      </c>
      <c r="L68" s="337">
        <v>915.86</v>
      </c>
      <c r="M68" s="337">
        <v>1109.25</v>
      </c>
      <c r="N68" s="337">
        <v>1251.6500000000001</v>
      </c>
      <c r="O68" s="326">
        <f t="shared" si="12"/>
        <v>13846.25</v>
      </c>
      <c r="Q68" s="97" t="s">
        <v>8</v>
      </c>
      <c r="R68" s="97" t="str">
        <f t="shared" si="13"/>
        <v>CFG - FTS-2.1 - Fixed NR</v>
      </c>
      <c r="S68" s="97" t="s">
        <v>166</v>
      </c>
      <c r="T68" s="97" t="s">
        <v>136</v>
      </c>
      <c r="U68" s="249">
        <f t="shared" si="2"/>
        <v>1468.02</v>
      </c>
      <c r="V68" s="249">
        <f t="shared" si="3"/>
        <v>2</v>
      </c>
    </row>
    <row r="69" spans="1:22">
      <c r="A69" s="97">
        <f t="shared" si="14"/>
        <v>69</v>
      </c>
      <c r="B69" s="329" t="s">
        <v>105</v>
      </c>
      <c r="C69" s="337">
        <v>5663.76</v>
      </c>
      <c r="D69" s="337">
        <v>5166.3599999999997</v>
      </c>
      <c r="E69" s="337">
        <v>4824.9399999999996</v>
      </c>
      <c r="F69" s="337">
        <v>3423.22</v>
      </c>
      <c r="G69" s="337">
        <v>4076.46</v>
      </c>
      <c r="H69" s="337">
        <v>4550.55</v>
      </c>
      <c r="I69" s="337">
        <v>4833.03</v>
      </c>
      <c r="J69" s="337">
        <v>4642.59</v>
      </c>
      <c r="K69" s="337">
        <v>4571.9399999999996</v>
      </c>
      <c r="L69" s="337">
        <v>4510.8</v>
      </c>
      <c r="M69" s="337">
        <v>5018.07</v>
      </c>
      <c r="N69" s="337">
        <v>5091.1000000000004</v>
      </c>
      <c r="O69" s="326">
        <f t="shared" si="12"/>
        <v>56372.82</v>
      </c>
      <c r="Q69" s="97" t="s">
        <v>8</v>
      </c>
      <c r="R69" s="97" t="str">
        <f t="shared" si="13"/>
        <v>CFG - FTS-3 - Fixed NR</v>
      </c>
      <c r="S69" s="97" t="s">
        <v>166</v>
      </c>
      <c r="T69" s="97" t="s">
        <v>136</v>
      </c>
      <c r="U69" s="249">
        <f>MAX(C69:N69)</f>
        <v>5663.76</v>
      </c>
      <c r="V69" s="249">
        <f>IFERROR(INDEX($C$1:$N$1,MATCH(U69,C69:N69,0)),0)</f>
        <v>1</v>
      </c>
    </row>
    <row r="70" spans="1:22">
      <c r="A70" s="97">
        <f t="shared" si="14"/>
        <v>70</v>
      </c>
      <c r="B70" s="335" t="s">
        <v>106</v>
      </c>
      <c r="C70" s="338">
        <v>3969.03</v>
      </c>
      <c r="D70" s="338">
        <v>3923.83</v>
      </c>
      <c r="E70" s="338">
        <v>3620.65</v>
      </c>
      <c r="F70" s="338">
        <v>1578.54</v>
      </c>
      <c r="G70" s="338">
        <v>3003.8</v>
      </c>
      <c r="H70" s="338">
        <v>3316.85</v>
      </c>
      <c r="I70" s="338">
        <v>3651.62</v>
      </c>
      <c r="J70" s="338">
        <v>2964.77</v>
      </c>
      <c r="K70" s="338">
        <v>3362.97</v>
      </c>
      <c r="L70" s="338">
        <v>3649.05</v>
      </c>
      <c r="M70" s="338">
        <v>3791.27</v>
      </c>
      <c r="N70" s="338">
        <v>3453.44</v>
      </c>
      <c r="O70" s="331">
        <f t="shared" si="12"/>
        <v>40285.82</v>
      </c>
      <c r="Q70" s="97" t="s">
        <v>8</v>
      </c>
      <c r="R70" s="97" t="str">
        <f t="shared" si="13"/>
        <v>CFG - FTS-3.1 - Fixed NR</v>
      </c>
      <c r="S70" s="97" t="s">
        <v>166</v>
      </c>
      <c r="T70" s="97" t="s">
        <v>136</v>
      </c>
      <c r="U70" s="249">
        <f>MAX(C70:N70)</f>
        <v>3969.03</v>
      </c>
      <c r="V70" s="249">
        <f>IFERROR(INDEX($C$1:$N$1,MATCH(U70,C70:N70,0)),0)</f>
        <v>1</v>
      </c>
    </row>
    <row r="71" spans="1:22">
      <c r="A71" s="97">
        <f t="shared" si="14"/>
        <v>71</v>
      </c>
      <c r="B71" s="336" t="s">
        <v>167</v>
      </c>
      <c r="C71" s="326">
        <f>SUM(C64:C70)</f>
        <v>11869.87</v>
      </c>
      <c r="D71" s="326">
        <f t="shared" ref="D71:N71" si="15">SUM(D64:D70)</f>
        <v>11271.71</v>
      </c>
      <c r="E71" s="326">
        <f t="shared" si="15"/>
        <v>10513.73</v>
      </c>
      <c r="F71" s="326">
        <f t="shared" si="15"/>
        <v>6667.21</v>
      </c>
      <c r="G71" s="326">
        <f t="shared" si="15"/>
        <v>8408.5800000000017</v>
      </c>
      <c r="H71" s="326">
        <f t="shared" si="15"/>
        <v>9436.65</v>
      </c>
      <c r="I71" s="326">
        <f t="shared" si="15"/>
        <v>10474.259999999998</v>
      </c>
      <c r="J71" s="326">
        <f t="shared" si="15"/>
        <v>9599.2900000000009</v>
      </c>
      <c r="K71" s="326">
        <f t="shared" si="15"/>
        <v>9688.1899999999987</v>
      </c>
      <c r="L71" s="326">
        <f t="shared" si="15"/>
        <v>9739.34</v>
      </c>
      <c r="M71" s="326">
        <f t="shared" si="15"/>
        <v>10682.22</v>
      </c>
      <c r="N71" s="326">
        <f t="shared" si="15"/>
        <v>10748</v>
      </c>
      <c r="O71" s="326">
        <f t="shared" si="12"/>
        <v>119099.04999999999</v>
      </c>
      <c r="U71" s="249"/>
      <c r="V71" s="249"/>
    </row>
    <row r="72" spans="1:22">
      <c r="A72" s="97">
        <f t="shared" si="14"/>
        <v>72</v>
      </c>
      <c r="B72" s="284" t="s">
        <v>168</v>
      </c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U72" s="249"/>
      <c r="V72" s="249"/>
    </row>
    <row r="73" spans="1:22">
      <c r="A73" s="97">
        <f t="shared" si="14"/>
        <v>73</v>
      </c>
      <c r="B73" s="67" t="s">
        <v>169</v>
      </c>
      <c r="C73" s="337">
        <f>64333+5006</f>
        <v>69339</v>
      </c>
      <c r="D73" s="337">
        <f>112860+2710</f>
        <v>115570</v>
      </c>
      <c r="E73" s="337">
        <f>86003.92+2070</f>
        <v>88073.919999999998</v>
      </c>
      <c r="F73" s="337">
        <f>79036.61+2591</f>
        <v>81627.61</v>
      </c>
      <c r="G73" s="337">
        <f>94217.24+2356</f>
        <v>96573.24</v>
      </c>
      <c r="H73" s="337">
        <v>42580</v>
      </c>
      <c r="I73" s="337">
        <v>29161.71</v>
      </c>
      <c r="J73" s="337">
        <v>58885.34</v>
      </c>
      <c r="K73" s="337">
        <v>69575.98</v>
      </c>
      <c r="L73" s="337">
        <v>53480.91</v>
      </c>
      <c r="M73" s="337">
        <v>23645.599999999999</v>
      </c>
      <c r="N73" s="337">
        <v>34762.840000000004</v>
      </c>
      <c r="O73" s="326">
        <f t="shared" ref="O73:O87" si="16">SUM(C73:N73)</f>
        <v>763276.14999999991</v>
      </c>
      <c r="Q73" s="97" t="s">
        <v>8</v>
      </c>
      <c r="T73" s="97" t="s">
        <v>170</v>
      </c>
      <c r="U73" s="249">
        <f t="shared" ref="U73:U97" si="17">MAX(C73:N73)</f>
        <v>115570</v>
      </c>
      <c r="V73" s="249">
        <f t="shared" ref="V73:V97" si="18">IFERROR(INDEX($C$1:$N$1,MATCH(U73,C73:N73,0)),0)</f>
        <v>2</v>
      </c>
    </row>
    <row r="74" spans="1:22">
      <c r="A74" s="97">
        <f t="shared" si="14"/>
        <v>74</v>
      </c>
      <c r="B74" s="67" t="s">
        <v>171</v>
      </c>
      <c r="C74" s="337">
        <v>22238.77</v>
      </c>
      <c r="D74" s="337">
        <v>21418.6</v>
      </c>
      <c r="E74" s="337">
        <v>15606.4</v>
      </c>
      <c r="F74" s="337">
        <v>12509.31</v>
      </c>
      <c r="G74" s="337">
        <v>12259.81</v>
      </c>
      <c r="H74" s="337">
        <v>10707.44</v>
      </c>
      <c r="I74" s="337">
        <v>9610.1200000000008</v>
      </c>
      <c r="J74" s="337">
        <v>9033.5</v>
      </c>
      <c r="K74" s="337">
        <v>9329.31</v>
      </c>
      <c r="L74" s="337">
        <v>10663.24</v>
      </c>
      <c r="M74" s="337">
        <v>13462.02</v>
      </c>
      <c r="N74" s="337">
        <v>20206.68</v>
      </c>
      <c r="O74" s="326">
        <f t="shared" si="16"/>
        <v>167045.19999999998</v>
      </c>
      <c r="Q74" s="97" t="s">
        <v>8</v>
      </c>
      <c r="T74" s="97" t="s">
        <v>170</v>
      </c>
      <c r="U74" s="249">
        <f t="shared" si="17"/>
        <v>22238.77</v>
      </c>
      <c r="V74" s="249">
        <f t="shared" si="18"/>
        <v>1</v>
      </c>
    </row>
    <row r="75" spans="1:22">
      <c r="A75" s="97">
        <f t="shared" si="14"/>
        <v>75</v>
      </c>
      <c r="B75" s="67" t="s">
        <v>172</v>
      </c>
      <c r="C75" s="337">
        <v>1793074.31</v>
      </c>
      <c r="D75" s="337">
        <v>1681229.36</v>
      </c>
      <c r="E75" s="337">
        <v>1794009.2</v>
      </c>
      <c r="F75" s="337">
        <v>1692851.67</v>
      </c>
      <c r="G75" s="337">
        <v>1743335.06</v>
      </c>
      <c r="H75" s="337">
        <v>1733604.69</v>
      </c>
      <c r="I75" s="337">
        <v>404046.55</v>
      </c>
      <c r="J75" s="337">
        <v>1547143.66</v>
      </c>
      <c r="K75" s="337">
        <v>1736513.65</v>
      </c>
      <c r="L75" s="337">
        <v>1800894.13</v>
      </c>
      <c r="M75" s="337">
        <v>1739593.68</v>
      </c>
      <c r="N75" s="337">
        <v>1797113.04</v>
      </c>
      <c r="O75" s="326">
        <f t="shared" si="16"/>
        <v>19463409</v>
      </c>
      <c r="Q75" s="97" t="s">
        <v>8</v>
      </c>
      <c r="T75" s="97" t="s">
        <v>170</v>
      </c>
      <c r="U75" s="249">
        <f t="shared" si="17"/>
        <v>1800894.13</v>
      </c>
      <c r="V75" s="249">
        <f t="shared" si="18"/>
        <v>10</v>
      </c>
    </row>
    <row r="76" spans="1:22">
      <c r="A76" s="97">
        <f t="shared" si="14"/>
        <v>76</v>
      </c>
      <c r="B76" s="67" t="s">
        <v>173</v>
      </c>
      <c r="C76" s="337">
        <v>1015710.42</v>
      </c>
      <c r="D76" s="337">
        <v>2053599.61</v>
      </c>
      <c r="E76" s="337">
        <v>1887779.92</v>
      </c>
      <c r="F76" s="337">
        <v>1747450.08</v>
      </c>
      <c r="G76" s="337">
        <v>1960940.34</v>
      </c>
      <c r="H76" s="337">
        <v>2099969.9</v>
      </c>
      <c r="I76" s="337">
        <v>2136360.11</v>
      </c>
      <c r="J76" s="337">
        <v>774489.73</v>
      </c>
      <c r="K76" s="337">
        <v>1703329.77</v>
      </c>
      <c r="L76" s="337">
        <v>1067900.3400000001</v>
      </c>
      <c r="M76" s="337">
        <v>1649679.74</v>
      </c>
      <c r="N76" s="337">
        <v>2060279.63</v>
      </c>
      <c r="O76" s="326">
        <f t="shared" si="16"/>
        <v>20157489.59</v>
      </c>
      <c r="Q76" s="97" t="s">
        <v>8</v>
      </c>
      <c r="T76" s="97" t="s">
        <v>170</v>
      </c>
      <c r="U76" s="249">
        <f t="shared" si="17"/>
        <v>2136360.11</v>
      </c>
      <c r="V76" s="249">
        <f t="shared" si="18"/>
        <v>7</v>
      </c>
    </row>
    <row r="77" spans="1:22" ht="11.1" customHeight="1">
      <c r="A77" s="97">
        <f t="shared" si="14"/>
        <v>77</v>
      </c>
      <c r="B77" s="67" t="s">
        <v>174</v>
      </c>
      <c r="C77" s="337">
        <v>0</v>
      </c>
      <c r="D77" s="337">
        <v>0</v>
      </c>
      <c r="E77" s="337">
        <v>0</v>
      </c>
      <c r="F77" s="337">
        <v>0</v>
      </c>
      <c r="G77" s="337">
        <v>0</v>
      </c>
      <c r="H77" s="337">
        <v>0</v>
      </c>
      <c r="I77" s="337">
        <v>0</v>
      </c>
      <c r="J77" s="337">
        <v>0</v>
      </c>
      <c r="K77" s="337">
        <v>0</v>
      </c>
      <c r="L77" s="337">
        <v>0</v>
      </c>
      <c r="M77" s="337">
        <v>0</v>
      </c>
      <c r="N77" s="337">
        <v>0</v>
      </c>
      <c r="O77" s="326">
        <f t="shared" si="16"/>
        <v>0</v>
      </c>
      <c r="Q77" s="97" t="s">
        <v>8</v>
      </c>
      <c r="T77" s="97" t="s">
        <v>170</v>
      </c>
      <c r="U77" s="249">
        <f t="shared" si="17"/>
        <v>0</v>
      </c>
      <c r="V77" s="249">
        <f t="shared" si="18"/>
        <v>1</v>
      </c>
    </row>
    <row r="78" spans="1:22">
      <c r="A78" s="97">
        <f t="shared" si="14"/>
        <v>78</v>
      </c>
      <c r="B78" s="67" t="s">
        <v>175</v>
      </c>
      <c r="C78" s="337">
        <v>1022359.4</v>
      </c>
      <c r="D78" s="337">
        <v>833393.29</v>
      </c>
      <c r="E78" s="337">
        <v>889424.46</v>
      </c>
      <c r="F78" s="337">
        <v>625488.11</v>
      </c>
      <c r="G78" s="337">
        <v>912994.52</v>
      </c>
      <c r="H78" s="337">
        <v>860969.92</v>
      </c>
      <c r="I78" s="337">
        <v>832103.58</v>
      </c>
      <c r="J78" s="337">
        <v>622725.27</v>
      </c>
      <c r="K78" s="337">
        <v>425730.9</v>
      </c>
      <c r="L78" s="337">
        <v>832285.79</v>
      </c>
      <c r="M78" s="337">
        <v>961110.09</v>
      </c>
      <c r="N78" s="337">
        <v>964176.88</v>
      </c>
      <c r="O78" s="326">
        <f t="shared" si="16"/>
        <v>9782762.2100000009</v>
      </c>
      <c r="Q78" s="97" t="s">
        <v>8</v>
      </c>
      <c r="T78" s="97" t="s">
        <v>170</v>
      </c>
      <c r="U78" s="249">
        <f t="shared" si="17"/>
        <v>1022359.4</v>
      </c>
      <c r="V78" s="249">
        <f t="shared" si="18"/>
        <v>1</v>
      </c>
    </row>
    <row r="79" spans="1:22">
      <c r="A79" s="97">
        <f t="shared" si="14"/>
        <v>79</v>
      </c>
      <c r="B79" s="67" t="s">
        <v>176</v>
      </c>
      <c r="C79" s="337">
        <v>558176.11</v>
      </c>
      <c r="D79" s="337">
        <v>480640.67</v>
      </c>
      <c r="E79" s="337">
        <v>705041.84</v>
      </c>
      <c r="F79" s="337">
        <v>655878.43000000005</v>
      </c>
      <c r="G79" s="337">
        <v>378807.83</v>
      </c>
      <c r="H79" s="337">
        <v>58014.95</v>
      </c>
      <c r="I79" s="337">
        <v>86654.74</v>
      </c>
      <c r="J79" s="337">
        <v>61230.59</v>
      </c>
      <c r="K79" s="337">
        <v>70626.25</v>
      </c>
      <c r="L79" s="337">
        <v>42833.11</v>
      </c>
      <c r="M79" s="337">
        <v>18643.2</v>
      </c>
      <c r="N79" s="337">
        <v>396014.86</v>
      </c>
      <c r="O79" s="326">
        <f t="shared" si="16"/>
        <v>3512562.5800000005</v>
      </c>
      <c r="Q79" s="97" t="s">
        <v>8</v>
      </c>
      <c r="T79" s="97" t="s">
        <v>170</v>
      </c>
      <c r="U79" s="249">
        <f t="shared" si="17"/>
        <v>705041.84</v>
      </c>
      <c r="V79" s="249">
        <f t="shared" si="18"/>
        <v>3</v>
      </c>
    </row>
    <row r="80" spans="1:22">
      <c r="A80" s="97">
        <f t="shared" si="14"/>
        <v>80</v>
      </c>
      <c r="B80" s="67" t="s">
        <v>177</v>
      </c>
      <c r="C80" s="337">
        <v>0</v>
      </c>
      <c r="D80" s="337">
        <v>0</v>
      </c>
      <c r="E80" s="337">
        <v>0</v>
      </c>
      <c r="F80" s="337">
        <v>0</v>
      </c>
      <c r="G80" s="337">
        <v>0</v>
      </c>
      <c r="H80" s="337">
        <v>0</v>
      </c>
      <c r="I80" s="337">
        <v>0</v>
      </c>
      <c r="J80" s="337">
        <v>0</v>
      </c>
      <c r="K80" s="337">
        <v>0</v>
      </c>
      <c r="L80" s="337">
        <v>0</v>
      </c>
      <c r="M80" s="337">
        <v>0</v>
      </c>
      <c r="N80" s="337">
        <v>0</v>
      </c>
      <c r="O80" s="326">
        <f t="shared" si="16"/>
        <v>0</v>
      </c>
      <c r="Q80" s="97" t="s">
        <v>7</v>
      </c>
      <c r="T80" s="97" t="s">
        <v>178</v>
      </c>
      <c r="U80" s="249">
        <f t="shared" si="17"/>
        <v>0</v>
      </c>
      <c r="V80" s="249">
        <f t="shared" si="18"/>
        <v>1</v>
      </c>
    </row>
    <row r="81" spans="1:22">
      <c r="A81" s="97">
        <f t="shared" si="14"/>
        <v>81</v>
      </c>
      <c r="B81" s="288" t="s">
        <v>179</v>
      </c>
      <c r="C81" s="337">
        <v>3289093.88</v>
      </c>
      <c r="D81" s="337">
        <v>3031676.4</v>
      </c>
      <c r="E81" s="337">
        <v>3086594.12</v>
      </c>
      <c r="F81" s="337">
        <v>3151207.96</v>
      </c>
      <c r="G81" s="337">
        <v>3156080.87</v>
      </c>
      <c r="H81" s="337">
        <v>3294972.8</v>
      </c>
      <c r="I81" s="337">
        <v>3241607.2</v>
      </c>
      <c r="J81" s="337">
        <v>3290924.08</v>
      </c>
      <c r="K81" s="337">
        <v>1677029.03</v>
      </c>
      <c r="L81" s="337">
        <v>3300145.8</v>
      </c>
      <c r="M81" s="337">
        <v>2936989.33</v>
      </c>
      <c r="N81" s="337">
        <v>2992974.48</v>
      </c>
      <c r="O81" s="326">
        <f t="shared" si="16"/>
        <v>36449295.950000003</v>
      </c>
      <c r="Q81" s="97" t="s">
        <v>8</v>
      </c>
      <c r="T81" s="97" t="s">
        <v>170</v>
      </c>
      <c r="U81" s="249">
        <f t="shared" si="17"/>
        <v>3300145.8</v>
      </c>
      <c r="V81" s="249">
        <f t="shared" si="18"/>
        <v>10</v>
      </c>
    </row>
    <row r="82" spans="1:22">
      <c r="A82" s="97">
        <f t="shared" si="14"/>
        <v>82</v>
      </c>
      <c r="B82" s="288" t="s">
        <v>180</v>
      </c>
      <c r="C82" s="337">
        <v>2483575.4700000002</v>
      </c>
      <c r="D82" s="337">
        <v>291407.42</v>
      </c>
      <c r="E82" s="337">
        <v>309289.62</v>
      </c>
      <c r="F82" s="337">
        <v>300615.59999999998</v>
      </c>
      <c r="G82" s="339">
        <v>309235.03999999998</v>
      </c>
      <c r="H82" s="337">
        <v>899995.04</v>
      </c>
      <c r="I82" s="337">
        <v>928564.03</v>
      </c>
      <c r="J82" s="337">
        <v>932292.72</v>
      </c>
      <c r="K82" s="337">
        <v>899989.94</v>
      </c>
      <c r="L82" s="337">
        <v>929969.25</v>
      </c>
      <c r="M82" s="337">
        <v>1048291.07</v>
      </c>
      <c r="N82" s="337">
        <v>1239773.1000000001</v>
      </c>
      <c r="O82" s="326">
        <f t="shared" si="16"/>
        <v>10572998.300000001</v>
      </c>
      <c r="Q82" s="97" t="s">
        <v>8</v>
      </c>
      <c r="T82" s="97" t="s">
        <v>170</v>
      </c>
      <c r="U82" s="249">
        <f t="shared" si="17"/>
        <v>2483575.4700000002</v>
      </c>
      <c r="V82" s="249">
        <f t="shared" si="18"/>
        <v>1</v>
      </c>
    </row>
    <row r="83" spans="1:22">
      <c r="A83" s="97">
        <f t="shared" si="14"/>
        <v>83</v>
      </c>
      <c r="B83" s="288" t="s">
        <v>181</v>
      </c>
      <c r="C83" s="337">
        <v>12600442.220000001</v>
      </c>
      <c r="D83" s="337">
        <v>11075286.310000001</v>
      </c>
      <c r="E83" s="337">
        <v>13287580.76</v>
      </c>
      <c r="F83" s="337">
        <v>12823076.85</v>
      </c>
      <c r="G83" s="337">
        <v>11933083.9</v>
      </c>
      <c r="H83" s="337">
        <v>10907630.369999999</v>
      </c>
      <c r="I83" s="337">
        <v>11280687.359999999</v>
      </c>
      <c r="J83" s="337">
        <v>11118786.74</v>
      </c>
      <c r="K83" s="337">
        <v>8874582.8699999992</v>
      </c>
      <c r="L83" s="337">
        <v>11702906.99</v>
      </c>
      <c r="M83" s="337">
        <v>9478272.8499999996</v>
      </c>
      <c r="N83" s="337">
        <v>8061550.7199999997</v>
      </c>
      <c r="O83" s="326">
        <f t="shared" si="16"/>
        <v>133143887.93999998</v>
      </c>
      <c r="Q83" s="97" t="s">
        <v>8</v>
      </c>
      <c r="T83" s="97" t="s">
        <v>170</v>
      </c>
      <c r="U83" s="249">
        <f t="shared" si="17"/>
        <v>13287580.76</v>
      </c>
      <c r="V83" s="249">
        <f t="shared" si="18"/>
        <v>3</v>
      </c>
    </row>
    <row r="84" spans="1:22">
      <c r="A84" s="97">
        <f t="shared" si="14"/>
        <v>84</v>
      </c>
      <c r="B84" s="288" t="s">
        <v>182</v>
      </c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26">
        <f t="shared" si="16"/>
        <v>0</v>
      </c>
      <c r="Q84" s="97" t="s">
        <v>8</v>
      </c>
      <c r="T84" s="97" t="s">
        <v>170</v>
      </c>
      <c r="U84" s="249">
        <f t="shared" si="17"/>
        <v>0</v>
      </c>
      <c r="V84" s="249">
        <f t="shared" si="18"/>
        <v>0</v>
      </c>
    </row>
    <row r="85" spans="1:22">
      <c r="A85" s="97">
        <f t="shared" si="14"/>
        <v>85</v>
      </c>
      <c r="B85" s="288" t="s">
        <v>183</v>
      </c>
      <c r="C85" s="337">
        <v>70732.429999999993</v>
      </c>
      <c r="D85" s="337">
        <v>79179.039999999994</v>
      </c>
      <c r="E85" s="337">
        <v>73941</v>
      </c>
      <c r="F85" s="337">
        <v>125076</v>
      </c>
      <c r="G85" s="337">
        <v>129451.91</v>
      </c>
      <c r="H85" s="337">
        <v>117469.21</v>
      </c>
      <c r="I85" s="337">
        <v>115028.65</v>
      </c>
      <c r="J85" s="337">
        <v>57934.41</v>
      </c>
      <c r="K85" s="337">
        <v>115914.53</v>
      </c>
      <c r="L85" s="340">
        <v>-47644.05</v>
      </c>
      <c r="M85" s="337">
        <v>237559.58</v>
      </c>
      <c r="N85" s="337">
        <v>146631.15</v>
      </c>
      <c r="O85" s="326">
        <f>SUM(C85:N85)</f>
        <v>1221273.8599999999</v>
      </c>
      <c r="Q85" s="97" t="s">
        <v>7</v>
      </c>
      <c r="T85" s="97" t="s">
        <v>178</v>
      </c>
      <c r="U85" s="249">
        <f t="shared" si="17"/>
        <v>237559.58</v>
      </c>
      <c r="V85" s="249">
        <f t="shared" si="18"/>
        <v>11</v>
      </c>
    </row>
    <row r="86" spans="1:22">
      <c r="A86" s="97">
        <f t="shared" si="14"/>
        <v>86</v>
      </c>
      <c r="B86" s="288" t="s">
        <v>184</v>
      </c>
      <c r="C86" s="337">
        <v>501759.44</v>
      </c>
      <c r="D86" s="337">
        <v>171741.15</v>
      </c>
      <c r="E86" s="337">
        <v>419526</v>
      </c>
      <c r="F86" s="337">
        <v>435865</v>
      </c>
      <c r="G86" s="337">
        <v>1065099.93</v>
      </c>
      <c r="H86" s="337">
        <v>1065144.51</v>
      </c>
      <c r="I86" s="337">
        <v>1053809.7</v>
      </c>
      <c r="J86" s="337">
        <v>477326.97</v>
      </c>
      <c r="K86" s="337">
        <v>985677.21</v>
      </c>
      <c r="L86" s="337">
        <v>1277348.51</v>
      </c>
      <c r="M86" s="337">
        <v>829271.9</v>
      </c>
      <c r="N86" s="337">
        <v>1392269.08</v>
      </c>
      <c r="O86" s="326">
        <f t="shared" si="16"/>
        <v>9674839.3999999985</v>
      </c>
      <c r="Q86" s="97" t="s">
        <v>7</v>
      </c>
      <c r="T86" s="97" t="s">
        <v>178</v>
      </c>
      <c r="U86" s="249">
        <f t="shared" si="17"/>
        <v>1392269.08</v>
      </c>
      <c r="V86" s="249">
        <f t="shared" si="18"/>
        <v>12</v>
      </c>
    </row>
    <row r="87" spans="1:22">
      <c r="A87" s="97">
        <f t="shared" si="14"/>
        <v>87</v>
      </c>
      <c r="B87" s="288" t="s">
        <v>185</v>
      </c>
      <c r="C87" s="337">
        <v>0</v>
      </c>
      <c r="D87" s="337">
        <v>0</v>
      </c>
      <c r="E87" s="337">
        <v>0</v>
      </c>
      <c r="F87" s="337">
        <v>0</v>
      </c>
      <c r="G87" s="337">
        <v>0</v>
      </c>
      <c r="H87" s="337">
        <v>0</v>
      </c>
      <c r="I87" s="337">
        <v>0</v>
      </c>
      <c r="J87" s="337">
        <v>0</v>
      </c>
      <c r="K87" s="337">
        <v>0</v>
      </c>
      <c r="L87" s="337">
        <v>0</v>
      </c>
      <c r="M87" s="337">
        <v>0</v>
      </c>
      <c r="N87" s="337">
        <v>0</v>
      </c>
      <c r="O87" s="326">
        <f t="shared" si="16"/>
        <v>0</v>
      </c>
      <c r="Q87" s="97" t="s">
        <v>8</v>
      </c>
      <c r="T87" s="97" t="s">
        <v>170</v>
      </c>
      <c r="U87" s="249">
        <f t="shared" si="17"/>
        <v>0</v>
      </c>
      <c r="V87" s="249">
        <f t="shared" si="18"/>
        <v>1</v>
      </c>
    </row>
    <row r="88" spans="1:22">
      <c r="A88" s="97">
        <f t="shared" si="14"/>
        <v>88</v>
      </c>
      <c r="B88" s="336" t="s">
        <v>186</v>
      </c>
      <c r="C88" s="341">
        <f t="shared" ref="C88:N88" si="19">SUM(C73:C87)</f>
        <v>23426501.449999999</v>
      </c>
      <c r="D88" s="341">
        <f t="shared" si="19"/>
        <v>19835141.849999998</v>
      </c>
      <c r="E88" s="341">
        <f t="shared" si="19"/>
        <v>22556867.239999998</v>
      </c>
      <c r="F88" s="341">
        <f t="shared" si="19"/>
        <v>21651646.619999997</v>
      </c>
      <c r="G88" s="341">
        <f t="shared" si="19"/>
        <v>21697862.449999999</v>
      </c>
      <c r="H88" s="341">
        <f t="shared" si="19"/>
        <v>21091058.830000002</v>
      </c>
      <c r="I88" s="341">
        <f t="shared" si="19"/>
        <v>20117633.749999996</v>
      </c>
      <c r="J88" s="341">
        <f t="shared" si="19"/>
        <v>18950773.009999998</v>
      </c>
      <c r="K88" s="341">
        <f t="shared" si="19"/>
        <v>16568299.439999998</v>
      </c>
      <c r="L88" s="341">
        <f t="shared" si="19"/>
        <v>20970784.020000003</v>
      </c>
      <c r="M88" s="341">
        <f t="shared" si="19"/>
        <v>18936519.059999995</v>
      </c>
      <c r="N88" s="341">
        <f t="shared" si="19"/>
        <v>19105752.460000001</v>
      </c>
      <c r="O88" s="341">
        <f>SUM(C88:N88)</f>
        <v>244908840.18000001</v>
      </c>
      <c r="U88" s="249"/>
      <c r="V88" s="249"/>
    </row>
    <row r="89" spans="1:22">
      <c r="A89" s="97">
        <f t="shared" si="14"/>
        <v>89</v>
      </c>
      <c r="B89" s="284" t="s">
        <v>187</v>
      </c>
      <c r="U89" s="249"/>
      <c r="V89" s="249"/>
    </row>
    <row r="90" spans="1:22">
      <c r="A90" s="97">
        <f t="shared" si="14"/>
        <v>90</v>
      </c>
      <c r="B90" s="288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26">
        <f>SUM(C90:N90)</f>
        <v>0</v>
      </c>
      <c r="Q90" s="97" t="s">
        <v>8</v>
      </c>
      <c r="U90" s="249"/>
      <c r="V90" s="249"/>
    </row>
    <row r="91" spans="1:22">
      <c r="A91" s="97">
        <f t="shared" si="14"/>
        <v>91</v>
      </c>
      <c r="B91" s="67" t="s">
        <v>188</v>
      </c>
      <c r="C91" s="337">
        <v>299810.89</v>
      </c>
      <c r="D91" s="337">
        <v>262489.95</v>
      </c>
      <c r="E91" s="337">
        <v>325956.09000000003</v>
      </c>
      <c r="F91" s="337">
        <v>250913.52</v>
      </c>
      <c r="G91" s="337">
        <v>289063.24</v>
      </c>
      <c r="H91" s="337">
        <v>286757.19</v>
      </c>
      <c r="I91" s="337">
        <v>312383.74</v>
      </c>
      <c r="J91" s="337">
        <v>309080.43</v>
      </c>
      <c r="K91" s="337">
        <v>288642.52</v>
      </c>
      <c r="L91" s="337">
        <v>271642.5</v>
      </c>
      <c r="M91" s="337">
        <v>263641.11</v>
      </c>
      <c r="N91" s="337">
        <v>319141.74</v>
      </c>
      <c r="O91" s="326">
        <f>SUM(C91:N91)</f>
        <v>3479522.92</v>
      </c>
      <c r="Q91" s="97" t="s">
        <v>8</v>
      </c>
      <c r="T91" s="97" t="s">
        <v>170</v>
      </c>
      <c r="U91" s="249">
        <f t="shared" si="17"/>
        <v>325956.09000000003</v>
      </c>
      <c r="V91" s="249">
        <f t="shared" si="18"/>
        <v>3</v>
      </c>
    </row>
    <row r="92" spans="1:22" ht="11.1" customHeight="1">
      <c r="A92" s="97">
        <f t="shared" si="14"/>
        <v>92</v>
      </c>
      <c r="B92" s="67" t="s">
        <v>189</v>
      </c>
      <c r="C92" s="337">
        <v>1600565.89</v>
      </c>
      <c r="D92" s="337">
        <v>1434988.44</v>
      </c>
      <c r="E92" s="337">
        <v>1622849</v>
      </c>
      <c r="F92" s="337">
        <v>1572646</v>
      </c>
      <c r="G92" s="337">
        <v>1571812.69</v>
      </c>
      <c r="H92" s="337">
        <v>1402440.79</v>
      </c>
      <c r="I92" s="337">
        <v>1564755.11</v>
      </c>
      <c r="J92" s="337">
        <v>1408341.33</v>
      </c>
      <c r="K92" s="337">
        <v>1526064.7</v>
      </c>
      <c r="L92" s="337">
        <v>1578499.69</v>
      </c>
      <c r="M92" s="337">
        <v>1522804.78</v>
      </c>
      <c r="N92" s="337">
        <v>1584157.42</v>
      </c>
      <c r="O92" s="326">
        <f>SUM(C92:N92)</f>
        <v>18389925.839999996</v>
      </c>
      <c r="Q92" s="97" t="s">
        <v>7</v>
      </c>
      <c r="T92" s="97" t="s">
        <v>178</v>
      </c>
      <c r="U92" s="249">
        <f t="shared" si="17"/>
        <v>1622849</v>
      </c>
      <c r="V92" s="249">
        <f t="shared" si="18"/>
        <v>3</v>
      </c>
    </row>
    <row r="93" spans="1:22">
      <c r="A93" s="97">
        <f t="shared" si="14"/>
        <v>93</v>
      </c>
      <c r="B93" s="67" t="s">
        <v>190</v>
      </c>
      <c r="C93" s="337">
        <v>142236.1</v>
      </c>
      <c r="D93" s="337">
        <v>0</v>
      </c>
      <c r="E93" s="337">
        <v>110</v>
      </c>
      <c r="F93" s="337">
        <v>0</v>
      </c>
      <c r="G93" s="337">
        <v>11386.75</v>
      </c>
      <c r="H93" s="337">
        <v>0</v>
      </c>
      <c r="I93" s="337">
        <v>89623.2</v>
      </c>
      <c r="J93" s="337">
        <v>41325.51</v>
      </c>
      <c r="K93" s="337">
        <v>3606.29</v>
      </c>
      <c r="L93" s="337">
        <v>4342.91</v>
      </c>
      <c r="M93" s="337">
        <v>140186.76</v>
      </c>
      <c r="N93" s="337">
        <v>52210.44</v>
      </c>
      <c r="O93" s="326">
        <f>SUM(C93:N93)</f>
        <v>485027.95999999996</v>
      </c>
      <c r="Q93" s="97" t="s">
        <v>7</v>
      </c>
      <c r="T93" s="97" t="s">
        <v>178</v>
      </c>
      <c r="U93" s="249">
        <f t="shared" si="17"/>
        <v>142236.1</v>
      </c>
      <c r="V93" s="249">
        <f t="shared" si="18"/>
        <v>1</v>
      </c>
    </row>
    <row r="94" spans="1:22">
      <c r="A94" s="97">
        <f t="shared" si="14"/>
        <v>94</v>
      </c>
      <c r="B94" s="336" t="s">
        <v>191</v>
      </c>
      <c r="C94" s="341">
        <f t="shared" ref="C94:K94" si="20">SUM(C90:C93)</f>
        <v>2042612.88</v>
      </c>
      <c r="D94" s="341">
        <f t="shared" si="20"/>
        <v>1697478.39</v>
      </c>
      <c r="E94" s="341">
        <f t="shared" si="20"/>
        <v>1948915.09</v>
      </c>
      <c r="F94" s="341">
        <f t="shared" si="20"/>
        <v>1823559.52</v>
      </c>
      <c r="G94" s="341">
        <f t="shared" si="20"/>
        <v>1872262.68</v>
      </c>
      <c r="H94" s="341">
        <f t="shared" si="20"/>
        <v>1689197.98</v>
      </c>
      <c r="I94" s="341">
        <f t="shared" si="20"/>
        <v>1966762.05</v>
      </c>
      <c r="J94" s="341">
        <f t="shared" si="20"/>
        <v>1758747.27</v>
      </c>
      <c r="K94" s="341">
        <f t="shared" si="20"/>
        <v>1818313.51</v>
      </c>
      <c r="L94" s="341">
        <f>SUM(L90:L93)</f>
        <v>1854485.0999999999</v>
      </c>
      <c r="M94" s="341">
        <f>SUM(M90:M93)</f>
        <v>1926632.6500000001</v>
      </c>
      <c r="N94" s="341">
        <f>SUM(N90:N93)</f>
        <v>1955509.5999999999</v>
      </c>
      <c r="O94" s="341">
        <f>SUM(O90:O93)</f>
        <v>22354476.719999999</v>
      </c>
      <c r="U94" s="249"/>
      <c r="V94" s="249"/>
    </row>
    <row r="95" spans="1:22">
      <c r="A95" s="97">
        <f t="shared" si="14"/>
        <v>95</v>
      </c>
      <c r="B95" s="284" t="s">
        <v>192</v>
      </c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U95" s="249"/>
      <c r="V95" s="249"/>
    </row>
    <row r="96" spans="1:22">
      <c r="A96" s="97">
        <f t="shared" si="14"/>
        <v>96</v>
      </c>
      <c r="B96" s="67"/>
      <c r="C96" s="342"/>
      <c r="D96" s="304"/>
      <c r="E96" s="343"/>
      <c r="F96" s="344"/>
      <c r="G96" s="343"/>
      <c r="H96" s="343"/>
      <c r="I96" s="334"/>
      <c r="J96" s="334" t="s">
        <v>20</v>
      </c>
      <c r="K96" s="334"/>
      <c r="L96" s="343"/>
      <c r="M96" s="334"/>
      <c r="N96" s="334"/>
      <c r="O96" s="345">
        <f>SUM(C96:N96)</f>
        <v>0</v>
      </c>
      <c r="Q96" s="97" t="s">
        <v>8</v>
      </c>
      <c r="T96" s="97" t="s">
        <v>170</v>
      </c>
      <c r="U96" s="249">
        <f t="shared" si="17"/>
        <v>0</v>
      </c>
      <c r="V96" s="249">
        <f t="shared" si="18"/>
        <v>0</v>
      </c>
    </row>
    <row r="97" spans="1:22">
      <c r="A97" s="97">
        <f t="shared" si="14"/>
        <v>97</v>
      </c>
      <c r="B97" s="68" t="s">
        <v>172</v>
      </c>
      <c r="C97" s="330">
        <v>0</v>
      </c>
      <c r="D97" s="330">
        <v>0</v>
      </c>
      <c r="E97" s="338">
        <v>0</v>
      </c>
      <c r="F97" s="346">
        <v>0</v>
      </c>
      <c r="G97" s="346">
        <v>0</v>
      </c>
      <c r="H97" s="346">
        <v>0</v>
      </c>
      <c r="I97" s="347">
        <v>0</v>
      </c>
      <c r="J97" s="347">
        <v>0</v>
      </c>
      <c r="K97" s="347">
        <v>0</v>
      </c>
      <c r="L97" s="347">
        <v>0</v>
      </c>
      <c r="M97" s="347">
        <v>0</v>
      </c>
      <c r="N97" s="347">
        <v>0</v>
      </c>
      <c r="O97" s="331">
        <f>SUM(C97:N97)</f>
        <v>0</v>
      </c>
      <c r="Q97" s="97" t="s">
        <v>8</v>
      </c>
      <c r="T97" s="97" t="s">
        <v>170</v>
      </c>
      <c r="U97" s="249">
        <f t="shared" si="17"/>
        <v>0</v>
      </c>
      <c r="V97" s="249">
        <f t="shared" si="18"/>
        <v>1</v>
      </c>
    </row>
    <row r="98" spans="1:22">
      <c r="A98" s="97">
        <f t="shared" si="14"/>
        <v>98</v>
      </c>
      <c r="B98" s="336" t="s">
        <v>193</v>
      </c>
      <c r="C98" s="326">
        <f t="shared" ref="C98:N98" si="21">SUM(C97)</f>
        <v>0</v>
      </c>
      <c r="D98" s="326">
        <f t="shared" si="21"/>
        <v>0</v>
      </c>
      <c r="E98" s="326">
        <f t="shared" si="21"/>
        <v>0</v>
      </c>
      <c r="F98" s="326">
        <f t="shared" si="21"/>
        <v>0</v>
      </c>
      <c r="G98" s="326">
        <f t="shared" si="21"/>
        <v>0</v>
      </c>
      <c r="H98" s="326">
        <f t="shared" si="21"/>
        <v>0</v>
      </c>
      <c r="I98" s="326">
        <f t="shared" si="21"/>
        <v>0</v>
      </c>
      <c r="J98" s="326">
        <f t="shared" si="21"/>
        <v>0</v>
      </c>
      <c r="K98" s="326">
        <f t="shared" si="21"/>
        <v>0</v>
      </c>
      <c r="L98" s="326">
        <f t="shared" si="21"/>
        <v>0</v>
      </c>
      <c r="M98" s="326">
        <f t="shared" si="21"/>
        <v>0</v>
      </c>
      <c r="N98" s="326">
        <f t="shared" si="21"/>
        <v>0</v>
      </c>
      <c r="O98" s="326">
        <f>SUM(C98:N98)</f>
        <v>0</v>
      </c>
      <c r="U98" s="249"/>
      <c r="V98" s="249"/>
    </row>
    <row r="99" spans="1:22">
      <c r="A99" s="97">
        <f t="shared" si="14"/>
        <v>99</v>
      </c>
      <c r="B99" s="336"/>
      <c r="U99" s="249"/>
      <c r="V99" s="249"/>
    </row>
    <row r="100" spans="1:22">
      <c r="A100" s="97">
        <f t="shared" si="14"/>
        <v>100</v>
      </c>
      <c r="B100" s="289" t="s">
        <v>194</v>
      </c>
      <c r="C100" s="348">
        <f t="shared" ref="C100:O100" si="22">+C15+C24+C62+C71+C88+C94+C98</f>
        <v>38587962.450000033</v>
      </c>
      <c r="D100" s="348">
        <f t="shared" si="22"/>
        <v>33853456.850000031</v>
      </c>
      <c r="E100" s="348">
        <f t="shared" si="22"/>
        <v>36454740.580000021</v>
      </c>
      <c r="F100" s="348">
        <f t="shared" si="22"/>
        <v>33019110.370000031</v>
      </c>
      <c r="G100" s="348">
        <f t="shared" si="22"/>
        <v>33035449.440000035</v>
      </c>
      <c r="H100" s="348">
        <f t="shared" si="22"/>
        <v>31707846.640000056</v>
      </c>
      <c r="I100" s="348">
        <f t="shared" si="22"/>
        <v>31102708.850000028</v>
      </c>
      <c r="J100" s="348">
        <f t="shared" si="22"/>
        <v>29917722.760000024</v>
      </c>
      <c r="K100" s="348">
        <f t="shared" si="22"/>
        <v>27463461.380000014</v>
      </c>
      <c r="L100" s="348">
        <f t="shared" si="22"/>
        <v>32415016.740000062</v>
      </c>
      <c r="M100" s="348">
        <f t="shared" si="22"/>
        <v>31012645.510000043</v>
      </c>
      <c r="N100" s="348">
        <f t="shared" si="22"/>
        <v>33441111.890000019</v>
      </c>
      <c r="O100" s="349">
        <f t="shared" si="22"/>
        <v>392011233.4600004</v>
      </c>
      <c r="U100" s="249"/>
      <c r="V100" s="249"/>
    </row>
    <row r="101" spans="1:22">
      <c r="A101" s="97">
        <f t="shared" si="14"/>
        <v>101</v>
      </c>
      <c r="B101" s="350" t="s">
        <v>195</v>
      </c>
      <c r="N101" s="249">
        <f>N100-N94-N88</f>
        <v>12379849.830000017</v>
      </c>
      <c r="O101" s="249">
        <f>O100-O94-O88</f>
        <v>124747916.56000036</v>
      </c>
      <c r="U101" s="249"/>
      <c r="V101" s="249"/>
    </row>
    <row r="102" spans="1:22">
      <c r="A102" s="97">
        <f t="shared" si="14"/>
        <v>102</v>
      </c>
      <c r="B102" s="67" t="s">
        <v>196</v>
      </c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6">
        <f>SUM(C102:N102)</f>
        <v>0</v>
      </c>
      <c r="Q102" s="97" t="s">
        <v>7</v>
      </c>
      <c r="T102" s="97" t="s">
        <v>178</v>
      </c>
      <c r="U102" s="249">
        <f t="shared" ref="U102:U109" si="23">MAX(C102:N102)</f>
        <v>0</v>
      </c>
      <c r="V102" s="249">
        <f t="shared" ref="V102:V109" si="24">IFERROR(INDEX($C$1:$N$1,MATCH(U102,C102:N102,0)),0)</f>
        <v>0</v>
      </c>
    </row>
    <row r="103" spans="1:22">
      <c r="A103" s="97">
        <f t="shared" si="14"/>
        <v>103</v>
      </c>
      <c r="B103" s="67" t="s">
        <v>197</v>
      </c>
      <c r="C103" s="328">
        <v>582311.07999999996</v>
      </c>
      <c r="D103" s="328">
        <v>591241.16</v>
      </c>
      <c r="E103" s="328">
        <v>669554.38</v>
      </c>
      <c r="F103" s="328">
        <v>516560.44</v>
      </c>
      <c r="G103" s="328">
        <v>689183.93</v>
      </c>
      <c r="H103" s="328">
        <v>664312.13</v>
      </c>
      <c r="I103" s="328">
        <v>679531.99</v>
      </c>
      <c r="J103" s="328">
        <v>681014.06</v>
      </c>
      <c r="K103" s="328">
        <v>648706.18000000005</v>
      </c>
      <c r="L103" s="328">
        <v>681872.18</v>
      </c>
      <c r="M103" s="328">
        <v>666186.69999999995</v>
      </c>
      <c r="N103" s="328">
        <v>683740.31</v>
      </c>
      <c r="O103" s="326">
        <f>SUM(C103:N103)</f>
        <v>7754214.5399999991</v>
      </c>
      <c r="Q103" s="97" t="s">
        <v>8</v>
      </c>
      <c r="T103" s="97" t="s">
        <v>170</v>
      </c>
      <c r="U103" s="249">
        <f t="shared" si="23"/>
        <v>689183.93</v>
      </c>
      <c r="V103" s="249">
        <f t="shared" si="24"/>
        <v>5</v>
      </c>
    </row>
    <row r="104" spans="1:22">
      <c r="A104" s="97">
        <f t="shared" si="14"/>
        <v>104</v>
      </c>
      <c r="B104" s="68" t="s">
        <v>198</v>
      </c>
      <c r="C104" s="328">
        <v>134189.07</v>
      </c>
      <c r="D104" s="328">
        <v>129538</v>
      </c>
      <c r="E104" s="328">
        <v>48541.17</v>
      </c>
      <c r="F104" s="328">
        <v>5818.57</v>
      </c>
      <c r="G104" s="328">
        <v>2450.73</v>
      </c>
      <c r="H104" s="328">
        <v>2380.6799999999998</v>
      </c>
      <c r="I104" s="328">
        <v>13909.47</v>
      </c>
      <c r="J104" s="328">
        <v>11720.07</v>
      </c>
      <c r="K104" s="328">
        <v>9742.64</v>
      </c>
      <c r="L104" s="328">
        <v>19123.63</v>
      </c>
      <c r="M104" s="328">
        <v>51308.35</v>
      </c>
      <c r="N104" s="328">
        <v>137414.07999999999</v>
      </c>
      <c r="O104" s="331">
        <f>SUM(C104:N104)</f>
        <v>566136.46</v>
      </c>
      <c r="Q104" s="97" t="s">
        <v>8</v>
      </c>
      <c r="T104" s="97" t="s">
        <v>170</v>
      </c>
      <c r="U104" s="249">
        <f t="shared" si="23"/>
        <v>137414.07999999999</v>
      </c>
      <c r="V104" s="249">
        <f t="shared" si="24"/>
        <v>12</v>
      </c>
    </row>
    <row r="105" spans="1:22">
      <c r="A105" s="97">
        <f t="shared" si="14"/>
        <v>105</v>
      </c>
      <c r="B105" s="336" t="s">
        <v>199</v>
      </c>
      <c r="C105" s="341">
        <f>SUM(C102:C104)</f>
        <v>716500.14999999991</v>
      </c>
      <c r="D105" s="341">
        <f t="shared" ref="D105:O105" si="25">SUM(D102:D104)</f>
        <v>720779.16</v>
      </c>
      <c r="E105" s="341">
        <f t="shared" si="25"/>
        <v>718095.55</v>
      </c>
      <c r="F105" s="341">
        <f t="shared" si="25"/>
        <v>522379.01</v>
      </c>
      <c r="G105" s="341">
        <f t="shared" si="25"/>
        <v>691634.66</v>
      </c>
      <c r="H105" s="341">
        <f t="shared" si="25"/>
        <v>666692.81000000006</v>
      </c>
      <c r="I105" s="341">
        <f t="shared" si="25"/>
        <v>693441.46</v>
      </c>
      <c r="J105" s="341">
        <f t="shared" si="25"/>
        <v>692734.13</v>
      </c>
      <c r="K105" s="341">
        <f t="shared" si="25"/>
        <v>658448.82000000007</v>
      </c>
      <c r="L105" s="341">
        <f t="shared" si="25"/>
        <v>700995.81</v>
      </c>
      <c r="M105" s="341">
        <f t="shared" si="25"/>
        <v>717495.04999999993</v>
      </c>
      <c r="N105" s="341">
        <f t="shared" si="25"/>
        <v>821154.39</v>
      </c>
      <c r="O105" s="341">
        <f t="shared" si="25"/>
        <v>8320350.9999999991</v>
      </c>
      <c r="U105" s="249"/>
      <c r="V105" s="249"/>
    </row>
    <row r="106" spans="1:22">
      <c r="A106" s="97">
        <f t="shared" si="14"/>
        <v>106</v>
      </c>
      <c r="B106" s="284" t="s">
        <v>200</v>
      </c>
      <c r="U106" s="249"/>
      <c r="V106" s="249"/>
    </row>
    <row r="107" spans="1:22">
      <c r="A107" s="97">
        <f t="shared" si="14"/>
        <v>107</v>
      </c>
      <c r="B107" s="67" t="s">
        <v>201</v>
      </c>
      <c r="C107" s="328"/>
      <c r="D107" s="328"/>
      <c r="E107" s="328"/>
      <c r="F107" s="328"/>
      <c r="G107" s="337"/>
      <c r="H107" s="328"/>
      <c r="I107" s="328"/>
      <c r="J107" s="328"/>
      <c r="K107" s="328"/>
      <c r="L107" s="328"/>
      <c r="M107" s="328"/>
      <c r="N107" s="337"/>
      <c r="O107" s="326"/>
      <c r="U107" s="249"/>
      <c r="V107" s="249"/>
    </row>
    <row r="108" spans="1:22">
      <c r="A108" s="97">
        <f t="shared" si="14"/>
        <v>108</v>
      </c>
      <c r="B108" s="67" t="s">
        <v>202</v>
      </c>
      <c r="C108" s="328">
        <v>1287659.56</v>
      </c>
      <c r="D108" s="328">
        <v>1208969.97</v>
      </c>
      <c r="E108" s="328">
        <v>1272049.53</v>
      </c>
      <c r="F108" s="328">
        <v>1487460.44</v>
      </c>
      <c r="G108" s="337">
        <v>1497920.28</v>
      </c>
      <c r="H108" s="328">
        <v>1535460.12</v>
      </c>
      <c r="I108" s="328">
        <v>376999.73</v>
      </c>
      <c r="J108" s="328">
        <v>1322769.8500000001</v>
      </c>
      <c r="K108" s="328">
        <v>1533370.33</v>
      </c>
      <c r="L108" s="328">
        <v>1622820.33</v>
      </c>
      <c r="M108" s="328">
        <v>1401679.76</v>
      </c>
      <c r="N108" s="337">
        <v>1359089.59</v>
      </c>
      <c r="O108" s="326">
        <f>SUM(C108:N108)</f>
        <v>15906249.49</v>
      </c>
      <c r="Q108" s="97" t="s">
        <v>8</v>
      </c>
      <c r="T108" s="97" t="s">
        <v>170</v>
      </c>
      <c r="U108" s="249">
        <f t="shared" si="23"/>
        <v>1622820.33</v>
      </c>
      <c r="V108" s="249">
        <f t="shared" si="24"/>
        <v>10</v>
      </c>
    </row>
    <row r="109" spans="1:22">
      <c r="A109" s="97">
        <f t="shared" si="14"/>
        <v>109</v>
      </c>
      <c r="B109" s="68" t="s">
        <v>203</v>
      </c>
      <c r="C109" s="330">
        <v>2410520.34</v>
      </c>
      <c r="D109" s="330">
        <v>1002579.56</v>
      </c>
      <c r="E109" s="330">
        <v>2416890.0099999998</v>
      </c>
      <c r="F109" s="330">
        <v>2392330.35</v>
      </c>
      <c r="G109" s="330">
        <v>1572720.43</v>
      </c>
      <c r="H109" s="330">
        <v>325760.46999999997</v>
      </c>
      <c r="I109" s="330">
        <v>344650.31</v>
      </c>
      <c r="J109" s="330">
        <v>321949.55</v>
      </c>
      <c r="K109" s="330">
        <v>308369.87</v>
      </c>
      <c r="L109" s="330">
        <v>406019.55</v>
      </c>
      <c r="M109" s="330">
        <v>341640.29</v>
      </c>
      <c r="N109" s="330">
        <v>2058830.28</v>
      </c>
      <c r="O109" s="331">
        <f>SUM(C109:N109)</f>
        <v>13902261.01</v>
      </c>
      <c r="Q109" s="97" t="s">
        <v>8</v>
      </c>
      <c r="T109" s="97" t="s">
        <v>170</v>
      </c>
      <c r="U109" s="249">
        <f t="shared" si="23"/>
        <v>2416890.0099999998</v>
      </c>
      <c r="V109" s="249">
        <f t="shared" si="24"/>
        <v>3</v>
      </c>
    </row>
    <row r="110" spans="1:22">
      <c r="A110" s="97">
        <f t="shared" si="14"/>
        <v>110</v>
      </c>
      <c r="B110" s="336" t="s">
        <v>204</v>
      </c>
      <c r="C110" s="326">
        <f t="shared" ref="C110:N110" si="26">SUM(C108:C109)</f>
        <v>3698179.9</v>
      </c>
      <c r="D110" s="326">
        <f t="shared" si="26"/>
        <v>2211549.5300000003</v>
      </c>
      <c r="E110" s="326">
        <f t="shared" si="26"/>
        <v>3688939.54</v>
      </c>
      <c r="F110" s="326">
        <f t="shared" si="26"/>
        <v>3879790.79</v>
      </c>
      <c r="G110" s="326">
        <f t="shared" si="26"/>
        <v>3070640.71</v>
      </c>
      <c r="H110" s="326">
        <f t="shared" si="26"/>
        <v>1861220.59</v>
      </c>
      <c r="I110" s="326">
        <f t="shared" si="26"/>
        <v>721650.04</v>
      </c>
      <c r="J110" s="326">
        <f t="shared" si="26"/>
        <v>1644719.4000000001</v>
      </c>
      <c r="K110" s="326">
        <f t="shared" si="26"/>
        <v>1841740.2000000002</v>
      </c>
      <c r="L110" s="326">
        <f t="shared" si="26"/>
        <v>2028839.8800000001</v>
      </c>
      <c r="M110" s="326">
        <f t="shared" si="26"/>
        <v>1743320.05</v>
      </c>
      <c r="N110" s="326">
        <f t="shared" si="26"/>
        <v>3417919.87</v>
      </c>
      <c r="O110" s="326">
        <f>SUM(C110:N110)</f>
        <v>29808510.499999996</v>
      </c>
      <c r="T110" s="249"/>
      <c r="U110" s="249"/>
      <c r="V110" s="249"/>
    </row>
    <row r="111" spans="1:22">
      <c r="A111" s="97">
        <f t="shared" si="14"/>
        <v>111</v>
      </c>
      <c r="B111" s="336"/>
      <c r="C111" s="249"/>
      <c r="D111" s="249"/>
      <c r="T111" s="249"/>
      <c r="U111" s="249"/>
      <c r="V111" s="249"/>
    </row>
    <row r="112" spans="1:22">
      <c r="A112" s="97">
        <f t="shared" si="14"/>
        <v>112</v>
      </c>
      <c r="B112" s="289" t="s">
        <v>205</v>
      </c>
      <c r="C112" s="348">
        <f t="shared" ref="C112:O112" si="27">+C105+C110</f>
        <v>4414680.05</v>
      </c>
      <c r="D112" s="348">
        <f t="shared" si="27"/>
        <v>2932328.6900000004</v>
      </c>
      <c r="E112" s="348">
        <f t="shared" si="27"/>
        <v>4407035.09</v>
      </c>
      <c r="F112" s="348">
        <f t="shared" si="27"/>
        <v>4402169.8</v>
      </c>
      <c r="G112" s="348">
        <f t="shared" si="27"/>
        <v>3762275.37</v>
      </c>
      <c r="H112" s="348">
        <f t="shared" si="27"/>
        <v>2527913.4000000004</v>
      </c>
      <c r="I112" s="348">
        <f t="shared" si="27"/>
        <v>1415091.5</v>
      </c>
      <c r="J112" s="348">
        <f t="shared" si="27"/>
        <v>2337453.5300000003</v>
      </c>
      <c r="K112" s="348">
        <f t="shared" si="27"/>
        <v>2500189.0200000005</v>
      </c>
      <c r="L112" s="348">
        <f t="shared" si="27"/>
        <v>2729835.6900000004</v>
      </c>
      <c r="M112" s="348">
        <f t="shared" si="27"/>
        <v>2460815.1</v>
      </c>
      <c r="N112" s="348">
        <f t="shared" si="27"/>
        <v>4239074.26</v>
      </c>
      <c r="O112" s="349">
        <f t="shared" si="27"/>
        <v>38128861.499999993</v>
      </c>
      <c r="T112" s="249"/>
      <c r="U112" s="249"/>
      <c r="V112" s="249"/>
    </row>
    <row r="113" spans="1:22">
      <c r="A113" s="97">
        <f t="shared" si="14"/>
        <v>113</v>
      </c>
      <c r="B113" s="336"/>
      <c r="C113" s="249">
        <f>+C110+C105+C94+C88</f>
        <v>29883794.379999999</v>
      </c>
      <c r="D113" s="249">
        <f>+D110+D105+D94+D88</f>
        <v>24464948.93</v>
      </c>
      <c r="E113" s="249">
        <f>+E110+E105+E94+E88</f>
        <v>28912817.419999998</v>
      </c>
      <c r="F113" s="249">
        <f t="shared" ref="F113:N113" si="28">+F110+F105+F94+F88</f>
        <v>27877375.939999998</v>
      </c>
      <c r="G113" s="249">
        <f t="shared" si="28"/>
        <v>27332400.5</v>
      </c>
      <c r="H113" s="249">
        <f>+H110+H105+H94+H88</f>
        <v>25308170.210000001</v>
      </c>
      <c r="I113" s="249">
        <f>+I110+I105+I94+I88</f>
        <v>23499487.299999997</v>
      </c>
      <c r="J113" s="249">
        <f>+J110+J105+J94+J88</f>
        <v>23046973.809999999</v>
      </c>
      <c r="K113" s="249">
        <f t="shared" si="28"/>
        <v>20886801.969999999</v>
      </c>
      <c r="L113" s="249">
        <f t="shared" si="28"/>
        <v>25555104.810000002</v>
      </c>
      <c r="M113" s="249">
        <f t="shared" si="28"/>
        <v>23323966.809999995</v>
      </c>
      <c r="N113" s="249">
        <f t="shared" si="28"/>
        <v>25300336.32</v>
      </c>
      <c r="T113" s="249"/>
      <c r="U113" s="249"/>
      <c r="V113" s="249"/>
    </row>
    <row r="114" spans="1:22">
      <c r="A114" s="97">
        <f t="shared" si="14"/>
        <v>114</v>
      </c>
      <c r="B114" s="289" t="s">
        <v>206</v>
      </c>
      <c r="C114" s="348">
        <f>+C100+C112</f>
        <v>43002642.50000003</v>
      </c>
      <c r="D114" s="348">
        <f t="shared" ref="D114:O114" si="29">+D100+D112</f>
        <v>36785785.540000029</v>
      </c>
      <c r="E114" s="348">
        <f t="shared" si="29"/>
        <v>40861775.670000017</v>
      </c>
      <c r="F114" s="348">
        <f t="shared" si="29"/>
        <v>37421280.170000032</v>
      </c>
      <c r="G114" s="348">
        <f t="shared" si="29"/>
        <v>36797724.810000032</v>
      </c>
      <c r="H114" s="348">
        <f t="shared" si="29"/>
        <v>34235760.040000059</v>
      </c>
      <c r="I114" s="348">
        <f t="shared" si="29"/>
        <v>32517800.350000028</v>
      </c>
      <c r="J114" s="348">
        <f t="shared" si="29"/>
        <v>32255176.290000025</v>
      </c>
      <c r="K114" s="348">
        <f t="shared" si="29"/>
        <v>29963650.400000013</v>
      </c>
      <c r="L114" s="348">
        <f t="shared" si="29"/>
        <v>35144852.430000059</v>
      </c>
      <c r="M114" s="348">
        <f t="shared" si="29"/>
        <v>33473460.610000044</v>
      </c>
      <c r="N114" s="348">
        <f t="shared" si="29"/>
        <v>37680186.150000021</v>
      </c>
      <c r="O114" s="349">
        <f t="shared" si="29"/>
        <v>430140094.9600004</v>
      </c>
      <c r="T114" s="249"/>
      <c r="U114" s="249"/>
      <c r="V114" s="249"/>
    </row>
    <row r="115" spans="1:22">
      <c r="A115" s="97">
        <f t="shared" si="14"/>
        <v>115</v>
      </c>
      <c r="B115" s="327" t="s">
        <v>123</v>
      </c>
      <c r="C115" s="249">
        <f>+C114-C110-C105-C94-C88</f>
        <v>13118848.120000031</v>
      </c>
    </row>
    <row r="116" spans="1:22">
      <c r="A116" s="97">
        <f t="shared" si="14"/>
        <v>116</v>
      </c>
      <c r="B116" s="174" t="s">
        <v>100</v>
      </c>
      <c r="C116" s="326">
        <f t="shared" ref="C116:C126" si="30">+C4</f>
        <v>9304.3399999999492</v>
      </c>
      <c r="D116" s="326">
        <f t="shared" ref="D116:D126" si="31">SUM(C4:D4)</f>
        <v>17995.319999999971</v>
      </c>
      <c r="E116" s="326">
        <f t="shared" ref="E116:E126" si="32">SUM(C4:E4)</f>
        <v>26163.72999999997</v>
      </c>
      <c r="F116" s="326">
        <f t="shared" ref="F116:F126" si="33">SUM(C4:F4)</f>
        <v>33723.879999999997</v>
      </c>
      <c r="G116" s="326">
        <f t="shared" ref="G116:G126" si="34">SUM(C4:G4)</f>
        <v>40807.68</v>
      </c>
      <c r="H116" s="326">
        <f t="shared" ref="H116:H126" si="35">SUM(C4:H4)</f>
        <v>46846.269999999931</v>
      </c>
      <c r="I116" s="326">
        <f t="shared" ref="I116:I126" si="36">SUM(C4:I4)</f>
        <v>53143.849999999911</v>
      </c>
      <c r="J116" s="326">
        <f t="shared" ref="J116:J126" si="37">SUM(C4:J4)</f>
        <v>58895.319999999883</v>
      </c>
      <c r="K116" s="326">
        <f t="shared" ref="K116:K126" si="38">SUM(C4:K4)</f>
        <v>64792.59999999986</v>
      </c>
      <c r="L116" s="326">
        <f t="shared" ref="L116:L126" si="39">SUM(C4:L4)</f>
        <v>70707.719999999885</v>
      </c>
      <c r="M116" s="326">
        <f t="shared" ref="M116:M126" si="40">SUM(C4:M4)</f>
        <v>77570.859999999928</v>
      </c>
      <c r="N116" s="326">
        <f t="shared" ref="N116:N126" si="41">SUM(C4:N4)</f>
        <v>87785.459999999934</v>
      </c>
      <c r="O116" s="326">
        <f t="shared" ref="O116:O127" si="42">SUM(C116:N116)</f>
        <v>587737.02999999921</v>
      </c>
      <c r="T116" s="249"/>
    </row>
    <row r="117" spans="1:22">
      <c r="A117" s="97">
        <f t="shared" si="14"/>
        <v>117</v>
      </c>
      <c r="B117" s="174" t="s">
        <v>101</v>
      </c>
      <c r="C117" s="326">
        <f t="shared" si="30"/>
        <v>30526.8100000001</v>
      </c>
      <c r="D117" s="326">
        <f t="shared" si="31"/>
        <v>59279.729999999799</v>
      </c>
      <c r="E117" s="326">
        <f t="shared" si="32"/>
        <v>85721.509999999893</v>
      </c>
      <c r="F117" s="326">
        <f t="shared" si="33"/>
        <v>111262.2599999996</v>
      </c>
      <c r="G117" s="326">
        <f t="shared" si="34"/>
        <v>134130.81999999951</v>
      </c>
      <c r="H117" s="326">
        <f t="shared" si="35"/>
        <v>153859.84999999963</v>
      </c>
      <c r="I117" s="326">
        <f t="shared" si="36"/>
        <v>175036.99999999942</v>
      </c>
      <c r="J117" s="326">
        <f t="shared" si="37"/>
        <v>193584.68999999962</v>
      </c>
      <c r="K117" s="326">
        <f t="shared" si="38"/>
        <v>213192.11999999973</v>
      </c>
      <c r="L117" s="326">
        <f t="shared" si="39"/>
        <v>231652.77999999974</v>
      </c>
      <c r="M117" s="326">
        <f t="shared" si="40"/>
        <v>253780.30999999953</v>
      </c>
      <c r="N117" s="326">
        <f t="shared" si="41"/>
        <v>288535.78999999934</v>
      </c>
      <c r="O117" s="326">
        <f t="shared" si="42"/>
        <v>1930563.669999996</v>
      </c>
      <c r="T117" s="249"/>
    </row>
    <row r="118" spans="1:22">
      <c r="A118" s="97">
        <f t="shared" si="14"/>
        <v>118</v>
      </c>
      <c r="B118" s="174" t="s">
        <v>102</v>
      </c>
      <c r="C118" s="326">
        <f t="shared" si="30"/>
        <v>282158.34000000003</v>
      </c>
      <c r="D118" s="326">
        <f t="shared" si="31"/>
        <v>539540.68000000704</v>
      </c>
      <c r="E118" s="326">
        <f t="shared" si="32"/>
        <v>788122.46000001405</v>
      </c>
      <c r="F118" s="326">
        <f t="shared" si="33"/>
        <v>980400.26000002108</v>
      </c>
      <c r="G118" s="326">
        <f t="shared" si="34"/>
        <v>1153095.140000025</v>
      </c>
      <c r="H118" s="326">
        <f t="shared" si="35"/>
        <v>1295518.1600000281</v>
      </c>
      <c r="I118" s="326">
        <f t="shared" si="36"/>
        <v>1441296.5800000331</v>
      </c>
      <c r="J118" s="326">
        <f t="shared" si="37"/>
        <v>1569524.6500000232</v>
      </c>
      <c r="K118" s="326">
        <f t="shared" si="38"/>
        <v>1703831.6400000171</v>
      </c>
      <c r="L118" s="326">
        <f t="shared" si="39"/>
        <v>1847093.4300000211</v>
      </c>
      <c r="M118" s="326">
        <f t="shared" si="40"/>
        <v>2023879.7900000312</v>
      </c>
      <c r="N118" s="326">
        <f t="shared" si="41"/>
        <v>2335465.2400000431</v>
      </c>
      <c r="O118" s="326">
        <f t="shared" si="42"/>
        <v>15959926.370000264</v>
      </c>
      <c r="T118" s="249"/>
    </row>
    <row r="119" spans="1:22">
      <c r="A119" s="97">
        <f t="shared" si="14"/>
        <v>119</v>
      </c>
      <c r="B119" s="174" t="s">
        <v>103</v>
      </c>
      <c r="C119" s="326">
        <f t="shared" si="30"/>
        <v>77820.039999999994</v>
      </c>
      <c r="D119" s="326">
        <f t="shared" si="31"/>
        <v>146978.16999999998</v>
      </c>
      <c r="E119" s="326">
        <f t="shared" si="32"/>
        <v>219652.11999999988</v>
      </c>
      <c r="F119" s="326">
        <f t="shared" si="33"/>
        <v>251446.18999999989</v>
      </c>
      <c r="G119" s="326">
        <f t="shared" si="34"/>
        <v>275109.59999999986</v>
      </c>
      <c r="H119" s="326">
        <f t="shared" si="35"/>
        <v>290926.14999999985</v>
      </c>
      <c r="I119" s="326">
        <f t="shared" si="36"/>
        <v>306015.29999999987</v>
      </c>
      <c r="J119" s="326">
        <f t="shared" si="37"/>
        <v>318219.77999999985</v>
      </c>
      <c r="K119" s="326">
        <f t="shared" si="38"/>
        <v>330984.63999999984</v>
      </c>
      <c r="L119" s="326">
        <f t="shared" si="39"/>
        <v>347391.59999999986</v>
      </c>
      <c r="M119" s="326">
        <f t="shared" si="40"/>
        <v>372060.36999999976</v>
      </c>
      <c r="N119" s="326">
        <f t="shared" si="41"/>
        <v>426417.79999999976</v>
      </c>
      <c r="O119" s="326">
        <f t="shared" si="42"/>
        <v>3363021.7599999984</v>
      </c>
      <c r="T119" s="249"/>
    </row>
    <row r="120" spans="1:22">
      <c r="A120" s="97">
        <f t="shared" si="14"/>
        <v>120</v>
      </c>
      <c r="B120" s="174" t="s">
        <v>104</v>
      </c>
      <c r="C120" s="326">
        <f t="shared" si="30"/>
        <v>83012.129999999903</v>
      </c>
      <c r="D120" s="326">
        <f t="shared" si="31"/>
        <v>160101.8599999999</v>
      </c>
      <c r="E120" s="326">
        <f t="shared" si="32"/>
        <v>232028.4399999998</v>
      </c>
      <c r="F120" s="326">
        <f t="shared" si="33"/>
        <v>255156.07999999978</v>
      </c>
      <c r="G120" s="326">
        <f t="shared" si="34"/>
        <v>270688.76999999979</v>
      </c>
      <c r="H120" s="326">
        <f t="shared" si="35"/>
        <v>282569.39999999979</v>
      </c>
      <c r="I120" s="326">
        <f t="shared" si="36"/>
        <v>295003.22999999981</v>
      </c>
      <c r="J120" s="326">
        <f t="shared" si="37"/>
        <v>304480.00999999983</v>
      </c>
      <c r="K120" s="326">
        <f t="shared" si="38"/>
        <v>313171.90999999986</v>
      </c>
      <c r="L120" s="326">
        <f t="shared" si="39"/>
        <v>326588.21999999986</v>
      </c>
      <c r="M120" s="326">
        <f t="shared" si="40"/>
        <v>350101.14999999985</v>
      </c>
      <c r="N120" s="326">
        <f t="shared" si="41"/>
        <v>409436.17999999982</v>
      </c>
      <c r="O120" s="326">
        <f t="shared" si="42"/>
        <v>3282337.3799999976</v>
      </c>
      <c r="T120" s="249"/>
    </row>
    <row r="121" spans="1:22">
      <c r="A121" s="97">
        <f t="shared" si="14"/>
        <v>121</v>
      </c>
      <c r="B121" s="329" t="s">
        <v>105</v>
      </c>
      <c r="C121" s="326">
        <f t="shared" si="30"/>
        <v>6290.37</v>
      </c>
      <c r="D121" s="326">
        <f t="shared" si="31"/>
        <v>11332.89</v>
      </c>
      <c r="E121" s="326">
        <f t="shared" si="32"/>
        <v>15838.09</v>
      </c>
      <c r="F121" s="326">
        <f t="shared" si="33"/>
        <v>17303.82</v>
      </c>
      <c r="G121" s="326">
        <f t="shared" si="34"/>
        <v>18718.82</v>
      </c>
      <c r="H121" s="326">
        <f t="shared" si="35"/>
        <v>19784.14</v>
      </c>
      <c r="I121" s="326">
        <f t="shared" si="36"/>
        <v>20573.07</v>
      </c>
      <c r="J121" s="326">
        <f t="shared" si="37"/>
        <v>20967.39</v>
      </c>
      <c r="K121" s="326">
        <f t="shared" si="38"/>
        <v>21651.53</v>
      </c>
      <c r="L121" s="326">
        <f t="shared" si="39"/>
        <v>22994.36</v>
      </c>
      <c r="M121" s="326">
        <f t="shared" si="40"/>
        <v>25389.940000000002</v>
      </c>
      <c r="N121" s="326">
        <f t="shared" si="41"/>
        <v>32448.590000000004</v>
      </c>
      <c r="O121" s="326">
        <f t="shared" si="42"/>
        <v>233293.00999999998</v>
      </c>
      <c r="T121" s="249"/>
    </row>
    <row r="122" spans="1:22">
      <c r="A122" s="97">
        <f t="shared" si="14"/>
        <v>122</v>
      </c>
      <c r="B122" s="329" t="s">
        <v>106</v>
      </c>
      <c r="C122" s="326">
        <f t="shared" si="30"/>
        <v>0</v>
      </c>
      <c r="D122" s="326">
        <f t="shared" si="31"/>
        <v>0</v>
      </c>
      <c r="E122" s="326">
        <f t="shared" si="32"/>
        <v>0</v>
      </c>
      <c r="F122" s="326">
        <f t="shared" si="33"/>
        <v>0</v>
      </c>
      <c r="G122" s="326">
        <f t="shared" si="34"/>
        <v>0</v>
      </c>
      <c r="H122" s="326">
        <f t="shared" si="35"/>
        <v>0</v>
      </c>
      <c r="I122" s="326">
        <f t="shared" si="36"/>
        <v>0</v>
      </c>
      <c r="J122" s="326">
        <f t="shared" si="37"/>
        <v>0</v>
      </c>
      <c r="K122" s="326">
        <f t="shared" si="38"/>
        <v>0</v>
      </c>
      <c r="L122" s="326">
        <f t="shared" si="39"/>
        <v>0</v>
      </c>
      <c r="M122" s="326">
        <f t="shared" si="40"/>
        <v>0</v>
      </c>
      <c r="N122" s="326">
        <f t="shared" si="41"/>
        <v>0</v>
      </c>
      <c r="O122" s="326">
        <f t="shared" si="42"/>
        <v>0</v>
      </c>
      <c r="T122" s="249"/>
    </row>
    <row r="123" spans="1:22">
      <c r="A123" s="97">
        <f t="shared" si="14"/>
        <v>123</v>
      </c>
      <c r="B123" s="329" t="s">
        <v>126</v>
      </c>
      <c r="C123" s="326">
        <f t="shared" si="30"/>
        <v>1891241.4500000305</v>
      </c>
      <c r="D123" s="326">
        <f t="shared" si="31"/>
        <v>3569115.2500000624</v>
      </c>
      <c r="E123" s="326">
        <f t="shared" si="32"/>
        <v>5090749.3500000695</v>
      </c>
      <c r="F123" s="326">
        <f t="shared" si="33"/>
        <v>6491220.8400000986</v>
      </c>
      <c r="G123" s="326">
        <f t="shared" si="34"/>
        <v>7797953.6400001291</v>
      </c>
      <c r="H123" s="326">
        <f t="shared" si="35"/>
        <v>8791166.6300001796</v>
      </c>
      <c r="I123" s="326">
        <f t="shared" si="36"/>
        <v>9644768.1500002071</v>
      </c>
      <c r="J123" s="326">
        <f t="shared" si="37"/>
        <v>10412051.930000242</v>
      </c>
      <c r="K123" s="326">
        <f t="shared" si="38"/>
        <v>11175411.620000267</v>
      </c>
      <c r="L123" s="326">
        <f t="shared" si="39"/>
        <v>12007354.740000321</v>
      </c>
      <c r="M123" s="326">
        <f t="shared" si="40"/>
        <v>13183342.930000359</v>
      </c>
      <c r="N123" s="326">
        <f t="shared" si="41"/>
        <v>15075452.140000366</v>
      </c>
      <c r="O123" s="326">
        <f t="shared" si="42"/>
        <v>105129828.67000234</v>
      </c>
      <c r="T123" s="249"/>
    </row>
    <row r="124" spans="1:22">
      <c r="A124" s="97">
        <f t="shared" si="14"/>
        <v>124</v>
      </c>
      <c r="B124" s="329" t="s">
        <v>128</v>
      </c>
      <c r="C124" s="326">
        <f t="shared" si="30"/>
        <v>8879.6400000000049</v>
      </c>
      <c r="D124" s="326">
        <f t="shared" si="31"/>
        <v>17068.43</v>
      </c>
      <c r="E124" s="326">
        <f t="shared" si="32"/>
        <v>23996.69</v>
      </c>
      <c r="F124" s="326">
        <f t="shared" si="33"/>
        <v>30823.86</v>
      </c>
      <c r="G124" s="326">
        <f t="shared" si="34"/>
        <v>37066.889999999992</v>
      </c>
      <c r="H124" s="326">
        <f t="shared" si="35"/>
        <v>41166.339999999989</v>
      </c>
      <c r="I124" s="326">
        <f t="shared" si="36"/>
        <v>43787.589999999989</v>
      </c>
      <c r="J124" s="326">
        <f t="shared" si="37"/>
        <v>46224.099999999984</v>
      </c>
      <c r="K124" s="326">
        <f t="shared" si="38"/>
        <v>48716.449999999983</v>
      </c>
      <c r="L124" s="326">
        <f t="shared" si="39"/>
        <v>51796.199999999983</v>
      </c>
      <c r="M124" s="326">
        <f t="shared" si="40"/>
        <v>58802.199999999983</v>
      </c>
      <c r="N124" s="326">
        <f t="shared" si="41"/>
        <v>67503.669999999984</v>
      </c>
      <c r="O124" s="326">
        <f t="shared" si="42"/>
        <v>475832.05999999988</v>
      </c>
      <c r="T124" s="249"/>
    </row>
    <row r="125" spans="1:22">
      <c r="A125" s="97">
        <f t="shared" si="14"/>
        <v>125</v>
      </c>
      <c r="B125" s="329" t="s">
        <v>98</v>
      </c>
      <c r="C125" s="326">
        <f t="shared" si="30"/>
        <v>8151.8499999999776</v>
      </c>
      <c r="D125" s="326">
        <f t="shared" si="31"/>
        <v>15701.309999999945</v>
      </c>
      <c r="E125" s="326">
        <f t="shared" si="32"/>
        <v>22499.149999999914</v>
      </c>
      <c r="F125" s="326">
        <f t="shared" si="33"/>
        <v>28508.299999999886</v>
      </c>
      <c r="G125" s="326">
        <f t="shared" si="34"/>
        <v>33831.539999999892</v>
      </c>
      <c r="H125" s="326">
        <f t="shared" si="35"/>
        <v>38407.369999999886</v>
      </c>
      <c r="I125" s="326">
        <f t="shared" si="36"/>
        <v>43107.379999999881</v>
      </c>
      <c r="J125" s="326">
        <f t="shared" si="37"/>
        <v>47212.229999999894</v>
      </c>
      <c r="K125" s="326">
        <f t="shared" si="38"/>
        <v>51864.499999999891</v>
      </c>
      <c r="L125" s="326">
        <f t="shared" si="39"/>
        <v>56533.089999999887</v>
      </c>
      <c r="M125" s="326">
        <f t="shared" si="40"/>
        <v>61741.729999999909</v>
      </c>
      <c r="N125" s="326">
        <f t="shared" si="41"/>
        <v>69665.909999999887</v>
      </c>
      <c r="O125" s="326">
        <f t="shared" si="42"/>
        <v>477224.35999999894</v>
      </c>
      <c r="T125" s="249"/>
    </row>
    <row r="126" spans="1:22">
      <c r="A126" s="97">
        <f t="shared" si="14"/>
        <v>126</v>
      </c>
      <c r="B126" s="329" t="s">
        <v>93</v>
      </c>
      <c r="C126" s="331">
        <f t="shared" si="30"/>
        <v>12095.140000000001</v>
      </c>
      <c r="D126" s="331">
        <f t="shared" si="31"/>
        <v>21928.280000000006</v>
      </c>
      <c r="E126" s="331">
        <f t="shared" si="32"/>
        <v>32080.770000000008</v>
      </c>
      <c r="F126" s="331">
        <f t="shared" si="33"/>
        <v>42949.209999999992</v>
      </c>
      <c r="G126" s="331">
        <f t="shared" si="34"/>
        <v>53054.729999999996</v>
      </c>
      <c r="H126" s="331">
        <f t="shared" si="35"/>
        <v>62093.01</v>
      </c>
      <c r="I126" s="331">
        <f t="shared" si="36"/>
        <v>72120.98</v>
      </c>
      <c r="J126" s="331">
        <f t="shared" si="37"/>
        <v>80532.340000000011</v>
      </c>
      <c r="K126" s="331">
        <f t="shared" si="38"/>
        <v>89383.27</v>
      </c>
      <c r="L126" s="331">
        <f t="shared" si="39"/>
        <v>98115.12</v>
      </c>
      <c r="M126" s="331">
        <f t="shared" si="40"/>
        <v>108674.40999999999</v>
      </c>
      <c r="N126" s="331">
        <f t="shared" si="41"/>
        <v>120526.06999999999</v>
      </c>
      <c r="O126" s="331">
        <f t="shared" si="42"/>
        <v>793553.33000000007</v>
      </c>
      <c r="T126" s="249"/>
    </row>
    <row r="127" spans="1:22">
      <c r="A127" s="97">
        <f t="shared" si="14"/>
        <v>127</v>
      </c>
      <c r="B127" s="332" t="s">
        <v>131</v>
      </c>
      <c r="C127" s="326">
        <f>SUM(C116:C126)</f>
        <v>2409480.1100000306</v>
      </c>
      <c r="D127" s="326">
        <f t="shared" ref="D127:N127" si="43">SUM(D116:D126)</f>
        <v>4559041.9200000688</v>
      </c>
      <c r="E127" s="326">
        <f t="shared" si="43"/>
        <v>6536852.3100000834</v>
      </c>
      <c r="F127" s="326">
        <f t="shared" si="43"/>
        <v>8242794.7000001194</v>
      </c>
      <c r="G127" s="326">
        <f t="shared" si="43"/>
        <v>9814457.6300001536</v>
      </c>
      <c r="H127" s="326">
        <f t="shared" si="43"/>
        <v>11022337.320000205</v>
      </c>
      <c r="I127" s="326">
        <f t="shared" si="43"/>
        <v>12094853.130000237</v>
      </c>
      <c r="J127" s="326">
        <f t="shared" si="43"/>
        <v>13051692.440000264</v>
      </c>
      <c r="K127" s="326">
        <f t="shared" si="43"/>
        <v>14013000.280000282</v>
      </c>
      <c r="L127" s="326">
        <f t="shared" si="43"/>
        <v>15060227.260000339</v>
      </c>
      <c r="M127" s="326">
        <f t="shared" si="43"/>
        <v>16515343.690000389</v>
      </c>
      <c r="N127" s="326">
        <f t="shared" si="43"/>
        <v>18913236.850000408</v>
      </c>
      <c r="O127" s="326">
        <f t="shared" si="42"/>
        <v>132233317.64000258</v>
      </c>
      <c r="T127" s="249"/>
    </row>
    <row r="128" spans="1:22">
      <c r="A128" s="97">
        <f t="shared" si="14"/>
        <v>128</v>
      </c>
      <c r="B128" s="327" t="s">
        <v>132</v>
      </c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T128" s="249"/>
    </row>
    <row r="129" spans="1:20">
      <c r="A129" s="97">
        <f t="shared" si="14"/>
        <v>129</v>
      </c>
      <c r="B129" s="174" t="s">
        <v>100</v>
      </c>
      <c r="C129" s="326">
        <f t="shared" ref="C129:C135" si="44">+C17</f>
        <v>399.16</v>
      </c>
      <c r="D129" s="326">
        <f t="shared" ref="D129:D135" si="45">SUM(C17:D17)</f>
        <v>705.47</v>
      </c>
      <c r="E129" s="326">
        <f t="shared" ref="E129:E135" si="46">SUM(C17:E17)</f>
        <v>1867.23</v>
      </c>
      <c r="F129" s="326">
        <f t="shared" ref="F129:F135" si="47">SUM(C17:F17)</f>
        <v>1280.3899999999999</v>
      </c>
      <c r="G129" s="326">
        <f t="shared" ref="G129:G135" si="48">SUM(C17:G17)</f>
        <v>1566.8899999999999</v>
      </c>
      <c r="H129" s="326">
        <f t="shared" ref="H129:H135" si="49">SUM(C17:H17)</f>
        <v>1734.8</v>
      </c>
      <c r="I129" s="326">
        <f t="shared" ref="I129:I135" si="50">SUM(C17:I17)</f>
        <v>1898.74</v>
      </c>
      <c r="J129" s="326">
        <f t="shared" ref="J129:J135" si="51">SUM(C17:J17)</f>
        <v>2029.99</v>
      </c>
      <c r="K129" s="326">
        <f t="shared" ref="K129:K135" si="52">SUM(C17:K17)</f>
        <v>2166.7600000000002</v>
      </c>
      <c r="L129" s="326">
        <f t="shared" ref="L129:L135" si="53">SUM(C17:L17)</f>
        <v>2333.6800000000003</v>
      </c>
      <c r="M129" s="326">
        <f t="shared" ref="M129:M135" si="54">SUM(C17:M17)</f>
        <v>2596.5700000000002</v>
      </c>
      <c r="N129" s="326">
        <f t="shared" ref="N129:N135" si="55">SUM(C17:N17)</f>
        <v>2922.77</v>
      </c>
      <c r="O129" s="326">
        <f t="shared" ref="O129:O136" si="56">SUM(C129:N129)</f>
        <v>21502.45</v>
      </c>
      <c r="T129" s="249"/>
    </row>
    <row r="130" spans="1:20">
      <c r="A130" s="97">
        <f t="shared" si="14"/>
        <v>130</v>
      </c>
      <c r="B130" s="174" t="s">
        <v>101</v>
      </c>
      <c r="C130" s="326">
        <f t="shared" si="44"/>
        <v>928.23</v>
      </c>
      <c r="D130" s="326">
        <f t="shared" si="45"/>
        <v>1798.13</v>
      </c>
      <c r="E130" s="326">
        <f t="shared" si="46"/>
        <v>2519.4500000000003</v>
      </c>
      <c r="F130" s="326">
        <f t="shared" si="47"/>
        <v>3220.71</v>
      </c>
      <c r="G130" s="326">
        <f t="shared" si="48"/>
        <v>3862.09</v>
      </c>
      <c r="H130" s="326">
        <f t="shared" si="49"/>
        <v>4421.66</v>
      </c>
      <c r="I130" s="326">
        <f t="shared" si="50"/>
        <v>5005.91</v>
      </c>
      <c r="J130" s="326">
        <f t="shared" si="51"/>
        <v>5541.28</v>
      </c>
      <c r="K130" s="326">
        <f t="shared" si="52"/>
        <v>6088.71</v>
      </c>
      <c r="L130" s="326">
        <f t="shared" si="53"/>
        <v>6629.14</v>
      </c>
      <c r="M130" s="326">
        <f t="shared" si="54"/>
        <v>7247.1</v>
      </c>
      <c r="N130" s="326">
        <f t="shared" si="55"/>
        <v>8157.1500000000005</v>
      </c>
      <c r="O130" s="326">
        <f t="shared" si="56"/>
        <v>55419.56</v>
      </c>
      <c r="T130" s="249"/>
    </row>
    <row r="131" spans="1:20">
      <c r="A131" s="97">
        <f t="shared" ref="A131:A194" si="57">+A130+1</f>
        <v>131</v>
      </c>
      <c r="B131" s="174" t="s">
        <v>102</v>
      </c>
      <c r="C131" s="326">
        <f t="shared" si="44"/>
        <v>3786.61</v>
      </c>
      <c r="D131" s="326">
        <f t="shared" si="45"/>
        <v>7155.9400000000005</v>
      </c>
      <c r="E131" s="326">
        <f t="shared" si="46"/>
        <v>10050.370000000001</v>
      </c>
      <c r="F131" s="326">
        <f t="shared" si="47"/>
        <v>12733.550000000001</v>
      </c>
      <c r="G131" s="326">
        <f t="shared" si="48"/>
        <v>15110.02</v>
      </c>
      <c r="H131" s="326">
        <f t="shared" si="49"/>
        <v>17222.25</v>
      </c>
      <c r="I131" s="326">
        <f t="shared" si="50"/>
        <v>19310.79</v>
      </c>
      <c r="J131" s="326">
        <f t="shared" si="51"/>
        <v>21064.33</v>
      </c>
      <c r="K131" s="326">
        <f t="shared" si="52"/>
        <v>22974.070000000003</v>
      </c>
      <c r="L131" s="326">
        <f t="shared" si="53"/>
        <v>24901.780000000002</v>
      </c>
      <c r="M131" s="326">
        <f t="shared" si="54"/>
        <v>27111.86</v>
      </c>
      <c r="N131" s="326">
        <f t="shared" si="55"/>
        <v>31146.39</v>
      </c>
      <c r="O131" s="326">
        <f t="shared" si="56"/>
        <v>212567.96000000002</v>
      </c>
      <c r="T131" s="249"/>
    </row>
    <row r="132" spans="1:20">
      <c r="A132" s="97">
        <f t="shared" si="57"/>
        <v>132</v>
      </c>
      <c r="B132" s="174" t="s">
        <v>103</v>
      </c>
      <c r="C132" s="326">
        <f t="shared" si="44"/>
        <v>1803.85</v>
      </c>
      <c r="D132" s="326">
        <f t="shared" si="45"/>
        <v>3527.5699999999997</v>
      </c>
      <c r="E132" s="326">
        <f t="shared" si="46"/>
        <v>4995.54</v>
      </c>
      <c r="F132" s="326">
        <f t="shared" si="47"/>
        <v>5764.14</v>
      </c>
      <c r="G132" s="326">
        <f t="shared" si="48"/>
        <v>5972.93</v>
      </c>
      <c r="H132" s="326">
        <f t="shared" si="49"/>
        <v>6321.47</v>
      </c>
      <c r="I132" s="326">
        <f t="shared" si="50"/>
        <v>6725.25</v>
      </c>
      <c r="J132" s="326">
        <f t="shared" si="51"/>
        <v>7080.49</v>
      </c>
      <c r="K132" s="326">
        <f t="shared" si="52"/>
        <v>7472.96</v>
      </c>
      <c r="L132" s="326">
        <f t="shared" si="53"/>
        <v>8040.23</v>
      </c>
      <c r="M132" s="326">
        <f t="shared" si="54"/>
        <v>8849.85</v>
      </c>
      <c r="N132" s="326">
        <f t="shared" si="55"/>
        <v>10261.370000000001</v>
      </c>
      <c r="O132" s="326">
        <f t="shared" si="56"/>
        <v>76815.649999999994</v>
      </c>
      <c r="T132" s="249"/>
    </row>
    <row r="133" spans="1:20">
      <c r="A133" s="97">
        <f t="shared" si="57"/>
        <v>133</v>
      </c>
      <c r="B133" s="174" t="s">
        <v>104</v>
      </c>
      <c r="C133" s="326">
        <f t="shared" si="44"/>
        <v>1705.72</v>
      </c>
      <c r="D133" s="326">
        <f t="shared" si="45"/>
        <v>3470.0699999999997</v>
      </c>
      <c r="E133" s="326">
        <f t="shared" si="46"/>
        <v>4921.8899999999994</v>
      </c>
      <c r="F133" s="326">
        <f t="shared" si="47"/>
        <v>5470.5499999999993</v>
      </c>
      <c r="G133" s="326">
        <f t="shared" si="48"/>
        <v>5841.9899999999989</v>
      </c>
      <c r="H133" s="326">
        <f t="shared" si="49"/>
        <v>5983.829999999999</v>
      </c>
      <c r="I133" s="326">
        <f t="shared" si="50"/>
        <v>6147.9299999999994</v>
      </c>
      <c r="J133" s="326">
        <f t="shared" si="51"/>
        <v>6252.49</v>
      </c>
      <c r="K133" s="326">
        <f t="shared" si="52"/>
        <v>6400.57</v>
      </c>
      <c r="L133" s="326">
        <f t="shared" si="53"/>
        <v>6455.0599999999995</v>
      </c>
      <c r="M133" s="326">
        <f t="shared" si="54"/>
        <v>6800.53</v>
      </c>
      <c r="N133" s="326">
        <f t="shared" si="55"/>
        <v>7897.3099999999995</v>
      </c>
      <c r="O133" s="326">
        <f t="shared" si="56"/>
        <v>67347.939999999988</v>
      </c>
      <c r="T133" s="249"/>
    </row>
    <row r="134" spans="1:20">
      <c r="A134" s="97">
        <f t="shared" si="57"/>
        <v>134</v>
      </c>
      <c r="B134" s="329" t="s">
        <v>105</v>
      </c>
      <c r="C134" s="326">
        <f t="shared" si="44"/>
        <v>0</v>
      </c>
      <c r="D134" s="326">
        <f t="shared" si="45"/>
        <v>0</v>
      </c>
      <c r="E134" s="326">
        <f t="shared" si="46"/>
        <v>0</v>
      </c>
      <c r="F134" s="326">
        <f t="shared" si="47"/>
        <v>0</v>
      </c>
      <c r="G134" s="326">
        <f t="shared" si="48"/>
        <v>0</v>
      </c>
      <c r="H134" s="326">
        <f t="shared" si="49"/>
        <v>0</v>
      </c>
      <c r="I134" s="326">
        <f t="shared" si="50"/>
        <v>0</v>
      </c>
      <c r="J134" s="326">
        <f t="shared" si="51"/>
        <v>0</v>
      </c>
      <c r="K134" s="326">
        <f t="shared" si="52"/>
        <v>0</v>
      </c>
      <c r="L134" s="326">
        <f t="shared" si="53"/>
        <v>0</v>
      </c>
      <c r="M134" s="326">
        <f t="shared" si="54"/>
        <v>0</v>
      </c>
      <c r="N134" s="326">
        <f t="shared" si="55"/>
        <v>0</v>
      </c>
      <c r="O134" s="326">
        <f t="shared" si="56"/>
        <v>0</v>
      </c>
      <c r="T134" s="249"/>
    </row>
    <row r="135" spans="1:20">
      <c r="A135" s="97">
        <f t="shared" si="57"/>
        <v>135</v>
      </c>
      <c r="B135" s="329" t="s">
        <v>106</v>
      </c>
      <c r="C135" s="331">
        <f t="shared" si="44"/>
        <v>0</v>
      </c>
      <c r="D135" s="331">
        <f t="shared" si="45"/>
        <v>0</v>
      </c>
      <c r="E135" s="331">
        <f t="shared" si="46"/>
        <v>0</v>
      </c>
      <c r="F135" s="331">
        <f t="shared" si="47"/>
        <v>0</v>
      </c>
      <c r="G135" s="331">
        <f t="shared" si="48"/>
        <v>0</v>
      </c>
      <c r="H135" s="331">
        <f t="shared" si="49"/>
        <v>0</v>
      </c>
      <c r="I135" s="331">
        <f t="shared" si="50"/>
        <v>0</v>
      </c>
      <c r="J135" s="331">
        <f t="shared" si="51"/>
        <v>0</v>
      </c>
      <c r="K135" s="331">
        <f t="shared" si="52"/>
        <v>0</v>
      </c>
      <c r="L135" s="331">
        <f t="shared" si="53"/>
        <v>0</v>
      </c>
      <c r="M135" s="331">
        <f t="shared" si="54"/>
        <v>0</v>
      </c>
      <c r="N135" s="331">
        <f t="shared" si="55"/>
        <v>0</v>
      </c>
      <c r="O135" s="331">
        <f t="shared" si="56"/>
        <v>0</v>
      </c>
      <c r="T135" s="249"/>
    </row>
    <row r="136" spans="1:20">
      <c r="A136" s="97">
        <f t="shared" si="57"/>
        <v>136</v>
      </c>
      <c r="B136" s="332" t="s">
        <v>134</v>
      </c>
      <c r="C136" s="326">
        <f t="shared" ref="C136:N136" si="58">SUM(C129:C135)</f>
        <v>8623.57</v>
      </c>
      <c r="D136" s="326">
        <f t="shared" si="58"/>
        <v>16657.18</v>
      </c>
      <c r="E136" s="326">
        <f t="shared" si="58"/>
        <v>24354.48</v>
      </c>
      <c r="F136" s="326">
        <f t="shared" si="58"/>
        <v>28469.34</v>
      </c>
      <c r="G136" s="326">
        <f t="shared" si="58"/>
        <v>32353.919999999998</v>
      </c>
      <c r="H136" s="326">
        <f t="shared" si="58"/>
        <v>35684.01</v>
      </c>
      <c r="I136" s="326">
        <f t="shared" si="58"/>
        <v>39088.620000000003</v>
      </c>
      <c r="J136" s="326">
        <f t="shared" si="58"/>
        <v>41968.58</v>
      </c>
      <c r="K136" s="326">
        <f t="shared" si="58"/>
        <v>45103.070000000007</v>
      </c>
      <c r="L136" s="326">
        <f t="shared" si="58"/>
        <v>48359.89</v>
      </c>
      <c r="M136" s="326">
        <f t="shared" si="58"/>
        <v>52605.909999999996</v>
      </c>
      <c r="N136" s="326">
        <f t="shared" si="58"/>
        <v>60384.99</v>
      </c>
      <c r="O136" s="326">
        <f t="shared" si="56"/>
        <v>433653.56</v>
      </c>
      <c r="T136" s="249"/>
    </row>
    <row r="137" spans="1:20">
      <c r="A137" s="97">
        <f t="shared" si="57"/>
        <v>137</v>
      </c>
      <c r="B137" s="284" t="s">
        <v>135</v>
      </c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T137" s="249"/>
    </row>
    <row r="138" spans="1:20">
      <c r="A138" s="97">
        <f t="shared" si="57"/>
        <v>138</v>
      </c>
      <c r="B138" s="174" t="s">
        <v>100</v>
      </c>
      <c r="C138" s="326">
        <f t="shared" ref="C138:C173" si="59">+C26</f>
        <v>33.29</v>
      </c>
      <c r="D138" s="326">
        <f t="shared" ref="D138:D173" si="60">SUM(C26:D26)</f>
        <v>71.91</v>
      </c>
      <c r="E138" s="326">
        <f t="shared" ref="E138:E173" si="61">SUM(C26:E26)</f>
        <v>106.28999999999999</v>
      </c>
      <c r="F138" s="326">
        <f t="shared" ref="F138:F173" si="62">SUM(C26:F26)</f>
        <v>130.48999999999998</v>
      </c>
      <c r="G138" s="326">
        <f t="shared" ref="G138:G173" si="63">SUM(C26:G26)</f>
        <v>151.42999999999998</v>
      </c>
      <c r="H138" s="326">
        <f t="shared" ref="H138:H173" si="64">SUM(C26:H26)</f>
        <v>170.24999999999997</v>
      </c>
      <c r="I138" s="326">
        <f t="shared" ref="I138:I173" si="65">SUM(C26:I26)</f>
        <v>193.42999999999998</v>
      </c>
      <c r="J138" s="326">
        <f t="shared" ref="J138:J173" si="66">SUM(C26:J26)</f>
        <v>212.26</v>
      </c>
      <c r="K138" s="326">
        <f t="shared" ref="K138:K173" si="67">SUM(C26:K26)</f>
        <v>234.22</v>
      </c>
      <c r="L138" s="326">
        <f t="shared" ref="L138:L173" si="68">SUM(C26:L26)</f>
        <v>256.11</v>
      </c>
      <c r="M138" s="326">
        <f t="shared" ref="M138:M173" si="69">SUM(C26:M26)</f>
        <v>277.19</v>
      </c>
      <c r="N138" s="326">
        <f t="shared" ref="N138:N173" si="70">SUM(C26:N26)</f>
        <v>324.19</v>
      </c>
      <c r="O138" s="326">
        <f t="shared" ref="O138:O173" si="71">SUM(C138:N138)</f>
        <v>2161.06</v>
      </c>
      <c r="T138" s="249"/>
    </row>
    <row r="139" spans="1:20">
      <c r="A139" s="97">
        <f t="shared" si="57"/>
        <v>139</v>
      </c>
      <c r="B139" s="174" t="s">
        <v>101</v>
      </c>
      <c r="C139" s="326">
        <f t="shared" si="59"/>
        <v>98.33</v>
      </c>
      <c r="D139" s="326">
        <f t="shared" si="60"/>
        <v>174.86</v>
      </c>
      <c r="E139" s="326">
        <f t="shared" si="61"/>
        <v>240.46</v>
      </c>
      <c r="F139" s="326">
        <f t="shared" si="62"/>
        <v>302.12</v>
      </c>
      <c r="G139" s="326">
        <f t="shared" si="63"/>
        <v>357.31</v>
      </c>
      <c r="H139" s="326">
        <f t="shared" si="64"/>
        <v>410.34000000000003</v>
      </c>
      <c r="I139" s="326">
        <f t="shared" si="65"/>
        <v>469.63000000000005</v>
      </c>
      <c r="J139" s="326">
        <f t="shared" si="66"/>
        <v>522.82000000000005</v>
      </c>
      <c r="K139" s="326">
        <f t="shared" si="67"/>
        <v>578.11</v>
      </c>
      <c r="L139" s="326">
        <f t="shared" si="68"/>
        <v>637.56000000000006</v>
      </c>
      <c r="M139" s="326">
        <f t="shared" si="69"/>
        <v>702.36</v>
      </c>
      <c r="N139" s="326">
        <f t="shared" si="70"/>
        <v>833.05</v>
      </c>
      <c r="O139" s="326">
        <f t="shared" si="71"/>
        <v>5326.9500000000007</v>
      </c>
      <c r="T139" s="249"/>
    </row>
    <row r="140" spans="1:20">
      <c r="A140" s="97">
        <f t="shared" si="57"/>
        <v>140</v>
      </c>
      <c r="B140" s="174" t="s">
        <v>102</v>
      </c>
      <c r="C140" s="326">
        <f t="shared" si="59"/>
        <v>5955.12</v>
      </c>
      <c r="D140" s="326">
        <f t="shared" si="60"/>
        <v>10566.25</v>
      </c>
      <c r="E140" s="326">
        <f t="shared" si="61"/>
        <v>16191.07</v>
      </c>
      <c r="F140" s="326">
        <f t="shared" si="62"/>
        <v>19453.57</v>
      </c>
      <c r="G140" s="326">
        <f t="shared" si="63"/>
        <v>24174.03</v>
      </c>
      <c r="H140" s="326">
        <f t="shared" si="64"/>
        <v>26987.739999999998</v>
      </c>
      <c r="I140" s="326">
        <f t="shared" si="65"/>
        <v>30764.829999999998</v>
      </c>
      <c r="J140" s="326">
        <f t="shared" si="66"/>
        <v>33778.93</v>
      </c>
      <c r="K140" s="326">
        <f t="shared" si="67"/>
        <v>36802.160000000003</v>
      </c>
      <c r="L140" s="326">
        <f t="shared" si="68"/>
        <v>39772.61</v>
      </c>
      <c r="M140" s="326">
        <f t="shared" si="69"/>
        <v>43137.7</v>
      </c>
      <c r="N140" s="326">
        <f t="shared" si="70"/>
        <v>49703.5</v>
      </c>
      <c r="O140" s="326">
        <f t="shared" si="71"/>
        <v>337287.51</v>
      </c>
      <c r="T140" s="249"/>
    </row>
    <row r="141" spans="1:20">
      <c r="A141" s="97">
        <f t="shared" si="57"/>
        <v>141</v>
      </c>
      <c r="B141" s="174" t="s">
        <v>103</v>
      </c>
      <c r="C141" s="326">
        <f t="shared" si="59"/>
        <v>7434.17</v>
      </c>
      <c r="D141" s="326">
        <f t="shared" si="60"/>
        <v>15125.66</v>
      </c>
      <c r="E141" s="326">
        <f t="shared" si="61"/>
        <v>21987.79</v>
      </c>
      <c r="F141" s="326">
        <f t="shared" si="62"/>
        <v>26425.350000000002</v>
      </c>
      <c r="G141" s="326">
        <f t="shared" si="63"/>
        <v>30629.11</v>
      </c>
      <c r="H141" s="326">
        <f t="shared" si="64"/>
        <v>34843.89</v>
      </c>
      <c r="I141" s="326">
        <f t="shared" si="65"/>
        <v>39347.410000000003</v>
      </c>
      <c r="J141" s="326">
        <f t="shared" si="66"/>
        <v>43585.25</v>
      </c>
      <c r="K141" s="326">
        <f t="shared" si="67"/>
        <v>48097.34</v>
      </c>
      <c r="L141" s="326">
        <f t="shared" si="68"/>
        <v>52458.35</v>
      </c>
      <c r="M141" s="326">
        <f t="shared" si="69"/>
        <v>57304.13</v>
      </c>
      <c r="N141" s="326">
        <f t="shared" si="70"/>
        <v>64248.369999999995</v>
      </c>
      <c r="O141" s="326">
        <f t="shared" si="71"/>
        <v>441486.81999999995</v>
      </c>
      <c r="T141" s="249"/>
    </row>
    <row r="142" spans="1:20">
      <c r="A142" s="97">
        <f t="shared" si="57"/>
        <v>142</v>
      </c>
      <c r="B142" s="174" t="s">
        <v>104</v>
      </c>
      <c r="C142" s="326">
        <f t="shared" si="59"/>
        <v>36956.980000000003</v>
      </c>
      <c r="D142" s="326">
        <f t="shared" si="60"/>
        <v>73421.320000000007</v>
      </c>
      <c r="E142" s="326">
        <f t="shared" si="61"/>
        <v>105954.01000000001</v>
      </c>
      <c r="F142" s="326">
        <f t="shared" si="62"/>
        <v>130962.85</v>
      </c>
      <c r="G142" s="326">
        <f t="shared" si="63"/>
        <v>158880.21000000002</v>
      </c>
      <c r="H142" s="326">
        <f t="shared" si="64"/>
        <v>186347.26</v>
      </c>
      <c r="I142" s="326">
        <f t="shared" si="65"/>
        <v>214575.16</v>
      </c>
      <c r="J142" s="326">
        <f t="shared" si="66"/>
        <v>240206.21</v>
      </c>
      <c r="K142" s="326">
        <f t="shared" si="67"/>
        <v>273170.33999999997</v>
      </c>
      <c r="L142" s="326">
        <f t="shared" si="68"/>
        <v>305332.38999999996</v>
      </c>
      <c r="M142" s="326">
        <f t="shared" si="69"/>
        <v>335986.52999999997</v>
      </c>
      <c r="N142" s="326">
        <f t="shared" si="70"/>
        <v>375255.91</v>
      </c>
      <c r="O142" s="326">
        <f t="shared" si="71"/>
        <v>2437049.1700000004</v>
      </c>
      <c r="T142" s="249"/>
    </row>
    <row r="143" spans="1:20">
      <c r="A143" s="97">
        <f t="shared" si="57"/>
        <v>143</v>
      </c>
      <c r="B143" s="329" t="s">
        <v>105</v>
      </c>
      <c r="C143" s="326">
        <f t="shared" si="59"/>
        <v>97935.47</v>
      </c>
      <c r="D143" s="326">
        <f t="shared" si="60"/>
        <v>194441.18</v>
      </c>
      <c r="E143" s="326">
        <f t="shared" si="61"/>
        <v>285526.69000000018</v>
      </c>
      <c r="F143" s="326">
        <f t="shared" si="62"/>
        <v>355348.13000000018</v>
      </c>
      <c r="G143" s="326">
        <f t="shared" si="63"/>
        <v>428174.31000000017</v>
      </c>
      <c r="H143" s="326">
        <f t="shared" si="64"/>
        <v>500038.32000000018</v>
      </c>
      <c r="I143" s="326">
        <f t="shared" si="65"/>
        <v>578998.70000000019</v>
      </c>
      <c r="J143" s="326">
        <f t="shared" si="66"/>
        <v>652981.05000000016</v>
      </c>
      <c r="K143" s="326">
        <f t="shared" si="67"/>
        <v>731353.57000000018</v>
      </c>
      <c r="L143" s="326">
        <f t="shared" si="68"/>
        <v>810709.57000000018</v>
      </c>
      <c r="M143" s="326">
        <f t="shared" si="69"/>
        <v>898674.86000000022</v>
      </c>
      <c r="N143" s="326">
        <f t="shared" si="70"/>
        <v>994633.17000000016</v>
      </c>
      <c r="O143" s="326">
        <f t="shared" si="71"/>
        <v>6528815.0200000023</v>
      </c>
      <c r="T143" s="249"/>
    </row>
    <row r="144" spans="1:20">
      <c r="A144" s="97">
        <f t="shared" si="57"/>
        <v>144</v>
      </c>
      <c r="B144" s="329" t="s">
        <v>106</v>
      </c>
      <c r="C144" s="326">
        <f t="shared" si="59"/>
        <v>251738.49</v>
      </c>
      <c r="D144" s="326">
        <f t="shared" si="60"/>
        <v>449739.39</v>
      </c>
      <c r="E144" s="326">
        <f t="shared" si="61"/>
        <v>650796.79</v>
      </c>
      <c r="F144" s="326">
        <f t="shared" si="62"/>
        <v>793590.06</v>
      </c>
      <c r="G144" s="326">
        <f t="shared" si="63"/>
        <v>945793.21000000008</v>
      </c>
      <c r="H144" s="326">
        <f t="shared" si="64"/>
        <v>1110056.31</v>
      </c>
      <c r="I144" s="326">
        <f t="shared" si="65"/>
        <v>1283398.96</v>
      </c>
      <c r="J144" s="326">
        <f t="shared" si="66"/>
        <v>1450355.0699999998</v>
      </c>
      <c r="K144" s="326">
        <f t="shared" si="67"/>
        <v>1617528.1099999999</v>
      </c>
      <c r="L144" s="326">
        <f t="shared" si="68"/>
        <v>1787263.0999999999</v>
      </c>
      <c r="M144" s="326">
        <f t="shared" si="69"/>
        <v>1973447.7699999998</v>
      </c>
      <c r="N144" s="326">
        <f t="shared" si="70"/>
        <v>2187651.4499999997</v>
      </c>
      <c r="O144" s="326">
        <f t="shared" si="71"/>
        <v>14501358.709999997</v>
      </c>
      <c r="T144" s="249"/>
    </row>
    <row r="145" spans="1:20">
      <c r="A145" s="97">
        <f t="shared" si="57"/>
        <v>145</v>
      </c>
      <c r="B145" s="329" t="s">
        <v>107</v>
      </c>
      <c r="C145" s="326">
        <f t="shared" si="59"/>
        <v>315029.52</v>
      </c>
      <c r="D145" s="326">
        <f t="shared" si="60"/>
        <v>606925.78</v>
      </c>
      <c r="E145" s="326">
        <f t="shared" si="61"/>
        <v>866410.03</v>
      </c>
      <c r="F145" s="326">
        <f t="shared" si="62"/>
        <v>1035704.05</v>
      </c>
      <c r="G145" s="326">
        <f t="shared" si="63"/>
        <v>1215500.6000000001</v>
      </c>
      <c r="H145" s="326">
        <f t="shared" si="64"/>
        <v>1419613.54</v>
      </c>
      <c r="I145" s="326">
        <f t="shared" si="65"/>
        <v>1620678.02</v>
      </c>
      <c r="J145" s="326">
        <f t="shared" si="66"/>
        <v>1813185.29</v>
      </c>
      <c r="K145" s="326">
        <f t="shared" si="67"/>
        <v>2023826.11</v>
      </c>
      <c r="L145" s="326">
        <f t="shared" si="68"/>
        <v>2225444.8200000003</v>
      </c>
      <c r="M145" s="326">
        <f t="shared" si="69"/>
        <v>2467445.9600000004</v>
      </c>
      <c r="N145" s="326">
        <f t="shared" si="70"/>
        <v>2769647.3300000005</v>
      </c>
      <c r="O145" s="326">
        <f t="shared" si="71"/>
        <v>18379411.050000001</v>
      </c>
      <c r="T145" s="249"/>
    </row>
    <row r="146" spans="1:20">
      <c r="A146" s="97">
        <f t="shared" si="57"/>
        <v>146</v>
      </c>
      <c r="B146" s="329" t="s">
        <v>111</v>
      </c>
      <c r="C146" s="326">
        <f t="shared" si="59"/>
        <v>96443.98</v>
      </c>
      <c r="D146" s="326">
        <f t="shared" si="60"/>
        <v>191347.97</v>
      </c>
      <c r="E146" s="326">
        <f t="shared" si="61"/>
        <v>287989.08</v>
      </c>
      <c r="F146" s="326">
        <f t="shared" si="62"/>
        <v>390396.14</v>
      </c>
      <c r="G146" s="326">
        <f t="shared" si="63"/>
        <v>469957.65</v>
      </c>
      <c r="H146" s="326">
        <f t="shared" si="64"/>
        <v>541612.19000000006</v>
      </c>
      <c r="I146" s="326">
        <f t="shared" si="65"/>
        <v>615378.21000000008</v>
      </c>
      <c r="J146" s="326">
        <f t="shared" si="66"/>
        <v>693780.44000000006</v>
      </c>
      <c r="K146" s="326">
        <f t="shared" si="67"/>
        <v>771200.2300000001</v>
      </c>
      <c r="L146" s="326">
        <f t="shared" si="68"/>
        <v>846265.91000000015</v>
      </c>
      <c r="M146" s="326">
        <f t="shared" si="69"/>
        <v>928130.27000000014</v>
      </c>
      <c r="N146" s="326">
        <f t="shared" si="70"/>
        <v>1028885.8700000001</v>
      </c>
      <c r="O146" s="326">
        <f t="shared" si="71"/>
        <v>6861387.9400000013</v>
      </c>
      <c r="T146" s="249"/>
    </row>
    <row r="147" spans="1:20">
      <c r="A147" s="97">
        <f t="shared" si="57"/>
        <v>147</v>
      </c>
      <c r="B147" s="329" t="s">
        <v>112</v>
      </c>
      <c r="C147" s="326">
        <f t="shared" si="59"/>
        <v>169998.7</v>
      </c>
      <c r="D147" s="326">
        <f t="shared" si="60"/>
        <v>337494.22</v>
      </c>
      <c r="E147" s="326">
        <f t="shared" si="61"/>
        <v>479859.5</v>
      </c>
      <c r="F147" s="326">
        <f t="shared" si="62"/>
        <v>608279.37</v>
      </c>
      <c r="G147" s="326">
        <f t="shared" si="63"/>
        <v>749181.51</v>
      </c>
      <c r="H147" s="326">
        <f t="shared" si="64"/>
        <v>881612.07000000007</v>
      </c>
      <c r="I147" s="326">
        <f t="shared" si="65"/>
        <v>1002937.9600000001</v>
      </c>
      <c r="J147" s="326">
        <f t="shared" si="66"/>
        <v>1135987.6300000001</v>
      </c>
      <c r="K147" s="326">
        <f t="shared" si="67"/>
        <v>1301419.7300000002</v>
      </c>
      <c r="L147" s="326">
        <f t="shared" si="68"/>
        <v>1486681.62</v>
      </c>
      <c r="M147" s="326">
        <f t="shared" si="69"/>
        <v>1640279.87</v>
      </c>
      <c r="N147" s="326">
        <f t="shared" si="70"/>
        <v>1833180.28</v>
      </c>
      <c r="O147" s="326">
        <f t="shared" si="71"/>
        <v>11626912.459999999</v>
      </c>
      <c r="T147" s="249"/>
    </row>
    <row r="148" spans="1:20">
      <c r="A148" s="97">
        <f t="shared" si="57"/>
        <v>148</v>
      </c>
      <c r="B148" s="329" t="s">
        <v>113</v>
      </c>
      <c r="C148" s="326">
        <f t="shared" si="59"/>
        <v>346062.07</v>
      </c>
      <c r="D148" s="326">
        <f t="shared" si="60"/>
        <v>660842.94999999995</v>
      </c>
      <c r="E148" s="326">
        <f t="shared" si="61"/>
        <v>1000105.3599999999</v>
      </c>
      <c r="F148" s="326">
        <f t="shared" si="62"/>
        <v>1261644.6199999999</v>
      </c>
      <c r="G148" s="326">
        <f t="shared" si="63"/>
        <v>1560857.7199999997</v>
      </c>
      <c r="H148" s="326">
        <f t="shared" si="64"/>
        <v>1870076.6599999997</v>
      </c>
      <c r="I148" s="326">
        <f t="shared" si="65"/>
        <v>2155206.5199999996</v>
      </c>
      <c r="J148" s="326">
        <f t="shared" si="66"/>
        <v>2440215.7999999998</v>
      </c>
      <c r="K148" s="326">
        <f t="shared" si="67"/>
        <v>2736989.2699999996</v>
      </c>
      <c r="L148" s="326">
        <f t="shared" si="68"/>
        <v>3051836.0799999996</v>
      </c>
      <c r="M148" s="326">
        <f t="shared" si="69"/>
        <v>3380142.59</v>
      </c>
      <c r="N148" s="326">
        <f t="shared" si="70"/>
        <v>3751965.82</v>
      </c>
      <c r="O148" s="326">
        <f t="shared" si="71"/>
        <v>24215945.459999997</v>
      </c>
      <c r="T148" s="249"/>
    </row>
    <row r="149" spans="1:20">
      <c r="A149" s="97">
        <f t="shared" si="57"/>
        <v>149</v>
      </c>
      <c r="B149" s="329" t="s">
        <v>114</v>
      </c>
      <c r="C149" s="326">
        <f t="shared" si="59"/>
        <v>612891.48</v>
      </c>
      <c r="D149" s="326">
        <f t="shared" si="60"/>
        <v>1085753.8599999999</v>
      </c>
      <c r="E149" s="326">
        <f t="shared" si="61"/>
        <v>1569126.93</v>
      </c>
      <c r="F149" s="326">
        <f t="shared" si="62"/>
        <v>1917880.38</v>
      </c>
      <c r="G149" s="326">
        <f t="shared" si="63"/>
        <v>2279345.23</v>
      </c>
      <c r="H149" s="326">
        <f t="shared" si="64"/>
        <v>2655348.17</v>
      </c>
      <c r="I149" s="326">
        <f t="shared" si="65"/>
        <v>3064434.1399999997</v>
      </c>
      <c r="J149" s="326">
        <f t="shared" si="66"/>
        <v>3470667.7299999995</v>
      </c>
      <c r="K149" s="326">
        <f t="shared" si="67"/>
        <v>3869517.3099999996</v>
      </c>
      <c r="L149" s="326">
        <f t="shared" si="68"/>
        <v>4301609.9799999995</v>
      </c>
      <c r="M149" s="326">
        <f t="shared" si="69"/>
        <v>4741237.3999999994</v>
      </c>
      <c r="N149" s="326">
        <f t="shared" si="70"/>
        <v>5228237.3199999994</v>
      </c>
      <c r="O149" s="326">
        <f t="shared" si="71"/>
        <v>34796049.929999992</v>
      </c>
      <c r="T149" s="249"/>
    </row>
    <row r="150" spans="1:20">
      <c r="A150" s="97">
        <f t="shared" si="57"/>
        <v>150</v>
      </c>
      <c r="B150" s="329" t="s">
        <v>115</v>
      </c>
      <c r="C150" s="326">
        <f t="shared" si="59"/>
        <v>318555.51</v>
      </c>
      <c r="D150" s="326">
        <f t="shared" si="60"/>
        <v>630036.60000000009</v>
      </c>
      <c r="E150" s="326">
        <f t="shared" si="61"/>
        <v>941671.31</v>
      </c>
      <c r="F150" s="326">
        <f t="shared" si="62"/>
        <v>1188906.08</v>
      </c>
      <c r="G150" s="326">
        <f t="shared" si="63"/>
        <v>1449663.29</v>
      </c>
      <c r="H150" s="326">
        <f t="shared" si="64"/>
        <v>1708398.03</v>
      </c>
      <c r="I150" s="326">
        <f t="shared" si="65"/>
        <v>1989368.09</v>
      </c>
      <c r="J150" s="326">
        <f t="shared" si="66"/>
        <v>2256320.17</v>
      </c>
      <c r="K150" s="326">
        <f t="shared" si="67"/>
        <v>2521352.2000000002</v>
      </c>
      <c r="L150" s="326">
        <f t="shared" si="68"/>
        <v>2790529.3200000003</v>
      </c>
      <c r="M150" s="326">
        <f t="shared" si="69"/>
        <v>3065369.8600000003</v>
      </c>
      <c r="N150" s="326">
        <f t="shared" si="70"/>
        <v>3371769.41</v>
      </c>
      <c r="O150" s="326">
        <f t="shared" si="71"/>
        <v>22231939.870000001</v>
      </c>
      <c r="T150" s="249"/>
    </row>
    <row r="151" spans="1:20">
      <c r="A151" s="97">
        <f t="shared" si="57"/>
        <v>151</v>
      </c>
      <c r="B151" s="329" t="s">
        <v>116</v>
      </c>
      <c r="C151" s="326">
        <f t="shared" si="59"/>
        <v>221082.93</v>
      </c>
      <c r="D151" s="326">
        <f t="shared" si="60"/>
        <v>431761.57</v>
      </c>
      <c r="E151" s="326">
        <f t="shared" si="61"/>
        <v>670026.62</v>
      </c>
      <c r="F151" s="326">
        <f t="shared" si="62"/>
        <v>896210.17999999993</v>
      </c>
      <c r="G151" s="326">
        <f t="shared" si="63"/>
        <v>1107017.21</v>
      </c>
      <c r="H151" s="326">
        <f t="shared" si="64"/>
        <v>1337540.0899999999</v>
      </c>
      <c r="I151" s="326">
        <f t="shared" si="65"/>
        <v>1569267.0999999999</v>
      </c>
      <c r="J151" s="326">
        <f t="shared" si="66"/>
        <v>1819478.5699999998</v>
      </c>
      <c r="K151" s="326">
        <f t="shared" si="67"/>
        <v>2045417.96</v>
      </c>
      <c r="L151" s="326">
        <f t="shared" si="68"/>
        <v>2285653.34</v>
      </c>
      <c r="M151" s="326">
        <f t="shared" si="69"/>
        <v>2543563.5999999996</v>
      </c>
      <c r="N151" s="326">
        <f t="shared" si="70"/>
        <v>2788751.4499999997</v>
      </c>
      <c r="O151" s="326">
        <f t="shared" si="71"/>
        <v>17715770.620000001</v>
      </c>
      <c r="T151" s="249"/>
    </row>
    <row r="152" spans="1:20">
      <c r="A152" s="97">
        <f t="shared" si="57"/>
        <v>152</v>
      </c>
      <c r="B152" s="329" t="s">
        <v>117</v>
      </c>
      <c r="C152" s="326">
        <f t="shared" si="59"/>
        <v>238439.79</v>
      </c>
      <c r="D152" s="326">
        <f t="shared" si="60"/>
        <v>458074.03</v>
      </c>
      <c r="E152" s="326">
        <f t="shared" si="61"/>
        <v>677100.05</v>
      </c>
      <c r="F152" s="326">
        <f t="shared" si="62"/>
        <v>880873.29</v>
      </c>
      <c r="G152" s="326">
        <f t="shared" si="63"/>
        <v>1086401.3500000001</v>
      </c>
      <c r="H152" s="326">
        <f t="shared" si="64"/>
        <v>1254586.1600000001</v>
      </c>
      <c r="I152" s="326">
        <f t="shared" si="65"/>
        <v>1415622.4600000002</v>
      </c>
      <c r="J152" s="326">
        <f t="shared" si="66"/>
        <v>1570641.35</v>
      </c>
      <c r="K152" s="326">
        <f t="shared" si="67"/>
        <v>1722786.27</v>
      </c>
      <c r="L152" s="326">
        <f t="shared" si="68"/>
        <v>1885449.37</v>
      </c>
      <c r="M152" s="326">
        <f t="shared" si="69"/>
        <v>2037206.62</v>
      </c>
      <c r="N152" s="326">
        <f t="shared" si="70"/>
        <v>2150459.37</v>
      </c>
      <c r="O152" s="326">
        <f t="shared" si="71"/>
        <v>15377640.110000003</v>
      </c>
      <c r="T152" s="249"/>
    </row>
    <row r="153" spans="1:20">
      <c r="A153" s="97">
        <f t="shared" si="57"/>
        <v>153</v>
      </c>
      <c r="B153" s="329" t="s">
        <v>118</v>
      </c>
      <c r="C153" s="326">
        <f t="shared" si="59"/>
        <v>1131632.79</v>
      </c>
      <c r="D153" s="326">
        <f t="shared" si="60"/>
        <v>2474147.48</v>
      </c>
      <c r="E153" s="326">
        <f t="shared" si="61"/>
        <v>3900187.2800000003</v>
      </c>
      <c r="F153" s="326">
        <f t="shared" si="62"/>
        <v>5164049.82</v>
      </c>
      <c r="G153" s="326">
        <f t="shared" si="63"/>
        <v>6544862.2400000002</v>
      </c>
      <c r="H153" s="326">
        <f t="shared" si="64"/>
        <v>7722128.2400000002</v>
      </c>
      <c r="I153" s="326">
        <f t="shared" si="65"/>
        <v>8758624.6300000008</v>
      </c>
      <c r="J153" s="326">
        <f t="shared" si="66"/>
        <v>10248724.880000001</v>
      </c>
      <c r="K153" s="326">
        <f t="shared" si="67"/>
        <v>11611328.58</v>
      </c>
      <c r="L153" s="326">
        <f t="shared" si="68"/>
        <v>13119430.75</v>
      </c>
      <c r="M153" s="326">
        <f t="shared" si="69"/>
        <v>14317808.57</v>
      </c>
      <c r="N153" s="326">
        <f t="shared" si="70"/>
        <v>15900039.640000001</v>
      </c>
      <c r="O153" s="326">
        <f t="shared" si="71"/>
        <v>100892964.89999999</v>
      </c>
      <c r="T153" s="249"/>
    </row>
    <row r="154" spans="1:20">
      <c r="A154" s="97">
        <f t="shared" si="57"/>
        <v>154</v>
      </c>
      <c r="B154" s="329" t="s">
        <v>119</v>
      </c>
      <c r="C154" s="326">
        <f t="shared" si="59"/>
        <v>153010.59</v>
      </c>
      <c r="D154" s="326">
        <f t="shared" si="60"/>
        <v>310005.05</v>
      </c>
      <c r="E154" s="326">
        <f t="shared" si="61"/>
        <v>484299.95999999996</v>
      </c>
      <c r="F154" s="326">
        <f t="shared" si="62"/>
        <v>645092.40999999992</v>
      </c>
      <c r="G154" s="326">
        <f t="shared" si="63"/>
        <v>808366.12999999989</v>
      </c>
      <c r="H154" s="326">
        <f t="shared" si="64"/>
        <v>922218.09999999986</v>
      </c>
      <c r="I154" s="326">
        <f t="shared" si="65"/>
        <v>1052235.4899999998</v>
      </c>
      <c r="J154" s="326">
        <f t="shared" si="66"/>
        <v>1189595.3399999999</v>
      </c>
      <c r="K154" s="326">
        <f t="shared" si="67"/>
        <v>1303324.5399999998</v>
      </c>
      <c r="L154" s="326">
        <f t="shared" si="68"/>
        <v>1420887.8499999999</v>
      </c>
      <c r="M154" s="326">
        <f t="shared" si="69"/>
        <v>1522574.7599999998</v>
      </c>
      <c r="N154" s="326">
        <f t="shared" si="70"/>
        <v>1625841.2699999998</v>
      </c>
      <c r="O154" s="326">
        <f t="shared" si="71"/>
        <v>11437451.489999998</v>
      </c>
      <c r="T154" s="249"/>
    </row>
    <row r="155" spans="1:20">
      <c r="A155" s="97">
        <f t="shared" si="57"/>
        <v>155</v>
      </c>
      <c r="B155" s="329" t="s">
        <v>99</v>
      </c>
      <c r="C155" s="326">
        <f t="shared" si="59"/>
        <v>112594.67999999991</v>
      </c>
      <c r="D155" s="326">
        <f t="shared" si="60"/>
        <v>217826.30000000002</v>
      </c>
      <c r="E155" s="326">
        <f t="shared" si="61"/>
        <v>313662.40999999997</v>
      </c>
      <c r="F155" s="326">
        <f t="shared" si="62"/>
        <v>369443.29</v>
      </c>
      <c r="G155" s="326">
        <f t="shared" si="63"/>
        <v>423689.80999999994</v>
      </c>
      <c r="H155" s="326">
        <f t="shared" si="64"/>
        <v>480767.64999999997</v>
      </c>
      <c r="I155" s="326">
        <f t="shared" si="65"/>
        <v>535370.35</v>
      </c>
      <c r="J155" s="326">
        <f t="shared" si="66"/>
        <v>592067.5199999999</v>
      </c>
      <c r="K155" s="326">
        <f t="shared" si="67"/>
        <v>648512.34999999986</v>
      </c>
      <c r="L155" s="326">
        <f t="shared" si="68"/>
        <v>715836.7</v>
      </c>
      <c r="M155" s="326">
        <f t="shared" si="69"/>
        <v>793638.91999999993</v>
      </c>
      <c r="N155" s="326">
        <f t="shared" si="70"/>
        <v>881718.45</v>
      </c>
      <c r="O155" s="326">
        <f t="shared" si="71"/>
        <v>6085128.4299999997</v>
      </c>
      <c r="T155" s="249"/>
    </row>
    <row r="156" spans="1:20">
      <c r="A156" s="97">
        <f t="shared" si="57"/>
        <v>156</v>
      </c>
      <c r="B156" s="329" t="s">
        <v>138</v>
      </c>
      <c r="C156" s="326">
        <f t="shared" si="59"/>
        <v>81342.739999999991</v>
      </c>
      <c r="D156" s="326">
        <f t="shared" si="60"/>
        <v>155491.57999999999</v>
      </c>
      <c r="E156" s="326">
        <f t="shared" si="61"/>
        <v>224441.18000000005</v>
      </c>
      <c r="F156" s="326">
        <f t="shared" si="62"/>
        <v>268293.88000000006</v>
      </c>
      <c r="G156" s="326">
        <f t="shared" si="63"/>
        <v>305786.61000000004</v>
      </c>
      <c r="H156" s="326">
        <f t="shared" si="64"/>
        <v>347450.18000000005</v>
      </c>
      <c r="I156" s="326">
        <f t="shared" si="65"/>
        <v>390011.24000000011</v>
      </c>
      <c r="J156" s="326">
        <f t="shared" si="66"/>
        <v>430161.89000000013</v>
      </c>
      <c r="K156" s="326">
        <f t="shared" si="67"/>
        <v>471947.29000000015</v>
      </c>
      <c r="L156" s="326">
        <f t="shared" si="68"/>
        <v>518643.72000000015</v>
      </c>
      <c r="M156" s="326">
        <f t="shared" si="69"/>
        <v>574013.13000000012</v>
      </c>
      <c r="N156" s="326">
        <f t="shared" si="70"/>
        <v>639383.85000000009</v>
      </c>
      <c r="O156" s="326">
        <f t="shared" si="71"/>
        <v>4406967.290000001</v>
      </c>
      <c r="T156" s="249"/>
    </row>
    <row r="157" spans="1:20">
      <c r="A157" s="97">
        <f t="shared" si="57"/>
        <v>157</v>
      </c>
      <c r="B157" s="329" t="s">
        <v>140</v>
      </c>
      <c r="C157" s="326">
        <f t="shared" si="59"/>
        <v>753628.78000000084</v>
      </c>
      <c r="D157" s="326">
        <f t="shared" si="60"/>
        <v>1465035.7500000023</v>
      </c>
      <c r="E157" s="326">
        <f t="shared" si="61"/>
        <v>2099602.9100000006</v>
      </c>
      <c r="F157" s="326">
        <f t="shared" si="62"/>
        <v>2514828.4800000009</v>
      </c>
      <c r="G157" s="326">
        <f t="shared" si="63"/>
        <v>2882346.4300000011</v>
      </c>
      <c r="H157" s="326">
        <f t="shared" si="64"/>
        <v>3254515.4500000011</v>
      </c>
      <c r="I157" s="326">
        <f t="shared" si="65"/>
        <v>3656247.040000001</v>
      </c>
      <c r="J157" s="326">
        <f t="shared" si="66"/>
        <v>4039956.790000001</v>
      </c>
      <c r="K157" s="326">
        <f t="shared" si="67"/>
        <v>4427489.97</v>
      </c>
      <c r="L157" s="326">
        <f t="shared" si="68"/>
        <v>4843741.1899999995</v>
      </c>
      <c r="M157" s="326">
        <f t="shared" si="69"/>
        <v>5334878.0299999993</v>
      </c>
      <c r="N157" s="326">
        <f t="shared" si="70"/>
        <v>5960624.3199999994</v>
      </c>
      <c r="O157" s="326">
        <f t="shared" si="71"/>
        <v>41232895.140000008</v>
      </c>
      <c r="T157" s="249"/>
    </row>
    <row r="158" spans="1:20">
      <c r="A158" s="97">
        <f t="shared" si="57"/>
        <v>158</v>
      </c>
      <c r="B158" s="329" t="s">
        <v>141</v>
      </c>
      <c r="C158" s="326">
        <f t="shared" si="59"/>
        <v>559631.99999999965</v>
      </c>
      <c r="D158" s="326">
        <f t="shared" si="60"/>
        <v>1092127.3099999991</v>
      </c>
      <c r="E158" s="326">
        <f t="shared" si="61"/>
        <v>1581644.0499999989</v>
      </c>
      <c r="F158" s="326">
        <f t="shared" si="62"/>
        <v>1918980.4799999979</v>
      </c>
      <c r="G158" s="326">
        <f t="shared" si="63"/>
        <v>2238672.6199999982</v>
      </c>
      <c r="H158" s="326">
        <f t="shared" si="64"/>
        <v>2575413.629999998</v>
      </c>
      <c r="I158" s="326">
        <f t="shared" si="65"/>
        <v>2952987.8299999982</v>
      </c>
      <c r="J158" s="326">
        <f t="shared" si="66"/>
        <v>3308390.129999998</v>
      </c>
      <c r="K158" s="326">
        <f t="shared" si="67"/>
        <v>3673090.3999999976</v>
      </c>
      <c r="L158" s="326">
        <f t="shared" si="68"/>
        <v>4053441.7899999977</v>
      </c>
      <c r="M158" s="326">
        <f t="shared" si="69"/>
        <v>4489208.5299999975</v>
      </c>
      <c r="N158" s="326">
        <f t="shared" si="70"/>
        <v>4996441.4899999974</v>
      </c>
      <c r="O158" s="326">
        <f t="shared" si="71"/>
        <v>33440030.259999983</v>
      </c>
      <c r="T158" s="249"/>
    </row>
    <row r="159" spans="1:20">
      <c r="A159" s="97">
        <f t="shared" si="57"/>
        <v>159</v>
      </c>
      <c r="B159" s="329" t="s">
        <v>142</v>
      </c>
      <c r="C159" s="326">
        <f t="shared" si="59"/>
        <v>9579.64</v>
      </c>
      <c r="D159" s="326">
        <f t="shared" si="60"/>
        <v>17884.699999999997</v>
      </c>
      <c r="E159" s="326">
        <f t="shared" si="61"/>
        <v>25447.639999999996</v>
      </c>
      <c r="F159" s="326">
        <f t="shared" si="62"/>
        <v>30747.959999999995</v>
      </c>
      <c r="G159" s="326">
        <f t="shared" si="63"/>
        <v>35705.149999999994</v>
      </c>
      <c r="H159" s="326">
        <f t="shared" si="64"/>
        <v>39200.819999999992</v>
      </c>
      <c r="I159" s="326">
        <f t="shared" si="65"/>
        <v>42506.189999999995</v>
      </c>
      <c r="J159" s="326">
        <f t="shared" si="66"/>
        <v>45078.779999999992</v>
      </c>
      <c r="K159" s="326">
        <f t="shared" si="67"/>
        <v>47405.659999999996</v>
      </c>
      <c r="L159" s="326">
        <f t="shared" si="68"/>
        <v>49675.78</v>
      </c>
      <c r="M159" s="326">
        <f t="shared" si="69"/>
        <v>53554.52</v>
      </c>
      <c r="N159" s="326">
        <f t="shared" si="70"/>
        <v>60220.289999999994</v>
      </c>
      <c r="O159" s="326">
        <f t="shared" si="71"/>
        <v>457007.12999999995</v>
      </c>
      <c r="T159" s="249"/>
    </row>
    <row r="160" spans="1:20">
      <c r="A160" s="97">
        <f t="shared" si="57"/>
        <v>160</v>
      </c>
      <c r="B160" s="329" t="s">
        <v>143</v>
      </c>
      <c r="C160" s="326">
        <f t="shared" si="59"/>
        <v>974676.7999999997</v>
      </c>
      <c r="D160" s="326">
        <f t="shared" si="60"/>
        <v>1865080.5299999993</v>
      </c>
      <c r="E160" s="326">
        <f t="shared" si="61"/>
        <v>2633566.4299999997</v>
      </c>
      <c r="F160" s="326">
        <f t="shared" si="62"/>
        <v>3154115.4899999998</v>
      </c>
      <c r="G160" s="326">
        <f t="shared" si="63"/>
        <v>3686646.0899999989</v>
      </c>
      <c r="H160" s="326">
        <f t="shared" si="64"/>
        <v>4191491.5699999989</v>
      </c>
      <c r="I160" s="326">
        <f t="shared" si="65"/>
        <v>4746644.7699999986</v>
      </c>
      <c r="J160" s="326">
        <f t="shared" si="66"/>
        <v>5298911.4399999995</v>
      </c>
      <c r="K160" s="326">
        <f t="shared" si="67"/>
        <v>5798513.1999999993</v>
      </c>
      <c r="L160" s="326">
        <f t="shared" si="68"/>
        <v>6335290.9799999986</v>
      </c>
      <c r="M160" s="326">
        <f t="shared" si="69"/>
        <v>6969109.3699999982</v>
      </c>
      <c r="N160" s="326">
        <f t="shared" si="70"/>
        <v>7704386.799999997</v>
      </c>
      <c r="O160" s="326">
        <f t="shared" si="71"/>
        <v>53358433.469999984</v>
      </c>
      <c r="T160" s="249"/>
    </row>
    <row r="161" spans="1:20">
      <c r="A161" s="97">
        <f t="shared" si="57"/>
        <v>161</v>
      </c>
      <c r="B161" s="329" t="s">
        <v>145</v>
      </c>
      <c r="C161" s="326">
        <f t="shared" si="59"/>
        <v>0</v>
      </c>
      <c r="D161" s="326">
        <f t="shared" si="60"/>
        <v>0</v>
      </c>
      <c r="E161" s="326">
        <f t="shared" si="61"/>
        <v>0</v>
      </c>
      <c r="F161" s="326">
        <f t="shared" si="62"/>
        <v>0</v>
      </c>
      <c r="G161" s="326">
        <f t="shared" si="63"/>
        <v>0</v>
      </c>
      <c r="H161" s="326">
        <f t="shared" si="64"/>
        <v>0</v>
      </c>
      <c r="I161" s="326">
        <f t="shared" si="65"/>
        <v>0</v>
      </c>
      <c r="J161" s="326">
        <f t="shared" si="66"/>
        <v>0</v>
      </c>
      <c r="K161" s="326">
        <f t="shared" si="67"/>
        <v>0</v>
      </c>
      <c r="L161" s="326">
        <f t="shared" si="68"/>
        <v>0</v>
      </c>
      <c r="M161" s="326">
        <f t="shared" si="69"/>
        <v>0</v>
      </c>
      <c r="N161" s="326">
        <f t="shared" si="70"/>
        <v>0</v>
      </c>
      <c r="O161" s="326">
        <f t="shared" si="71"/>
        <v>0</v>
      </c>
      <c r="T161" s="249"/>
    </row>
    <row r="162" spans="1:20">
      <c r="A162" s="97">
        <f t="shared" si="57"/>
        <v>162</v>
      </c>
      <c r="B162" s="329" t="s">
        <v>146</v>
      </c>
      <c r="C162" s="326">
        <f t="shared" si="59"/>
        <v>3227691.1699999995</v>
      </c>
      <c r="D162" s="326">
        <f t="shared" si="60"/>
        <v>6231972.4399999958</v>
      </c>
      <c r="E162" s="326">
        <f t="shared" si="61"/>
        <v>9066493.2599999979</v>
      </c>
      <c r="F162" s="326">
        <f t="shared" si="62"/>
        <v>11252822.609999996</v>
      </c>
      <c r="G162" s="326">
        <f t="shared" si="63"/>
        <v>13313898.159999996</v>
      </c>
      <c r="H162" s="326">
        <f t="shared" si="64"/>
        <v>15511145.859999999</v>
      </c>
      <c r="I162" s="326">
        <f t="shared" si="65"/>
        <v>17846364.23</v>
      </c>
      <c r="J162" s="326">
        <f t="shared" si="66"/>
        <v>20090307.919999998</v>
      </c>
      <c r="K162" s="326">
        <f t="shared" si="67"/>
        <v>22380482.739999998</v>
      </c>
      <c r="L162" s="326">
        <f t="shared" si="68"/>
        <v>24701300.229999997</v>
      </c>
      <c r="M162" s="326">
        <f t="shared" si="69"/>
        <v>27168379.809999995</v>
      </c>
      <c r="N162" s="326">
        <f t="shared" si="70"/>
        <v>29910522.709999993</v>
      </c>
      <c r="O162" s="326">
        <f t="shared" si="71"/>
        <v>200701381.13999999</v>
      </c>
      <c r="T162" s="249"/>
    </row>
    <row r="163" spans="1:20">
      <c r="A163" s="97">
        <f t="shared" si="57"/>
        <v>163</v>
      </c>
      <c r="B163" s="329" t="s">
        <v>148</v>
      </c>
      <c r="C163" s="326">
        <f t="shared" si="59"/>
        <v>0</v>
      </c>
      <c r="D163" s="326">
        <f t="shared" si="60"/>
        <v>0</v>
      </c>
      <c r="E163" s="326">
        <f t="shared" si="61"/>
        <v>0</v>
      </c>
      <c r="F163" s="326">
        <f t="shared" si="62"/>
        <v>0</v>
      </c>
      <c r="G163" s="326">
        <f t="shared" si="63"/>
        <v>0</v>
      </c>
      <c r="H163" s="326">
        <f t="shared" si="64"/>
        <v>0</v>
      </c>
      <c r="I163" s="326">
        <f t="shared" si="65"/>
        <v>0</v>
      </c>
      <c r="J163" s="326">
        <f t="shared" si="66"/>
        <v>0</v>
      </c>
      <c r="K163" s="326">
        <f t="shared" si="67"/>
        <v>0</v>
      </c>
      <c r="L163" s="326">
        <f t="shared" si="68"/>
        <v>0</v>
      </c>
      <c r="M163" s="326">
        <f t="shared" si="69"/>
        <v>0</v>
      </c>
      <c r="N163" s="326">
        <f t="shared" si="70"/>
        <v>0</v>
      </c>
      <c r="O163" s="326">
        <f t="shared" si="71"/>
        <v>0</v>
      </c>
      <c r="T163" s="249"/>
    </row>
    <row r="164" spans="1:20">
      <c r="A164" s="97">
        <f t="shared" si="57"/>
        <v>164</v>
      </c>
      <c r="B164" s="329" t="s">
        <v>149</v>
      </c>
      <c r="C164" s="326">
        <f t="shared" si="59"/>
        <v>851790.52000000014</v>
      </c>
      <c r="D164" s="326">
        <f t="shared" si="60"/>
        <v>1638888.7800000003</v>
      </c>
      <c r="E164" s="326">
        <f t="shared" si="61"/>
        <v>2547667.2600000002</v>
      </c>
      <c r="F164" s="326">
        <f t="shared" si="62"/>
        <v>3340663.8400000003</v>
      </c>
      <c r="G164" s="326">
        <f t="shared" si="63"/>
        <v>4200620.21</v>
      </c>
      <c r="H164" s="326">
        <f t="shared" si="64"/>
        <v>4976835.21</v>
      </c>
      <c r="I164" s="326">
        <f t="shared" si="65"/>
        <v>5806336.5</v>
      </c>
      <c r="J164" s="326">
        <f t="shared" si="66"/>
        <v>6636638.4400000004</v>
      </c>
      <c r="K164" s="326">
        <f t="shared" si="67"/>
        <v>7433567.5700000003</v>
      </c>
      <c r="L164" s="326">
        <f t="shared" si="68"/>
        <v>8285780.46</v>
      </c>
      <c r="M164" s="326">
        <f t="shared" si="69"/>
        <v>9145470.0399999991</v>
      </c>
      <c r="N164" s="326">
        <f t="shared" si="70"/>
        <v>10047394.789999999</v>
      </c>
      <c r="O164" s="326">
        <f t="shared" si="71"/>
        <v>64911653.619999997</v>
      </c>
      <c r="T164" s="249"/>
    </row>
    <row r="165" spans="1:20">
      <c r="A165" s="97">
        <f t="shared" si="57"/>
        <v>165</v>
      </c>
      <c r="B165" s="329" t="s">
        <v>151</v>
      </c>
      <c r="C165" s="326">
        <f t="shared" si="59"/>
        <v>8386.2199999999993</v>
      </c>
      <c r="D165" s="326">
        <f t="shared" si="60"/>
        <v>18188.439999999999</v>
      </c>
      <c r="E165" s="326">
        <f t="shared" si="61"/>
        <v>27282.659999999996</v>
      </c>
      <c r="F165" s="326">
        <f t="shared" si="62"/>
        <v>36376.879999999997</v>
      </c>
      <c r="G165" s="326">
        <f t="shared" si="63"/>
        <v>45471.1</v>
      </c>
      <c r="H165" s="326">
        <f t="shared" si="64"/>
        <v>54565.32</v>
      </c>
      <c r="I165" s="326">
        <f t="shared" si="65"/>
        <v>63659.54</v>
      </c>
      <c r="J165" s="326">
        <f t="shared" si="66"/>
        <v>72753.759999999995</v>
      </c>
      <c r="K165" s="326">
        <f t="shared" si="67"/>
        <v>81847.98</v>
      </c>
      <c r="L165" s="326">
        <f t="shared" si="68"/>
        <v>90942.2</v>
      </c>
      <c r="M165" s="326">
        <f t="shared" si="69"/>
        <v>100036.42</v>
      </c>
      <c r="N165" s="326">
        <f t="shared" si="70"/>
        <v>109130.64</v>
      </c>
      <c r="O165" s="326">
        <f t="shared" si="71"/>
        <v>708641.16</v>
      </c>
      <c r="T165" s="249"/>
    </row>
    <row r="166" spans="1:20">
      <c r="A166" s="97">
        <f t="shared" si="57"/>
        <v>166</v>
      </c>
      <c r="B166" s="329" t="s">
        <v>153</v>
      </c>
      <c r="C166" s="326">
        <f t="shared" si="59"/>
        <v>0</v>
      </c>
      <c r="D166" s="326">
        <f t="shared" si="60"/>
        <v>0</v>
      </c>
      <c r="E166" s="326">
        <f t="shared" si="61"/>
        <v>0</v>
      </c>
      <c r="F166" s="326">
        <f t="shared" si="62"/>
        <v>0</v>
      </c>
      <c r="G166" s="326">
        <f t="shared" si="63"/>
        <v>0</v>
      </c>
      <c r="H166" s="326">
        <f t="shared" si="64"/>
        <v>0</v>
      </c>
      <c r="I166" s="326">
        <f t="shared" si="65"/>
        <v>0</v>
      </c>
      <c r="J166" s="326">
        <f t="shared" si="66"/>
        <v>0</v>
      </c>
      <c r="K166" s="326">
        <f t="shared" si="67"/>
        <v>0</v>
      </c>
      <c r="L166" s="326">
        <f t="shared" si="68"/>
        <v>0</v>
      </c>
      <c r="M166" s="326">
        <f t="shared" si="69"/>
        <v>0</v>
      </c>
      <c r="N166" s="326">
        <f t="shared" si="70"/>
        <v>0</v>
      </c>
      <c r="O166" s="326">
        <f>SUM(C166:N166)</f>
        <v>0</v>
      </c>
      <c r="T166" s="249"/>
    </row>
    <row r="167" spans="1:20">
      <c r="A167" s="97">
        <f t="shared" si="57"/>
        <v>167</v>
      </c>
      <c r="B167" s="329" t="s">
        <v>207</v>
      </c>
      <c r="C167" s="326">
        <f t="shared" si="59"/>
        <v>72940.95</v>
      </c>
      <c r="D167" s="326">
        <f t="shared" si="60"/>
        <v>138838.91</v>
      </c>
      <c r="E167" s="326">
        <f t="shared" si="61"/>
        <v>213403.33000000002</v>
      </c>
      <c r="F167" s="326">
        <f t="shared" si="62"/>
        <v>292334.79000000004</v>
      </c>
      <c r="G167" s="326">
        <f t="shared" si="63"/>
        <v>368654.08000000007</v>
      </c>
      <c r="H167" s="326">
        <f t="shared" si="64"/>
        <v>449516.43000000005</v>
      </c>
      <c r="I167" s="326">
        <f t="shared" si="65"/>
        <v>536369.88</v>
      </c>
      <c r="J167" s="326">
        <f t="shared" si="66"/>
        <v>618697.11</v>
      </c>
      <c r="K167" s="326">
        <f t="shared" si="67"/>
        <v>702043.39</v>
      </c>
      <c r="L167" s="326">
        <f t="shared" si="68"/>
        <v>785500.74</v>
      </c>
      <c r="M167" s="326">
        <f t="shared" si="69"/>
        <v>863535.02</v>
      </c>
      <c r="N167" s="326">
        <f t="shared" si="70"/>
        <v>943152.87</v>
      </c>
      <c r="O167" s="326">
        <f>SUM(C167:N167)</f>
        <v>5984987.5000000009</v>
      </c>
      <c r="T167" s="249"/>
    </row>
    <row r="168" spans="1:20">
      <c r="A168" s="97">
        <f t="shared" si="57"/>
        <v>168</v>
      </c>
      <c r="B168" s="329" t="s">
        <v>155</v>
      </c>
      <c r="C168" s="326">
        <f t="shared" si="59"/>
        <v>45.27</v>
      </c>
      <c r="D168" s="326">
        <f t="shared" si="60"/>
        <v>110.75999999999999</v>
      </c>
      <c r="E168" s="326">
        <f t="shared" si="61"/>
        <v>152.97999999999999</v>
      </c>
      <c r="F168" s="326">
        <f t="shared" si="62"/>
        <v>158.17999999999998</v>
      </c>
      <c r="G168" s="326">
        <f t="shared" si="63"/>
        <v>164.17999999999998</v>
      </c>
      <c r="H168" s="326">
        <f t="shared" si="64"/>
        <v>187.05999999999997</v>
      </c>
      <c r="I168" s="326">
        <f t="shared" si="65"/>
        <v>194.33999999999997</v>
      </c>
      <c r="J168" s="326">
        <f t="shared" si="66"/>
        <v>194.33999999999997</v>
      </c>
      <c r="K168" s="326">
        <f t="shared" si="67"/>
        <v>207.85999999999999</v>
      </c>
      <c r="L168" s="326">
        <f t="shared" si="68"/>
        <v>229.70999999999998</v>
      </c>
      <c r="M168" s="326">
        <f t="shared" si="69"/>
        <v>238.10999999999999</v>
      </c>
      <c r="N168" s="326">
        <f t="shared" si="70"/>
        <v>279.18</v>
      </c>
      <c r="O168" s="326">
        <f t="shared" si="71"/>
        <v>2161.9699999999993</v>
      </c>
      <c r="T168" s="249"/>
    </row>
    <row r="169" spans="1:20">
      <c r="A169" s="97">
        <f t="shared" si="57"/>
        <v>169</v>
      </c>
      <c r="B169" s="329" t="s">
        <v>157</v>
      </c>
      <c r="C169" s="326">
        <f t="shared" si="59"/>
        <v>23251.81</v>
      </c>
      <c r="D169" s="326">
        <f t="shared" si="60"/>
        <v>49513.41</v>
      </c>
      <c r="E169" s="326">
        <f t="shared" si="61"/>
        <v>73129.05</v>
      </c>
      <c r="F169" s="326">
        <f t="shared" si="62"/>
        <v>88778.05</v>
      </c>
      <c r="G169" s="326">
        <f t="shared" si="63"/>
        <v>94786.05</v>
      </c>
      <c r="H169" s="326">
        <f t="shared" si="64"/>
        <v>101733.38</v>
      </c>
      <c r="I169" s="326">
        <f t="shared" si="65"/>
        <v>109720.21</v>
      </c>
      <c r="J169" s="326">
        <f t="shared" si="66"/>
        <v>115628.44</v>
      </c>
      <c r="K169" s="326">
        <f t="shared" si="67"/>
        <v>122627.41</v>
      </c>
      <c r="L169" s="326">
        <f t="shared" si="68"/>
        <v>133490.73000000001</v>
      </c>
      <c r="M169" s="326">
        <f t="shared" si="69"/>
        <v>148659.19</v>
      </c>
      <c r="N169" s="326">
        <f t="shared" si="70"/>
        <v>173027.07</v>
      </c>
      <c r="O169" s="326">
        <f t="shared" si="71"/>
        <v>1234344.8</v>
      </c>
      <c r="T169" s="249"/>
    </row>
    <row r="170" spans="1:20">
      <c r="A170" s="97">
        <f t="shared" si="57"/>
        <v>170</v>
      </c>
      <c r="B170" s="329" t="s">
        <v>159</v>
      </c>
      <c r="C170" s="326">
        <f t="shared" si="59"/>
        <v>2296.37</v>
      </c>
      <c r="D170" s="326">
        <f t="shared" si="60"/>
        <v>4544.13</v>
      </c>
      <c r="E170" s="326">
        <f t="shared" si="61"/>
        <v>6725.17</v>
      </c>
      <c r="F170" s="326">
        <f t="shared" si="62"/>
        <v>8392.17</v>
      </c>
      <c r="G170" s="326">
        <f t="shared" si="63"/>
        <v>9741.17</v>
      </c>
      <c r="H170" s="326">
        <f t="shared" si="64"/>
        <v>11164.61</v>
      </c>
      <c r="I170" s="326">
        <f t="shared" si="65"/>
        <v>12701.12</v>
      </c>
      <c r="J170" s="326">
        <f t="shared" si="66"/>
        <v>14069.69</v>
      </c>
      <c r="K170" s="326">
        <f t="shared" si="67"/>
        <v>15934.07</v>
      </c>
      <c r="L170" s="326">
        <f t="shared" si="68"/>
        <v>17828.8</v>
      </c>
      <c r="M170" s="326">
        <f t="shared" si="69"/>
        <v>19926.849999999999</v>
      </c>
      <c r="N170" s="326">
        <f t="shared" si="70"/>
        <v>22358.25</v>
      </c>
      <c r="O170" s="326">
        <f t="shared" si="71"/>
        <v>145682.4</v>
      </c>
      <c r="T170" s="249"/>
    </row>
    <row r="171" spans="1:20">
      <c r="A171" s="97">
        <f t="shared" si="57"/>
        <v>171</v>
      </c>
      <c r="B171" s="174" t="s">
        <v>95</v>
      </c>
      <c r="C171" s="326">
        <f t="shared" si="59"/>
        <v>7392.8199999999988</v>
      </c>
      <c r="D171" s="326">
        <f t="shared" si="60"/>
        <v>14788.939999999999</v>
      </c>
      <c r="E171" s="326">
        <f t="shared" si="61"/>
        <v>21968.44</v>
      </c>
      <c r="F171" s="326">
        <f t="shared" si="62"/>
        <v>28411.81</v>
      </c>
      <c r="G171" s="326">
        <f t="shared" si="63"/>
        <v>34971.51</v>
      </c>
      <c r="H171" s="326">
        <f t="shared" si="64"/>
        <v>41080.26</v>
      </c>
      <c r="I171" s="326">
        <f t="shared" si="65"/>
        <v>47913.86</v>
      </c>
      <c r="J171" s="326">
        <f t="shared" si="66"/>
        <v>53909.760000000002</v>
      </c>
      <c r="K171" s="326">
        <f t="shared" si="67"/>
        <v>60784.67</v>
      </c>
      <c r="L171" s="326">
        <f t="shared" si="68"/>
        <v>66721.02</v>
      </c>
      <c r="M171" s="326">
        <f t="shared" si="69"/>
        <v>73732.87000000001</v>
      </c>
      <c r="N171" s="326">
        <f t="shared" si="70"/>
        <v>80460.960000000006</v>
      </c>
      <c r="O171" s="326">
        <f t="shared" si="71"/>
        <v>532136.92000000004</v>
      </c>
      <c r="T171" s="249"/>
    </row>
    <row r="172" spans="1:20">
      <c r="A172" s="97">
        <f t="shared" si="57"/>
        <v>172</v>
      </c>
      <c r="B172" s="174" t="s">
        <v>96</v>
      </c>
      <c r="C172" s="326">
        <f t="shared" si="59"/>
        <v>325.58999999999997</v>
      </c>
      <c r="D172" s="326">
        <f t="shared" si="60"/>
        <v>621.99</v>
      </c>
      <c r="E172" s="326">
        <f t="shared" si="61"/>
        <v>1014.89</v>
      </c>
      <c r="F172" s="326">
        <f t="shared" si="62"/>
        <v>1363.83</v>
      </c>
      <c r="G172" s="326">
        <f t="shared" si="63"/>
        <v>1863.1599999999999</v>
      </c>
      <c r="H172" s="326">
        <f t="shared" si="64"/>
        <v>2217.48</v>
      </c>
      <c r="I172" s="326">
        <f t="shared" si="65"/>
        <v>2662.8</v>
      </c>
      <c r="J172" s="326">
        <f t="shared" si="66"/>
        <v>3069.76</v>
      </c>
      <c r="K172" s="326">
        <f t="shared" si="67"/>
        <v>3411.86</v>
      </c>
      <c r="L172" s="326">
        <f t="shared" si="68"/>
        <v>3674.17</v>
      </c>
      <c r="M172" s="326">
        <f t="shared" si="69"/>
        <v>4095.23</v>
      </c>
      <c r="N172" s="326">
        <f t="shared" si="70"/>
        <v>4666.6000000000004</v>
      </c>
      <c r="O172" s="326">
        <f t="shared" si="71"/>
        <v>28987.360000000001</v>
      </c>
      <c r="T172" s="249"/>
    </row>
    <row r="173" spans="1:20">
      <c r="A173" s="97">
        <f t="shared" si="57"/>
        <v>173</v>
      </c>
      <c r="B173" s="335" t="s">
        <v>97</v>
      </c>
      <c r="C173" s="331">
        <f t="shared" si="59"/>
        <v>0</v>
      </c>
      <c r="D173" s="331">
        <f t="shared" si="60"/>
        <v>0</v>
      </c>
      <c r="E173" s="331">
        <f t="shared" si="61"/>
        <v>0</v>
      </c>
      <c r="F173" s="331">
        <f t="shared" si="62"/>
        <v>0</v>
      </c>
      <c r="G173" s="331">
        <f t="shared" si="63"/>
        <v>0</v>
      </c>
      <c r="H173" s="331">
        <f t="shared" si="64"/>
        <v>0</v>
      </c>
      <c r="I173" s="331">
        <f t="shared" si="65"/>
        <v>0</v>
      </c>
      <c r="J173" s="331">
        <f t="shared" si="66"/>
        <v>0</v>
      </c>
      <c r="K173" s="331">
        <f t="shared" si="67"/>
        <v>0</v>
      </c>
      <c r="L173" s="331">
        <f t="shared" si="68"/>
        <v>0</v>
      </c>
      <c r="M173" s="331">
        <f t="shared" si="69"/>
        <v>0</v>
      </c>
      <c r="N173" s="331">
        <f t="shared" si="70"/>
        <v>0</v>
      </c>
      <c r="O173" s="331">
        <f t="shared" si="71"/>
        <v>0</v>
      </c>
      <c r="T173" s="249"/>
    </row>
    <row r="174" spans="1:20">
      <c r="A174" s="97">
        <f t="shared" si="57"/>
        <v>174</v>
      </c>
      <c r="B174" s="336" t="s">
        <v>164</v>
      </c>
      <c r="C174" s="326">
        <f>SUM(C137:C173)</f>
        <v>10688874.569999998</v>
      </c>
      <c r="D174" s="326">
        <f t="shared" ref="D174:O174" si="72">SUM(D137:D173)</f>
        <v>20840844.050000001</v>
      </c>
      <c r="E174" s="326">
        <f t="shared" si="72"/>
        <v>30793780.880000006</v>
      </c>
      <c r="F174" s="326">
        <f t="shared" si="72"/>
        <v>38620960.649999999</v>
      </c>
      <c r="G174" s="326">
        <f t="shared" si="72"/>
        <v>46502328.869999982</v>
      </c>
      <c r="H174" s="326">
        <f t="shared" si="72"/>
        <v>54209272.269999996</v>
      </c>
      <c r="I174" s="326">
        <f t="shared" si="72"/>
        <v>62141190.640000001</v>
      </c>
      <c r="J174" s="326">
        <f t="shared" si="72"/>
        <v>70380074.560000002</v>
      </c>
      <c r="K174" s="326">
        <f t="shared" si="72"/>
        <v>78482792.469999984</v>
      </c>
      <c r="L174" s="326">
        <f t="shared" si="72"/>
        <v>87012316.949999973</v>
      </c>
      <c r="M174" s="326">
        <f t="shared" si="72"/>
        <v>95691766.079999983</v>
      </c>
      <c r="N174" s="326">
        <f t="shared" si="72"/>
        <v>105655195.66999999</v>
      </c>
      <c r="O174" s="326">
        <f t="shared" si="72"/>
        <v>701019397.65999985</v>
      </c>
      <c r="T174" s="249"/>
    </row>
    <row r="175" spans="1:20">
      <c r="A175" s="97">
        <f t="shared" si="57"/>
        <v>175</v>
      </c>
      <c r="B175" s="284" t="s">
        <v>165</v>
      </c>
      <c r="T175" s="249"/>
    </row>
    <row r="176" spans="1:20">
      <c r="A176" s="97">
        <f t="shared" si="57"/>
        <v>176</v>
      </c>
      <c r="B176" s="174" t="s">
        <v>100</v>
      </c>
      <c r="C176" s="326">
        <f t="shared" ref="C176:C182" si="73">+C64</f>
        <v>0</v>
      </c>
      <c r="D176" s="326">
        <f t="shared" ref="D176:D182" si="74">SUM(C64:D64)</f>
        <v>0</v>
      </c>
      <c r="E176" s="326">
        <f t="shared" ref="E176:E182" si="75">SUM(C64:E64)</f>
        <v>0</v>
      </c>
      <c r="F176" s="326">
        <f t="shared" ref="F176:F182" si="76">SUM(C64:F64)</f>
        <v>0</v>
      </c>
      <c r="G176" s="326">
        <f t="shared" ref="G176:G182" si="77">SUM(C64:G64)</f>
        <v>0</v>
      </c>
      <c r="H176" s="326">
        <f t="shared" ref="H176:H182" si="78">SUM(C64:H64)</f>
        <v>0</v>
      </c>
      <c r="I176" s="326">
        <f t="shared" ref="I176:I182" si="79">SUM(C64:I64)</f>
        <v>0</v>
      </c>
      <c r="J176" s="326">
        <f t="shared" ref="J176:J182" si="80">SUM(C64:J64)</f>
        <v>0</v>
      </c>
      <c r="K176" s="326">
        <f t="shared" ref="K176:K182" si="81">SUM(C64:K64)</f>
        <v>0</v>
      </c>
      <c r="L176" s="326">
        <f t="shared" ref="L176:L182" si="82">SUM(C64:L64)</f>
        <v>0</v>
      </c>
      <c r="M176" s="326">
        <f t="shared" ref="M176:M182" si="83">SUM(C64:M64)</f>
        <v>0</v>
      </c>
      <c r="N176" s="326">
        <f t="shared" ref="N176:N182" si="84">SUM(C64:N64)</f>
        <v>0</v>
      </c>
      <c r="O176" s="326">
        <f t="shared" ref="O176:O183" si="85">SUM(C176:N176)</f>
        <v>0</v>
      </c>
      <c r="T176" s="249"/>
    </row>
    <row r="177" spans="1:20">
      <c r="A177" s="97">
        <f t="shared" si="57"/>
        <v>177</v>
      </c>
      <c r="B177" s="174" t="s">
        <v>101</v>
      </c>
      <c r="C177" s="326">
        <f t="shared" si="73"/>
        <v>1.03</v>
      </c>
      <c r="D177" s="326">
        <f t="shared" si="74"/>
        <v>2.06</v>
      </c>
      <c r="E177" s="326">
        <f t="shared" si="75"/>
        <v>4.1400000000000006</v>
      </c>
      <c r="F177" s="326">
        <f t="shared" si="76"/>
        <v>6.2200000000000006</v>
      </c>
      <c r="G177" s="326">
        <f t="shared" si="77"/>
        <v>7.2500000000000009</v>
      </c>
      <c r="H177" s="326">
        <f t="shared" si="78"/>
        <v>8.2800000000000011</v>
      </c>
      <c r="I177" s="326">
        <f t="shared" si="79"/>
        <v>11.39</v>
      </c>
      <c r="J177" s="326">
        <f t="shared" si="80"/>
        <v>13.47</v>
      </c>
      <c r="K177" s="326">
        <f t="shared" si="81"/>
        <v>14.5</v>
      </c>
      <c r="L177" s="326">
        <f t="shared" si="82"/>
        <v>16.579999999999998</v>
      </c>
      <c r="M177" s="326">
        <f t="shared" si="83"/>
        <v>18.659999999999997</v>
      </c>
      <c r="N177" s="326">
        <f t="shared" si="84"/>
        <v>20.739999999999995</v>
      </c>
      <c r="O177" s="326">
        <f t="shared" si="85"/>
        <v>124.32</v>
      </c>
      <c r="T177" s="249"/>
    </row>
    <row r="178" spans="1:20">
      <c r="A178" s="97">
        <f t="shared" si="57"/>
        <v>178</v>
      </c>
      <c r="B178" s="174" t="s">
        <v>102</v>
      </c>
      <c r="C178" s="326">
        <f t="shared" si="73"/>
        <v>543.84</v>
      </c>
      <c r="D178" s="326">
        <f t="shared" si="74"/>
        <v>1037.7</v>
      </c>
      <c r="E178" s="326">
        <f t="shared" si="75"/>
        <v>1499.51</v>
      </c>
      <c r="F178" s="326">
        <f t="shared" si="76"/>
        <v>1822.3899999999999</v>
      </c>
      <c r="G178" s="326">
        <f t="shared" si="77"/>
        <v>2144.4899999999998</v>
      </c>
      <c r="H178" s="326">
        <f t="shared" si="78"/>
        <v>2657.43</v>
      </c>
      <c r="I178" s="326">
        <f t="shared" si="79"/>
        <v>3199.97</v>
      </c>
      <c r="J178" s="326">
        <f t="shared" si="80"/>
        <v>3824.2999999999997</v>
      </c>
      <c r="K178" s="326">
        <f t="shared" si="81"/>
        <v>4399.0199999999995</v>
      </c>
      <c r="L178" s="326">
        <f t="shared" si="82"/>
        <v>4884.4799999999996</v>
      </c>
      <c r="M178" s="326">
        <f t="shared" si="83"/>
        <v>5444.0999999999995</v>
      </c>
      <c r="N178" s="326">
        <f t="shared" si="84"/>
        <v>6183.58</v>
      </c>
      <c r="O178" s="326">
        <f t="shared" si="85"/>
        <v>37640.81</v>
      </c>
      <c r="T178" s="249"/>
    </row>
    <row r="179" spans="1:20">
      <c r="A179" s="97">
        <f t="shared" si="57"/>
        <v>179</v>
      </c>
      <c r="B179" s="174" t="s">
        <v>103</v>
      </c>
      <c r="C179" s="326">
        <f t="shared" si="73"/>
        <v>237.97</v>
      </c>
      <c r="D179" s="326">
        <f t="shared" si="74"/>
        <v>456.58000000000004</v>
      </c>
      <c r="E179" s="326">
        <f t="shared" si="75"/>
        <v>644.52</v>
      </c>
      <c r="F179" s="326">
        <f t="shared" si="76"/>
        <v>1116.6199999999999</v>
      </c>
      <c r="G179" s="326">
        <f t="shared" si="77"/>
        <v>1254.58</v>
      </c>
      <c r="H179" s="326">
        <f t="shared" si="78"/>
        <v>1142.55</v>
      </c>
      <c r="I179" s="326">
        <f t="shared" si="79"/>
        <v>1419.47</v>
      </c>
      <c r="J179" s="326">
        <f t="shared" si="80"/>
        <v>1624.01</v>
      </c>
      <c r="K179" s="326">
        <f t="shared" si="81"/>
        <v>1801.57</v>
      </c>
      <c r="L179" s="326">
        <f t="shared" si="82"/>
        <v>1977.6599999999999</v>
      </c>
      <c r="M179" s="326">
        <f t="shared" si="83"/>
        <v>2179.5899999999997</v>
      </c>
      <c r="N179" s="326">
        <f t="shared" si="84"/>
        <v>2389.8399999999997</v>
      </c>
      <c r="O179" s="326">
        <f t="shared" si="85"/>
        <v>16244.960000000001</v>
      </c>
      <c r="T179" s="249"/>
    </row>
    <row r="180" spans="1:20">
      <c r="A180" s="97">
        <f t="shared" si="57"/>
        <v>180</v>
      </c>
      <c r="B180" s="174" t="s">
        <v>104</v>
      </c>
      <c r="C180" s="326">
        <f t="shared" si="73"/>
        <v>1454.24</v>
      </c>
      <c r="D180" s="326">
        <f t="shared" si="74"/>
        <v>2922.26</v>
      </c>
      <c r="E180" s="326">
        <f t="shared" si="75"/>
        <v>4338.57</v>
      </c>
      <c r="F180" s="326">
        <f t="shared" si="76"/>
        <v>5206.96</v>
      </c>
      <c r="G180" s="326">
        <f t="shared" si="77"/>
        <v>6074.1900000000005</v>
      </c>
      <c r="H180" s="326">
        <f t="shared" si="78"/>
        <v>7241.5</v>
      </c>
      <c r="I180" s="326">
        <f t="shared" si="79"/>
        <v>8408.5400000000009</v>
      </c>
      <c r="J180" s="326">
        <f t="shared" si="80"/>
        <v>9569.52</v>
      </c>
      <c r="K180" s="326">
        <f t="shared" si="81"/>
        <v>10569.49</v>
      </c>
      <c r="L180" s="326">
        <f t="shared" si="82"/>
        <v>11485.35</v>
      </c>
      <c r="M180" s="326">
        <f t="shared" si="83"/>
        <v>12594.6</v>
      </c>
      <c r="N180" s="326">
        <f t="shared" si="84"/>
        <v>13846.25</v>
      </c>
      <c r="O180" s="326">
        <f t="shared" si="85"/>
        <v>93711.47</v>
      </c>
      <c r="T180" s="249"/>
    </row>
    <row r="181" spans="1:20">
      <c r="A181" s="97">
        <f t="shared" si="57"/>
        <v>181</v>
      </c>
      <c r="B181" s="329" t="s">
        <v>105</v>
      </c>
      <c r="C181" s="326">
        <f t="shared" si="73"/>
        <v>5663.76</v>
      </c>
      <c r="D181" s="326">
        <f t="shared" si="74"/>
        <v>10830.119999999999</v>
      </c>
      <c r="E181" s="326">
        <f t="shared" si="75"/>
        <v>15655.059999999998</v>
      </c>
      <c r="F181" s="326">
        <f t="shared" si="76"/>
        <v>19078.28</v>
      </c>
      <c r="G181" s="326">
        <f t="shared" si="77"/>
        <v>23154.739999999998</v>
      </c>
      <c r="H181" s="326">
        <f t="shared" si="78"/>
        <v>27705.289999999997</v>
      </c>
      <c r="I181" s="326">
        <f t="shared" si="79"/>
        <v>32538.319999999996</v>
      </c>
      <c r="J181" s="326">
        <f t="shared" si="80"/>
        <v>37180.909999999996</v>
      </c>
      <c r="K181" s="326">
        <f t="shared" si="81"/>
        <v>41752.85</v>
      </c>
      <c r="L181" s="326">
        <f t="shared" si="82"/>
        <v>46263.65</v>
      </c>
      <c r="M181" s="326">
        <f t="shared" si="83"/>
        <v>51281.72</v>
      </c>
      <c r="N181" s="326">
        <f t="shared" si="84"/>
        <v>56372.82</v>
      </c>
      <c r="O181" s="326">
        <f t="shared" si="85"/>
        <v>367477.51999999996</v>
      </c>
      <c r="T181" s="249"/>
    </row>
    <row r="182" spans="1:20">
      <c r="A182" s="97">
        <f t="shared" si="57"/>
        <v>182</v>
      </c>
      <c r="B182" s="335" t="s">
        <v>106</v>
      </c>
      <c r="C182" s="331">
        <f t="shared" si="73"/>
        <v>3969.03</v>
      </c>
      <c r="D182" s="331">
        <f t="shared" si="74"/>
        <v>7892.8600000000006</v>
      </c>
      <c r="E182" s="331">
        <f t="shared" si="75"/>
        <v>11513.51</v>
      </c>
      <c r="F182" s="331">
        <f t="shared" si="76"/>
        <v>13092.05</v>
      </c>
      <c r="G182" s="331">
        <f t="shared" si="77"/>
        <v>16095.849999999999</v>
      </c>
      <c r="H182" s="331">
        <f t="shared" si="78"/>
        <v>19412.699999999997</v>
      </c>
      <c r="I182" s="331">
        <f t="shared" si="79"/>
        <v>23064.319999999996</v>
      </c>
      <c r="J182" s="331">
        <f t="shared" si="80"/>
        <v>26029.089999999997</v>
      </c>
      <c r="K182" s="331">
        <f t="shared" si="81"/>
        <v>29392.059999999998</v>
      </c>
      <c r="L182" s="331">
        <f t="shared" si="82"/>
        <v>33041.11</v>
      </c>
      <c r="M182" s="331">
        <f t="shared" si="83"/>
        <v>36832.379999999997</v>
      </c>
      <c r="N182" s="331">
        <f t="shared" si="84"/>
        <v>40285.82</v>
      </c>
      <c r="O182" s="331">
        <f t="shared" si="85"/>
        <v>260620.77999999997</v>
      </c>
      <c r="T182" s="249"/>
    </row>
    <row r="183" spans="1:20">
      <c r="A183" s="97">
        <f t="shared" si="57"/>
        <v>183</v>
      </c>
      <c r="B183" s="336" t="s">
        <v>167</v>
      </c>
      <c r="C183" s="326">
        <f t="shared" ref="C183:N183" si="86">SUM(C176:C182)</f>
        <v>11869.87</v>
      </c>
      <c r="D183" s="326">
        <f t="shared" si="86"/>
        <v>23141.58</v>
      </c>
      <c r="E183" s="326">
        <f t="shared" si="86"/>
        <v>33655.31</v>
      </c>
      <c r="F183" s="326">
        <f t="shared" si="86"/>
        <v>40322.519999999997</v>
      </c>
      <c r="G183" s="326">
        <f t="shared" si="86"/>
        <v>48731.1</v>
      </c>
      <c r="H183" s="326">
        <f t="shared" si="86"/>
        <v>58167.749999999993</v>
      </c>
      <c r="I183" s="326">
        <f t="shared" si="86"/>
        <v>68642.009999999995</v>
      </c>
      <c r="J183" s="326">
        <f t="shared" si="86"/>
        <v>78241.299999999988</v>
      </c>
      <c r="K183" s="326">
        <f t="shared" si="86"/>
        <v>87929.489999999991</v>
      </c>
      <c r="L183" s="326">
        <f t="shared" si="86"/>
        <v>97668.83</v>
      </c>
      <c r="M183" s="326">
        <f t="shared" si="86"/>
        <v>108351.04999999999</v>
      </c>
      <c r="N183" s="326">
        <f t="shared" si="86"/>
        <v>119099.04999999999</v>
      </c>
      <c r="O183" s="326">
        <f t="shared" si="85"/>
        <v>775819.8600000001</v>
      </c>
      <c r="T183" s="249"/>
    </row>
    <row r="184" spans="1:20">
      <c r="A184" s="97">
        <f t="shared" si="57"/>
        <v>184</v>
      </c>
      <c r="B184" s="284" t="s">
        <v>168</v>
      </c>
      <c r="T184" s="249"/>
    </row>
    <row r="185" spans="1:20">
      <c r="A185" s="97">
        <f t="shared" si="57"/>
        <v>185</v>
      </c>
      <c r="B185" s="67" t="s">
        <v>169</v>
      </c>
      <c r="C185" s="326">
        <f t="shared" ref="C185:C199" si="87">+C73</f>
        <v>69339</v>
      </c>
      <c r="D185" s="326">
        <f t="shared" ref="D185:D198" si="88">SUM(C73:D73)</f>
        <v>184909</v>
      </c>
      <c r="E185" s="326">
        <f t="shared" ref="E185:E198" si="89">SUM(C73:E73)</f>
        <v>272982.92</v>
      </c>
      <c r="F185" s="326">
        <f t="shared" ref="F185:F198" si="90">SUM(C73:F73)</f>
        <v>354610.52999999997</v>
      </c>
      <c r="G185" s="326">
        <f t="shared" ref="G185:G198" si="91">SUM(C73:G73)</f>
        <v>451183.76999999996</v>
      </c>
      <c r="H185" s="326">
        <f t="shared" ref="H185:H198" si="92">SUM(C73:H73)</f>
        <v>493763.76999999996</v>
      </c>
      <c r="I185" s="326">
        <f t="shared" ref="I185:I198" si="93">SUM(C73:I73)</f>
        <v>522925.48</v>
      </c>
      <c r="J185" s="326">
        <f t="shared" ref="J185:J198" si="94">SUM(C73:J73)</f>
        <v>581810.81999999995</v>
      </c>
      <c r="K185" s="326">
        <f t="shared" ref="K185:K198" si="95">SUM(C73:K73)</f>
        <v>651386.79999999993</v>
      </c>
      <c r="L185" s="326">
        <f t="shared" ref="L185:L198" si="96">SUM(C73:L73)</f>
        <v>704867.71</v>
      </c>
      <c r="M185" s="326">
        <f t="shared" ref="M185:M198" si="97">SUM(C73:M73)</f>
        <v>728513.30999999994</v>
      </c>
      <c r="N185" s="326">
        <f t="shared" ref="N185:N198" si="98">SUM(C73:N73)</f>
        <v>763276.14999999991</v>
      </c>
      <c r="O185" s="326">
        <f t="shared" ref="O185:O198" si="99">SUM(C185:N185)</f>
        <v>5779569.2599999979</v>
      </c>
      <c r="T185" s="249"/>
    </row>
    <row r="186" spans="1:20">
      <c r="A186" s="97">
        <f t="shared" si="57"/>
        <v>186</v>
      </c>
      <c r="B186" s="67" t="s">
        <v>171</v>
      </c>
      <c r="C186" s="326">
        <f t="shared" si="87"/>
        <v>22238.77</v>
      </c>
      <c r="D186" s="326">
        <f t="shared" si="88"/>
        <v>43657.369999999995</v>
      </c>
      <c r="E186" s="326">
        <f t="shared" si="89"/>
        <v>59263.77</v>
      </c>
      <c r="F186" s="326">
        <f t="shared" si="90"/>
        <v>71773.08</v>
      </c>
      <c r="G186" s="326">
        <f t="shared" si="91"/>
        <v>84032.89</v>
      </c>
      <c r="H186" s="326">
        <f t="shared" si="92"/>
        <v>94740.33</v>
      </c>
      <c r="I186" s="326">
        <f t="shared" si="93"/>
        <v>104350.45</v>
      </c>
      <c r="J186" s="326">
        <f t="shared" si="94"/>
        <v>113383.95</v>
      </c>
      <c r="K186" s="326">
        <f t="shared" si="95"/>
        <v>122713.26</v>
      </c>
      <c r="L186" s="326">
        <f t="shared" si="96"/>
        <v>133376.5</v>
      </c>
      <c r="M186" s="326">
        <f t="shared" si="97"/>
        <v>146838.51999999999</v>
      </c>
      <c r="N186" s="326">
        <f t="shared" si="98"/>
        <v>167045.19999999998</v>
      </c>
      <c r="O186" s="326">
        <f t="shared" si="99"/>
        <v>1163414.0900000001</v>
      </c>
      <c r="T186" s="249"/>
    </row>
    <row r="187" spans="1:20">
      <c r="A187" s="97">
        <f t="shared" si="57"/>
        <v>187</v>
      </c>
      <c r="B187" s="67" t="s">
        <v>172</v>
      </c>
      <c r="C187" s="326">
        <f t="shared" si="87"/>
        <v>1793074.31</v>
      </c>
      <c r="D187" s="326">
        <f t="shared" si="88"/>
        <v>3474303.67</v>
      </c>
      <c r="E187" s="326">
        <f t="shared" si="89"/>
        <v>5268312.87</v>
      </c>
      <c r="F187" s="326">
        <f t="shared" si="90"/>
        <v>6961164.54</v>
      </c>
      <c r="G187" s="326">
        <f t="shared" si="91"/>
        <v>8704499.5999999996</v>
      </c>
      <c r="H187" s="326">
        <f t="shared" si="92"/>
        <v>10438104.289999999</v>
      </c>
      <c r="I187" s="326">
        <f t="shared" si="93"/>
        <v>10842150.84</v>
      </c>
      <c r="J187" s="326">
        <f t="shared" si="94"/>
        <v>12389294.5</v>
      </c>
      <c r="K187" s="326">
        <f t="shared" si="95"/>
        <v>14125808.15</v>
      </c>
      <c r="L187" s="326">
        <f t="shared" si="96"/>
        <v>15926702.280000001</v>
      </c>
      <c r="M187" s="326">
        <f t="shared" si="97"/>
        <v>17666295.960000001</v>
      </c>
      <c r="N187" s="326">
        <f t="shared" si="98"/>
        <v>19463409</v>
      </c>
      <c r="O187" s="326">
        <f t="shared" si="99"/>
        <v>127053120.01000002</v>
      </c>
      <c r="T187" s="249"/>
    </row>
    <row r="188" spans="1:20">
      <c r="A188" s="97">
        <f t="shared" si="57"/>
        <v>188</v>
      </c>
      <c r="B188" s="67" t="s">
        <v>173</v>
      </c>
      <c r="C188" s="326">
        <f t="shared" si="87"/>
        <v>1015710.42</v>
      </c>
      <c r="D188" s="326">
        <f t="shared" si="88"/>
        <v>3069310.0300000003</v>
      </c>
      <c r="E188" s="326">
        <f t="shared" si="89"/>
        <v>4957089.95</v>
      </c>
      <c r="F188" s="326">
        <f t="shared" si="90"/>
        <v>6704540.0300000003</v>
      </c>
      <c r="G188" s="326">
        <f t="shared" si="91"/>
        <v>8665480.370000001</v>
      </c>
      <c r="H188" s="326">
        <f t="shared" si="92"/>
        <v>10765450.270000001</v>
      </c>
      <c r="I188" s="326">
        <f t="shared" si="93"/>
        <v>12901810.380000001</v>
      </c>
      <c r="J188" s="326">
        <f t="shared" si="94"/>
        <v>13676300.110000001</v>
      </c>
      <c r="K188" s="326">
        <f t="shared" si="95"/>
        <v>15379629.880000001</v>
      </c>
      <c r="L188" s="326">
        <f t="shared" si="96"/>
        <v>16447530.220000001</v>
      </c>
      <c r="M188" s="326">
        <f t="shared" si="97"/>
        <v>18097209.960000001</v>
      </c>
      <c r="N188" s="326">
        <f t="shared" si="98"/>
        <v>20157489.59</v>
      </c>
      <c r="O188" s="326">
        <f t="shared" si="99"/>
        <v>131837551.21000001</v>
      </c>
      <c r="T188" s="249"/>
    </row>
    <row r="189" spans="1:20">
      <c r="A189" s="97">
        <f t="shared" si="57"/>
        <v>189</v>
      </c>
      <c r="B189" s="67" t="s">
        <v>174</v>
      </c>
      <c r="C189" s="326">
        <f t="shared" si="87"/>
        <v>0</v>
      </c>
      <c r="D189" s="326">
        <f t="shared" si="88"/>
        <v>0</v>
      </c>
      <c r="E189" s="326">
        <f t="shared" si="89"/>
        <v>0</v>
      </c>
      <c r="F189" s="326">
        <f t="shared" si="90"/>
        <v>0</v>
      </c>
      <c r="G189" s="326">
        <f t="shared" si="91"/>
        <v>0</v>
      </c>
      <c r="H189" s="326">
        <f t="shared" si="92"/>
        <v>0</v>
      </c>
      <c r="I189" s="326">
        <f t="shared" si="93"/>
        <v>0</v>
      </c>
      <c r="J189" s="326">
        <f t="shared" si="94"/>
        <v>0</v>
      </c>
      <c r="K189" s="326">
        <f t="shared" si="95"/>
        <v>0</v>
      </c>
      <c r="L189" s="326">
        <f t="shared" si="96"/>
        <v>0</v>
      </c>
      <c r="M189" s="326">
        <f t="shared" si="97"/>
        <v>0</v>
      </c>
      <c r="N189" s="326">
        <f t="shared" si="98"/>
        <v>0</v>
      </c>
      <c r="O189" s="326">
        <f t="shared" si="99"/>
        <v>0</v>
      </c>
      <c r="T189" s="249"/>
    </row>
    <row r="190" spans="1:20">
      <c r="A190" s="97">
        <f t="shared" si="57"/>
        <v>190</v>
      </c>
      <c r="B190" s="67" t="s">
        <v>175</v>
      </c>
      <c r="C190" s="326">
        <f t="shared" si="87"/>
        <v>1022359.4</v>
      </c>
      <c r="D190" s="326">
        <f t="shared" si="88"/>
        <v>1855752.69</v>
      </c>
      <c r="E190" s="326">
        <f t="shared" si="89"/>
        <v>2745177.15</v>
      </c>
      <c r="F190" s="326">
        <f t="shared" si="90"/>
        <v>3370665.26</v>
      </c>
      <c r="G190" s="326">
        <f t="shared" si="91"/>
        <v>4283659.7799999993</v>
      </c>
      <c r="H190" s="326">
        <f t="shared" si="92"/>
        <v>5144629.6999999993</v>
      </c>
      <c r="I190" s="326">
        <f t="shared" si="93"/>
        <v>5976733.2799999993</v>
      </c>
      <c r="J190" s="326">
        <f t="shared" si="94"/>
        <v>6599458.5499999989</v>
      </c>
      <c r="K190" s="326">
        <f t="shared" si="95"/>
        <v>7025189.4499999993</v>
      </c>
      <c r="L190" s="326">
        <f t="shared" si="96"/>
        <v>7857475.2399999993</v>
      </c>
      <c r="M190" s="326">
        <f t="shared" si="97"/>
        <v>8818585.3300000001</v>
      </c>
      <c r="N190" s="326">
        <f t="shared" si="98"/>
        <v>9782762.2100000009</v>
      </c>
      <c r="O190" s="326">
        <f>SUM(C190:N190)</f>
        <v>64482448.039999992</v>
      </c>
      <c r="T190" s="249"/>
    </row>
    <row r="191" spans="1:20">
      <c r="A191" s="97">
        <f t="shared" si="57"/>
        <v>191</v>
      </c>
      <c r="B191" s="67" t="s">
        <v>176</v>
      </c>
      <c r="C191" s="326">
        <f t="shared" si="87"/>
        <v>558176.11</v>
      </c>
      <c r="D191" s="326">
        <f t="shared" si="88"/>
        <v>1038816.78</v>
      </c>
      <c r="E191" s="326">
        <f t="shared" si="89"/>
        <v>1743858.62</v>
      </c>
      <c r="F191" s="326">
        <f t="shared" si="90"/>
        <v>2399737.0500000003</v>
      </c>
      <c r="G191" s="326">
        <f t="shared" si="91"/>
        <v>2778544.8800000004</v>
      </c>
      <c r="H191" s="326">
        <f t="shared" si="92"/>
        <v>2836559.8300000005</v>
      </c>
      <c r="I191" s="326">
        <f t="shared" si="93"/>
        <v>2923214.5700000008</v>
      </c>
      <c r="J191" s="326">
        <f t="shared" si="94"/>
        <v>2984445.1600000006</v>
      </c>
      <c r="K191" s="326">
        <f t="shared" si="95"/>
        <v>3055071.4100000006</v>
      </c>
      <c r="L191" s="326">
        <f t="shared" si="96"/>
        <v>3097904.5200000005</v>
      </c>
      <c r="M191" s="326">
        <f t="shared" si="97"/>
        <v>3116547.7200000007</v>
      </c>
      <c r="N191" s="326">
        <f t="shared" si="98"/>
        <v>3512562.5800000005</v>
      </c>
      <c r="O191" s="326">
        <f t="shared" si="99"/>
        <v>30045439.230000008</v>
      </c>
      <c r="T191" s="249"/>
    </row>
    <row r="192" spans="1:20">
      <c r="A192" s="97">
        <f t="shared" si="57"/>
        <v>192</v>
      </c>
      <c r="B192" s="67" t="s">
        <v>177</v>
      </c>
      <c r="C192" s="326">
        <f t="shared" si="87"/>
        <v>0</v>
      </c>
      <c r="D192" s="326">
        <f t="shared" si="88"/>
        <v>0</v>
      </c>
      <c r="E192" s="326">
        <f t="shared" si="89"/>
        <v>0</v>
      </c>
      <c r="F192" s="326">
        <f t="shared" si="90"/>
        <v>0</v>
      </c>
      <c r="G192" s="326">
        <f t="shared" si="91"/>
        <v>0</v>
      </c>
      <c r="H192" s="326">
        <f t="shared" si="92"/>
        <v>0</v>
      </c>
      <c r="I192" s="326">
        <f t="shared" si="93"/>
        <v>0</v>
      </c>
      <c r="J192" s="326">
        <f t="shared" si="94"/>
        <v>0</v>
      </c>
      <c r="K192" s="326">
        <f t="shared" si="95"/>
        <v>0</v>
      </c>
      <c r="L192" s="326">
        <f t="shared" si="96"/>
        <v>0</v>
      </c>
      <c r="M192" s="326">
        <f t="shared" si="97"/>
        <v>0</v>
      </c>
      <c r="N192" s="326">
        <f t="shared" si="98"/>
        <v>0</v>
      </c>
      <c r="O192" s="326">
        <f t="shared" si="99"/>
        <v>0</v>
      </c>
      <c r="T192" s="249"/>
    </row>
    <row r="193" spans="1:20">
      <c r="A193" s="97">
        <f t="shared" si="57"/>
        <v>193</v>
      </c>
      <c r="B193" s="288" t="s">
        <v>179</v>
      </c>
      <c r="C193" s="326">
        <f t="shared" si="87"/>
        <v>3289093.88</v>
      </c>
      <c r="D193" s="326">
        <f t="shared" si="88"/>
        <v>6320770.2799999993</v>
      </c>
      <c r="E193" s="326">
        <f t="shared" si="89"/>
        <v>9407364.3999999985</v>
      </c>
      <c r="F193" s="326">
        <f t="shared" si="90"/>
        <v>12558572.359999999</v>
      </c>
      <c r="G193" s="326">
        <f t="shared" si="91"/>
        <v>15714653.23</v>
      </c>
      <c r="H193" s="326">
        <f t="shared" si="92"/>
        <v>19009626.030000001</v>
      </c>
      <c r="I193" s="326">
        <f t="shared" si="93"/>
        <v>22251233.23</v>
      </c>
      <c r="J193" s="326">
        <f t="shared" si="94"/>
        <v>25542157.310000002</v>
      </c>
      <c r="K193" s="326">
        <f t="shared" si="95"/>
        <v>27219186.340000004</v>
      </c>
      <c r="L193" s="326">
        <f t="shared" si="96"/>
        <v>30519332.140000004</v>
      </c>
      <c r="M193" s="326">
        <f t="shared" si="97"/>
        <v>33456321.470000006</v>
      </c>
      <c r="N193" s="326">
        <f t="shared" si="98"/>
        <v>36449295.950000003</v>
      </c>
      <c r="O193" s="326">
        <f t="shared" si="99"/>
        <v>241737606.62</v>
      </c>
      <c r="T193" s="249"/>
    </row>
    <row r="194" spans="1:20">
      <c r="A194" s="97">
        <f t="shared" si="57"/>
        <v>194</v>
      </c>
      <c r="B194" s="288" t="s">
        <v>180</v>
      </c>
      <c r="C194" s="326">
        <f t="shared" si="87"/>
        <v>2483575.4700000002</v>
      </c>
      <c r="D194" s="326">
        <f t="shared" si="88"/>
        <v>2774982.89</v>
      </c>
      <c r="E194" s="326">
        <f t="shared" si="89"/>
        <v>3084272.5100000002</v>
      </c>
      <c r="F194" s="326">
        <f t="shared" si="90"/>
        <v>3384888.1100000003</v>
      </c>
      <c r="G194" s="326">
        <f t="shared" si="91"/>
        <v>3694123.1500000004</v>
      </c>
      <c r="H194" s="326">
        <f t="shared" si="92"/>
        <v>4594118.1900000004</v>
      </c>
      <c r="I194" s="326">
        <f t="shared" si="93"/>
        <v>5522682.2200000007</v>
      </c>
      <c r="J194" s="326">
        <f t="shared" si="94"/>
        <v>6454974.9400000004</v>
      </c>
      <c r="K194" s="326">
        <f t="shared" si="95"/>
        <v>7354964.8800000008</v>
      </c>
      <c r="L194" s="326">
        <f t="shared" si="96"/>
        <v>8284934.1300000008</v>
      </c>
      <c r="M194" s="326">
        <f t="shared" si="97"/>
        <v>9333225.2000000011</v>
      </c>
      <c r="N194" s="326">
        <f t="shared" si="98"/>
        <v>10572998.300000001</v>
      </c>
      <c r="O194" s="326">
        <f t="shared" si="99"/>
        <v>67539739.99000001</v>
      </c>
      <c r="T194" s="249"/>
    </row>
    <row r="195" spans="1:20">
      <c r="A195" s="97">
        <f t="shared" ref="A195:A225" si="100">+A194+1</f>
        <v>195</v>
      </c>
      <c r="B195" s="288" t="s">
        <v>181</v>
      </c>
      <c r="C195" s="326">
        <f t="shared" si="87"/>
        <v>12600442.220000001</v>
      </c>
      <c r="D195" s="326">
        <f t="shared" si="88"/>
        <v>23675728.530000001</v>
      </c>
      <c r="E195" s="326">
        <f t="shared" si="89"/>
        <v>36963309.289999999</v>
      </c>
      <c r="F195" s="326">
        <f t="shared" si="90"/>
        <v>49786386.140000001</v>
      </c>
      <c r="G195" s="326">
        <f t="shared" si="91"/>
        <v>61719470.039999999</v>
      </c>
      <c r="H195" s="326">
        <f t="shared" si="92"/>
        <v>72627100.409999996</v>
      </c>
      <c r="I195" s="326">
        <f t="shared" si="93"/>
        <v>83907787.769999996</v>
      </c>
      <c r="J195" s="326">
        <f t="shared" si="94"/>
        <v>95026574.50999999</v>
      </c>
      <c r="K195" s="326">
        <f t="shared" si="95"/>
        <v>103901157.38</v>
      </c>
      <c r="L195" s="326">
        <f t="shared" si="96"/>
        <v>115604064.36999999</v>
      </c>
      <c r="M195" s="326">
        <f t="shared" si="97"/>
        <v>125082337.21999998</v>
      </c>
      <c r="N195" s="326">
        <f t="shared" si="98"/>
        <v>133143887.93999998</v>
      </c>
      <c r="O195" s="326">
        <f t="shared" si="99"/>
        <v>914038245.81999993</v>
      </c>
      <c r="T195" s="249"/>
    </row>
    <row r="196" spans="1:20">
      <c r="A196" s="97">
        <f t="shared" si="100"/>
        <v>196</v>
      </c>
      <c r="B196" s="288" t="s">
        <v>182</v>
      </c>
      <c r="C196" s="326">
        <f t="shared" si="87"/>
        <v>0</v>
      </c>
      <c r="D196" s="326">
        <f t="shared" si="88"/>
        <v>0</v>
      </c>
      <c r="E196" s="326">
        <f t="shared" si="89"/>
        <v>0</v>
      </c>
      <c r="F196" s="326">
        <f t="shared" si="90"/>
        <v>0</v>
      </c>
      <c r="G196" s="326">
        <f t="shared" si="91"/>
        <v>0</v>
      </c>
      <c r="H196" s="326">
        <f t="shared" si="92"/>
        <v>0</v>
      </c>
      <c r="I196" s="326">
        <f t="shared" si="93"/>
        <v>0</v>
      </c>
      <c r="J196" s="326">
        <f t="shared" si="94"/>
        <v>0</v>
      </c>
      <c r="K196" s="326">
        <f t="shared" si="95"/>
        <v>0</v>
      </c>
      <c r="L196" s="326">
        <f t="shared" si="96"/>
        <v>0</v>
      </c>
      <c r="M196" s="326">
        <f t="shared" si="97"/>
        <v>0</v>
      </c>
      <c r="N196" s="326">
        <f t="shared" si="98"/>
        <v>0</v>
      </c>
      <c r="O196" s="326">
        <f t="shared" si="99"/>
        <v>0</v>
      </c>
      <c r="T196" s="249"/>
    </row>
    <row r="197" spans="1:20">
      <c r="A197" s="97">
        <f t="shared" si="100"/>
        <v>197</v>
      </c>
      <c r="B197" s="288" t="s">
        <v>183</v>
      </c>
      <c r="C197" s="326">
        <f t="shared" si="87"/>
        <v>70732.429999999993</v>
      </c>
      <c r="D197" s="326">
        <f t="shared" si="88"/>
        <v>149911.46999999997</v>
      </c>
      <c r="E197" s="326">
        <f t="shared" si="89"/>
        <v>223852.46999999997</v>
      </c>
      <c r="F197" s="326">
        <f t="shared" si="90"/>
        <v>348928.47</v>
      </c>
      <c r="G197" s="326">
        <f t="shared" si="91"/>
        <v>478380.38</v>
      </c>
      <c r="H197" s="326">
        <f t="shared" si="92"/>
        <v>595849.59</v>
      </c>
      <c r="I197" s="326">
        <f t="shared" si="93"/>
        <v>710878.24</v>
      </c>
      <c r="J197" s="326">
        <f t="shared" si="94"/>
        <v>768812.65</v>
      </c>
      <c r="K197" s="326">
        <f t="shared" si="95"/>
        <v>884727.18</v>
      </c>
      <c r="L197" s="326">
        <f t="shared" si="96"/>
        <v>837083.13</v>
      </c>
      <c r="M197" s="326">
        <f t="shared" si="97"/>
        <v>1074642.71</v>
      </c>
      <c r="N197" s="326">
        <f t="shared" si="98"/>
        <v>1221273.8599999999</v>
      </c>
      <c r="O197" s="326">
        <f t="shared" si="99"/>
        <v>7365072.5800000001</v>
      </c>
      <c r="T197" s="249"/>
    </row>
    <row r="198" spans="1:20">
      <c r="A198" s="97">
        <f t="shared" si="100"/>
        <v>198</v>
      </c>
      <c r="B198" s="288" t="s">
        <v>184</v>
      </c>
      <c r="C198" s="326">
        <f t="shared" si="87"/>
        <v>501759.44</v>
      </c>
      <c r="D198" s="326">
        <f t="shared" si="88"/>
        <v>673500.59</v>
      </c>
      <c r="E198" s="326">
        <f t="shared" si="89"/>
        <v>1093026.5899999999</v>
      </c>
      <c r="F198" s="326">
        <f t="shared" si="90"/>
        <v>1528891.5899999999</v>
      </c>
      <c r="G198" s="326">
        <f t="shared" si="91"/>
        <v>2593991.5199999996</v>
      </c>
      <c r="H198" s="326">
        <f t="shared" si="92"/>
        <v>3659136.0299999993</v>
      </c>
      <c r="I198" s="326">
        <f t="shared" si="93"/>
        <v>4712945.7299999995</v>
      </c>
      <c r="J198" s="326">
        <f t="shared" si="94"/>
        <v>5190272.6999999993</v>
      </c>
      <c r="K198" s="326">
        <f t="shared" si="95"/>
        <v>6175949.9099999992</v>
      </c>
      <c r="L198" s="326">
        <f t="shared" si="96"/>
        <v>7453298.419999999</v>
      </c>
      <c r="M198" s="326">
        <f t="shared" si="97"/>
        <v>8282570.3199999994</v>
      </c>
      <c r="N198" s="326">
        <f t="shared" si="98"/>
        <v>9674839.3999999985</v>
      </c>
      <c r="O198" s="326">
        <f t="shared" si="99"/>
        <v>51540182.239999995</v>
      </c>
      <c r="T198" s="249"/>
    </row>
    <row r="199" spans="1:20">
      <c r="A199" s="97">
        <f t="shared" si="100"/>
        <v>199</v>
      </c>
      <c r="B199" s="288" t="s">
        <v>185</v>
      </c>
      <c r="C199" s="331">
        <f t="shared" si="87"/>
        <v>0</v>
      </c>
      <c r="D199" s="331">
        <f t="shared" ref="D199:O199" si="101">+D87</f>
        <v>0</v>
      </c>
      <c r="E199" s="331">
        <f t="shared" si="101"/>
        <v>0</v>
      </c>
      <c r="F199" s="331">
        <f t="shared" si="101"/>
        <v>0</v>
      </c>
      <c r="G199" s="331">
        <f t="shared" si="101"/>
        <v>0</v>
      </c>
      <c r="H199" s="331">
        <f t="shared" si="101"/>
        <v>0</v>
      </c>
      <c r="I199" s="331">
        <f t="shared" si="101"/>
        <v>0</v>
      </c>
      <c r="J199" s="331">
        <f t="shared" si="101"/>
        <v>0</v>
      </c>
      <c r="K199" s="331">
        <f t="shared" si="101"/>
        <v>0</v>
      </c>
      <c r="L199" s="331">
        <f t="shared" si="101"/>
        <v>0</v>
      </c>
      <c r="M199" s="331">
        <f t="shared" si="101"/>
        <v>0</v>
      </c>
      <c r="N199" s="331">
        <f t="shared" si="101"/>
        <v>0</v>
      </c>
      <c r="O199" s="331">
        <f t="shared" si="101"/>
        <v>0</v>
      </c>
      <c r="T199" s="249"/>
    </row>
    <row r="200" spans="1:20">
      <c r="A200" s="97">
        <f t="shared" si="100"/>
        <v>200</v>
      </c>
      <c r="B200" s="336" t="s">
        <v>186</v>
      </c>
      <c r="C200" s="326">
        <f>SUM(C185:C199)</f>
        <v>23426501.449999999</v>
      </c>
      <c r="D200" s="326">
        <f t="shared" ref="D200:O200" si="102">SUM(D185:D199)</f>
        <v>43261643.299999997</v>
      </c>
      <c r="E200" s="326">
        <f t="shared" si="102"/>
        <v>65818510.540000007</v>
      </c>
      <c r="F200" s="326">
        <f>SUM(F185:F199)</f>
        <v>87470157.159999996</v>
      </c>
      <c r="G200" s="326">
        <f t="shared" si="102"/>
        <v>109168019.61</v>
      </c>
      <c r="H200" s="326">
        <f t="shared" si="102"/>
        <v>130259078.44</v>
      </c>
      <c r="I200" s="326">
        <f t="shared" si="102"/>
        <v>150376712.19</v>
      </c>
      <c r="J200" s="326">
        <f t="shared" si="102"/>
        <v>169327485.19999999</v>
      </c>
      <c r="K200" s="326">
        <f t="shared" si="102"/>
        <v>185895784.64000002</v>
      </c>
      <c r="L200" s="326">
        <f t="shared" si="102"/>
        <v>206866568.66</v>
      </c>
      <c r="M200" s="326">
        <f t="shared" si="102"/>
        <v>225803087.72</v>
      </c>
      <c r="N200" s="326">
        <f t="shared" si="102"/>
        <v>244908840.18000001</v>
      </c>
      <c r="O200" s="326">
        <f t="shared" si="102"/>
        <v>1642582389.0899999</v>
      </c>
      <c r="T200" s="249"/>
    </row>
    <row r="201" spans="1:20">
      <c r="A201" s="97">
        <f t="shared" si="100"/>
        <v>201</v>
      </c>
      <c r="B201" s="284" t="s">
        <v>187</v>
      </c>
      <c r="T201" s="249"/>
    </row>
    <row r="202" spans="1:20">
      <c r="A202" s="97">
        <f t="shared" si="100"/>
        <v>202</v>
      </c>
      <c r="B202" s="288" t="s">
        <v>179</v>
      </c>
      <c r="C202" s="326">
        <f>+C90</f>
        <v>0</v>
      </c>
      <c r="D202" s="326">
        <f>SUM(C90:D90)</f>
        <v>0</v>
      </c>
      <c r="E202" s="326">
        <f>SUM(C90:E90)</f>
        <v>0</v>
      </c>
      <c r="F202" s="326">
        <f>SUM(C90:F90)</f>
        <v>0</v>
      </c>
      <c r="G202" s="326">
        <f>SUM(C90:G90)</f>
        <v>0</v>
      </c>
      <c r="H202" s="326">
        <f>SUM(C90:H90)</f>
        <v>0</v>
      </c>
      <c r="I202" s="326">
        <f>SUM(C90:I90)</f>
        <v>0</v>
      </c>
      <c r="J202" s="326">
        <f>SUM(C90:J90)</f>
        <v>0</v>
      </c>
      <c r="K202" s="326">
        <f>SUM(C90:K90)</f>
        <v>0</v>
      </c>
      <c r="L202" s="326">
        <f>SUM(C90:L90)</f>
        <v>0</v>
      </c>
      <c r="M202" s="326">
        <f>SUM(C90:M90)</f>
        <v>0</v>
      </c>
      <c r="N202" s="326">
        <f>SUM(C90:N90)</f>
        <v>0</v>
      </c>
      <c r="O202" s="326">
        <f>SUM(C202:N202)</f>
        <v>0</v>
      </c>
      <c r="T202" s="249"/>
    </row>
    <row r="203" spans="1:20">
      <c r="A203" s="97">
        <f t="shared" si="100"/>
        <v>203</v>
      </c>
      <c r="B203" s="67" t="s">
        <v>188</v>
      </c>
      <c r="C203" s="326">
        <f>+C91</f>
        <v>299810.89</v>
      </c>
      <c r="D203" s="326">
        <f>SUM(C91:D91)</f>
        <v>562300.84000000008</v>
      </c>
      <c r="E203" s="326">
        <f>SUM(C91:E91)</f>
        <v>888256.93000000017</v>
      </c>
      <c r="F203" s="326">
        <f>SUM(C91:F91)</f>
        <v>1139170.4500000002</v>
      </c>
      <c r="G203" s="326">
        <f>SUM(C91:G91)</f>
        <v>1428233.6900000002</v>
      </c>
      <c r="H203" s="326">
        <f>SUM(C91:H91)</f>
        <v>1714990.8800000001</v>
      </c>
      <c r="I203" s="326">
        <f>SUM(C91:I91)</f>
        <v>2027374.62</v>
      </c>
      <c r="J203" s="326">
        <f>SUM(C91:J91)</f>
        <v>2336455.0500000003</v>
      </c>
      <c r="K203" s="326">
        <f>SUM(C91:K91)</f>
        <v>2625097.5700000003</v>
      </c>
      <c r="L203" s="326">
        <f>SUM(C91:L91)</f>
        <v>2896740.0700000003</v>
      </c>
      <c r="M203" s="326">
        <f>SUM(C91:M91)</f>
        <v>3160381.18</v>
      </c>
      <c r="N203" s="326">
        <f>SUM(C91:N91)</f>
        <v>3479522.92</v>
      </c>
      <c r="O203" s="326">
        <f>SUM(C203:N203)</f>
        <v>22558335.090000004</v>
      </c>
      <c r="T203" s="249"/>
    </row>
    <row r="204" spans="1:20">
      <c r="A204" s="97">
        <f t="shared" si="100"/>
        <v>204</v>
      </c>
      <c r="B204" s="67" t="s">
        <v>189</v>
      </c>
      <c r="C204" s="326">
        <f>+C92</f>
        <v>1600565.89</v>
      </c>
      <c r="D204" s="326">
        <f>SUM(C92:D92)</f>
        <v>3035554.33</v>
      </c>
      <c r="E204" s="326">
        <f>SUM(C92:E92)</f>
        <v>4658403.33</v>
      </c>
      <c r="F204" s="326">
        <f>SUM(C92:F92)</f>
        <v>6231049.3300000001</v>
      </c>
      <c r="G204" s="326">
        <f>SUM(C92:G92)</f>
        <v>7802862.0199999996</v>
      </c>
      <c r="H204" s="326">
        <f>SUM(C92:H92)</f>
        <v>9205302.8099999987</v>
      </c>
      <c r="I204" s="326">
        <f>SUM(C92:I92)</f>
        <v>10770057.919999998</v>
      </c>
      <c r="J204" s="326">
        <f>SUM(C92:J92)</f>
        <v>12178399.249999998</v>
      </c>
      <c r="K204" s="326">
        <f>SUM(C92:K92)</f>
        <v>13704463.949999997</v>
      </c>
      <c r="L204" s="326">
        <f>SUM(C92:L92)</f>
        <v>15282963.639999997</v>
      </c>
      <c r="M204" s="326">
        <f>SUM(C92:M92)</f>
        <v>16805768.419999998</v>
      </c>
      <c r="N204" s="326">
        <f>SUM(C92:N92)</f>
        <v>18389925.839999996</v>
      </c>
      <c r="O204" s="326">
        <f>SUM(C204:N204)</f>
        <v>119665316.72999999</v>
      </c>
      <c r="T204" s="249"/>
    </row>
    <row r="205" spans="1:20">
      <c r="A205" s="97">
        <f t="shared" si="100"/>
        <v>205</v>
      </c>
      <c r="B205" s="67" t="s">
        <v>190</v>
      </c>
      <c r="C205" s="326">
        <f>+C93</f>
        <v>142236.1</v>
      </c>
      <c r="D205" s="326">
        <f>SUM(C93:D93)</f>
        <v>142236.1</v>
      </c>
      <c r="E205" s="326">
        <f>SUM(C93:E93)</f>
        <v>142346.1</v>
      </c>
      <c r="F205" s="326">
        <f>SUM(C93:F93)</f>
        <v>142346.1</v>
      </c>
      <c r="G205" s="326">
        <f>SUM(C93:G93)</f>
        <v>153732.85</v>
      </c>
      <c r="H205" s="326">
        <f>SUM(C93:H93)</f>
        <v>153732.85</v>
      </c>
      <c r="I205" s="326">
        <f>SUM(C93:I93)</f>
        <v>243356.05</v>
      </c>
      <c r="J205" s="326">
        <f>SUM(C93:J93)</f>
        <v>284681.56</v>
      </c>
      <c r="K205" s="326">
        <f>SUM(C93:K93)</f>
        <v>288287.84999999998</v>
      </c>
      <c r="L205" s="326">
        <f>SUM(C93:L93)</f>
        <v>292630.75999999995</v>
      </c>
      <c r="M205" s="326">
        <f>SUM(C93:M93)</f>
        <v>432817.51999999996</v>
      </c>
      <c r="N205" s="326">
        <f>SUM(C93:N93)</f>
        <v>485027.95999999996</v>
      </c>
      <c r="O205" s="326">
        <f>SUM(C205:N205)</f>
        <v>2903431.8</v>
      </c>
      <c r="T205" s="249"/>
    </row>
    <row r="206" spans="1:20">
      <c r="A206" s="97">
        <f t="shared" si="100"/>
        <v>206</v>
      </c>
      <c r="B206" s="336" t="s">
        <v>191</v>
      </c>
      <c r="C206" s="341">
        <f>SUM(C202:C205)</f>
        <v>2042612.88</v>
      </c>
      <c r="D206" s="341">
        <f t="shared" ref="D206:O206" si="103">SUM(D202:D205)</f>
        <v>3740091.27</v>
      </c>
      <c r="E206" s="341">
        <f t="shared" si="103"/>
        <v>5689006.3599999994</v>
      </c>
      <c r="F206" s="341">
        <f t="shared" si="103"/>
        <v>7512565.8799999999</v>
      </c>
      <c r="G206" s="341">
        <f t="shared" si="103"/>
        <v>9384828.5599999987</v>
      </c>
      <c r="H206" s="341">
        <f t="shared" si="103"/>
        <v>11074026.539999999</v>
      </c>
      <c r="I206" s="341">
        <f t="shared" si="103"/>
        <v>13040788.59</v>
      </c>
      <c r="J206" s="341">
        <f t="shared" si="103"/>
        <v>14799535.859999999</v>
      </c>
      <c r="K206" s="341">
        <f t="shared" si="103"/>
        <v>16617849.369999997</v>
      </c>
      <c r="L206" s="341">
        <f t="shared" si="103"/>
        <v>18472334.469999999</v>
      </c>
      <c r="M206" s="341">
        <f t="shared" si="103"/>
        <v>20398967.119999997</v>
      </c>
      <c r="N206" s="341">
        <f t="shared" si="103"/>
        <v>22354476.719999999</v>
      </c>
      <c r="O206" s="341">
        <f t="shared" si="103"/>
        <v>145127083.62</v>
      </c>
      <c r="T206" s="249"/>
    </row>
    <row r="207" spans="1:20">
      <c r="A207" s="97">
        <f t="shared" si="100"/>
        <v>207</v>
      </c>
      <c r="B207" s="284"/>
      <c r="T207" s="249"/>
    </row>
    <row r="208" spans="1:20">
      <c r="A208" s="97">
        <f t="shared" si="100"/>
        <v>208</v>
      </c>
      <c r="B208" s="67"/>
      <c r="C208" s="326">
        <f>+C96</f>
        <v>0</v>
      </c>
      <c r="D208" s="326">
        <f>SUM(C96:D96)</f>
        <v>0</v>
      </c>
      <c r="E208" s="326">
        <f>SUM(C96:E96)</f>
        <v>0</v>
      </c>
      <c r="F208" s="326">
        <f>SUM(C96:F96)</f>
        <v>0</v>
      </c>
      <c r="G208" s="326">
        <f>SUM(C96:G96)</f>
        <v>0</v>
      </c>
      <c r="H208" s="326">
        <f>SUM(C96:H96)</f>
        <v>0</v>
      </c>
      <c r="I208" s="326">
        <f>SUM(C96:I96)</f>
        <v>0</v>
      </c>
      <c r="J208" s="326">
        <f>SUM(C96:J96)</f>
        <v>0</v>
      </c>
      <c r="K208" s="326">
        <f>SUM(C96:K96)</f>
        <v>0</v>
      </c>
      <c r="L208" s="326">
        <f>SUM(C96:L96)</f>
        <v>0</v>
      </c>
      <c r="M208" s="326">
        <f>SUM(C96:M96)</f>
        <v>0</v>
      </c>
      <c r="N208" s="326">
        <f>SUM(C96:N96)</f>
        <v>0</v>
      </c>
      <c r="O208" s="326">
        <f>SUM(C208:N208)</f>
        <v>0</v>
      </c>
      <c r="T208" s="249"/>
    </row>
    <row r="209" spans="1:20">
      <c r="A209" s="97">
        <f t="shared" si="100"/>
        <v>209</v>
      </c>
      <c r="B209" s="67" t="s">
        <v>172</v>
      </c>
      <c r="C209" s="331">
        <f>+C97</f>
        <v>0</v>
      </c>
      <c r="D209" s="331">
        <f>SUM(C97:D97)</f>
        <v>0</v>
      </c>
      <c r="E209" s="331">
        <f>SUM(C97:E97)</f>
        <v>0</v>
      </c>
      <c r="F209" s="331">
        <f>SUM(C97:F97)</f>
        <v>0</v>
      </c>
      <c r="G209" s="331">
        <f>SUM(C97:G97)</f>
        <v>0</v>
      </c>
      <c r="H209" s="331">
        <f>SUM(C97:H97)</f>
        <v>0</v>
      </c>
      <c r="I209" s="331">
        <f>SUM(C97:I97)</f>
        <v>0</v>
      </c>
      <c r="J209" s="331">
        <f>SUM(C97:J97)</f>
        <v>0</v>
      </c>
      <c r="K209" s="331">
        <f>SUM(C97:K97)</f>
        <v>0</v>
      </c>
      <c r="L209" s="331">
        <f>SUM(C97:L97)</f>
        <v>0</v>
      </c>
      <c r="M209" s="331">
        <f>SUM(C97:M97)</f>
        <v>0</v>
      </c>
      <c r="N209" s="331">
        <f>SUM(C97:N97)</f>
        <v>0</v>
      </c>
      <c r="O209" s="331">
        <f>SUM(C209:N209)</f>
        <v>0</v>
      </c>
      <c r="T209" s="249"/>
    </row>
    <row r="210" spans="1:20">
      <c r="A210" s="97">
        <f t="shared" si="100"/>
        <v>210</v>
      </c>
      <c r="B210" s="336" t="s">
        <v>193</v>
      </c>
      <c r="C210" s="326">
        <f t="shared" ref="C210:O210" si="104">SUM(C208:C209)</f>
        <v>0</v>
      </c>
      <c r="D210" s="326">
        <f t="shared" si="104"/>
        <v>0</v>
      </c>
      <c r="E210" s="326">
        <f t="shared" si="104"/>
        <v>0</v>
      </c>
      <c r="F210" s="326">
        <f t="shared" si="104"/>
        <v>0</v>
      </c>
      <c r="G210" s="326">
        <f t="shared" si="104"/>
        <v>0</v>
      </c>
      <c r="H210" s="326">
        <f t="shared" si="104"/>
        <v>0</v>
      </c>
      <c r="I210" s="326">
        <f t="shared" si="104"/>
        <v>0</v>
      </c>
      <c r="J210" s="326">
        <f t="shared" si="104"/>
        <v>0</v>
      </c>
      <c r="K210" s="326">
        <f t="shared" si="104"/>
        <v>0</v>
      </c>
      <c r="L210" s="326">
        <f t="shared" si="104"/>
        <v>0</v>
      </c>
      <c r="M210" s="326">
        <f t="shared" si="104"/>
        <v>0</v>
      </c>
      <c r="N210" s="326">
        <f t="shared" si="104"/>
        <v>0</v>
      </c>
      <c r="O210" s="326">
        <f t="shared" si="104"/>
        <v>0</v>
      </c>
      <c r="T210" s="249"/>
    </row>
    <row r="211" spans="1:20">
      <c r="A211" s="97">
        <f t="shared" si="100"/>
        <v>211</v>
      </c>
      <c r="B211" s="336"/>
      <c r="T211" s="249"/>
    </row>
    <row r="212" spans="1:20">
      <c r="A212" s="97">
        <f t="shared" si="100"/>
        <v>212</v>
      </c>
      <c r="B212" s="289" t="s">
        <v>194</v>
      </c>
      <c r="C212" s="348">
        <f t="shared" ref="C212:O212" si="105">+C127+C136+C174+C183+C200+C206+C210</f>
        <v>38587962.450000033</v>
      </c>
      <c r="D212" s="348">
        <f t="shared" si="105"/>
        <v>72441419.300000057</v>
      </c>
      <c r="E212" s="348">
        <f t="shared" si="105"/>
        <v>108896159.8800001</v>
      </c>
      <c r="F212" s="348">
        <f t="shared" si="105"/>
        <v>141915270.25000012</v>
      </c>
      <c r="G212" s="348">
        <f t="shared" si="105"/>
        <v>174950719.69000015</v>
      </c>
      <c r="H212" s="348">
        <f t="shared" si="105"/>
        <v>206658566.33000019</v>
      </c>
      <c r="I212" s="348">
        <f t="shared" si="105"/>
        <v>237761275.18000025</v>
      </c>
      <c r="J212" s="348">
        <f t="shared" si="105"/>
        <v>267678997.94000024</v>
      </c>
      <c r="K212" s="348">
        <f t="shared" si="105"/>
        <v>295142459.32000029</v>
      </c>
      <c r="L212" s="348">
        <f t="shared" si="105"/>
        <v>327557476.0600003</v>
      </c>
      <c r="M212" s="348">
        <f t="shared" si="105"/>
        <v>358570121.57000035</v>
      </c>
      <c r="N212" s="348">
        <f t="shared" si="105"/>
        <v>392011233.4600004</v>
      </c>
      <c r="O212" s="349">
        <f t="shared" si="105"/>
        <v>2622171661.4300022</v>
      </c>
      <c r="T212" s="249"/>
    </row>
    <row r="213" spans="1:20">
      <c r="A213" s="97">
        <f t="shared" si="100"/>
        <v>213</v>
      </c>
      <c r="B213" s="350" t="s">
        <v>195</v>
      </c>
      <c r="T213" s="249"/>
    </row>
    <row r="214" spans="1:20">
      <c r="A214" s="97">
        <f t="shared" si="100"/>
        <v>214</v>
      </c>
      <c r="B214" s="67" t="s">
        <v>196</v>
      </c>
      <c r="C214" s="326">
        <f>+C102</f>
        <v>0</v>
      </c>
      <c r="D214" s="326">
        <f>SUM(C102:D102)</f>
        <v>0</v>
      </c>
      <c r="E214" s="326">
        <f>SUM(C102:E102)</f>
        <v>0</v>
      </c>
      <c r="F214" s="326">
        <f>SUM(C102:F102)</f>
        <v>0</v>
      </c>
      <c r="G214" s="326">
        <f>SUM(C102:G102)</f>
        <v>0</v>
      </c>
      <c r="H214" s="326">
        <f>SUM(C102:H102)</f>
        <v>0</v>
      </c>
      <c r="I214" s="326">
        <f>SUM(C102:I102)</f>
        <v>0</v>
      </c>
      <c r="J214" s="326">
        <f>SUM(C102:J102)</f>
        <v>0</v>
      </c>
      <c r="K214" s="326">
        <f>SUM(C102:K102)</f>
        <v>0</v>
      </c>
      <c r="L214" s="326">
        <f>SUM(C102:L102)</f>
        <v>0</v>
      </c>
      <c r="M214" s="326">
        <f>SUM(C102:M102)</f>
        <v>0</v>
      </c>
      <c r="N214" s="326">
        <f>SUM(C102:N102)</f>
        <v>0</v>
      </c>
      <c r="O214" s="326">
        <f>SUM(C214:N214)</f>
        <v>0</v>
      </c>
      <c r="T214" s="249"/>
    </row>
    <row r="215" spans="1:20">
      <c r="A215" s="97">
        <f t="shared" si="100"/>
        <v>215</v>
      </c>
      <c r="B215" s="67" t="s">
        <v>197</v>
      </c>
      <c r="C215" s="326">
        <f>+C103</f>
        <v>582311.07999999996</v>
      </c>
      <c r="D215" s="326">
        <f>SUM(C103:D103)</f>
        <v>1173552.24</v>
      </c>
      <c r="E215" s="326">
        <f>SUM(C103:E103)</f>
        <v>1843106.62</v>
      </c>
      <c r="F215" s="326">
        <f>SUM(C103:F103)</f>
        <v>2359667.06</v>
      </c>
      <c r="G215" s="326">
        <f>SUM(C103:G103)</f>
        <v>3048850.99</v>
      </c>
      <c r="H215" s="326">
        <f>SUM(C103:H103)</f>
        <v>3713163.12</v>
      </c>
      <c r="I215" s="326">
        <f>SUM(C103:I103)</f>
        <v>4392695.1100000003</v>
      </c>
      <c r="J215" s="326">
        <f>SUM(C103:J103)</f>
        <v>5073709.17</v>
      </c>
      <c r="K215" s="326">
        <f>SUM(C103:K103)</f>
        <v>5722415.3499999996</v>
      </c>
      <c r="L215" s="326">
        <f>SUM(C103:L103)</f>
        <v>6404287.5299999993</v>
      </c>
      <c r="M215" s="326">
        <f>SUM(C103:M103)</f>
        <v>7070474.2299999995</v>
      </c>
      <c r="N215" s="326">
        <f>SUM(C103:N103)</f>
        <v>7754214.5399999991</v>
      </c>
      <c r="O215" s="326">
        <f>SUM(C215:N215)</f>
        <v>49138447.039999999</v>
      </c>
      <c r="T215" s="249"/>
    </row>
    <row r="216" spans="1:20">
      <c r="A216" s="97">
        <f t="shared" si="100"/>
        <v>216</v>
      </c>
      <c r="B216" s="68" t="s">
        <v>198</v>
      </c>
      <c r="C216" s="331">
        <f>+C104</f>
        <v>134189.07</v>
      </c>
      <c r="D216" s="331">
        <f>SUM(C104:D104)</f>
        <v>263727.07</v>
      </c>
      <c r="E216" s="331">
        <f>SUM(C104:E104)</f>
        <v>312268.24</v>
      </c>
      <c r="F216" s="331">
        <f>SUM(C104:F104)</f>
        <v>318086.81</v>
      </c>
      <c r="G216" s="331">
        <f>SUM(C104:G104)</f>
        <v>320537.53999999998</v>
      </c>
      <c r="H216" s="331">
        <f>SUM(C104:H104)</f>
        <v>322918.21999999997</v>
      </c>
      <c r="I216" s="331">
        <f>SUM(C104:I104)</f>
        <v>336827.68999999994</v>
      </c>
      <c r="J216" s="331">
        <f>SUM(C104:J104)</f>
        <v>348547.75999999995</v>
      </c>
      <c r="K216" s="331">
        <f>SUM(C104:K104)</f>
        <v>358290.39999999997</v>
      </c>
      <c r="L216" s="331">
        <f>SUM(C104:L104)</f>
        <v>377414.02999999997</v>
      </c>
      <c r="M216" s="331">
        <f>SUM(C104:M104)</f>
        <v>428722.37999999995</v>
      </c>
      <c r="N216" s="331">
        <f>SUM(C104:N104)</f>
        <v>566136.46</v>
      </c>
      <c r="O216" s="331">
        <f>SUM(C216:N216)</f>
        <v>4087665.6699999995</v>
      </c>
      <c r="T216" s="249"/>
    </row>
    <row r="217" spans="1:20">
      <c r="A217" s="97">
        <f t="shared" si="100"/>
        <v>217</v>
      </c>
      <c r="B217" s="336" t="s">
        <v>199</v>
      </c>
      <c r="C217" s="326">
        <f>SUM(C214:C216)</f>
        <v>716500.14999999991</v>
      </c>
      <c r="D217" s="326">
        <f t="shared" ref="D217:O217" si="106">SUM(D214:D216)</f>
        <v>1437279.31</v>
      </c>
      <c r="E217" s="326">
        <f t="shared" si="106"/>
        <v>2155374.8600000003</v>
      </c>
      <c r="F217" s="326">
        <f t="shared" si="106"/>
        <v>2677753.87</v>
      </c>
      <c r="G217" s="326">
        <f t="shared" si="106"/>
        <v>3369388.5300000003</v>
      </c>
      <c r="H217" s="326">
        <f t="shared" si="106"/>
        <v>4036081.34</v>
      </c>
      <c r="I217" s="326">
        <f t="shared" si="106"/>
        <v>4729522.8000000007</v>
      </c>
      <c r="J217" s="326">
        <f t="shared" si="106"/>
        <v>5422256.9299999997</v>
      </c>
      <c r="K217" s="326">
        <f t="shared" si="106"/>
        <v>6080705.75</v>
      </c>
      <c r="L217" s="326">
        <f t="shared" si="106"/>
        <v>6781701.5599999996</v>
      </c>
      <c r="M217" s="326">
        <f t="shared" si="106"/>
        <v>7499196.6099999994</v>
      </c>
      <c r="N217" s="326">
        <f t="shared" si="106"/>
        <v>8320350.9999999991</v>
      </c>
      <c r="O217" s="326">
        <f t="shared" si="106"/>
        <v>53226112.710000001</v>
      </c>
      <c r="T217" s="249"/>
    </row>
    <row r="218" spans="1:20">
      <c r="A218" s="97">
        <f t="shared" si="100"/>
        <v>218</v>
      </c>
      <c r="B218" s="284" t="s">
        <v>200</v>
      </c>
      <c r="T218" s="249"/>
    </row>
    <row r="219" spans="1:20">
      <c r="A219" s="97">
        <f t="shared" si="100"/>
        <v>219</v>
      </c>
      <c r="B219" s="67" t="s">
        <v>202</v>
      </c>
      <c r="C219" s="326">
        <f>+C108</f>
        <v>1287659.56</v>
      </c>
      <c r="D219" s="326">
        <f>SUM(C108:D108)</f>
        <v>2496629.5300000003</v>
      </c>
      <c r="E219" s="326">
        <f>SUM(C108:E108)</f>
        <v>3768679.0600000005</v>
      </c>
      <c r="F219" s="326">
        <f>SUM(C108:F108)</f>
        <v>5256139.5</v>
      </c>
      <c r="G219" s="326">
        <f>SUM(C108:G108)</f>
        <v>6754059.7800000003</v>
      </c>
      <c r="H219" s="326">
        <f>SUM(C108:H108)</f>
        <v>8289519.9000000004</v>
      </c>
      <c r="I219" s="326">
        <f>SUM(C108:I108)</f>
        <v>8666519.6300000008</v>
      </c>
      <c r="J219" s="326">
        <f>SUM(C108:J108)</f>
        <v>9989289.4800000004</v>
      </c>
      <c r="K219" s="326">
        <f>SUM(C108:K108)</f>
        <v>11522659.810000001</v>
      </c>
      <c r="L219" s="326">
        <f>SUM(C108:L108)</f>
        <v>13145480.140000001</v>
      </c>
      <c r="M219" s="326">
        <f>SUM(C108:M108)</f>
        <v>14547159.9</v>
      </c>
      <c r="N219" s="326">
        <f>SUM(C108:N108)</f>
        <v>15906249.49</v>
      </c>
      <c r="O219" s="326">
        <f>SUM(C219:N219)</f>
        <v>101630045.78</v>
      </c>
      <c r="T219" s="249"/>
    </row>
    <row r="220" spans="1:20">
      <c r="A220" s="97">
        <f t="shared" si="100"/>
        <v>220</v>
      </c>
      <c r="B220" s="68" t="s">
        <v>203</v>
      </c>
      <c r="C220" s="331">
        <f>+C109</f>
        <v>2410520.34</v>
      </c>
      <c r="D220" s="331">
        <f>SUM(C109:D109)</f>
        <v>3413099.9</v>
      </c>
      <c r="E220" s="331">
        <f>SUM(C109:E109)</f>
        <v>5829989.9100000001</v>
      </c>
      <c r="F220" s="331">
        <f>SUM(C109:F109)</f>
        <v>8222320.2599999998</v>
      </c>
      <c r="G220" s="331">
        <f>SUM(C109:G109)</f>
        <v>9795040.6899999995</v>
      </c>
      <c r="H220" s="331">
        <f>SUM(C109:H109)</f>
        <v>10120801.16</v>
      </c>
      <c r="I220" s="331">
        <f>SUM(C109:I109)</f>
        <v>10465451.470000001</v>
      </c>
      <c r="J220" s="331">
        <f>SUM(C109:J109)</f>
        <v>10787401.020000001</v>
      </c>
      <c r="K220" s="331">
        <f>SUM(C109:K109)</f>
        <v>11095770.890000001</v>
      </c>
      <c r="L220" s="331">
        <f>SUM(C109:L109)</f>
        <v>11501790.440000001</v>
      </c>
      <c r="M220" s="331">
        <f>SUM(C109:M109)</f>
        <v>11843430.73</v>
      </c>
      <c r="N220" s="331">
        <f>SUM(C109:N109)</f>
        <v>13902261.01</v>
      </c>
      <c r="O220" s="331">
        <f>SUM(C220:N220)</f>
        <v>109387877.82000002</v>
      </c>
      <c r="T220" s="249"/>
    </row>
    <row r="221" spans="1:20">
      <c r="A221" s="97">
        <f t="shared" si="100"/>
        <v>221</v>
      </c>
      <c r="B221" s="336" t="s">
        <v>204</v>
      </c>
      <c r="C221" s="326">
        <f t="shared" ref="C221:N221" si="107">SUM(C219:C220)</f>
        <v>3698179.9</v>
      </c>
      <c r="D221" s="326">
        <f t="shared" si="107"/>
        <v>5909729.4299999997</v>
      </c>
      <c r="E221" s="326">
        <f t="shared" si="107"/>
        <v>9598668.9700000007</v>
      </c>
      <c r="F221" s="326">
        <f t="shared" si="107"/>
        <v>13478459.76</v>
      </c>
      <c r="G221" s="326">
        <f t="shared" si="107"/>
        <v>16549100.469999999</v>
      </c>
      <c r="H221" s="326">
        <f t="shared" si="107"/>
        <v>18410321.060000002</v>
      </c>
      <c r="I221" s="326">
        <f t="shared" si="107"/>
        <v>19131971.100000001</v>
      </c>
      <c r="J221" s="326">
        <f t="shared" si="107"/>
        <v>20776690.5</v>
      </c>
      <c r="K221" s="326">
        <f t="shared" si="107"/>
        <v>22618430.700000003</v>
      </c>
      <c r="L221" s="326">
        <f t="shared" si="107"/>
        <v>24647270.580000002</v>
      </c>
      <c r="M221" s="326">
        <f t="shared" si="107"/>
        <v>26390590.630000003</v>
      </c>
      <c r="N221" s="326">
        <f t="shared" si="107"/>
        <v>29808510.5</v>
      </c>
      <c r="O221" s="326">
        <f>SUM(C221:N221)</f>
        <v>211017923.59999999</v>
      </c>
      <c r="T221" s="249"/>
    </row>
    <row r="222" spans="1:20">
      <c r="A222" s="97">
        <f t="shared" si="100"/>
        <v>222</v>
      </c>
      <c r="B222" s="336"/>
      <c r="T222" s="249"/>
    </row>
    <row r="223" spans="1:20">
      <c r="A223" s="97">
        <f t="shared" si="100"/>
        <v>223</v>
      </c>
      <c r="B223" s="289" t="s">
        <v>205</v>
      </c>
      <c r="C223" s="348">
        <f t="shared" ref="C223:O223" si="108">+C217+C221</f>
        <v>4414680.05</v>
      </c>
      <c r="D223" s="348">
        <f t="shared" si="108"/>
        <v>7347008.7400000002</v>
      </c>
      <c r="E223" s="348">
        <f t="shared" si="108"/>
        <v>11754043.830000002</v>
      </c>
      <c r="F223" s="348">
        <f t="shared" si="108"/>
        <v>16156213.629999999</v>
      </c>
      <c r="G223" s="348">
        <f t="shared" si="108"/>
        <v>19918489</v>
      </c>
      <c r="H223" s="348">
        <f t="shared" si="108"/>
        <v>22446402.400000002</v>
      </c>
      <c r="I223" s="348">
        <f t="shared" si="108"/>
        <v>23861493.900000002</v>
      </c>
      <c r="J223" s="348">
        <f t="shared" si="108"/>
        <v>26198947.43</v>
      </c>
      <c r="K223" s="348">
        <f t="shared" si="108"/>
        <v>28699136.450000003</v>
      </c>
      <c r="L223" s="348">
        <f t="shared" si="108"/>
        <v>31428972.140000001</v>
      </c>
      <c r="M223" s="348">
        <f t="shared" si="108"/>
        <v>33889787.240000002</v>
      </c>
      <c r="N223" s="348">
        <f t="shared" si="108"/>
        <v>38128861.5</v>
      </c>
      <c r="O223" s="349">
        <f t="shared" si="108"/>
        <v>264244036.31</v>
      </c>
      <c r="T223" s="249"/>
    </row>
    <row r="224" spans="1:20">
      <c r="A224" s="97">
        <f t="shared" si="100"/>
        <v>224</v>
      </c>
      <c r="B224" s="336"/>
      <c r="T224" s="249"/>
    </row>
    <row r="225" spans="1:22">
      <c r="A225" s="97">
        <f t="shared" si="100"/>
        <v>225</v>
      </c>
      <c r="B225" s="289" t="s">
        <v>206</v>
      </c>
      <c r="C225" s="348">
        <f t="shared" ref="C225:O225" si="109">+C212+C223</f>
        <v>43002642.50000003</v>
      </c>
      <c r="D225" s="348">
        <f t="shared" si="109"/>
        <v>79788428.040000051</v>
      </c>
      <c r="E225" s="348">
        <f t="shared" si="109"/>
        <v>120650203.7100001</v>
      </c>
      <c r="F225" s="348">
        <f t="shared" si="109"/>
        <v>158071483.88000011</v>
      </c>
      <c r="G225" s="348">
        <f t="shared" si="109"/>
        <v>194869208.69000015</v>
      </c>
      <c r="H225" s="348">
        <f t="shared" si="109"/>
        <v>229104968.7300002</v>
      </c>
      <c r="I225" s="348">
        <f t="shared" si="109"/>
        <v>261622769.08000025</v>
      </c>
      <c r="J225" s="348">
        <f t="shared" si="109"/>
        <v>293877945.37000024</v>
      </c>
      <c r="K225" s="348">
        <f t="shared" si="109"/>
        <v>323841595.77000028</v>
      </c>
      <c r="L225" s="348">
        <f t="shared" si="109"/>
        <v>358986448.20000029</v>
      </c>
      <c r="M225" s="348">
        <f t="shared" si="109"/>
        <v>392459908.81000036</v>
      </c>
      <c r="N225" s="348">
        <f t="shared" si="109"/>
        <v>430140094.9600004</v>
      </c>
      <c r="O225" s="349">
        <f t="shared" si="109"/>
        <v>2886415697.7400022</v>
      </c>
    </row>
    <row r="226" spans="1:22">
      <c r="C226" s="249">
        <f>+C225-C114</f>
        <v>0</v>
      </c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</row>
    <row r="228" spans="1:22">
      <c r="B228" s="97" t="s">
        <v>208</v>
      </c>
      <c r="O228" s="326">
        <f>+SUM(C228:N228)</f>
        <v>0</v>
      </c>
    </row>
    <row r="229" spans="1:22">
      <c r="B229" s="97" t="s">
        <v>209</v>
      </c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>
        <f>+SUM(C229:N229)</f>
        <v>0</v>
      </c>
    </row>
    <row r="230" spans="1:22">
      <c r="B230" s="97" t="s">
        <v>210</v>
      </c>
      <c r="C230" s="249">
        <f t="shared" ref="C230:O230" si="110">C114-C229+C228</f>
        <v>43002642.50000003</v>
      </c>
      <c r="D230" s="249">
        <f t="shared" si="110"/>
        <v>36785785.540000029</v>
      </c>
      <c r="E230" s="249">
        <f t="shared" si="110"/>
        <v>40861775.670000017</v>
      </c>
      <c r="F230" s="249">
        <f t="shared" si="110"/>
        <v>37421280.170000032</v>
      </c>
      <c r="G230" s="249">
        <f t="shared" si="110"/>
        <v>36797724.810000032</v>
      </c>
      <c r="H230" s="249">
        <f t="shared" si="110"/>
        <v>34235760.040000059</v>
      </c>
      <c r="I230" s="249">
        <f t="shared" si="110"/>
        <v>32517800.350000028</v>
      </c>
      <c r="J230" s="249">
        <f t="shared" si="110"/>
        <v>32255176.290000025</v>
      </c>
      <c r="K230" s="249">
        <f t="shared" si="110"/>
        <v>29963650.400000013</v>
      </c>
      <c r="L230" s="249">
        <f t="shared" si="110"/>
        <v>35144852.430000059</v>
      </c>
      <c r="M230" s="249">
        <f t="shared" si="110"/>
        <v>33473460.610000044</v>
      </c>
      <c r="N230" s="249">
        <f t="shared" si="110"/>
        <v>37680186.150000021</v>
      </c>
      <c r="O230" s="249">
        <f t="shared" si="110"/>
        <v>430140094.9600004</v>
      </c>
    </row>
    <row r="233" spans="1:22">
      <c r="A233" s="97" t="s">
        <v>208</v>
      </c>
      <c r="C233" s="328">
        <v>0</v>
      </c>
      <c r="D233" s="351">
        <v>0</v>
      </c>
      <c r="E233" s="351">
        <v>0</v>
      </c>
      <c r="F233" s="351">
        <v>0</v>
      </c>
      <c r="G233" s="351">
        <v>0</v>
      </c>
      <c r="H233" s="351">
        <v>0</v>
      </c>
      <c r="I233" s="351">
        <v>0</v>
      </c>
      <c r="J233" s="351">
        <v>0</v>
      </c>
      <c r="K233" s="351">
        <v>0</v>
      </c>
      <c r="L233" s="351">
        <v>0</v>
      </c>
      <c r="M233" s="351">
        <v>0</v>
      </c>
      <c r="N233" s="351">
        <v>0</v>
      </c>
      <c r="O233" s="351"/>
    </row>
    <row r="234" spans="1:22">
      <c r="A234" s="97" t="s">
        <v>211</v>
      </c>
      <c r="N234" s="249"/>
    </row>
    <row r="235" spans="1:22">
      <c r="A235" s="97" t="s">
        <v>212</v>
      </c>
    </row>
    <row r="238" spans="1:22" s="132" customFormat="1">
      <c r="O238" s="352"/>
      <c r="U238" s="97"/>
      <c r="V238" s="97"/>
    </row>
    <row r="239" spans="1:22" s="132" customFormat="1">
      <c r="O239" s="352"/>
      <c r="U239" s="97"/>
      <c r="V239" s="97"/>
    </row>
    <row r="240" spans="1:22" s="132" customFormat="1">
      <c r="O240" s="352"/>
      <c r="U240" s="97"/>
      <c r="V240" s="97"/>
    </row>
    <row r="241" spans="2:22" s="132" customFormat="1">
      <c r="O241" s="352"/>
      <c r="U241" s="97"/>
      <c r="V241" s="97"/>
    </row>
    <row r="242" spans="2:22">
      <c r="O242" s="318"/>
    </row>
    <row r="244" spans="2:22">
      <c r="B244" s="260" t="s">
        <v>285</v>
      </c>
      <c r="C244" s="261">
        <v>5762.1900000000005</v>
      </c>
      <c r="D244" s="261">
        <v>5250.8600000000006</v>
      </c>
      <c r="E244" s="261">
        <v>5315.57</v>
      </c>
      <c r="F244" s="261">
        <v>3984.02</v>
      </c>
      <c r="G244" s="261">
        <v>3126.71</v>
      </c>
      <c r="H244" s="261">
        <v>1637.17</v>
      </c>
      <c r="I244" s="261">
        <v>1191.78</v>
      </c>
      <c r="J244" s="261">
        <v>1215.24</v>
      </c>
      <c r="K244" s="261">
        <v>1305.8600000000001</v>
      </c>
      <c r="L244" s="261">
        <v>1604.56</v>
      </c>
      <c r="M244" s="261">
        <v>3431.2299999999996</v>
      </c>
      <c r="N244" s="261">
        <v>6236.42</v>
      </c>
      <c r="O244" s="261">
        <v>40061.61</v>
      </c>
      <c r="P244" s="262"/>
      <c r="Q244" s="262" t="s">
        <v>5</v>
      </c>
      <c r="R244" s="262" t="s">
        <v>285</v>
      </c>
      <c r="S244" s="262"/>
      <c r="T244" s="262" t="s">
        <v>723</v>
      </c>
      <c r="U244" s="263">
        <f t="shared" ref="U244:U249" si="111">MAX(C244:N244)</f>
        <v>6236.42</v>
      </c>
      <c r="V244" s="263">
        <f t="shared" ref="V244:V249" si="112">IFERROR(INDEX($C$1:$N$1,MATCH(U244,C244:N244,0)),0)</f>
        <v>12</v>
      </c>
    </row>
    <row r="245" spans="2:22">
      <c r="B245" s="260" t="s">
        <v>286</v>
      </c>
      <c r="C245" s="261">
        <v>2477.2700000000004</v>
      </c>
      <c r="D245" s="261">
        <v>2267.9899999999998</v>
      </c>
      <c r="E245" s="261">
        <v>2204.16</v>
      </c>
      <c r="F245" s="261">
        <v>1854.3200000000002</v>
      </c>
      <c r="G245" s="261">
        <v>1898.4</v>
      </c>
      <c r="H245" s="261">
        <v>1931.38</v>
      </c>
      <c r="I245" s="261">
        <v>2110.88</v>
      </c>
      <c r="J245" s="261">
        <v>1855.51</v>
      </c>
      <c r="K245" s="261">
        <v>1974.5</v>
      </c>
      <c r="L245" s="261">
        <v>1729.8600000000001</v>
      </c>
      <c r="M245" s="261">
        <v>2250.2999999999997</v>
      </c>
      <c r="N245" s="261">
        <v>2293.63</v>
      </c>
      <c r="O245" s="261">
        <v>24848.2</v>
      </c>
      <c r="P245" s="262"/>
      <c r="Q245" s="262" t="s">
        <v>5</v>
      </c>
      <c r="R245" s="262" t="s">
        <v>286</v>
      </c>
      <c r="S245" s="262"/>
      <c r="T245" s="262" t="s">
        <v>723</v>
      </c>
      <c r="U245" s="263">
        <f t="shared" si="111"/>
        <v>2477.2700000000004</v>
      </c>
      <c r="V245" s="263">
        <f t="shared" si="112"/>
        <v>1</v>
      </c>
    </row>
    <row r="246" spans="2:22">
      <c r="B246" s="260" t="s">
        <v>287</v>
      </c>
      <c r="C246" s="261">
        <v>15273.04</v>
      </c>
      <c r="D246" s="261">
        <v>18202.55</v>
      </c>
      <c r="E246" s="261">
        <v>15913.83</v>
      </c>
      <c r="F246" s="261">
        <v>9508.73</v>
      </c>
      <c r="G246" s="261">
        <v>293.94</v>
      </c>
      <c r="H246" s="261">
        <v>2818.31</v>
      </c>
      <c r="I246" s="261">
        <v>3832.4700000000003</v>
      </c>
      <c r="J246" s="261">
        <v>2625.83</v>
      </c>
      <c r="K246" s="261">
        <v>3031.2</v>
      </c>
      <c r="L246" s="261">
        <v>6413.2300000000005</v>
      </c>
      <c r="M246" s="261">
        <v>10356.81</v>
      </c>
      <c r="N246" s="261">
        <v>14090.150000000001</v>
      </c>
      <c r="O246" s="261">
        <v>102360.09000000001</v>
      </c>
      <c r="P246" s="262"/>
      <c r="Q246" s="262" t="s">
        <v>5</v>
      </c>
      <c r="R246" s="262" t="s">
        <v>288</v>
      </c>
      <c r="S246" s="262"/>
      <c r="T246" s="262" t="s">
        <v>723</v>
      </c>
      <c r="U246" s="263">
        <f t="shared" si="111"/>
        <v>18202.55</v>
      </c>
      <c r="V246" s="263">
        <f t="shared" si="112"/>
        <v>2</v>
      </c>
    </row>
    <row r="247" spans="2:22">
      <c r="B247" s="260" t="s">
        <v>288</v>
      </c>
      <c r="C247" s="261">
        <v>1480.32</v>
      </c>
      <c r="D247" s="261">
        <v>2163.96</v>
      </c>
      <c r="E247" s="261">
        <v>1755.76</v>
      </c>
      <c r="F247" s="261">
        <v>1511.99</v>
      </c>
      <c r="G247" s="261">
        <v>1943.57</v>
      </c>
      <c r="H247" s="261">
        <v>1912.15</v>
      </c>
      <c r="I247" s="261">
        <v>2328.9300000000003</v>
      </c>
      <c r="J247" s="261">
        <v>1499.1000000000001</v>
      </c>
      <c r="K247" s="261">
        <v>2052.59</v>
      </c>
      <c r="L247" s="261">
        <v>2508.08</v>
      </c>
      <c r="M247" s="261">
        <v>661.17000000000007</v>
      </c>
      <c r="N247" s="261">
        <v>3655.96</v>
      </c>
      <c r="O247" s="261">
        <v>23473.58</v>
      </c>
      <c r="P247" s="262"/>
      <c r="Q247" s="262" t="s">
        <v>5</v>
      </c>
      <c r="R247" s="262" t="s">
        <v>288</v>
      </c>
      <c r="S247" s="262"/>
      <c r="T247" s="262" t="s">
        <v>723</v>
      </c>
      <c r="U247" s="263">
        <f t="shared" si="111"/>
        <v>3655.96</v>
      </c>
      <c r="V247" s="263">
        <f t="shared" si="112"/>
        <v>12</v>
      </c>
    </row>
    <row r="248" spans="2:22">
      <c r="B248" s="260" t="s">
        <v>289</v>
      </c>
      <c r="C248" s="261">
        <v>45.269999999999996</v>
      </c>
      <c r="D248" s="261">
        <v>65.489999999999995</v>
      </c>
      <c r="E248" s="261">
        <v>42.220000000000006</v>
      </c>
      <c r="F248" s="261">
        <v>5.2</v>
      </c>
      <c r="G248" s="261">
        <v>6.3</v>
      </c>
      <c r="H248" s="261">
        <v>22.88</v>
      </c>
      <c r="I248" s="261">
        <v>7.28</v>
      </c>
      <c r="J248" s="261">
        <v>0</v>
      </c>
      <c r="K248" s="261">
        <v>13.52</v>
      </c>
      <c r="L248" s="261">
        <v>21.85</v>
      </c>
      <c r="M248" s="261">
        <v>8.4</v>
      </c>
      <c r="N248" s="261">
        <v>41.07</v>
      </c>
      <c r="O248" s="261">
        <v>279.48</v>
      </c>
      <c r="P248" s="262"/>
      <c r="Q248" s="262" t="s">
        <v>5</v>
      </c>
      <c r="R248" s="262" t="s">
        <v>285</v>
      </c>
      <c r="S248" s="262"/>
      <c r="T248" s="262" t="s">
        <v>723</v>
      </c>
      <c r="U248" s="263">
        <f t="shared" si="111"/>
        <v>65.489999999999995</v>
      </c>
      <c r="V248" s="263">
        <f t="shared" si="112"/>
        <v>2</v>
      </c>
    </row>
    <row r="249" spans="2:22">
      <c r="B249" s="260" t="s">
        <v>290</v>
      </c>
      <c r="C249" s="261">
        <v>555.36</v>
      </c>
      <c r="D249" s="261">
        <v>624</v>
      </c>
      <c r="E249" s="261">
        <v>607.36</v>
      </c>
      <c r="F249" s="261">
        <v>456.56</v>
      </c>
      <c r="G249" s="261">
        <v>94.499999999999986</v>
      </c>
      <c r="H249" s="261">
        <v>71.760000000000005</v>
      </c>
      <c r="I249" s="261">
        <v>59.28</v>
      </c>
      <c r="J249" s="261">
        <v>81.12</v>
      </c>
      <c r="K249" s="261">
        <v>499.20000000000005</v>
      </c>
      <c r="L249" s="261">
        <v>502.31999999999994</v>
      </c>
      <c r="M249" s="261">
        <v>567</v>
      </c>
      <c r="N249" s="261">
        <v>523.12</v>
      </c>
      <c r="O249" s="261">
        <v>4641.58</v>
      </c>
      <c r="P249" s="262"/>
      <c r="Q249" s="262" t="s">
        <v>5</v>
      </c>
      <c r="R249" s="262" t="s">
        <v>286</v>
      </c>
      <c r="S249" s="262"/>
      <c r="T249" s="262" t="s">
        <v>723</v>
      </c>
      <c r="U249" s="263">
        <f t="shared" si="111"/>
        <v>624</v>
      </c>
      <c r="V249" s="263">
        <f t="shared" si="112"/>
        <v>2</v>
      </c>
    </row>
    <row r="256" spans="2:22">
      <c r="U256" s="439">
        <v>1</v>
      </c>
      <c r="V256" s="75">
        <f>COUNTIF($V$2:$V$114,U256)</f>
        <v>38</v>
      </c>
    </row>
    <row r="257" spans="21:22">
      <c r="U257" s="439">
        <v>2</v>
      </c>
      <c r="V257" s="75">
        <f t="shared" ref="V257:V267" si="113">COUNTIF($V$2:$V$101,U257)</f>
        <v>8</v>
      </c>
    </row>
    <row r="258" spans="21:22">
      <c r="U258" s="439">
        <v>3</v>
      </c>
      <c r="V258" s="75">
        <f t="shared" si="113"/>
        <v>7</v>
      </c>
    </row>
    <row r="259" spans="21:22">
      <c r="U259" s="439">
        <v>4</v>
      </c>
      <c r="V259" s="75">
        <f t="shared" si="113"/>
        <v>2</v>
      </c>
    </row>
    <row r="260" spans="21:22">
      <c r="U260" s="439">
        <v>5</v>
      </c>
      <c r="V260" s="75">
        <f t="shared" si="113"/>
        <v>0</v>
      </c>
    </row>
    <row r="261" spans="21:22">
      <c r="U261" s="439">
        <v>6</v>
      </c>
      <c r="V261" s="75">
        <f t="shared" si="113"/>
        <v>0</v>
      </c>
    </row>
    <row r="262" spans="21:22">
      <c r="U262" s="439">
        <v>7</v>
      </c>
      <c r="V262" s="75">
        <f t="shared" si="113"/>
        <v>3</v>
      </c>
    </row>
    <row r="263" spans="21:22">
      <c r="U263" s="439">
        <v>8</v>
      </c>
      <c r="V263" s="75">
        <f t="shared" si="113"/>
        <v>0</v>
      </c>
    </row>
    <row r="264" spans="21:22">
      <c r="U264" s="439">
        <v>9</v>
      </c>
      <c r="V264" s="75">
        <f t="shared" si="113"/>
        <v>0</v>
      </c>
    </row>
    <row r="265" spans="21:22">
      <c r="U265" s="439">
        <v>10</v>
      </c>
      <c r="V265" s="75">
        <f t="shared" si="113"/>
        <v>2</v>
      </c>
    </row>
    <row r="266" spans="21:22">
      <c r="U266" s="439">
        <v>11</v>
      </c>
      <c r="V266" s="75">
        <f t="shared" si="113"/>
        <v>2</v>
      </c>
    </row>
    <row r="267" spans="21:22">
      <c r="U267" s="439">
        <v>12</v>
      </c>
      <c r="V267" s="75">
        <f t="shared" si="113"/>
        <v>17</v>
      </c>
    </row>
  </sheetData>
  <autoFilter ref="A1:T226" xr:uid="{7B4EDA88-965A-44E8-8C52-6DFCBD95370B}"/>
  <pageMargins left="0.5" right="0.5" top="0.5" bottom="0.5" header="1" footer="0"/>
  <pageSetup scale="55" fitToHeight="2" orientation="landscape" r:id="rId1"/>
  <headerFooter alignWithMargins="0"/>
  <rowBreaks count="2" manualBreakCount="2">
    <brk id="100" max="16" man="1"/>
    <brk id="183" max="16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99B06-96F4-4B89-B714-208D848E6210}">
  <sheetPr codeName="Sheet44">
    <tabColor theme="0" tint="-0.34998626667073579"/>
  </sheetPr>
  <dimension ref="B1:V148"/>
  <sheetViews>
    <sheetView workbookViewId="0"/>
  </sheetViews>
  <sheetFormatPr defaultColWidth="9.140625" defaultRowHeight="12.75"/>
  <cols>
    <col min="1" max="1" width="9.140625" style="133"/>
    <col min="2" max="2" width="45.42578125" style="133" bestFit="1" customWidth="1"/>
    <col min="3" max="14" width="9.140625" style="133" bestFit="1" customWidth="1"/>
    <col min="15" max="15" width="10.42578125" style="133" bestFit="1" customWidth="1"/>
    <col min="16" max="17" width="9.140625" style="133"/>
    <col min="18" max="18" width="10.42578125" style="458" bestFit="1" customWidth="1"/>
    <col min="19" max="19" width="21.42578125" style="458" bestFit="1" customWidth="1"/>
    <col min="20" max="20" width="13.140625" style="133" bestFit="1" customWidth="1"/>
    <col min="21" max="21" width="9.140625" style="133" bestFit="1" customWidth="1"/>
    <col min="22" max="22" width="10.42578125" style="133" bestFit="1" customWidth="1"/>
    <col min="23" max="16384" width="9.140625" style="133"/>
  </cols>
  <sheetData>
    <row r="1" spans="2:20">
      <c r="B1" s="133" t="s">
        <v>322</v>
      </c>
      <c r="C1" s="255">
        <v>1</v>
      </c>
      <c r="D1" s="255">
        <v>2</v>
      </c>
      <c r="E1" s="255">
        <v>3</v>
      </c>
      <c r="F1" s="255">
        <v>4</v>
      </c>
      <c r="G1" s="255">
        <v>5</v>
      </c>
      <c r="H1" s="255">
        <v>6</v>
      </c>
      <c r="I1" s="255">
        <v>7</v>
      </c>
      <c r="J1" s="255">
        <v>8</v>
      </c>
      <c r="K1" s="255">
        <v>9</v>
      </c>
      <c r="L1" s="255">
        <v>10</v>
      </c>
      <c r="M1" s="255">
        <v>11</v>
      </c>
      <c r="N1" s="255">
        <v>12</v>
      </c>
    </row>
    <row r="2" spans="2:20">
      <c r="B2" s="76" t="s">
        <v>123</v>
      </c>
      <c r="C2" s="77">
        <v>44197</v>
      </c>
      <c r="D2" s="77">
        <v>44228</v>
      </c>
      <c r="E2" s="77">
        <v>44256</v>
      </c>
      <c r="F2" s="77">
        <v>44287</v>
      </c>
      <c r="G2" s="77">
        <v>44317</v>
      </c>
      <c r="H2" s="77">
        <v>44348</v>
      </c>
      <c r="I2" s="77">
        <v>44378</v>
      </c>
      <c r="J2" s="77">
        <v>44409</v>
      </c>
      <c r="K2" s="77">
        <v>44440</v>
      </c>
      <c r="L2" s="77">
        <v>44470</v>
      </c>
      <c r="M2" s="77">
        <v>44501</v>
      </c>
      <c r="N2" s="457">
        <v>44531</v>
      </c>
      <c r="O2" s="61" t="s">
        <v>316</v>
      </c>
    </row>
    <row r="3" spans="2:20">
      <c r="B3" s="78" t="s">
        <v>100</v>
      </c>
      <c r="C3" s="79">
        <v>1131</v>
      </c>
      <c r="D3" s="79">
        <v>1126</v>
      </c>
      <c r="E3" s="79">
        <v>1130</v>
      </c>
      <c r="F3" s="79">
        <v>1130</v>
      </c>
      <c r="G3" s="79">
        <v>1123</v>
      </c>
      <c r="H3" s="79">
        <v>1119</v>
      </c>
      <c r="I3" s="79">
        <v>1117</v>
      </c>
      <c r="J3" s="79">
        <v>1111</v>
      </c>
      <c r="K3" s="79">
        <v>1114</v>
      </c>
      <c r="L3" s="79">
        <v>1107</v>
      </c>
      <c r="M3" s="79">
        <v>1104</v>
      </c>
      <c r="N3" s="134">
        <v>1121</v>
      </c>
      <c r="O3" s="81">
        <f>SUM(C3:N3)</f>
        <v>13433</v>
      </c>
      <c r="Q3" s="59" t="s">
        <v>8</v>
      </c>
      <c r="R3" s="274">
        <f>+SUM(C3:N3)</f>
        <v>13433</v>
      </c>
      <c r="S3" s="249" t="str">
        <f t="shared" ref="S3:S9" si="0">CONCATENATE(Q3," - ",B3," R")</f>
        <v>CFG - FTS-A R</v>
      </c>
    </row>
    <row r="4" spans="2:20">
      <c r="B4" s="78" t="s">
        <v>101</v>
      </c>
      <c r="C4" s="79">
        <v>2247</v>
      </c>
      <c r="D4" s="79">
        <v>2253</v>
      </c>
      <c r="E4" s="79">
        <v>2254</v>
      </c>
      <c r="F4" s="79">
        <v>2256</v>
      </c>
      <c r="G4" s="79">
        <v>2251</v>
      </c>
      <c r="H4" s="79">
        <v>2238</v>
      </c>
      <c r="I4" s="79">
        <v>2235</v>
      </c>
      <c r="J4" s="79">
        <v>2226</v>
      </c>
      <c r="K4" s="79">
        <v>2215</v>
      </c>
      <c r="L4" s="79">
        <v>2211</v>
      </c>
      <c r="M4" s="79">
        <v>2220</v>
      </c>
      <c r="N4" s="134">
        <v>2226</v>
      </c>
      <c r="O4" s="81">
        <f t="shared" ref="O4:O67" si="1">SUM(C4:N4)</f>
        <v>26832</v>
      </c>
      <c r="Q4" s="59" t="s">
        <v>8</v>
      </c>
      <c r="R4" s="274">
        <f t="shared" ref="R4:R13" si="2">+SUM(C4:N4)</f>
        <v>26832</v>
      </c>
      <c r="S4" s="249" t="str">
        <f t="shared" si="0"/>
        <v>CFG - FTS-B R</v>
      </c>
    </row>
    <row r="5" spans="2:20">
      <c r="B5" s="78" t="s">
        <v>102</v>
      </c>
      <c r="C5" s="79">
        <v>13630</v>
      </c>
      <c r="D5" s="79">
        <v>13637</v>
      </c>
      <c r="E5" s="79">
        <v>13703</v>
      </c>
      <c r="F5" s="79">
        <v>13779</v>
      </c>
      <c r="G5" s="79">
        <v>13833</v>
      </c>
      <c r="H5" s="79">
        <v>13772</v>
      </c>
      <c r="I5" s="79">
        <v>13775</v>
      </c>
      <c r="J5" s="79">
        <v>13765</v>
      </c>
      <c r="K5" s="79">
        <v>13790</v>
      </c>
      <c r="L5" s="79">
        <v>13753</v>
      </c>
      <c r="M5" s="79">
        <v>13801</v>
      </c>
      <c r="N5" s="134">
        <v>13876</v>
      </c>
      <c r="O5" s="81">
        <f t="shared" si="1"/>
        <v>165114</v>
      </c>
      <c r="Q5" s="59" t="s">
        <v>8</v>
      </c>
      <c r="R5" s="274">
        <f t="shared" si="2"/>
        <v>165114</v>
      </c>
      <c r="S5" s="249" t="str">
        <f t="shared" si="0"/>
        <v>CFG - FTS-1 R</v>
      </c>
    </row>
    <row r="6" spans="2:20">
      <c r="B6" s="78" t="s">
        <v>103</v>
      </c>
      <c r="C6" s="79">
        <v>739</v>
      </c>
      <c r="D6" s="79">
        <v>736</v>
      </c>
      <c r="E6" s="79">
        <v>734</v>
      </c>
      <c r="F6" s="79">
        <v>733</v>
      </c>
      <c r="G6" s="79">
        <v>737</v>
      </c>
      <c r="H6" s="79">
        <v>737</v>
      </c>
      <c r="I6" s="79">
        <v>737</v>
      </c>
      <c r="J6" s="79">
        <v>733</v>
      </c>
      <c r="K6" s="79">
        <v>734</v>
      </c>
      <c r="L6" s="79">
        <v>726</v>
      </c>
      <c r="M6" s="79">
        <v>726</v>
      </c>
      <c r="N6" s="134">
        <v>730</v>
      </c>
      <c r="O6" s="81">
        <f t="shared" si="1"/>
        <v>8802</v>
      </c>
      <c r="Q6" s="59" t="s">
        <v>8</v>
      </c>
      <c r="R6" s="274">
        <f t="shared" si="2"/>
        <v>8802</v>
      </c>
      <c r="S6" s="249" t="str">
        <f t="shared" si="0"/>
        <v>CFG - FTS-2 R</v>
      </c>
    </row>
    <row r="7" spans="2:20">
      <c r="B7" s="78" t="s">
        <v>104</v>
      </c>
      <c r="C7" s="79">
        <v>482</v>
      </c>
      <c r="D7" s="79">
        <v>486</v>
      </c>
      <c r="E7" s="79">
        <v>483</v>
      </c>
      <c r="F7" s="79">
        <v>481</v>
      </c>
      <c r="G7" s="79">
        <v>483</v>
      </c>
      <c r="H7" s="79">
        <v>479</v>
      </c>
      <c r="I7" s="79">
        <v>478</v>
      </c>
      <c r="J7" s="79">
        <v>476</v>
      </c>
      <c r="K7" s="79">
        <v>480</v>
      </c>
      <c r="L7" s="79">
        <v>481</v>
      </c>
      <c r="M7" s="79">
        <v>482</v>
      </c>
      <c r="N7" s="134">
        <v>481</v>
      </c>
      <c r="O7" s="81">
        <f t="shared" si="1"/>
        <v>5772</v>
      </c>
      <c r="Q7" s="59" t="s">
        <v>8</v>
      </c>
      <c r="R7" s="274">
        <f t="shared" si="2"/>
        <v>5772</v>
      </c>
      <c r="S7" s="249" t="str">
        <f t="shared" si="0"/>
        <v>CFG - FTS-2.1 R</v>
      </c>
    </row>
    <row r="8" spans="2:20">
      <c r="B8" s="84" t="s">
        <v>105</v>
      </c>
      <c r="C8" s="79">
        <v>16</v>
      </c>
      <c r="D8" s="79">
        <v>16</v>
      </c>
      <c r="E8" s="79">
        <v>16</v>
      </c>
      <c r="F8" s="79">
        <v>16</v>
      </c>
      <c r="G8" s="79">
        <v>17</v>
      </c>
      <c r="H8" s="79">
        <v>16</v>
      </c>
      <c r="I8" s="79">
        <v>16</v>
      </c>
      <c r="J8" s="79">
        <v>16</v>
      </c>
      <c r="K8" s="79">
        <v>16</v>
      </c>
      <c r="L8" s="79">
        <v>16</v>
      </c>
      <c r="M8" s="79">
        <v>15</v>
      </c>
      <c r="N8" s="134">
        <v>15</v>
      </c>
      <c r="O8" s="81">
        <f t="shared" si="1"/>
        <v>191</v>
      </c>
      <c r="Q8" s="59" t="s">
        <v>8</v>
      </c>
      <c r="R8" s="274">
        <f t="shared" si="2"/>
        <v>191</v>
      </c>
      <c r="S8" s="249" t="str">
        <f t="shared" si="0"/>
        <v>CFG - FTS-3 R</v>
      </c>
    </row>
    <row r="9" spans="2:20">
      <c r="B9" s="84" t="s">
        <v>106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134">
        <v>0</v>
      </c>
      <c r="O9" s="81">
        <f t="shared" si="1"/>
        <v>0</v>
      </c>
      <c r="Q9" s="59" t="s">
        <v>8</v>
      </c>
      <c r="R9" s="274">
        <f t="shared" si="2"/>
        <v>0</v>
      </c>
      <c r="S9" s="249" t="str">
        <f t="shared" si="0"/>
        <v>CFG - FTS-3.1 R</v>
      </c>
    </row>
    <row r="10" spans="2:20">
      <c r="B10" s="84" t="s">
        <v>126</v>
      </c>
      <c r="C10" s="79">
        <v>59736</v>
      </c>
      <c r="D10" s="79">
        <v>59944</v>
      </c>
      <c r="E10" s="79">
        <v>60223</v>
      </c>
      <c r="F10" s="79">
        <v>60629</v>
      </c>
      <c r="G10" s="79">
        <v>60701</v>
      </c>
      <c r="H10" s="79">
        <v>61056</v>
      </c>
      <c r="I10" s="79">
        <v>61234</v>
      </c>
      <c r="J10" s="79">
        <v>61329</v>
      </c>
      <c r="K10" s="79">
        <v>61505</v>
      </c>
      <c r="L10" s="79">
        <v>61813</v>
      </c>
      <c r="M10" s="79">
        <v>62167</v>
      </c>
      <c r="N10" s="134">
        <v>62405</v>
      </c>
      <c r="O10" s="81">
        <f t="shared" si="1"/>
        <v>732742</v>
      </c>
      <c r="Q10" s="59" t="s">
        <v>7</v>
      </c>
      <c r="R10" s="274">
        <f>+SUM(C10:N10)</f>
        <v>732742</v>
      </c>
      <c r="S10" s="249" t="str">
        <f>CONCATENATE(Q10," - ",B10)</f>
        <v>FPU - FPU - RS</v>
      </c>
    </row>
    <row r="11" spans="2:20">
      <c r="B11" s="84" t="s">
        <v>128</v>
      </c>
      <c r="C11" s="79">
        <v>660</v>
      </c>
      <c r="D11" s="79">
        <v>667</v>
      </c>
      <c r="E11" s="79">
        <v>672</v>
      </c>
      <c r="F11" s="79">
        <v>686</v>
      </c>
      <c r="G11" s="79">
        <v>699</v>
      </c>
      <c r="H11" s="79">
        <v>716</v>
      </c>
      <c r="I11" s="79">
        <v>728</v>
      </c>
      <c r="J11" s="79">
        <v>753</v>
      </c>
      <c r="K11" s="79">
        <v>747</v>
      </c>
      <c r="L11" s="79">
        <v>757</v>
      </c>
      <c r="M11" s="79">
        <v>769</v>
      </c>
      <c r="N11" s="134">
        <v>774</v>
      </c>
      <c r="O11" s="81">
        <f t="shared" si="1"/>
        <v>8628</v>
      </c>
      <c r="Q11" s="59" t="s">
        <v>7</v>
      </c>
      <c r="R11" s="274">
        <f>+SUM(C11:N11)</f>
        <v>8628</v>
      </c>
      <c r="S11" s="249" t="str">
        <f>CONCATENATE(Q11," - ",B11)</f>
        <v>FPU - FPU - RS-GS</v>
      </c>
    </row>
    <row r="12" spans="2:20">
      <c r="B12" s="84" t="s">
        <v>98</v>
      </c>
      <c r="C12" s="79">
        <v>560</v>
      </c>
      <c r="D12" s="79">
        <v>565</v>
      </c>
      <c r="E12" s="79">
        <v>563</v>
      </c>
      <c r="F12" s="79">
        <v>563</v>
      </c>
      <c r="G12" s="79">
        <v>550</v>
      </c>
      <c r="H12" s="79">
        <v>548</v>
      </c>
      <c r="I12" s="79">
        <v>552</v>
      </c>
      <c r="J12" s="79">
        <v>547</v>
      </c>
      <c r="K12" s="79">
        <v>548</v>
      </c>
      <c r="L12" s="79">
        <v>545</v>
      </c>
      <c r="M12" s="79">
        <v>544</v>
      </c>
      <c r="N12" s="134">
        <v>546</v>
      </c>
      <c r="O12" s="81">
        <f t="shared" si="1"/>
        <v>6631</v>
      </c>
      <c r="Q12" s="59" t="s">
        <v>5</v>
      </c>
      <c r="R12" s="274">
        <f t="shared" si="2"/>
        <v>6631</v>
      </c>
      <c r="S12" s="249" t="str">
        <f>CONCATENATE(Q12," - ",B12)</f>
        <v>FT - FT-RS</v>
      </c>
    </row>
    <row r="13" spans="2:20">
      <c r="B13" s="84" t="s">
        <v>93</v>
      </c>
      <c r="C13" s="85">
        <v>675</v>
      </c>
      <c r="D13" s="85">
        <v>678</v>
      </c>
      <c r="E13" s="85">
        <v>674</v>
      </c>
      <c r="F13" s="85">
        <v>678</v>
      </c>
      <c r="G13" s="85">
        <v>674</v>
      </c>
      <c r="H13" s="85">
        <v>674</v>
      </c>
      <c r="I13" s="85">
        <v>676</v>
      </c>
      <c r="J13" s="85">
        <v>675</v>
      </c>
      <c r="K13" s="85">
        <v>677</v>
      </c>
      <c r="L13" s="85">
        <v>680</v>
      </c>
      <c r="M13" s="85">
        <v>668</v>
      </c>
      <c r="N13" s="135">
        <v>669</v>
      </c>
      <c r="O13" s="81">
        <f t="shared" si="1"/>
        <v>8098</v>
      </c>
      <c r="Q13" s="59" t="s">
        <v>4</v>
      </c>
      <c r="R13" s="274">
        <f t="shared" si="2"/>
        <v>8098</v>
      </c>
      <c r="S13" s="249" t="str">
        <f>CONCATENATE(Q13," - ",B13)</f>
        <v>IGC - IGC - TS1</v>
      </c>
    </row>
    <row r="14" spans="2:20">
      <c r="B14" s="87" t="s">
        <v>131</v>
      </c>
      <c r="C14" s="88">
        <v>79876</v>
      </c>
      <c r="D14" s="88">
        <v>80108</v>
      </c>
      <c r="E14" s="88">
        <v>80452</v>
      </c>
      <c r="F14" s="88">
        <v>80951</v>
      </c>
      <c r="G14" s="88">
        <v>81068</v>
      </c>
      <c r="H14" s="88">
        <v>81355</v>
      </c>
      <c r="I14" s="88">
        <v>81548</v>
      </c>
      <c r="J14" s="88">
        <v>81631</v>
      </c>
      <c r="K14" s="88">
        <v>81826</v>
      </c>
      <c r="L14" s="88">
        <v>82089</v>
      </c>
      <c r="M14" s="88">
        <v>82496</v>
      </c>
      <c r="N14" s="136">
        <f>SUM(N3:N13)</f>
        <v>82843</v>
      </c>
      <c r="O14" s="81">
        <f t="shared" si="1"/>
        <v>976243</v>
      </c>
    </row>
    <row r="15" spans="2:20">
      <c r="B15" s="76" t="s">
        <v>132</v>
      </c>
      <c r="C15" s="101"/>
      <c r="D15" s="101"/>
      <c r="E15" s="101"/>
      <c r="F15" s="101"/>
      <c r="G15" s="101"/>
      <c r="H15" s="137"/>
      <c r="I15" s="137"/>
      <c r="J15" s="101"/>
      <c r="K15" s="101"/>
      <c r="L15" s="101"/>
      <c r="M15" s="101"/>
      <c r="N15" s="138"/>
      <c r="O15" s="81">
        <f t="shared" si="1"/>
        <v>0</v>
      </c>
    </row>
    <row r="16" spans="2:20">
      <c r="B16" s="78" t="s">
        <v>100</v>
      </c>
      <c r="C16" s="79">
        <v>31</v>
      </c>
      <c r="D16" s="79">
        <v>31</v>
      </c>
      <c r="E16" s="79">
        <v>31</v>
      </c>
      <c r="F16" s="79">
        <v>32</v>
      </c>
      <c r="G16" s="79">
        <v>32</v>
      </c>
      <c r="H16" s="79">
        <v>31</v>
      </c>
      <c r="I16" s="79">
        <v>31</v>
      </c>
      <c r="J16" s="79">
        <v>29</v>
      </c>
      <c r="K16" s="79">
        <v>28</v>
      </c>
      <c r="L16" s="79">
        <v>28</v>
      </c>
      <c r="M16" s="79">
        <v>30</v>
      </c>
      <c r="N16" s="134">
        <v>32</v>
      </c>
      <c r="O16" s="81">
        <f t="shared" si="1"/>
        <v>366</v>
      </c>
      <c r="Q16" s="59" t="s">
        <v>8</v>
      </c>
      <c r="R16" s="274">
        <f t="shared" ref="R16:R22" si="3">+SUM(C16:N16)</f>
        <v>366</v>
      </c>
      <c r="S16" s="249" t="str">
        <f>CONCATENATE(Q16," - ",B16," - ",T16)</f>
        <v>CFG - FTS-A - Fixed R</v>
      </c>
      <c r="T16" s="59" t="s">
        <v>133</v>
      </c>
    </row>
    <row r="17" spans="2:20">
      <c r="B17" s="78" t="s">
        <v>101</v>
      </c>
      <c r="C17" s="79">
        <v>62</v>
      </c>
      <c r="D17" s="79">
        <v>62</v>
      </c>
      <c r="E17" s="79">
        <v>62</v>
      </c>
      <c r="F17" s="79">
        <v>62</v>
      </c>
      <c r="G17" s="79">
        <v>62</v>
      </c>
      <c r="H17" s="79">
        <v>61</v>
      </c>
      <c r="I17" s="79">
        <v>61</v>
      </c>
      <c r="J17" s="79">
        <v>62</v>
      </c>
      <c r="K17" s="79">
        <v>62</v>
      </c>
      <c r="L17" s="79">
        <v>61</v>
      </c>
      <c r="M17" s="79">
        <v>61</v>
      </c>
      <c r="N17" s="134">
        <v>62</v>
      </c>
      <c r="O17" s="81">
        <f t="shared" si="1"/>
        <v>740</v>
      </c>
      <c r="Q17" s="59" t="s">
        <v>8</v>
      </c>
      <c r="R17" s="274">
        <f t="shared" si="3"/>
        <v>740</v>
      </c>
      <c r="S17" s="249" t="str">
        <f t="shared" ref="S17:S22" si="4">CONCATENATE(Q17," - ",B17," - ",T17)</f>
        <v>CFG - FTS-B - Fixed R</v>
      </c>
      <c r="T17" s="59" t="s">
        <v>133</v>
      </c>
    </row>
    <row r="18" spans="2:20">
      <c r="B18" s="78" t="s">
        <v>102</v>
      </c>
      <c r="C18" s="79">
        <v>166</v>
      </c>
      <c r="D18" s="79">
        <v>165</v>
      </c>
      <c r="E18" s="79">
        <v>164</v>
      </c>
      <c r="F18" s="79">
        <v>165</v>
      </c>
      <c r="G18" s="79">
        <v>164</v>
      </c>
      <c r="H18" s="79">
        <v>164</v>
      </c>
      <c r="I18" s="79">
        <v>163</v>
      </c>
      <c r="J18" s="79">
        <v>164</v>
      </c>
      <c r="K18" s="79">
        <v>162</v>
      </c>
      <c r="L18" s="79">
        <v>163</v>
      </c>
      <c r="M18" s="79">
        <v>159</v>
      </c>
      <c r="N18" s="134">
        <v>160</v>
      </c>
      <c r="O18" s="81">
        <f t="shared" si="1"/>
        <v>1959</v>
      </c>
      <c r="Q18" s="59" t="s">
        <v>8</v>
      </c>
      <c r="R18" s="274">
        <f t="shared" si="3"/>
        <v>1959</v>
      </c>
      <c r="S18" s="249" t="str">
        <f t="shared" si="4"/>
        <v>CFG - FTS-1 - Fixed R</v>
      </c>
      <c r="T18" s="59" t="s">
        <v>133</v>
      </c>
    </row>
    <row r="19" spans="2:20">
      <c r="B19" s="78" t="s">
        <v>103</v>
      </c>
      <c r="C19" s="79">
        <v>20</v>
      </c>
      <c r="D19" s="79">
        <v>20</v>
      </c>
      <c r="E19" s="79">
        <v>20</v>
      </c>
      <c r="F19" s="79">
        <v>20</v>
      </c>
      <c r="G19" s="79">
        <v>20</v>
      </c>
      <c r="H19" s="79">
        <v>19</v>
      </c>
      <c r="I19" s="79">
        <v>20</v>
      </c>
      <c r="J19" s="79">
        <v>19</v>
      </c>
      <c r="K19" s="79">
        <v>19</v>
      </c>
      <c r="L19" s="79">
        <v>19</v>
      </c>
      <c r="M19" s="79">
        <v>20</v>
      </c>
      <c r="N19" s="134">
        <v>20</v>
      </c>
      <c r="O19" s="81">
        <f t="shared" si="1"/>
        <v>236</v>
      </c>
      <c r="Q19" s="59" t="s">
        <v>8</v>
      </c>
      <c r="R19" s="274">
        <f t="shared" si="3"/>
        <v>236</v>
      </c>
      <c r="S19" s="249" t="str">
        <f t="shared" si="4"/>
        <v>CFG - FTS-2 - Fixed R</v>
      </c>
      <c r="T19" s="59" t="s">
        <v>133</v>
      </c>
    </row>
    <row r="20" spans="2:20">
      <c r="B20" s="78" t="s">
        <v>104</v>
      </c>
      <c r="C20" s="79">
        <v>7</v>
      </c>
      <c r="D20" s="79">
        <v>8</v>
      </c>
      <c r="E20" s="79">
        <v>7</v>
      </c>
      <c r="F20" s="79">
        <v>7</v>
      </c>
      <c r="G20" s="79">
        <v>7</v>
      </c>
      <c r="H20" s="79">
        <v>7</v>
      </c>
      <c r="I20" s="79">
        <v>7</v>
      </c>
      <c r="J20" s="79">
        <v>7</v>
      </c>
      <c r="K20" s="79">
        <v>7</v>
      </c>
      <c r="L20" s="79">
        <v>7</v>
      </c>
      <c r="M20" s="79">
        <v>7</v>
      </c>
      <c r="N20" s="134">
        <v>7</v>
      </c>
      <c r="O20" s="81">
        <f t="shared" si="1"/>
        <v>85</v>
      </c>
      <c r="Q20" s="59" t="s">
        <v>8</v>
      </c>
      <c r="R20" s="274">
        <f t="shared" si="3"/>
        <v>85</v>
      </c>
      <c r="S20" s="249" t="str">
        <f t="shared" si="4"/>
        <v>CFG - FTS-2.1 - Fixed R</v>
      </c>
      <c r="T20" s="59" t="s">
        <v>133</v>
      </c>
    </row>
    <row r="21" spans="2:20" ht="15" customHeight="1">
      <c r="B21" s="84" t="s">
        <v>105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134">
        <v>0</v>
      </c>
      <c r="O21" s="81">
        <f t="shared" si="1"/>
        <v>0</v>
      </c>
      <c r="Q21" s="59" t="s">
        <v>8</v>
      </c>
      <c r="R21" s="274">
        <f t="shared" si="3"/>
        <v>0</v>
      </c>
      <c r="S21" s="249" t="str">
        <f t="shared" si="4"/>
        <v>CFG - FTS-3 - Fixed R</v>
      </c>
      <c r="T21" s="59" t="s">
        <v>133</v>
      </c>
    </row>
    <row r="22" spans="2:20">
      <c r="B22" s="84" t="s">
        <v>106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135">
        <v>0</v>
      </c>
      <c r="O22" s="81">
        <f t="shared" si="1"/>
        <v>0</v>
      </c>
      <c r="Q22" s="59" t="s">
        <v>8</v>
      </c>
      <c r="R22" s="274">
        <f t="shared" si="3"/>
        <v>0</v>
      </c>
      <c r="S22" s="249" t="str">
        <f t="shared" si="4"/>
        <v>CFG - FTS-3.1 - Fixed R</v>
      </c>
      <c r="T22" s="59" t="s">
        <v>133</v>
      </c>
    </row>
    <row r="23" spans="2:20">
      <c r="B23" s="87" t="s">
        <v>134</v>
      </c>
      <c r="C23" s="88">
        <v>286</v>
      </c>
      <c r="D23" s="88">
        <v>286</v>
      </c>
      <c r="E23" s="88">
        <v>284</v>
      </c>
      <c r="F23" s="88">
        <v>286</v>
      </c>
      <c r="G23" s="88">
        <v>285</v>
      </c>
      <c r="H23" s="88">
        <v>282</v>
      </c>
      <c r="I23" s="88">
        <v>282</v>
      </c>
      <c r="J23" s="88">
        <v>281</v>
      </c>
      <c r="K23" s="88">
        <v>278</v>
      </c>
      <c r="L23" s="88">
        <v>278</v>
      </c>
      <c r="M23" s="88">
        <v>277</v>
      </c>
      <c r="N23" s="136">
        <f>SUM(N16:N22)</f>
        <v>281</v>
      </c>
      <c r="O23" s="81">
        <f t="shared" si="1"/>
        <v>3386</v>
      </c>
    </row>
    <row r="24" spans="2:20">
      <c r="B24" s="60" t="s">
        <v>135</v>
      </c>
      <c r="C24" s="91"/>
      <c r="D24" s="91"/>
      <c r="E24" s="91"/>
      <c r="F24" s="91"/>
      <c r="G24" s="91"/>
      <c r="H24" s="92"/>
      <c r="I24" s="92"/>
      <c r="J24" s="91"/>
      <c r="K24" s="91"/>
      <c r="L24" s="91"/>
      <c r="M24" s="91"/>
      <c r="N24" s="139"/>
      <c r="O24" s="81">
        <f t="shared" si="1"/>
        <v>0</v>
      </c>
    </row>
    <row r="25" spans="2:20">
      <c r="B25" s="78" t="s">
        <v>100</v>
      </c>
      <c r="C25" s="79">
        <v>11</v>
      </c>
      <c r="D25" s="79">
        <v>11</v>
      </c>
      <c r="E25" s="79">
        <v>11</v>
      </c>
      <c r="F25" s="79">
        <v>11</v>
      </c>
      <c r="G25" s="79">
        <v>11</v>
      </c>
      <c r="H25" s="79">
        <v>11</v>
      </c>
      <c r="I25" s="79">
        <v>11</v>
      </c>
      <c r="J25" s="79">
        <v>11</v>
      </c>
      <c r="K25" s="79">
        <v>11</v>
      </c>
      <c r="L25" s="79">
        <v>11</v>
      </c>
      <c r="M25" s="79">
        <v>11</v>
      </c>
      <c r="N25" s="134">
        <v>11</v>
      </c>
      <c r="O25" s="81">
        <f t="shared" si="1"/>
        <v>132</v>
      </c>
      <c r="Q25" s="59" t="s">
        <v>8</v>
      </c>
      <c r="R25" s="274">
        <f t="shared" ref="R25:R47" si="5">+SUM(C25:N25)</f>
        <v>132</v>
      </c>
      <c r="S25" s="249" t="str">
        <f t="shared" ref="S25:S31" si="6">CONCATENATE(Q25," - ",B25," NR")</f>
        <v>CFG - FTS-A NR</v>
      </c>
    </row>
    <row r="26" spans="2:20">
      <c r="B26" s="78" t="s">
        <v>101</v>
      </c>
      <c r="C26" s="79">
        <v>7</v>
      </c>
      <c r="D26" s="79">
        <v>7</v>
      </c>
      <c r="E26" s="79">
        <v>7</v>
      </c>
      <c r="F26" s="79">
        <v>7</v>
      </c>
      <c r="G26" s="79">
        <v>7</v>
      </c>
      <c r="H26" s="79">
        <v>6</v>
      </c>
      <c r="I26" s="79">
        <v>6</v>
      </c>
      <c r="J26" s="79">
        <v>6</v>
      </c>
      <c r="K26" s="79">
        <v>6</v>
      </c>
      <c r="L26" s="79">
        <v>6</v>
      </c>
      <c r="M26" s="79">
        <v>6</v>
      </c>
      <c r="N26" s="134">
        <v>6</v>
      </c>
      <c r="O26" s="81">
        <f t="shared" si="1"/>
        <v>77</v>
      </c>
      <c r="Q26" s="59" t="s">
        <v>8</v>
      </c>
      <c r="R26" s="274">
        <f t="shared" si="5"/>
        <v>77</v>
      </c>
      <c r="S26" s="249" t="str">
        <f t="shared" si="6"/>
        <v>CFG - FTS-B NR</v>
      </c>
    </row>
    <row r="27" spans="2:20">
      <c r="B27" s="78" t="s">
        <v>102</v>
      </c>
      <c r="C27" s="79">
        <v>230</v>
      </c>
      <c r="D27" s="79">
        <v>228</v>
      </c>
      <c r="E27" s="79">
        <v>228</v>
      </c>
      <c r="F27" s="79">
        <v>227</v>
      </c>
      <c r="G27" s="79">
        <v>227</v>
      </c>
      <c r="H27" s="79">
        <v>227</v>
      </c>
      <c r="I27" s="79">
        <v>225</v>
      </c>
      <c r="J27" s="79">
        <v>226</v>
      </c>
      <c r="K27" s="79">
        <v>223</v>
      </c>
      <c r="L27" s="79">
        <v>222</v>
      </c>
      <c r="M27" s="79">
        <v>226</v>
      </c>
      <c r="N27" s="134">
        <v>223</v>
      </c>
      <c r="O27" s="81">
        <f t="shared" si="1"/>
        <v>2712</v>
      </c>
      <c r="Q27" s="59" t="s">
        <v>8</v>
      </c>
      <c r="R27" s="274">
        <f t="shared" si="5"/>
        <v>2712</v>
      </c>
      <c r="S27" s="249" t="str">
        <f t="shared" si="6"/>
        <v>CFG - FTS-1 NR</v>
      </c>
    </row>
    <row r="28" spans="2:20">
      <c r="B28" s="78" t="s">
        <v>103</v>
      </c>
      <c r="C28" s="79">
        <v>102</v>
      </c>
      <c r="D28" s="79">
        <v>99</v>
      </c>
      <c r="E28" s="79">
        <v>99</v>
      </c>
      <c r="F28" s="79">
        <v>99</v>
      </c>
      <c r="G28" s="79">
        <v>98</v>
      </c>
      <c r="H28" s="79">
        <v>98</v>
      </c>
      <c r="I28" s="79">
        <v>97</v>
      </c>
      <c r="J28" s="79">
        <v>96</v>
      </c>
      <c r="K28" s="79">
        <v>97</v>
      </c>
      <c r="L28" s="79">
        <v>98</v>
      </c>
      <c r="M28" s="79">
        <v>96</v>
      </c>
      <c r="N28" s="134">
        <v>96</v>
      </c>
      <c r="O28" s="81">
        <f t="shared" si="1"/>
        <v>1175</v>
      </c>
      <c r="Q28" s="59" t="s">
        <v>8</v>
      </c>
      <c r="R28" s="274">
        <f t="shared" si="5"/>
        <v>1175</v>
      </c>
      <c r="S28" s="249" t="str">
        <f t="shared" si="6"/>
        <v>CFG - FTS-2 NR</v>
      </c>
    </row>
    <row r="29" spans="2:20">
      <c r="B29" s="78" t="s">
        <v>104</v>
      </c>
      <c r="C29" s="79">
        <v>215</v>
      </c>
      <c r="D29" s="79">
        <v>214</v>
      </c>
      <c r="E29" s="79">
        <v>215</v>
      </c>
      <c r="F29" s="79">
        <v>217</v>
      </c>
      <c r="G29" s="79">
        <v>219</v>
      </c>
      <c r="H29" s="79">
        <v>220</v>
      </c>
      <c r="I29" s="79">
        <v>220</v>
      </c>
      <c r="J29" s="79">
        <v>221</v>
      </c>
      <c r="K29" s="79">
        <v>221</v>
      </c>
      <c r="L29" s="79">
        <v>223</v>
      </c>
      <c r="M29" s="79">
        <v>224</v>
      </c>
      <c r="N29" s="134">
        <v>223</v>
      </c>
      <c r="O29" s="81">
        <f t="shared" si="1"/>
        <v>2632</v>
      </c>
      <c r="Q29" s="59" t="s">
        <v>8</v>
      </c>
      <c r="R29" s="274">
        <f t="shared" si="5"/>
        <v>2632</v>
      </c>
      <c r="S29" s="249" t="str">
        <f t="shared" si="6"/>
        <v>CFG - FTS-2.1 NR</v>
      </c>
    </row>
    <row r="30" spans="2:20">
      <c r="B30" s="84" t="s">
        <v>105</v>
      </c>
      <c r="C30" s="79">
        <v>282</v>
      </c>
      <c r="D30" s="79">
        <v>286</v>
      </c>
      <c r="E30" s="79">
        <v>285</v>
      </c>
      <c r="F30" s="79">
        <v>287</v>
      </c>
      <c r="G30" s="79">
        <v>288</v>
      </c>
      <c r="H30" s="79">
        <v>287</v>
      </c>
      <c r="I30" s="79">
        <v>287</v>
      </c>
      <c r="J30" s="79">
        <v>291</v>
      </c>
      <c r="K30" s="79">
        <v>290</v>
      </c>
      <c r="L30" s="79">
        <v>293</v>
      </c>
      <c r="M30" s="79">
        <v>294</v>
      </c>
      <c r="N30" s="134">
        <v>297</v>
      </c>
      <c r="O30" s="81">
        <f t="shared" si="1"/>
        <v>3467</v>
      </c>
      <c r="Q30" s="59" t="s">
        <v>8</v>
      </c>
      <c r="R30" s="274">
        <f t="shared" si="5"/>
        <v>3467</v>
      </c>
      <c r="S30" s="249" t="str">
        <f t="shared" si="6"/>
        <v>CFG - FTS-3 NR</v>
      </c>
    </row>
    <row r="31" spans="2:20">
      <c r="B31" s="84" t="s">
        <v>106</v>
      </c>
      <c r="C31" s="79">
        <v>335</v>
      </c>
      <c r="D31" s="79">
        <v>336</v>
      </c>
      <c r="E31" s="79">
        <v>337</v>
      </c>
      <c r="F31" s="79">
        <v>334</v>
      </c>
      <c r="G31" s="79">
        <v>333</v>
      </c>
      <c r="H31" s="79">
        <v>335</v>
      </c>
      <c r="I31" s="79">
        <v>328</v>
      </c>
      <c r="J31" s="79">
        <v>330</v>
      </c>
      <c r="K31" s="79">
        <v>333</v>
      </c>
      <c r="L31" s="79">
        <v>331</v>
      </c>
      <c r="M31" s="79">
        <v>331</v>
      </c>
      <c r="N31" s="134">
        <v>337</v>
      </c>
      <c r="O31" s="81">
        <f t="shared" si="1"/>
        <v>4000</v>
      </c>
      <c r="Q31" s="59" t="s">
        <v>8</v>
      </c>
      <c r="R31" s="274">
        <f t="shared" si="5"/>
        <v>4000</v>
      </c>
      <c r="S31" s="249" t="str">
        <f t="shared" si="6"/>
        <v>CFG - FTS-3.1 NR</v>
      </c>
    </row>
    <row r="32" spans="2:20">
      <c r="B32" s="84" t="s">
        <v>107</v>
      </c>
      <c r="C32" s="79">
        <v>211</v>
      </c>
      <c r="D32" s="79">
        <v>210</v>
      </c>
      <c r="E32" s="79">
        <v>211</v>
      </c>
      <c r="F32" s="79">
        <v>213</v>
      </c>
      <c r="G32" s="79">
        <v>213</v>
      </c>
      <c r="H32" s="79">
        <v>213</v>
      </c>
      <c r="I32" s="79">
        <v>214</v>
      </c>
      <c r="J32" s="79">
        <v>214</v>
      </c>
      <c r="K32" s="79">
        <v>215</v>
      </c>
      <c r="L32" s="79">
        <v>216</v>
      </c>
      <c r="M32" s="79">
        <v>214</v>
      </c>
      <c r="N32" s="134">
        <v>212</v>
      </c>
      <c r="O32" s="81">
        <f t="shared" si="1"/>
        <v>2556</v>
      </c>
      <c r="Q32" s="59" t="s">
        <v>8</v>
      </c>
      <c r="R32" s="274">
        <f t="shared" si="5"/>
        <v>2556</v>
      </c>
      <c r="S32" s="249" t="str">
        <f t="shared" ref="S32:S47" si="7">CONCATENATE(Q32," - ",B32)</f>
        <v>CFG - FTS-4</v>
      </c>
    </row>
    <row r="33" spans="2:19">
      <c r="B33" s="84" t="s">
        <v>111</v>
      </c>
      <c r="C33" s="79">
        <v>36</v>
      </c>
      <c r="D33" s="79">
        <v>36</v>
      </c>
      <c r="E33" s="79">
        <v>36</v>
      </c>
      <c r="F33" s="79">
        <v>36</v>
      </c>
      <c r="G33" s="79">
        <v>36</v>
      </c>
      <c r="H33" s="79">
        <v>36</v>
      </c>
      <c r="I33" s="79">
        <v>35</v>
      </c>
      <c r="J33" s="79">
        <v>36</v>
      </c>
      <c r="K33" s="79">
        <v>36</v>
      </c>
      <c r="L33" s="79">
        <v>36</v>
      </c>
      <c r="M33" s="79">
        <v>36</v>
      </c>
      <c r="N33" s="134">
        <v>37</v>
      </c>
      <c r="O33" s="81">
        <f t="shared" si="1"/>
        <v>432</v>
      </c>
      <c r="Q33" s="59" t="s">
        <v>8</v>
      </c>
      <c r="R33" s="274">
        <f t="shared" si="5"/>
        <v>432</v>
      </c>
      <c r="S33" s="249" t="str">
        <f t="shared" si="7"/>
        <v>CFG - FTS-5</v>
      </c>
    </row>
    <row r="34" spans="2:19">
      <c r="B34" s="84" t="s">
        <v>112</v>
      </c>
      <c r="C34" s="79">
        <v>28</v>
      </c>
      <c r="D34" s="79">
        <v>29</v>
      </c>
      <c r="E34" s="79">
        <v>28</v>
      </c>
      <c r="F34" s="79">
        <v>30</v>
      </c>
      <c r="G34" s="79">
        <v>30</v>
      </c>
      <c r="H34" s="79">
        <v>30</v>
      </c>
      <c r="I34" s="79">
        <v>30</v>
      </c>
      <c r="J34" s="79">
        <v>31</v>
      </c>
      <c r="K34" s="79">
        <v>30</v>
      </c>
      <c r="L34" s="79">
        <v>31</v>
      </c>
      <c r="M34" s="79">
        <v>32</v>
      </c>
      <c r="N34" s="134">
        <v>31</v>
      </c>
      <c r="O34" s="81">
        <f t="shared" si="1"/>
        <v>360</v>
      </c>
      <c r="Q34" s="59" t="s">
        <v>8</v>
      </c>
      <c r="R34" s="274">
        <f t="shared" si="5"/>
        <v>360</v>
      </c>
      <c r="S34" s="249" t="str">
        <f t="shared" si="7"/>
        <v>CFG - FTS-6</v>
      </c>
    </row>
    <row r="35" spans="2:19">
      <c r="B35" s="84" t="s">
        <v>113</v>
      </c>
      <c r="C35" s="79">
        <v>26</v>
      </c>
      <c r="D35" s="79">
        <v>26</v>
      </c>
      <c r="E35" s="79">
        <v>26</v>
      </c>
      <c r="F35" s="79">
        <v>26</v>
      </c>
      <c r="G35" s="79">
        <v>26</v>
      </c>
      <c r="H35" s="79">
        <v>26</v>
      </c>
      <c r="I35" s="79">
        <v>26</v>
      </c>
      <c r="J35" s="79">
        <v>26</v>
      </c>
      <c r="K35" s="79">
        <v>26</v>
      </c>
      <c r="L35" s="79">
        <v>26</v>
      </c>
      <c r="M35" s="79">
        <v>26</v>
      </c>
      <c r="N35" s="134">
        <v>26</v>
      </c>
      <c r="O35" s="81">
        <f t="shared" si="1"/>
        <v>312</v>
      </c>
      <c r="Q35" s="59" t="s">
        <v>8</v>
      </c>
      <c r="R35" s="274">
        <f t="shared" si="5"/>
        <v>312</v>
      </c>
      <c r="S35" s="249" t="str">
        <f t="shared" si="7"/>
        <v>CFG - FTS-7</v>
      </c>
    </row>
    <row r="36" spans="2:19">
      <c r="B36" s="84" t="s">
        <v>114</v>
      </c>
      <c r="C36" s="79">
        <v>17</v>
      </c>
      <c r="D36" s="79">
        <v>17</v>
      </c>
      <c r="E36" s="79">
        <v>17</v>
      </c>
      <c r="F36" s="79">
        <v>17</v>
      </c>
      <c r="G36" s="79">
        <v>17</v>
      </c>
      <c r="H36" s="79">
        <v>17</v>
      </c>
      <c r="I36" s="79">
        <v>17</v>
      </c>
      <c r="J36" s="79">
        <v>17</v>
      </c>
      <c r="K36" s="79">
        <v>17</v>
      </c>
      <c r="L36" s="79">
        <v>17</v>
      </c>
      <c r="M36" s="79">
        <v>17</v>
      </c>
      <c r="N36" s="134">
        <v>17</v>
      </c>
      <c r="O36" s="81">
        <f t="shared" si="1"/>
        <v>204</v>
      </c>
      <c r="Q36" s="59" t="s">
        <v>8</v>
      </c>
      <c r="R36" s="274">
        <f t="shared" si="5"/>
        <v>204</v>
      </c>
      <c r="S36" s="249" t="str">
        <f t="shared" si="7"/>
        <v>CFG - FTS-8</v>
      </c>
    </row>
    <row r="37" spans="2:19">
      <c r="B37" s="84" t="s">
        <v>115</v>
      </c>
      <c r="C37" s="79">
        <v>6</v>
      </c>
      <c r="D37" s="79">
        <v>6</v>
      </c>
      <c r="E37" s="79">
        <v>6</v>
      </c>
      <c r="F37" s="79">
        <v>6</v>
      </c>
      <c r="G37" s="79">
        <v>6</v>
      </c>
      <c r="H37" s="79">
        <v>7</v>
      </c>
      <c r="I37" s="79">
        <v>8</v>
      </c>
      <c r="J37" s="79">
        <v>8</v>
      </c>
      <c r="K37" s="79">
        <v>8</v>
      </c>
      <c r="L37" s="79">
        <v>8</v>
      </c>
      <c r="M37" s="79">
        <v>8</v>
      </c>
      <c r="N37" s="134">
        <v>8</v>
      </c>
      <c r="O37" s="81">
        <f t="shared" si="1"/>
        <v>85</v>
      </c>
      <c r="Q37" s="59" t="s">
        <v>8</v>
      </c>
      <c r="R37" s="274">
        <f t="shared" si="5"/>
        <v>85</v>
      </c>
      <c r="S37" s="249" t="str">
        <f t="shared" si="7"/>
        <v>CFG - FTS-9</v>
      </c>
    </row>
    <row r="38" spans="2:19">
      <c r="B38" s="84" t="s">
        <v>116</v>
      </c>
      <c r="C38" s="79">
        <v>3</v>
      </c>
      <c r="D38" s="79">
        <v>3</v>
      </c>
      <c r="E38" s="79">
        <v>3</v>
      </c>
      <c r="F38" s="79">
        <v>3</v>
      </c>
      <c r="G38" s="79">
        <v>3</v>
      </c>
      <c r="H38" s="79">
        <v>3</v>
      </c>
      <c r="I38" s="79">
        <v>3</v>
      </c>
      <c r="J38" s="79">
        <v>3</v>
      </c>
      <c r="K38" s="79">
        <v>3</v>
      </c>
      <c r="L38" s="79">
        <v>3</v>
      </c>
      <c r="M38" s="79">
        <v>3</v>
      </c>
      <c r="N38" s="134">
        <v>3</v>
      </c>
      <c r="O38" s="81">
        <f t="shared" si="1"/>
        <v>36</v>
      </c>
      <c r="Q38" s="59" t="s">
        <v>8</v>
      </c>
      <c r="R38" s="274">
        <f t="shared" si="5"/>
        <v>36</v>
      </c>
      <c r="S38" s="249" t="str">
        <f t="shared" si="7"/>
        <v>CFG - FTS-10</v>
      </c>
    </row>
    <row r="39" spans="2:19">
      <c r="B39" s="84" t="s">
        <v>117</v>
      </c>
      <c r="C39" s="79">
        <v>1</v>
      </c>
      <c r="D39" s="79">
        <v>1</v>
      </c>
      <c r="E39" s="79">
        <v>1</v>
      </c>
      <c r="F39" s="79">
        <v>1</v>
      </c>
      <c r="G39" s="79">
        <v>1</v>
      </c>
      <c r="H39" s="79">
        <v>1</v>
      </c>
      <c r="I39" s="79">
        <v>1</v>
      </c>
      <c r="J39" s="79">
        <v>1</v>
      </c>
      <c r="K39" s="79">
        <v>1</v>
      </c>
      <c r="L39" s="79">
        <v>1</v>
      </c>
      <c r="M39" s="79">
        <v>1</v>
      </c>
      <c r="N39" s="134">
        <v>1</v>
      </c>
      <c r="O39" s="81">
        <f t="shared" si="1"/>
        <v>12</v>
      </c>
      <c r="Q39" s="59" t="s">
        <v>8</v>
      </c>
      <c r="R39" s="274">
        <f t="shared" si="5"/>
        <v>12</v>
      </c>
      <c r="S39" s="249" t="str">
        <f t="shared" si="7"/>
        <v>CFG - FTS-11</v>
      </c>
    </row>
    <row r="40" spans="2:19">
      <c r="B40" s="84" t="s">
        <v>118</v>
      </c>
      <c r="C40" s="79">
        <v>5</v>
      </c>
      <c r="D40" s="79">
        <v>5</v>
      </c>
      <c r="E40" s="79">
        <v>5</v>
      </c>
      <c r="F40" s="79">
        <v>5</v>
      </c>
      <c r="G40" s="79">
        <v>5</v>
      </c>
      <c r="H40" s="79">
        <v>5</v>
      </c>
      <c r="I40" s="79">
        <v>5</v>
      </c>
      <c r="J40" s="79">
        <v>5</v>
      </c>
      <c r="K40" s="79">
        <v>5</v>
      </c>
      <c r="L40" s="79">
        <v>5</v>
      </c>
      <c r="M40" s="79">
        <v>5</v>
      </c>
      <c r="N40" s="134">
        <v>5</v>
      </c>
      <c r="O40" s="81">
        <f t="shared" si="1"/>
        <v>60</v>
      </c>
      <c r="Q40" s="59" t="s">
        <v>8</v>
      </c>
      <c r="R40" s="274">
        <f t="shared" si="5"/>
        <v>60</v>
      </c>
      <c r="S40" s="249" t="str">
        <f t="shared" si="7"/>
        <v>CFG - FTS-12</v>
      </c>
    </row>
    <row r="41" spans="2:19">
      <c r="B41" s="84" t="s">
        <v>119</v>
      </c>
      <c r="C41" s="79">
        <v>1</v>
      </c>
      <c r="D41" s="79">
        <v>1</v>
      </c>
      <c r="E41" s="79">
        <v>1</v>
      </c>
      <c r="F41" s="79">
        <v>1</v>
      </c>
      <c r="G41" s="79">
        <v>1</v>
      </c>
      <c r="H41" s="79">
        <v>1</v>
      </c>
      <c r="I41" s="79">
        <v>1</v>
      </c>
      <c r="J41" s="79">
        <v>1</v>
      </c>
      <c r="K41" s="79">
        <v>1</v>
      </c>
      <c r="L41" s="79">
        <v>1</v>
      </c>
      <c r="M41" s="79">
        <v>1</v>
      </c>
      <c r="N41" s="134">
        <v>1</v>
      </c>
      <c r="O41" s="81">
        <f t="shared" si="1"/>
        <v>12</v>
      </c>
      <c r="Q41" s="59" t="s">
        <v>8</v>
      </c>
      <c r="R41" s="274">
        <f t="shared" si="5"/>
        <v>12</v>
      </c>
      <c r="S41" s="249" t="str">
        <f t="shared" si="7"/>
        <v>CFG - FTS-NGV</v>
      </c>
    </row>
    <row r="42" spans="2:19">
      <c r="B42" s="84" t="s">
        <v>99</v>
      </c>
      <c r="C42" s="79">
        <v>889</v>
      </c>
      <c r="D42" s="79">
        <v>886</v>
      </c>
      <c r="E42" s="79">
        <v>890</v>
      </c>
      <c r="F42" s="79">
        <v>884</v>
      </c>
      <c r="G42" s="79">
        <v>879</v>
      </c>
      <c r="H42" s="79">
        <v>876</v>
      </c>
      <c r="I42" s="79">
        <v>883</v>
      </c>
      <c r="J42" s="79">
        <v>891</v>
      </c>
      <c r="K42" s="79">
        <v>883</v>
      </c>
      <c r="L42" s="79">
        <v>866</v>
      </c>
      <c r="M42" s="79">
        <v>853</v>
      </c>
      <c r="N42" s="134">
        <v>862</v>
      </c>
      <c r="O42" s="81">
        <f t="shared" si="1"/>
        <v>10542</v>
      </c>
      <c r="Q42" s="59" t="s">
        <v>7</v>
      </c>
      <c r="R42" s="274">
        <f t="shared" si="5"/>
        <v>10542</v>
      </c>
      <c r="S42" s="249" t="str">
        <f t="shared" si="7"/>
        <v>FPU - FPU - GS - 1</v>
      </c>
    </row>
    <row r="43" spans="2:19">
      <c r="B43" s="84" t="s">
        <v>138</v>
      </c>
      <c r="C43" s="79">
        <v>365</v>
      </c>
      <c r="D43" s="79">
        <v>370</v>
      </c>
      <c r="E43" s="79">
        <v>382</v>
      </c>
      <c r="F43" s="79">
        <v>380</v>
      </c>
      <c r="G43" s="79">
        <v>372</v>
      </c>
      <c r="H43" s="79">
        <v>368</v>
      </c>
      <c r="I43" s="79">
        <v>368</v>
      </c>
      <c r="J43" s="79">
        <v>372</v>
      </c>
      <c r="K43" s="79">
        <v>378</v>
      </c>
      <c r="L43" s="79">
        <v>407</v>
      </c>
      <c r="M43" s="79">
        <v>400</v>
      </c>
      <c r="N43" s="134">
        <v>399</v>
      </c>
      <c r="O43" s="81">
        <f t="shared" si="1"/>
        <v>4561</v>
      </c>
      <c r="Q43" s="59" t="s">
        <v>7</v>
      </c>
      <c r="R43" s="274">
        <f>+SUM(C43:N43)</f>
        <v>4561</v>
      </c>
      <c r="S43" s="249" t="str">
        <f t="shared" si="7"/>
        <v>FPU - FPU - GSTS - 1</v>
      </c>
    </row>
    <row r="44" spans="2:19">
      <c r="B44" s="84" t="s">
        <v>140</v>
      </c>
      <c r="C44" s="79">
        <v>2198</v>
      </c>
      <c r="D44" s="79">
        <v>2195</v>
      </c>
      <c r="E44" s="79">
        <v>2193</v>
      </c>
      <c r="F44" s="79">
        <v>2197</v>
      </c>
      <c r="G44" s="79">
        <v>2197</v>
      </c>
      <c r="H44" s="79">
        <v>2214</v>
      </c>
      <c r="I44" s="79">
        <v>2199</v>
      </c>
      <c r="J44" s="79">
        <v>2181</v>
      </c>
      <c r="K44" s="79">
        <v>2145</v>
      </c>
      <c r="L44" s="79">
        <v>2162</v>
      </c>
      <c r="M44" s="79">
        <v>2166</v>
      </c>
      <c r="N44" s="134">
        <v>2168</v>
      </c>
      <c r="O44" s="81">
        <f t="shared" si="1"/>
        <v>26215</v>
      </c>
      <c r="Q44" s="59" t="s">
        <v>7</v>
      </c>
      <c r="R44" s="274">
        <f t="shared" si="5"/>
        <v>26215</v>
      </c>
      <c r="S44" s="249" t="str">
        <f t="shared" si="7"/>
        <v>FPU - FPU - GS - 2</v>
      </c>
    </row>
    <row r="45" spans="2:19">
      <c r="B45" s="84" t="s">
        <v>141</v>
      </c>
      <c r="C45" s="79">
        <v>828</v>
      </c>
      <c r="D45" s="79">
        <v>825</v>
      </c>
      <c r="E45" s="79">
        <v>816</v>
      </c>
      <c r="F45" s="79">
        <v>825</v>
      </c>
      <c r="G45" s="79">
        <v>836</v>
      </c>
      <c r="H45" s="79">
        <v>835</v>
      </c>
      <c r="I45" s="79">
        <v>844</v>
      </c>
      <c r="J45" s="79">
        <v>848</v>
      </c>
      <c r="K45" s="79">
        <v>855</v>
      </c>
      <c r="L45" s="79">
        <v>848</v>
      </c>
      <c r="M45" s="79">
        <v>859</v>
      </c>
      <c r="N45" s="134">
        <v>865</v>
      </c>
      <c r="O45" s="81">
        <f t="shared" si="1"/>
        <v>10084</v>
      </c>
      <c r="Q45" s="59" t="s">
        <v>7</v>
      </c>
      <c r="R45" s="274">
        <f t="shared" si="5"/>
        <v>10084</v>
      </c>
      <c r="S45" s="249" t="str">
        <f t="shared" si="7"/>
        <v>FPU - FPU - GSTS - 2</v>
      </c>
    </row>
    <row r="46" spans="2:19">
      <c r="B46" s="84" t="s">
        <v>142</v>
      </c>
      <c r="C46" s="79">
        <v>265</v>
      </c>
      <c r="D46" s="79">
        <v>264</v>
      </c>
      <c r="E46" s="79">
        <v>264</v>
      </c>
      <c r="F46" s="79">
        <v>264</v>
      </c>
      <c r="G46" s="79">
        <v>265</v>
      </c>
      <c r="H46" s="79">
        <v>268</v>
      </c>
      <c r="I46" s="79">
        <v>267</v>
      </c>
      <c r="J46" s="79">
        <v>267</v>
      </c>
      <c r="K46" s="79">
        <v>285</v>
      </c>
      <c r="L46" s="79">
        <v>269</v>
      </c>
      <c r="M46" s="79">
        <v>277</v>
      </c>
      <c r="N46" s="134">
        <v>281</v>
      </c>
      <c r="O46" s="81">
        <f t="shared" si="1"/>
        <v>3236</v>
      </c>
      <c r="Q46" s="59" t="s">
        <v>7</v>
      </c>
      <c r="R46" s="274">
        <f t="shared" si="5"/>
        <v>3236</v>
      </c>
      <c r="S46" s="249" t="str">
        <f t="shared" si="7"/>
        <v>FPU - FPU - CS - GS</v>
      </c>
    </row>
    <row r="47" spans="2:19">
      <c r="B47" s="94" t="s">
        <v>143</v>
      </c>
      <c r="C47" s="79">
        <v>670</v>
      </c>
      <c r="D47" s="79">
        <v>673</v>
      </c>
      <c r="E47" s="79">
        <v>670</v>
      </c>
      <c r="F47" s="79">
        <v>665</v>
      </c>
      <c r="G47" s="79">
        <v>649</v>
      </c>
      <c r="H47" s="79">
        <v>655</v>
      </c>
      <c r="I47" s="79">
        <v>654</v>
      </c>
      <c r="J47" s="79">
        <v>650</v>
      </c>
      <c r="K47" s="79">
        <v>647</v>
      </c>
      <c r="L47" s="79">
        <v>649</v>
      </c>
      <c r="M47" s="79">
        <v>656</v>
      </c>
      <c r="N47" s="134">
        <v>663</v>
      </c>
      <c r="O47" s="81">
        <f t="shared" si="1"/>
        <v>7901</v>
      </c>
      <c r="Q47" s="59" t="s">
        <v>7</v>
      </c>
      <c r="R47" s="274">
        <f t="shared" si="5"/>
        <v>7901</v>
      </c>
      <c r="S47" s="249" t="str">
        <f t="shared" si="7"/>
        <v>FPU - FPU - LVS</v>
      </c>
    </row>
    <row r="48" spans="2:19">
      <c r="B48" s="95" t="s">
        <v>317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140"/>
      <c r="O48" s="81">
        <f t="shared" si="1"/>
        <v>0</v>
      </c>
      <c r="Q48" s="59"/>
      <c r="R48" s="274"/>
      <c r="S48" s="249"/>
    </row>
    <row r="49" spans="2:19">
      <c r="B49" s="84" t="s">
        <v>145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134">
        <v>0</v>
      </c>
      <c r="O49" s="81">
        <f t="shared" si="1"/>
        <v>0</v>
      </c>
      <c r="Q49" s="59" t="s">
        <v>7</v>
      </c>
      <c r="R49" s="274">
        <f>+SUM(C49:N49)</f>
        <v>0</v>
      </c>
      <c r="S49" s="249" t="str">
        <f>CONCATENATE(Q49," - ",B49)</f>
        <v>FPU - FPU - LVTS &lt;50k</v>
      </c>
    </row>
    <row r="50" spans="2:19">
      <c r="B50" s="84" t="s">
        <v>146</v>
      </c>
      <c r="C50" s="79">
        <v>1259</v>
      </c>
      <c r="D50" s="79">
        <v>1254</v>
      </c>
      <c r="E50" s="79">
        <v>1263</v>
      </c>
      <c r="F50" s="79">
        <v>1269</v>
      </c>
      <c r="G50" s="79">
        <v>1273</v>
      </c>
      <c r="H50" s="79">
        <v>1267</v>
      </c>
      <c r="I50" s="79">
        <v>1275</v>
      </c>
      <c r="J50" s="79">
        <v>1277</v>
      </c>
      <c r="K50" s="79">
        <v>1282</v>
      </c>
      <c r="L50" s="79">
        <v>1284</v>
      </c>
      <c r="M50" s="79">
        <v>1284</v>
      </c>
      <c r="N50" s="134">
        <v>1282</v>
      </c>
      <c r="O50" s="81">
        <f t="shared" si="1"/>
        <v>15269</v>
      </c>
      <c r="Q50" s="59" t="s">
        <v>7</v>
      </c>
      <c r="R50" s="274">
        <f>+SUM(C50:N50)</f>
        <v>15269</v>
      </c>
      <c r="S50" s="249" t="str">
        <f>CONCATENATE(Q50," - ",B50)</f>
        <v>FPU - FPU - LVTS &gt;50k</v>
      </c>
    </row>
    <row r="51" spans="2:19">
      <c r="B51" s="98" t="s">
        <v>318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140"/>
      <c r="O51" s="81">
        <f t="shared" si="1"/>
        <v>0</v>
      </c>
      <c r="Q51" s="59"/>
      <c r="R51" s="274"/>
      <c r="S51" s="249"/>
    </row>
    <row r="52" spans="2:19">
      <c r="B52" s="84" t="s">
        <v>148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134">
        <v>0</v>
      </c>
      <c r="O52" s="81">
        <f t="shared" si="1"/>
        <v>0</v>
      </c>
      <c r="Q52" s="59" t="s">
        <v>7</v>
      </c>
      <c r="R52" s="274">
        <f>+SUM(C52:N52)</f>
        <v>0</v>
      </c>
      <c r="S52" s="249" t="str">
        <f>CONCATENATE(Q52," - ",B52)</f>
        <v>FPU - FPU - IS</v>
      </c>
    </row>
    <row r="53" spans="2:19">
      <c r="B53" s="84" t="s">
        <v>149</v>
      </c>
      <c r="C53" s="79">
        <v>18</v>
      </c>
      <c r="D53" s="79">
        <v>18</v>
      </c>
      <c r="E53" s="79">
        <v>19</v>
      </c>
      <c r="F53" s="79">
        <v>17</v>
      </c>
      <c r="G53" s="79">
        <v>18</v>
      </c>
      <c r="H53" s="79">
        <v>18</v>
      </c>
      <c r="I53" s="79">
        <v>18</v>
      </c>
      <c r="J53" s="79">
        <v>18</v>
      </c>
      <c r="K53" s="79">
        <v>18</v>
      </c>
      <c r="L53" s="79">
        <v>18</v>
      </c>
      <c r="M53" s="79">
        <v>18</v>
      </c>
      <c r="N53" s="134">
        <v>18</v>
      </c>
      <c r="O53" s="81">
        <f t="shared" si="1"/>
        <v>216</v>
      </c>
      <c r="Q53" s="59" t="s">
        <v>7</v>
      </c>
      <c r="R53" s="274">
        <f>+SUM(C53:N53)</f>
        <v>216</v>
      </c>
      <c r="S53" s="249" t="str">
        <f>CONCATENATE(Q53," - ",B53)</f>
        <v>FPU - FPU - ITS</v>
      </c>
    </row>
    <row r="54" spans="2:19">
      <c r="B54" s="98" t="s">
        <v>319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140"/>
      <c r="O54" s="81">
        <f t="shared" si="1"/>
        <v>0</v>
      </c>
      <c r="Q54" s="59"/>
      <c r="R54" s="274"/>
      <c r="S54" s="249"/>
    </row>
    <row r="55" spans="2:19">
      <c r="B55" s="84" t="s">
        <v>151</v>
      </c>
      <c r="C55" s="79">
        <v>31</v>
      </c>
      <c r="D55" s="79">
        <v>31</v>
      </c>
      <c r="E55" s="79">
        <v>31</v>
      </c>
      <c r="F55" s="79">
        <v>31</v>
      </c>
      <c r="G55" s="79">
        <v>29</v>
      </c>
      <c r="H55" s="79">
        <v>29</v>
      </c>
      <c r="I55" s="79">
        <v>29</v>
      </c>
      <c r="J55" s="79">
        <v>27</v>
      </c>
      <c r="K55" s="79">
        <v>27</v>
      </c>
      <c r="L55" s="79">
        <v>27</v>
      </c>
      <c r="M55" s="79">
        <v>29</v>
      </c>
      <c r="N55" s="134">
        <v>25</v>
      </c>
      <c r="O55" s="81">
        <f t="shared" si="1"/>
        <v>346</v>
      </c>
      <c r="Q55" s="59" t="s">
        <v>7</v>
      </c>
      <c r="R55" s="274">
        <f t="shared" ref="R55:R63" si="8">+SUM(C55:N55)</f>
        <v>346</v>
      </c>
      <c r="S55" s="249" t="str">
        <f t="shared" ref="S55:S63" si="9">CONCATENATE(Q55," - ",B55)</f>
        <v>FPU - FPU - GLS</v>
      </c>
    </row>
    <row r="56" spans="2:19">
      <c r="B56" s="84" t="s">
        <v>153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134">
        <v>0</v>
      </c>
      <c r="O56" s="81">
        <f t="shared" si="1"/>
        <v>0</v>
      </c>
      <c r="Q56" s="59" t="s">
        <v>7</v>
      </c>
      <c r="R56" s="274">
        <f t="shared" si="8"/>
        <v>0</v>
      </c>
      <c r="S56" s="249" t="str">
        <f t="shared" si="9"/>
        <v>FPU - FPU-NGVS</v>
      </c>
    </row>
    <row r="57" spans="2:19">
      <c r="B57" s="84" t="s">
        <v>154</v>
      </c>
      <c r="C57" s="79">
        <v>2</v>
      </c>
      <c r="D57" s="79">
        <v>2</v>
      </c>
      <c r="E57" s="79">
        <v>2</v>
      </c>
      <c r="F57" s="79">
        <v>2</v>
      </c>
      <c r="G57" s="79">
        <v>2</v>
      </c>
      <c r="H57" s="79">
        <v>2</v>
      </c>
      <c r="I57" s="79">
        <v>2</v>
      </c>
      <c r="J57" s="79">
        <v>2</v>
      </c>
      <c r="K57" s="79">
        <v>2</v>
      </c>
      <c r="L57" s="79">
        <v>2</v>
      </c>
      <c r="M57" s="79">
        <v>2</v>
      </c>
      <c r="N57" s="134">
        <v>2</v>
      </c>
      <c r="O57" s="81">
        <f t="shared" si="1"/>
        <v>24</v>
      </c>
      <c r="Q57" s="59" t="s">
        <v>7</v>
      </c>
      <c r="R57" s="274">
        <f t="shared" si="8"/>
        <v>24</v>
      </c>
      <c r="S57" s="249" t="str">
        <f t="shared" si="9"/>
        <v>FPU - FPU- NGVTS</v>
      </c>
    </row>
    <row r="58" spans="2:19">
      <c r="B58" s="84" t="s">
        <v>155</v>
      </c>
      <c r="C58" s="79">
        <v>4</v>
      </c>
      <c r="D58" s="79">
        <v>4</v>
      </c>
      <c r="E58" s="79">
        <v>4</v>
      </c>
      <c r="F58" s="79">
        <v>4</v>
      </c>
      <c r="G58" s="79">
        <v>4</v>
      </c>
      <c r="H58" s="79">
        <v>4</v>
      </c>
      <c r="I58" s="79">
        <v>4</v>
      </c>
      <c r="J58" s="79">
        <v>4</v>
      </c>
      <c r="K58" s="79">
        <v>4</v>
      </c>
      <c r="L58" s="79">
        <v>4</v>
      </c>
      <c r="M58" s="79">
        <v>4</v>
      </c>
      <c r="N58" s="134">
        <v>4</v>
      </c>
      <c r="O58" s="81">
        <f t="shared" si="1"/>
        <v>48</v>
      </c>
      <c r="Q58" s="59" t="s">
        <v>5</v>
      </c>
      <c r="R58" s="274">
        <f t="shared" si="8"/>
        <v>48</v>
      </c>
      <c r="S58" s="249" t="str">
        <f t="shared" si="9"/>
        <v>FT - FT-Comm PA</v>
      </c>
    </row>
    <row r="59" spans="2:19">
      <c r="B59" s="84" t="s">
        <v>157</v>
      </c>
      <c r="C59" s="79">
        <v>30</v>
      </c>
      <c r="D59" s="79">
        <v>30</v>
      </c>
      <c r="E59" s="79">
        <v>30</v>
      </c>
      <c r="F59" s="79">
        <v>30</v>
      </c>
      <c r="G59" s="79">
        <v>31</v>
      </c>
      <c r="H59" s="79">
        <v>31</v>
      </c>
      <c r="I59" s="79">
        <v>32</v>
      </c>
      <c r="J59" s="79">
        <v>30</v>
      </c>
      <c r="K59" s="79">
        <v>31</v>
      </c>
      <c r="L59" s="79">
        <v>30</v>
      </c>
      <c r="M59" s="79">
        <v>27</v>
      </c>
      <c r="N59" s="134">
        <v>29</v>
      </c>
      <c r="O59" s="81">
        <f t="shared" si="1"/>
        <v>361</v>
      </c>
      <c r="Q59" s="59" t="s">
        <v>5</v>
      </c>
      <c r="R59" s="274">
        <f t="shared" si="8"/>
        <v>361</v>
      </c>
      <c r="S59" s="249" t="str">
        <f t="shared" si="9"/>
        <v>FT - FT-Comm Small</v>
      </c>
    </row>
    <row r="60" spans="2:19">
      <c r="B60" s="84" t="s">
        <v>159</v>
      </c>
      <c r="C60" s="79">
        <v>10</v>
      </c>
      <c r="D60" s="79">
        <v>10</v>
      </c>
      <c r="E60" s="79">
        <v>10</v>
      </c>
      <c r="F60" s="79">
        <v>10</v>
      </c>
      <c r="G60" s="79">
        <v>10</v>
      </c>
      <c r="H60" s="79">
        <v>10</v>
      </c>
      <c r="I60" s="79">
        <v>11</v>
      </c>
      <c r="J60" s="79">
        <v>11</v>
      </c>
      <c r="K60" s="79">
        <v>11</v>
      </c>
      <c r="L60" s="79">
        <v>11</v>
      </c>
      <c r="M60" s="79">
        <v>11</v>
      </c>
      <c r="N60" s="134">
        <v>11</v>
      </c>
      <c r="O60" s="81">
        <f t="shared" si="1"/>
        <v>126</v>
      </c>
      <c r="Q60" s="59" t="s">
        <v>5</v>
      </c>
      <c r="R60" s="274">
        <f t="shared" si="8"/>
        <v>126</v>
      </c>
      <c r="S60" s="249" t="str">
        <f t="shared" si="9"/>
        <v>FT - FT-Transportation</v>
      </c>
    </row>
    <row r="61" spans="2:19">
      <c r="B61" s="78" t="s">
        <v>95</v>
      </c>
      <c r="C61" s="79">
        <v>21</v>
      </c>
      <c r="D61" s="79">
        <v>21</v>
      </c>
      <c r="E61" s="79">
        <v>21</v>
      </c>
      <c r="F61" s="79">
        <v>22</v>
      </c>
      <c r="G61" s="79">
        <v>22</v>
      </c>
      <c r="H61" s="79">
        <v>22</v>
      </c>
      <c r="I61" s="79">
        <v>22</v>
      </c>
      <c r="J61" s="79">
        <v>22</v>
      </c>
      <c r="K61" s="79">
        <v>22</v>
      </c>
      <c r="L61" s="79">
        <v>22</v>
      </c>
      <c r="M61" s="79">
        <v>22</v>
      </c>
      <c r="N61" s="134">
        <v>22</v>
      </c>
      <c r="O61" s="81">
        <f t="shared" si="1"/>
        <v>261</v>
      </c>
      <c r="Q61" s="59" t="s">
        <v>4</v>
      </c>
      <c r="R61" s="274">
        <f t="shared" si="8"/>
        <v>261</v>
      </c>
      <c r="S61" s="249" t="str">
        <f t="shared" si="9"/>
        <v>IGC - IGC - TS2</v>
      </c>
    </row>
    <row r="62" spans="2:19">
      <c r="B62" s="78" t="s">
        <v>96</v>
      </c>
      <c r="C62" s="79">
        <v>1</v>
      </c>
      <c r="D62" s="79">
        <v>1</v>
      </c>
      <c r="E62" s="79">
        <v>1</v>
      </c>
      <c r="F62" s="79">
        <v>1</v>
      </c>
      <c r="G62" s="79">
        <v>1</v>
      </c>
      <c r="H62" s="79">
        <v>1</v>
      </c>
      <c r="I62" s="79">
        <v>1</v>
      </c>
      <c r="J62" s="79">
        <v>1</v>
      </c>
      <c r="K62" s="79">
        <v>1</v>
      </c>
      <c r="L62" s="79">
        <v>1</v>
      </c>
      <c r="M62" s="79">
        <v>1</v>
      </c>
      <c r="N62" s="134">
        <v>1</v>
      </c>
      <c r="O62" s="81">
        <f t="shared" si="1"/>
        <v>12</v>
      </c>
      <c r="Q62" s="59" t="s">
        <v>4</v>
      </c>
      <c r="R62" s="274">
        <f t="shared" si="8"/>
        <v>12</v>
      </c>
      <c r="S62" s="249" t="str">
        <f t="shared" si="9"/>
        <v>IGC - IGC - TS3</v>
      </c>
    </row>
    <row r="63" spans="2:19">
      <c r="B63" s="99" t="s">
        <v>97</v>
      </c>
      <c r="C63" s="85">
        <v>2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135">
        <v>0</v>
      </c>
      <c r="O63" s="81">
        <f t="shared" si="1"/>
        <v>2</v>
      </c>
      <c r="Q63" s="59" t="s">
        <v>4</v>
      </c>
      <c r="R63" s="274">
        <f t="shared" si="8"/>
        <v>2</v>
      </c>
      <c r="S63" s="249" t="str">
        <f t="shared" si="9"/>
        <v>IGC - IGC - TS4</v>
      </c>
    </row>
    <row r="64" spans="2:19">
      <c r="B64" s="87" t="s">
        <v>164</v>
      </c>
      <c r="C64" s="88">
        <v>8109</v>
      </c>
      <c r="D64" s="88">
        <v>8099</v>
      </c>
      <c r="E64" s="88">
        <v>8112</v>
      </c>
      <c r="F64" s="88">
        <v>8121</v>
      </c>
      <c r="G64" s="88">
        <v>8109</v>
      </c>
      <c r="H64" s="88">
        <v>8123</v>
      </c>
      <c r="I64" s="88">
        <v>8123</v>
      </c>
      <c r="J64" s="88">
        <v>8124</v>
      </c>
      <c r="K64" s="88">
        <v>8114</v>
      </c>
      <c r="L64" s="88">
        <v>8128</v>
      </c>
      <c r="M64" s="88">
        <v>8140</v>
      </c>
      <c r="N64" s="136">
        <f>SUM(N25:N63)</f>
        <v>8166</v>
      </c>
      <c r="O64" s="81">
        <f t="shared" si="1"/>
        <v>97468</v>
      </c>
    </row>
    <row r="65" spans="2:22">
      <c r="B65" s="60" t="s">
        <v>165</v>
      </c>
      <c r="C65" s="92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139"/>
      <c r="O65" s="81">
        <f t="shared" si="1"/>
        <v>0</v>
      </c>
    </row>
    <row r="66" spans="2:22">
      <c r="B66" s="78" t="s">
        <v>100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134">
        <v>0</v>
      </c>
      <c r="O66" s="81">
        <f t="shared" si="1"/>
        <v>0</v>
      </c>
      <c r="Q66" s="59" t="s">
        <v>8</v>
      </c>
      <c r="R66" s="274">
        <f t="shared" ref="R66:R72" si="10">+SUM(C66:N66)</f>
        <v>0</v>
      </c>
      <c r="S66" s="249" t="str">
        <f>CONCATENATE(Q66," - ",B66," - ",T66)</f>
        <v>CFG - FTS-A - Fixed NR</v>
      </c>
      <c r="T66" s="59" t="s">
        <v>166</v>
      </c>
    </row>
    <row r="67" spans="2:22">
      <c r="B67" s="78" t="s">
        <v>101</v>
      </c>
      <c r="C67" s="79">
        <v>1</v>
      </c>
      <c r="D67" s="79">
        <v>1</v>
      </c>
      <c r="E67" s="79">
        <v>1</v>
      </c>
      <c r="F67" s="79">
        <v>1</v>
      </c>
      <c r="G67" s="79">
        <v>1</v>
      </c>
      <c r="H67" s="79">
        <v>1</v>
      </c>
      <c r="I67" s="79">
        <v>1</v>
      </c>
      <c r="J67" s="79">
        <v>1</v>
      </c>
      <c r="K67" s="79">
        <v>1</v>
      </c>
      <c r="L67" s="79">
        <v>1</v>
      </c>
      <c r="M67" s="79">
        <v>1</v>
      </c>
      <c r="N67" s="134">
        <v>1</v>
      </c>
      <c r="O67" s="81">
        <f t="shared" si="1"/>
        <v>12</v>
      </c>
      <c r="Q67" s="59" t="s">
        <v>8</v>
      </c>
      <c r="R67" s="274">
        <f t="shared" si="10"/>
        <v>12</v>
      </c>
      <c r="S67" s="249" t="str">
        <f t="shared" ref="S67:S72" si="11">CONCATENATE(Q67," - ",B67," - ",T67)</f>
        <v>CFG - FTS-B - Fixed NR</v>
      </c>
      <c r="T67" s="59" t="s">
        <v>166</v>
      </c>
    </row>
    <row r="68" spans="2:22">
      <c r="B68" s="78" t="s">
        <v>102</v>
      </c>
      <c r="C68" s="79">
        <v>43</v>
      </c>
      <c r="D68" s="79">
        <v>43</v>
      </c>
      <c r="E68" s="79">
        <v>44</v>
      </c>
      <c r="F68" s="79">
        <v>45</v>
      </c>
      <c r="G68" s="79">
        <v>45</v>
      </c>
      <c r="H68" s="79">
        <v>45</v>
      </c>
      <c r="I68" s="79">
        <v>46</v>
      </c>
      <c r="J68" s="79">
        <v>46</v>
      </c>
      <c r="K68" s="79">
        <v>45</v>
      </c>
      <c r="L68" s="79">
        <v>45</v>
      </c>
      <c r="M68" s="79">
        <v>46</v>
      </c>
      <c r="N68" s="134">
        <v>47</v>
      </c>
      <c r="O68" s="81">
        <f t="shared" ref="O68:O127" si="12">SUM(C68:N68)</f>
        <v>540</v>
      </c>
      <c r="Q68" s="59" t="s">
        <v>8</v>
      </c>
      <c r="R68" s="274">
        <f t="shared" si="10"/>
        <v>540</v>
      </c>
      <c r="S68" s="249" t="str">
        <f t="shared" si="11"/>
        <v>CFG - FTS-1 - Fixed NR</v>
      </c>
      <c r="T68" s="59" t="s">
        <v>166</v>
      </c>
    </row>
    <row r="69" spans="2:22">
      <c r="B69" s="84" t="s">
        <v>103</v>
      </c>
      <c r="C69" s="79">
        <v>6</v>
      </c>
      <c r="D69" s="79">
        <v>6</v>
      </c>
      <c r="E69" s="79">
        <v>6</v>
      </c>
      <c r="F69" s="79">
        <v>6</v>
      </c>
      <c r="G69" s="79">
        <v>6</v>
      </c>
      <c r="H69" s="79">
        <v>6</v>
      </c>
      <c r="I69" s="79">
        <v>6</v>
      </c>
      <c r="J69" s="79">
        <v>5</v>
      </c>
      <c r="K69" s="79">
        <v>5</v>
      </c>
      <c r="L69" s="79">
        <v>5</v>
      </c>
      <c r="M69" s="79">
        <v>5</v>
      </c>
      <c r="N69" s="134">
        <v>5</v>
      </c>
      <c r="O69" s="81">
        <f t="shared" si="12"/>
        <v>67</v>
      </c>
      <c r="Q69" s="59" t="s">
        <v>8</v>
      </c>
      <c r="R69" s="274">
        <f t="shared" si="10"/>
        <v>67</v>
      </c>
      <c r="S69" s="249" t="str">
        <f t="shared" si="11"/>
        <v>CFG - FTS-2 - Fixed NR</v>
      </c>
      <c r="T69" s="59" t="s">
        <v>166</v>
      </c>
    </row>
    <row r="70" spans="2:22">
      <c r="B70" s="84" t="s">
        <v>104</v>
      </c>
      <c r="C70" s="79">
        <v>10</v>
      </c>
      <c r="D70" s="79">
        <v>10</v>
      </c>
      <c r="E70" s="79">
        <v>11</v>
      </c>
      <c r="F70" s="79">
        <v>10</v>
      </c>
      <c r="G70" s="79">
        <v>10</v>
      </c>
      <c r="H70" s="79">
        <v>10</v>
      </c>
      <c r="I70" s="79">
        <v>10</v>
      </c>
      <c r="J70" s="79">
        <v>11</v>
      </c>
      <c r="K70" s="79">
        <v>10</v>
      </c>
      <c r="L70" s="79">
        <v>10</v>
      </c>
      <c r="M70" s="79">
        <v>10</v>
      </c>
      <c r="N70" s="134">
        <v>10</v>
      </c>
      <c r="O70" s="81">
        <f t="shared" si="12"/>
        <v>122</v>
      </c>
      <c r="Q70" s="59" t="s">
        <v>8</v>
      </c>
      <c r="R70" s="274">
        <f t="shared" si="10"/>
        <v>122</v>
      </c>
      <c r="S70" s="249" t="str">
        <f t="shared" si="11"/>
        <v>CFG - FTS-2.1 - Fixed NR</v>
      </c>
      <c r="T70" s="59" t="s">
        <v>166</v>
      </c>
    </row>
    <row r="71" spans="2:22">
      <c r="B71" s="84" t="s">
        <v>105</v>
      </c>
      <c r="C71" s="79">
        <v>17</v>
      </c>
      <c r="D71" s="79">
        <v>17</v>
      </c>
      <c r="E71" s="79">
        <v>17</v>
      </c>
      <c r="F71" s="79">
        <v>17</v>
      </c>
      <c r="G71" s="79">
        <v>17</v>
      </c>
      <c r="H71" s="79">
        <v>17</v>
      </c>
      <c r="I71" s="79">
        <v>17</v>
      </c>
      <c r="J71" s="79">
        <v>17</v>
      </c>
      <c r="K71" s="79">
        <v>17</v>
      </c>
      <c r="L71" s="79">
        <v>17</v>
      </c>
      <c r="M71" s="79">
        <v>17</v>
      </c>
      <c r="N71" s="134">
        <v>16</v>
      </c>
      <c r="O71" s="81">
        <f t="shared" si="12"/>
        <v>203</v>
      </c>
      <c r="Q71" s="59" t="s">
        <v>8</v>
      </c>
      <c r="R71" s="274">
        <f t="shared" si="10"/>
        <v>203</v>
      </c>
      <c r="S71" s="249" t="str">
        <f t="shared" si="11"/>
        <v>CFG - FTS-3 - Fixed NR</v>
      </c>
      <c r="T71" s="59" t="s">
        <v>166</v>
      </c>
    </row>
    <row r="72" spans="2:22">
      <c r="B72" s="99" t="s">
        <v>106</v>
      </c>
      <c r="C72" s="85">
        <v>7</v>
      </c>
      <c r="D72" s="85">
        <v>7</v>
      </c>
      <c r="E72" s="85">
        <v>7</v>
      </c>
      <c r="F72" s="85">
        <v>7</v>
      </c>
      <c r="G72" s="85">
        <v>7</v>
      </c>
      <c r="H72" s="85">
        <v>7</v>
      </c>
      <c r="I72" s="85">
        <v>7</v>
      </c>
      <c r="J72" s="85">
        <v>7</v>
      </c>
      <c r="K72" s="85">
        <v>7</v>
      </c>
      <c r="L72" s="85">
        <v>6</v>
      </c>
      <c r="M72" s="85">
        <v>6</v>
      </c>
      <c r="N72" s="135">
        <v>6</v>
      </c>
      <c r="O72" s="81">
        <f t="shared" si="12"/>
        <v>81</v>
      </c>
      <c r="Q72" s="59" t="s">
        <v>8</v>
      </c>
      <c r="R72" s="274">
        <f t="shared" si="10"/>
        <v>81</v>
      </c>
      <c r="S72" s="249" t="str">
        <f t="shared" si="11"/>
        <v>CFG - FTS-3.1 - Fixed NR</v>
      </c>
      <c r="T72" s="59" t="s">
        <v>166</v>
      </c>
    </row>
    <row r="73" spans="2:22">
      <c r="B73" s="87" t="s">
        <v>167</v>
      </c>
      <c r="C73" s="88">
        <v>84</v>
      </c>
      <c r="D73" s="88">
        <v>84</v>
      </c>
      <c r="E73" s="88">
        <v>86</v>
      </c>
      <c r="F73" s="88">
        <v>86</v>
      </c>
      <c r="G73" s="88">
        <v>86</v>
      </c>
      <c r="H73" s="88">
        <v>86</v>
      </c>
      <c r="I73" s="88">
        <v>87</v>
      </c>
      <c r="J73" s="88">
        <v>87</v>
      </c>
      <c r="K73" s="88">
        <v>85</v>
      </c>
      <c r="L73" s="88">
        <v>84</v>
      </c>
      <c r="M73" s="88">
        <v>85</v>
      </c>
      <c r="N73" s="136">
        <f>SUM(N66:N72)</f>
        <v>85</v>
      </c>
      <c r="O73" s="81">
        <f t="shared" si="12"/>
        <v>1025</v>
      </c>
      <c r="S73" s="459">
        <f>O73+O64+O23+O14</f>
        <v>1078122</v>
      </c>
      <c r="T73" s="141">
        <f>SUM(R58:R60)</f>
        <v>535</v>
      </c>
      <c r="V73" s="141"/>
    </row>
    <row r="74" spans="2:22">
      <c r="B74" s="63" t="s">
        <v>168</v>
      </c>
      <c r="C74" s="101"/>
      <c r="D74" s="101"/>
      <c r="E74" s="101"/>
      <c r="F74" s="101"/>
      <c r="G74" s="101"/>
      <c r="H74" s="137"/>
      <c r="I74" s="137"/>
      <c r="J74" s="101"/>
      <c r="K74" s="101"/>
      <c r="L74" s="101"/>
      <c r="M74" s="101"/>
      <c r="N74" s="138"/>
      <c r="O74" s="81">
        <f t="shared" si="12"/>
        <v>0</v>
      </c>
    </row>
    <row r="75" spans="2:22">
      <c r="B75" s="103" t="s">
        <v>169</v>
      </c>
      <c r="C75" s="79">
        <v>2</v>
      </c>
      <c r="D75" s="79">
        <v>2</v>
      </c>
      <c r="E75" s="79">
        <v>2</v>
      </c>
      <c r="F75" s="79">
        <v>2</v>
      </c>
      <c r="G75" s="79">
        <v>2</v>
      </c>
      <c r="H75" s="79">
        <v>2</v>
      </c>
      <c r="I75" s="79">
        <v>2</v>
      </c>
      <c r="J75" s="79">
        <v>2</v>
      </c>
      <c r="K75" s="79">
        <v>2</v>
      </c>
      <c r="L75" s="79">
        <v>2</v>
      </c>
      <c r="M75" s="79">
        <v>2</v>
      </c>
      <c r="N75" s="134">
        <v>2</v>
      </c>
      <c r="O75" s="81">
        <f t="shared" si="12"/>
        <v>24</v>
      </c>
      <c r="Q75" s="59" t="s">
        <v>8</v>
      </c>
      <c r="R75" s="274">
        <f t="shared" ref="R75:R89" si="13">+SUM(C75:N75)</f>
        <v>24</v>
      </c>
    </row>
    <row r="76" spans="2:22">
      <c r="B76" s="103" t="s">
        <v>171</v>
      </c>
      <c r="C76" s="79">
        <v>1</v>
      </c>
      <c r="D76" s="79">
        <v>1</v>
      </c>
      <c r="E76" s="79">
        <v>1</v>
      </c>
      <c r="F76" s="79">
        <v>1</v>
      </c>
      <c r="G76" s="79">
        <v>1</v>
      </c>
      <c r="H76" s="79">
        <v>1</v>
      </c>
      <c r="I76" s="79">
        <v>1</v>
      </c>
      <c r="J76" s="79">
        <v>1</v>
      </c>
      <c r="K76" s="79">
        <v>1</v>
      </c>
      <c r="L76" s="79">
        <v>1</v>
      </c>
      <c r="M76" s="79">
        <v>1</v>
      </c>
      <c r="N76" s="134">
        <v>1</v>
      </c>
      <c r="O76" s="81">
        <f t="shared" si="12"/>
        <v>12</v>
      </c>
      <c r="Q76" s="59" t="s">
        <v>8</v>
      </c>
      <c r="R76" s="274">
        <f t="shared" si="13"/>
        <v>12</v>
      </c>
    </row>
    <row r="77" spans="2:22">
      <c r="B77" s="103" t="s">
        <v>172</v>
      </c>
      <c r="C77" s="79">
        <v>1</v>
      </c>
      <c r="D77" s="79">
        <v>1</v>
      </c>
      <c r="E77" s="79">
        <v>1</v>
      </c>
      <c r="F77" s="79">
        <v>1</v>
      </c>
      <c r="G77" s="79">
        <v>1</v>
      </c>
      <c r="H77" s="79">
        <v>1</v>
      </c>
      <c r="I77" s="79">
        <v>1</v>
      </c>
      <c r="J77" s="79">
        <v>1</v>
      </c>
      <c r="K77" s="79">
        <v>1</v>
      </c>
      <c r="L77" s="79">
        <v>1</v>
      </c>
      <c r="M77" s="79">
        <v>1</v>
      </c>
      <c r="N77" s="134">
        <v>1</v>
      </c>
      <c r="O77" s="81">
        <f t="shared" si="12"/>
        <v>12</v>
      </c>
      <c r="Q77" s="59" t="s">
        <v>8</v>
      </c>
      <c r="R77" s="274">
        <f t="shared" si="13"/>
        <v>12</v>
      </c>
    </row>
    <row r="78" spans="2:22">
      <c r="B78" s="103" t="s">
        <v>173</v>
      </c>
      <c r="C78" s="79">
        <v>1</v>
      </c>
      <c r="D78" s="79">
        <v>1</v>
      </c>
      <c r="E78" s="79">
        <v>1</v>
      </c>
      <c r="F78" s="79">
        <v>1</v>
      </c>
      <c r="G78" s="79">
        <v>1</v>
      </c>
      <c r="H78" s="79">
        <v>1</v>
      </c>
      <c r="I78" s="79">
        <v>1</v>
      </c>
      <c r="J78" s="79">
        <v>1</v>
      </c>
      <c r="K78" s="79">
        <v>1</v>
      </c>
      <c r="L78" s="79">
        <v>1</v>
      </c>
      <c r="M78" s="79">
        <v>1</v>
      </c>
      <c r="N78" s="134">
        <v>1</v>
      </c>
      <c r="O78" s="81">
        <f t="shared" si="12"/>
        <v>12</v>
      </c>
      <c r="Q78" s="59" t="s">
        <v>8</v>
      </c>
      <c r="R78" s="274">
        <f t="shared" si="13"/>
        <v>12</v>
      </c>
    </row>
    <row r="79" spans="2:22">
      <c r="B79" s="103" t="s">
        <v>174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134">
        <v>0</v>
      </c>
      <c r="O79" s="81">
        <f t="shared" si="12"/>
        <v>0</v>
      </c>
      <c r="Q79" s="59" t="s">
        <v>8</v>
      </c>
      <c r="R79" s="274">
        <f t="shared" si="13"/>
        <v>0</v>
      </c>
    </row>
    <row r="80" spans="2:22">
      <c r="B80" s="103" t="s">
        <v>175</v>
      </c>
      <c r="C80" s="79">
        <v>1</v>
      </c>
      <c r="D80" s="79">
        <v>1</v>
      </c>
      <c r="E80" s="79">
        <v>1</v>
      </c>
      <c r="F80" s="79">
        <v>1</v>
      </c>
      <c r="G80" s="79">
        <v>1</v>
      </c>
      <c r="H80" s="79">
        <v>1</v>
      </c>
      <c r="I80" s="79">
        <v>1</v>
      </c>
      <c r="J80" s="79">
        <v>1</v>
      </c>
      <c r="K80" s="79">
        <v>1</v>
      </c>
      <c r="L80" s="79">
        <v>1</v>
      </c>
      <c r="M80" s="79">
        <v>1</v>
      </c>
      <c r="N80" s="134">
        <v>1</v>
      </c>
      <c r="O80" s="81">
        <f t="shared" si="12"/>
        <v>12</v>
      </c>
      <c r="Q80" s="59" t="s">
        <v>8</v>
      </c>
      <c r="R80" s="274">
        <f t="shared" si="13"/>
        <v>12</v>
      </c>
    </row>
    <row r="81" spans="2:18">
      <c r="B81" s="103" t="s">
        <v>176</v>
      </c>
      <c r="C81" s="79">
        <v>1</v>
      </c>
      <c r="D81" s="79">
        <v>1</v>
      </c>
      <c r="E81" s="79">
        <v>1</v>
      </c>
      <c r="F81" s="79">
        <v>1</v>
      </c>
      <c r="G81" s="79">
        <v>1</v>
      </c>
      <c r="H81" s="79">
        <v>1</v>
      </c>
      <c r="I81" s="79">
        <v>1</v>
      </c>
      <c r="J81" s="79">
        <v>1</v>
      </c>
      <c r="K81" s="79">
        <v>1</v>
      </c>
      <c r="L81" s="79">
        <v>1</v>
      </c>
      <c r="M81" s="79">
        <v>1</v>
      </c>
      <c r="N81" s="134">
        <v>1</v>
      </c>
      <c r="O81" s="81">
        <f t="shared" si="12"/>
        <v>12</v>
      </c>
      <c r="Q81" s="59" t="s">
        <v>8</v>
      </c>
      <c r="R81" s="274">
        <f t="shared" si="13"/>
        <v>12</v>
      </c>
    </row>
    <row r="82" spans="2:18">
      <c r="B82" s="103" t="s">
        <v>177</v>
      </c>
      <c r="C82" s="79">
        <v>1</v>
      </c>
      <c r="D82" s="79">
        <v>1</v>
      </c>
      <c r="E82" s="79">
        <v>1</v>
      </c>
      <c r="F82" s="79">
        <v>1</v>
      </c>
      <c r="G82" s="79">
        <v>1</v>
      </c>
      <c r="H82" s="79">
        <v>1</v>
      </c>
      <c r="I82" s="79">
        <v>1</v>
      </c>
      <c r="J82" s="79">
        <v>1</v>
      </c>
      <c r="K82" s="79">
        <v>1</v>
      </c>
      <c r="L82" s="79">
        <v>1</v>
      </c>
      <c r="M82" s="79">
        <v>1</v>
      </c>
      <c r="N82" s="134">
        <v>1</v>
      </c>
      <c r="O82" s="81">
        <f t="shared" si="12"/>
        <v>12</v>
      </c>
      <c r="Q82" s="59" t="s">
        <v>7</v>
      </c>
      <c r="R82" s="274">
        <f t="shared" si="13"/>
        <v>12</v>
      </c>
    </row>
    <row r="83" spans="2:18">
      <c r="B83" s="64" t="s">
        <v>179</v>
      </c>
      <c r="C83" s="79">
        <v>1</v>
      </c>
      <c r="D83" s="79">
        <v>1</v>
      </c>
      <c r="E83" s="79">
        <v>1</v>
      </c>
      <c r="F83" s="79">
        <v>1</v>
      </c>
      <c r="G83" s="79">
        <v>1</v>
      </c>
      <c r="H83" s="79">
        <v>1</v>
      </c>
      <c r="I83" s="79">
        <v>1</v>
      </c>
      <c r="J83" s="79">
        <v>1</v>
      </c>
      <c r="K83" s="79">
        <v>1</v>
      </c>
      <c r="L83" s="79">
        <v>1</v>
      </c>
      <c r="M83" s="79">
        <v>1</v>
      </c>
      <c r="N83" s="134">
        <v>1</v>
      </c>
      <c r="O83" s="81">
        <f t="shared" si="12"/>
        <v>12</v>
      </c>
      <c r="Q83" s="59" t="s">
        <v>8</v>
      </c>
      <c r="R83" s="274">
        <f t="shared" si="13"/>
        <v>12</v>
      </c>
    </row>
    <row r="84" spans="2:18">
      <c r="B84" s="64" t="s">
        <v>180</v>
      </c>
      <c r="C84" s="79">
        <v>1</v>
      </c>
      <c r="D84" s="79">
        <v>1</v>
      </c>
      <c r="E84" s="79">
        <v>1</v>
      </c>
      <c r="F84" s="79">
        <v>1</v>
      </c>
      <c r="G84" s="79">
        <v>1</v>
      </c>
      <c r="H84" s="79">
        <v>1</v>
      </c>
      <c r="I84" s="79">
        <v>1</v>
      </c>
      <c r="J84" s="79">
        <v>1</v>
      </c>
      <c r="K84" s="79">
        <v>1</v>
      </c>
      <c r="L84" s="79">
        <v>1</v>
      </c>
      <c r="M84" s="79">
        <v>1</v>
      </c>
      <c r="N84" s="134">
        <v>1</v>
      </c>
      <c r="O84" s="81">
        <f t="shared" si="12"/>
        <v>12</v>
      </c>
      <c r="Q84" s="59" t="s">
        <v>8</v>
      </c>
      <c r="R84" s="274">
        <f t="shared" si="13"/>
        <v>12</v>
      </c>
    </row>
    <row r="85" spans="2:18">
      <c r="B85" s="64" t="s">
        <v>181</v>
      </c>
      <c r="C85" s="79">
        <v>1</v>
      </c>
      <c r="D85" s="79">
        <v>1</v>
      </c>
      <c r="E85" s="79">
        <v>1</v>
      </c>
      <c r="F85" s="79">
        <v>1</v>
      </c>
      <c r="G85" s="79">
        <v>1</v>
      </c>
      <c r="H85" s="79">
        <v>1</v>
      </c>
      <c r="I85" s="79">
        <v>1</v>
      </c>
      <c r="J85" s="79">
        <v>1</v>
      </c>
      <c r="K85" s="79">
        <v>1</v>
      </c>
      <c r="L85" s="79">
        <v>1</v>
      </c>
      <c r="M85" s="79">
        <v>1</v>
      </c>
      <c r="N85" s="134">
        <v>1</v>
      </c>
      <c r="O85" s="81">
        <f t="shared" si="12"/>
        <v>12</v>
      </c>
      <c r="Q85" s="59" t="s">
        <v>8</v>
      </c>
      <c r="R85" s="274">
        <f t="shared" si="13"/>
        <v>12</v>
      </c>
    </row>
    <row r="86" spans="2:18">
      <c r="B86" s="64" t="s">
        <v>182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134">
        <v>0</v>
      </c>
      <c r="O86" s="81">
        <f t="shared" si="12"/>
        <v>0</v>
      </c>
      <c r="Q86" s="59" t="s">
        <v>8</v>
      </c>
      <c r="R86" s="274">
        <f t="shared" si="13"/>
        <v>0</v>
      </c>
    </row>
    <row r="87" spans="2:18">
      <c r="B87" s="64" t="s">
        <v>183</v>
      </c>
      <c r="C87" s="79">
        <v>1</v>
      </c>
      <c r="D87" s="79">
        <v>1</v>
      </c>
      <c r="E87" s="79">
        <v>1</v>
      </c>
      <c r="F87" s="79">
        <v>1</v>
      </c>
      <c r="G87" s="79">
        <v>1</v>
      </c>
      <c r="H87" s="79">
        <v>1</v>
      </c>
      <c r="I87" s="79">
        <v>1</v>
      </c>
      <c r="J87" s="79">
        <v>1</v>
      </c>
      <c r="K87" s="79">
        <v>1</v>
      </c>
      <c r="L87" s="79">
        <v>1</v>
      </c>
      <c r="M87" s="79">
        <v>1</v>
      </c>
      <c r="N87" s="134">
        <v>1</v>
      </c>
      <c r="O87" s="81">
        <f t="shared" si="12"/>
        <v>12</v>
      </c>
      <c r="Q87" s="59" t="s">
        <v>7</v>
      </c>
      <c r="R87" s="274">
        <f t="shared" si="13"/>
        <v>12</v>
      </c>
    </row>
    <row r="88" spans="2:18">
      <c r="B88" s="64" t="s">
        <v>184</v>
      </c>
      <c r="C88" s="79">
        <v>1</v>
      </c>
      <c r="D88" s="79">
        <v>1</v>
      </c>
      <c r="E88" s="79">
        <v>1</v>
      </c>
      <c r="F88" s="79">
        <v>1</v>
      </c>
      <c r="G88" s="79">
        <v>1</v>
      </c>
      <c r="H88" s="79">
        <v>1</v>
      </c>
      <c r="I88" s="79">
        <v>1</v>
      </c>
      <c r="J88" s="79">
        <v>1</v>
      </c>
      <c r="K88" s="79">
        <v>1</v>
      </c>
      <c r="L88" s="79">
        <v>1</v>
      </c>
      <c r="M88" s="79">
        <v>1</v>
      </c>
      <c r="N88" s="134">
        <v>1</v>
      </c>
      <c r="O88" s="81">
        <f t="shared" si="12"/>
        <v>12</v>
      </c>
      <c r="Q88" s="59" t="s">
        <v>7</v>
      </c>
      <c r="R88" s="274">
        <f t="shared" si="13"/>
        <v>12</v>
      </c>
    </row>
    <row r="89" spans="2:18">
      <c r="B89" s="65" t="s">
        <v>185</v>
      </c>
      <c r="C89" s="79">
        <v>1</v>
      </c>
      <c r="D89" s="79">
        <v>1</v>
      </c>
      <c r="E89" s="79">
        <v>1</v>
      </c>
      <c r="F89" s="79">
        <v>1</v>
      </c>
      <c r="G89" s="79">
        <v>1</v>
      </c>
      <c r="H89" s="79">
        <v>1</v>
      </c>
      <c r="I89" s="79">
        <v>1</v>
      </c>
      <c r="J89" s="79">
        <v>1</v>
      </c>
      <c r="K89" s="79">
        <v>1</v>
      </c>
      <c r="L89" s="79">
        <v>1</v>
      </c>
      <c r="M89" s="79">
        <v>1</v>
      </c>
      <c r="N89" s="134">
        <v>1</v>
      </c>
      <c r="O89" s="81">
        <f t="shared" si="12"/>
        <v>12</v>
      </c>
      <c r="Q89" s="59" t="s">
        <v>8</v>
      </c>
      <c r="R89" s="274">
        <f t="shared" si="13"/>
        <v>12</v>
      </c>
    </row>
    <row r="90" spans="2:18">
      <c r="B90" s="87" t="s">
        <v>186</v>
      </c>
      <c r="C90" s="105">
        <v>14</v>
      </c>
      <c r="D90" s="105">
        <v>14</v>
      </c>
      <c r="E90" s="105">
        <v>14</v>
      </c>
      <c r="F90" s="105">
        <v>14</v>
      </c>
      <c r="G90" s="105">
        <v>14</v>
      </c>
      <c r="H90" s="105">
        <v>14</v>
      </c>
      <c r="I90" s="105">
        <v>14</v>
      </c>
      <c r="J90" s="105">
        <v>14</v>
      </c>
      <c r="K90" s="105">
        <v>14</v>
      </c>
      <c r="L90" s="105">
        <v>14</v>
      </c>
      <c r="M90" s="105">
        <v>14</v>
      </c>
      <c r="N90" s="142">
        <f>SUM(N75:N89)</f>
        <v>14</v>
      </c>
      <c r="O90" s="81">
        <f t="shared" si="12"/>
        <v>168</v>
      </c>
    </row>
    <row r="91" spans="2:18">
      <c r="B91" s="63" t="s">
        <v>187</v>
      </c>
      <c r="C91" s="101"/>
      <c r="D91" s="101"/>
      <c r="E91" s="101"/>
      <c r="F91" s="101"/>
      <c r="G91" s="101"/>
      <c r="H91" s="101"/>
      <c r="I91" s="101"/>
      <c r="J91" s="106"/>
      <c r="K91" s="106"/>
      <c r="L91" s="106"/>
      <c r="M91" s="106"/>
      <c r="N91" s="138"/>
      <c r="O91" s="81">
        <f t="shared" si="12"/>
        <v>0</v>
      </c>
    </row>
    <row r="92" spans="2:18">
      <c r="B92" s="6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43"/>
      <c r="O92" s="81">
        <f t="shared" si="12"/>
        <v>0</v>
      </c>
    </row>
    <row r="93" spans="2:18">
      <c r="B93" s="108" t="s">
        <v>188</v>
      </c>
      <c r="C93" s="79">
        <v>1</v>
      </c>
      <c r="D93" s="79">
        <v>1</v>
      </c>
      <c r="E93" s="79">
        <v>1</v>
      </c>
      <c r="F93" s="79">
        <v>1</v>
      </c>
      <c r="G93" s="79">
        <v>1</v>
      </c>
      <c r="H93" s="79">
        <v>1</v>
      </c>
      <c r="I93" s="79">
        <v>1</v>
      </c>
      <c r="J93" s="79">
        <v>1</v>
      </c>
      <c r="K93" s="79">
        <v>1</v>
      </c>
      <c r="L93" s="79">
        <v>1</v>
      </c>
      <c r="M93" s="79">
        <v>1</v>
      </c>
      <c r="N93" s="134">
        <v>1</v>
      </c>
      <c r="O93" s="81">
        <f t="shared" si="12"/>
        <v>12</v>
      </c>
      <c r="Q93" s="59" t="s">
        <v>8</v>
      </c>
      <c r="R93" s="274">
        <f>+SUM(C93:N93)</f>
        <v>12</v>
      </c>
    </row>
    <row r="94" spans="2:18">
      <c r="B94" s="109" t="s">
        <v>189</v>
      </c>
      <c r="C94" s="79">
        <v>1</v>
      </c>
      <c r="D94" s="79">
        <v>1</v>
      </c>
      <c r="E94" s="79">
        <v>1</v>
      </c>
      <c r="F94" s="79">
        <v>1</v>
      </c>
      <c r="G94" s="79">
        <v>1</v>
      </c>
      <c r="H94" s="79">
        <v>1</v>
      </c>
      <c r="I94" s="79">
        <v>1</v>
      </c>
      <c r="J94" s="79">
        <v>1</v>
      </c>
      <c r="K94" s="79">
        <v>1</v>
      </c>
      <c r="L94" s="79">
        <v>1</v>
      </c>
      <c r="M94" s="79">
        <v>1</v>
      </c>
      <c r="N94" s="134">
        <v>1</v>
      </c>
      <c r="O94" s="81">
        <f t="shared" si="12"/>
        <v>12</v>
      </c>
      <c r="Q94" s="59" t="s">
        <v>8</v>
      </c>
      <c r="R94" s="274">
        <f>+SUM(C94:N94)</f>
        <v>12</v>
      </c>
    </row>
    <row r="95" spans="2:18">
      <c r="B95" s="110" t="s">
        <v>225</v>
      </c>
      <c r="C95" s="79">
        <v>1</v>
      </c>
      <c r="D95" s="79">
        <v>1</v>
      </c>
      <c r="E95" s="79">
        <v>1</v>
      </c>
      <c r="F95" s="79">
        <v>1</v>
      </c>
      <c r="G95" s="79">
        <v>1</v>
      </c>
      <c r="H95" s="79">
        <v>1</v>
      </c>
      <c r="I95" s="79">
        <v>1</v>
      </c>
      <c r="J95" s="79">
        <v>1</v>
      </c>
      <c r="K95" s="79">
        <v>1</v>
      </c>
      <c r="L95" s="79">
        <v>1</v>
      </c>
      <c r="M95" s="79">
        <v>1</v>
      </c>
      <c r="N95" s="134">
        <v>1</v>
      </c>
      <c r="O95" s="81">
        <f t="shared" si="12"/>
        <v>12</v>
      </c>
      <c r="Q95" s="59" t="s">
        <v>7</v>
      </c>
      <c r="R95" s="274">
        <f>+SUM(C95:N95)</f>
        <v>12</v>
      </c>
    </row>
    <row r="96" spans="2:18">
      <c r="B96" s="87" t="s">
        <v>191</v>
      </c>
      <c r="C96" s="105">
        <v>3</v>
      </c>
      <c r="D96" s="105">
        <v>3</v>
      </c>
      <c r="E96" s="105">
        <v>3</v>
      </c>
      <c r="F96" s="105">
        <v>3</v>
      </c>
      <c r="G96" s="105">
        <v>3</v>
      </c>
      <c r="H96" s="105">
        <v>3</v>
      </c>
      <c r="I96" s="105">
        <v>3</v>
      </c>
      <c r="J96" s="105">
        <v>3</v>
      </c>
      <c r="K96" s="105">
        <v>3</v>
      </c>
      <c r="L96" s="105">
        <v>3</v>
      </c>
      <c r="M96" s="105">
        <v>3</v>
      </c>
      <c r="N96" s="142">
        <f>SUM(N92:N95)</f>
        <v>3</v>
      </c>
      <c r="O96" s="81">
        <f t="shared" si="12"/>
        <v>36</v>
      </c>
      <c r="Q96" s="59" t="s">
        <v>7</v>
      </c>
      <c r="R96" s="274">
        <f>+SUM(C96:N96)</f>
        <v>36</v>
      </c>
    </row>
    <row r="97" spans="2:18">
      <c r="B97" s="63" t="s">
        <v>192</v>
      </c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38"/>
      <c r="O97" s="81">
        <f t="shared" si="12"/>
        <v>0</v>
      </c>
    </row>
    <row r="98" spans="2:18">
      <c r="B98" s="109" t="s">
        <v>172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43"/>
      <c r="O98" s="81">
        <f t="shared" si="12"/>
        <v>0</v>
      </c>
      <c r="Q98" s="59" t="s">
        <v>8</v>
      </c>
      <c r="R98" s="274"/>
    </row>
    <row r="99" spans="2:18">
      <c r="B99" s="111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44"/>
      <c r="O99" s="81">
        <f t="shared" si="12"/>
        <v>0</v>
      </c>
      <c r="Q99" s="59" t="s">
        <v>8</v>
      </c>
      <c r="R99" s="274">
        <f>+SUM(C99:N99)</f>
        <v>0</v>
      </c>
    </row>
    <row r="100" spans="2:18">
      <c r="B100" s="87" t="s">
        <v>193</v>
      </c>
      <c r="C100" s="88">
        <v>0</v>
      </c>
      <c r="D100" s="88">
        <v>0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136">
        <f>+N98+N99</f>
        <v>0</v>
      </c>
      <c r="O100" s="81">
        <f t="shared" si="12"/>
        <v>0</v>
      </c>
    </row>
    <row r="101" spans="2:18">
      <c r="B101" s="69" t="s">
        <v>194</v>
      </c>
      <c r="C101" s="122">
        <v>88372</v>
      </c>
      <c r="D101" s="122">
        <v>88594</v>
      </c>
      <c r="E101" s="122">
        <v>88951</v>
      </c>
      <c r="F101" s="122">
        <v>89461</v>
      </c>
      <c r="G101" s="122">
        <v>89565</v>
      </c>
      <c r="H101" s="122">
        <v>89863</v>
      </c>
      <c r="I101" s="122">
        <v>90057</v>
      </c>
      <c r="J101" s="122">
        <v>90140</v>
      </c>
      <c r="K101" s="122">
        <v>90320</v>
      </c>
      <c r="L101" s="122">
        <v>90596</v>
      </c>
      <c r="M101" s="122">
        <v>91015</v>
      </c>
      <c r="N101" s="70">
        <f>+N14+N23+N64+N73+N90+N96+N100</f>
        <v>91392</v>
      </c>
      <c r="O101" s="81">
        <f t="shared" si="12"/>
        <v>1078326</v>
      </c>
    </row>
    <row r="102" spans="2:18">
      <c r="B102" s="113" t="s">
        <v>195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38"/>
      <c r="O102" s="81">
        <f t="shared" si="12"/>
        <v>0</v>
      </c>
    </row>
    <row r="103" spans="2:18">
      <c r="B103" s="114" t="s">
        <v>196</v>
      </c>
      <c r="C103" s="79">
        <v>1</v>
      </c>
      <c r="D103" s="79">
        <v>1</v>
      </c>
      <c r="E103" s="79">
        <v>1</v>
      </c>
      <c r="F103" s="79">
        <v>1</v>
      </c>
      <c r="G103" s="79">
        <v>1</v>
      </c>
      <c r="H103" s="79">
        <v>1</v>
      </c>
      <c r="I103" s="79">
        <v>1</v>
      </c>
      <c r="J103" s="79">
        <v>1</v>
      </c>
      <c r="K103" s="79">
        <v>1</v>
      </c>
      <c r="L103" s="79">
        <v>1</v>
      </c>
      <c r="M103" s="79">
        <v>1</v>
      </c>
      <c r="N103" s="134">
        <v>1</v>
      </c>
      <c r="O103" s="81">
        <f t="shared" si="12"/>
        <v>12</v>
      </c>
      <c r="Q103" s="59" t="s">
        <v>7</v>
      </c>
      <c r="R103" s="274">
        <f>+SUM(C103:N103)</f>
        <v>12</v>
      </c>
    </row>
    <row r="104" spans="2:18">
      <c r="B104" s="114" t="s">
        <v>197</v>
      </c>
      <c r="C104" s="79">
        <v>1</v>
      </c>
      <c r="D104" s="79">
        <v>1</v>
      </c>
      <c r="E104" s="79">
        <v>1</v>
      </c>
      <c r="F104" s="79">
        <v>1</v>
      </c>
      <c r="G104" s="79">
        <v>1</v>
      </c>
      <c r="H104" s="79">
        <v>1</v>
      </c>
      <c r="I104" s="79">
        <v>1</v>
      </c>
      <c r="J104" s="79">
        <v>1</v>
      </c>
      <c r="K104" s="79">
        <v>1</v>
      </c>
      <c r="L104" s="79">
        <v>1</v>
      </c>
      <c r="M104" s="79">
        <v>1</v>
      </c>
      <c r="N104" s="134">
        <v>1</v>
      </c>
      <c r="O104" s="81">
        <f t="shared" si="12"/>
        <v>12</v>
      </c>
      <c r="Q104" s="59" t="s">
        <v>8</v>
      </c>
      <c r="R104" s="274">
        <f>+SUM(C104:N104)</f>
        <v>12</v>
      </c>
    </row>
    <row r="105" spans="2:18">
      <c r="B105" s="116" t="s">
        <v>198</v>
      </c>
      <c r="C105" s="85">
        <v>1</v>
      </c>
      <c r="D105" s="79">
        <v>1</v>
      </c>
      <c r="E105" s="79">
        <v>1</v>
      </c>
      <c r="F105" s="79">
        <v>1</v>
      </c>
      <c r="G105" s="79">
        <v>1</v>
      </c>
      <c r="H105" s="85">
        <v>1</v>
      </c>
      <c r="I105" s="85">
        <v>1</v>
      </c>
      <c r="J105" s="85">
        <v>1</v>
      </c>
      <c r="K105" s="85">
        <v>1</v>
      </c>
      <c r="L105" s="85">
        <v>1</v>
      </c>
      <c r="M105" s="85">
        <v>1</v>
      </c>
      <c r="N105" s="135">
        <v>1</v>
      </c>
      <c r="O105" s="81">
        <f t="shared" si="12"/>
        <v>12</v>
      </c>
      <c r="Q105" s="59" t="s">
        <v>8</v>
      </c>
      <c r="R105" s="274">
        <f>+SUM(C105:N105)</f>
        <v>12</v>
      </c>
    </row>
    <row r="106" spans="2:18">
      <c r="B106" s="117" t="s">
        <v>199</v>
      </c>
      <c r="C106" s="118">
        <v>3</v>
      </c>
      <c r="D106" s="118">
        <v>3</v>
      </c>
      <c r="E106" s="118">
        <v>3</v>
      </c>
      <c r="F106" s="118">
        <v>3</v>
      </c>
      <c r="G106" s="118">
        <v>3</v>
      </c>
      <c r="H106" s="118">
        <v>3</v>
      </c>
      <c r="I106" s="118">
        <v>3</v>
      </c>
      <c r="J106" s="118">
        <v>3</v>
      </c>
      <c r="K106" s="118">
        <v>3</v>
      </c>
      <c r="L106" s="118">
        <v>3</v>
      </c>
      <c r="M106" s="118">
        <v>3</v>
      </c>
      <c r="N106" s="145">
        <f>SUM(N103:N105)</f>
        <v>3</v>
      </c>
      <c r="O106" s="81">
        <f t="shared" si="12"/>
        <v>36</v>
      </c>
    </row>
    <row r="107" spans="2:18">
      <c r="B107" s="63" t="s">
        <v>200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38"/>
      <c r="O107" s="81">
        <f t="shared" si="12"/>
        <v>0</v>
      </c>
    </row>
    <row r="108" spans="2:18">
      <c r="B108" s="109" t="s">
        <v>201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21">
        <v>0</v>
      </c>
      <c r="O108" s="81">
        <f t="shared" si="12"/>
        <v>0</v>
      </c>
      <c r="Q108" s="59" t="s">
        <v>218</v>
      </c>
      <c r="R108" s="274">
        <f>+SUM(C108:N108)</f>
        <v>0</v>
      </c>
    </row>
    <row r="109" spans="2:18">
      <c r="B109" s="109" t="s">
        <v>202</v>
      </c>
      <c r="C109" s="120">
        <v>1</v>
      </c>
      <c r="D109" s="120">
        <v>1</v>
      </c>
      <c r="E109" s="120">
        <v>1</v>
      </c>
      <c r="F109" s="120">
        <v>1</v>
      </c>
      <c r="G109" s="120">
        <v>1</v>
      </c>
      <c r="H109" s="120">
        <v>1</v>
      </c>
      <c r="I109" s="120">
        <v>1</v>
      </c>
      <c r="J109" s="120">
        <v>1</v>
      </c>
      <c r="K109" s="120">
        <v>1</v>
      </c>
      <c r="L109" s="120">
        <v>1</v>
      </c>
      <c r="M109" s="120">
        <v>1</v>
      </c>
      <c r="N109" s="146">
        <v>1</v>
      </c>
      <c r="O109" s="81">
        <f t="shared" si="12"/>
        <v>12</v>
      </c>
      <c r="Q109" s="59" t="s">
        <v>8</v>
      </c>
      <c r="R109" s="274">
        <f>+SUM(C109:N109)</f>
        <v>12</v>
      </c>
    </row>
    <row r="110" spans="2:18">
      <c r="B110" s="111" t="s">
        <v>203</v>
      </c>
      <c r="C110" s="120">
        <v>1</v>
      </c>
      <c r="D110" s="120">
        <v>1</v>
      </c>
      <c r="E110" s="120">
        <v>1</v>
      </c>
      <c r="F110" s="120">
        <v>1</v>
      </c>
      <c r="G110" s="120">
        <v>1</v>
      </c>
      <c r="H110" s="120">
        <v>1</v>
      </c>
      <c r="I110" s="120">
        <v>1</v>
      </c>
      <c r="J110" s="120">
        <v>1</v>
      </c>
      <c r="K110" s="120">
        <v>1</v>
      </c>
      <c r="L110" s="120">
        <v>1</v>
      </c>
      <c r="M110" s="120">
        <v>1</v>
      </c>
      <c r="N110" s="146">
        <v>1</v>
      </c>
      <c r="O110" s="81">
        <f t="shared" si="12"/>
        <v>12</v>
      </c>
      <c r="Q110" s="59" t="s">
        <v>8</v>
      </c>
      <c r="R110" s="274">
        <f>+SUM(C110:N110)</f>
        <v>12</v>
      </c>
    </row>
    <row r="111" spans="2:18">
      <c r="B111" s="87" t="s">
        <v>204</v>
      </c>
      <c r="C111" s="118">
        <v>2</v>
      </c>
      <c r="D111" s="118">
        <v>2</v>
      </c>
      <c r="E111" s="118">
        <v>2</v>
      </c>
      <c r="F111" s="118">
        <v>2</v>
      </c>
      <c r="G111" s="118">
        <v>2</v>
      </c>
      <c r="H111" s="118">
        <v>2</v>
      </c>
      <c r="I111" s="118">
        <v>2</v>
      </c>
      <c r="J111" s="118">
        <v>2</v>
      </c>
      <c r="K111" s="118">
        <v>2</v>
      </c>
      <c r="L111" s="118">
        <v>2</v>
      </c>
      <c r="M111" s="118">
        <v>2</v>
      </c>
      <c r="N111" s="145">
        <f>SUM(N108:N110)</f>
        <v>2</v>
      </c>
      <c r="O111" s="81">
        <f t="shared" si="12"/>
        <v>24</v>
      </c>
      <c r="R111" s="274">
        <f t="shared" ref="R111:R127" si="14">+SUM(C111:N111)</f>
        <v>24</v>
      </c>
    </row>
    <row r="112" spans="2:18">
      <c r="B112" s="69" t="s">
        <v>205</v>
      </c>
      <c r="C112" s="122">
        <v>5</v>
      </c>
      <c r="D112" s="122">
        <v>5</v>
      </c>
      <c r="E112" s="122">
        <v>5</v>
      </c>
      <c r="F112" s="122">
        <v>5</v>
      </c>
      <c r="G112" s="122">
        <v>5</v>
      </c>
      <c r="H112" s="122">
        <v>5</v>
      </c>
      <c r="I112" s="122">
        <v>5</v>
      </c>
      <c r="J112" s="122">
        <v>5</v>
      </c>
      <c r="K112" s="122">
        <v>5</v>
      </c>
      <c r="L112" s="122">
        <v>5</v>
      </c>
      <c r="M112" s="122">
        <v>5</v>
      </c>
      <c r="N112" s="70">
        <f>+N106+N111</f>
        <v>5</v>
      </c>
      <c r="O112" s="81">
        <f t="shared" si="12"/>
        <v>60</v>
      </c>
      <c r="R112" s="274">
        <f t="shared" si="14"/>
        <v>60</v>
      </c>
    </row>
    <row r="113" spans="2:18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71"/>
      <c r="O113" s="81">
        <f t="shared" si="12"/>
        <v>0</v>
      </c>
      <c r="R113" s="274">
        <f t="shared" si="14"/>
        <v>0</v>
      </c>
    </row>
    <row r="114" spans="2:18">
      <c r="B114" s="124" t="s">
        <v>219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71"/>
      <c r="O114" s="81">
        <f t="shared" si="12"/>
        <v>0</v>
      </c>
      <c r="R114" s="274">
        <f t="shared" si="14"/>
        <v>0</v>
      </c>
    </row>
    <row r="115" spans="2:18">
      <c r="B115" s="125" t="s">
        <v>323</v>
      </c>
      <c r="C115" s="149">
        <v>179</v>
      </c>
      <c r="D115" s="149">
        <v>181</v>
      </c>
      <c r="E115" s="149">
        <v>184</v>
      </c>
      <c r="F115" s="149">
        <v>186</v>
      </c>
      <c r="G115" s="149">
        <v>181</v>
      </c>
      <c r="H115" s="149">
        <v>179</v>
      </c>
      <c r="I115" s="149">
        <v>178</v>
      </c>
      <c r="J115" s="149">
        <v>182</v>
      </c>
      <c r="K115" s="149">
        <v>186</v>
      </c>
      <c r="L115" s="149">
        <v>196</v>
      </c>
      <c r="M115" s="149">
        <v>196</v>
      </c>
      <c r="N115" s="150">
        <v>194</v>
      </c>
      <c r="O115" s="81">
        <f t="shared" si="12"/>
        <v>2222</v>
      </c>
      <c r="R115" s="274">
        <f t="shared" si="14"/>
        <v>2222</v>
      </c>
    </row>
    <row r="116" spans="2:18">
      <c r="B116" s="125" t="s">
        <v>324</v>
      </c>
      <c r="C116" s="149">
        <v>977</v>
      </c>
      <c r="D116" s="149">
        <v>979</v>
      </c>
      <c r="E116" s="149">
        <v>979</v>
      </c>
      <c r="F116" s="149">
        <v>988</v>
      </c>
      <c r="G116" s="149">
        <v>990</v>
      </c>
      <c r="H116" s="149">
        <v>989</v>
      </c>
      <c r="I116" s="149">
        <v>999</v>
      </c>
      <c r="J116" s="149">
        <v>1002</v>
      </c>
      <c r="K116" s="149">
        <v>1010</v>
      </c>
      <c r="L116" s="149">
        <v>1027</v>
      </c>
      <c r="M116" s="149">
        <v>1028</v>
      </c>
      <c r="N116" s="150">
        <v>1029</v>
      </c>
      <c r="O116" s="81">
        <f t="shared" si="12"/>
        <v>11997</v>
      </c>
      <c r="R116" s="274">
        <f t="shared" si="14"/>
        <v>11997</v>
      </c>
    </row>
    <row r="117" spans="2:18">
      <c r="B117" s="125" t="s">
        <v>325</v>
      </c>
      <c r="C117" s="149">
        <v>1173</v>
      </c>
      <c r="D117" s="149">
        <v>1171</v>
      </c>
      <c r="E117" s="149">
        <v>1178</v>
      </c>
      <c r="F117" s="149">
        <v>1198</v>
      </c>
      <c r="G117" s="149">
        <v>1194</v>
      </c>
      <c r="H117" s="149">
        <v>1188</v>
      </c>
      <c r="I117" s="149">
        <v>1194</v>
      </c>
      <c r="J117" s="149">
        <v>1196</v>
      </c>
      <c r="K117" s="149">
        <v>1200</v>
      </c>
      <c r="L117" s="149">
        <v>1199</v>
      </c>
      <c r="M117" s="149">
        <v>1202</v>
      </c>
      <c r="N117" s="150">
        <v>1196</v>
      </c>
      <c r="O117" s="81">
        <f t="shared" si="12"/>
        <v>14289</v>
      </c>
      <c r="R117" s="274">
        <f t="shared" si="14"/>
        <v>14289</v>
      </c>
    </row>
    <row r="118" spans="2:18">
      <c r="B118" s="125" t="s">
        <v>326</v>
      </c>
      <c r="C118" s="149">
        <v>43</v>
      </c>
      <c r="D118" s="149">
        <v>49</v>
      </c>
      <c r="E118" s="149">
        <v>45</v>
      </c>
      <c r="F118" s="149">
        <v>54</v>
      </c>
      <c r="G118" s="149">
        <v>41</v>
      </c>
      <c r="H118" s="149">
        <v>51</v>
      </c>
      <c r="I118" s="149">
        <v>52</v>
      </c>
      <c r="J118" s="149">
        <v>50</v>
      </c>
      <c r="K118" s="149">
        <v>51</v>
      </c>
      <c r="L118" s="149">
        <v>48</v>
      </c>
      <c r="M118" s="149">
        <v>52</v>
      </c>
      <c r="N118" s="150">
        <v>51</v>
      </c>
      <c r="O118" s="81">
        <f t="shared" si="12"/>
        <v>587</v>
      </c>
      <c r="R118" s="274">
        <f t="shared" si="14"/>
        <v>587</v>
      </c>
    </row>
    <row r="119" spans="2:18">
      <c r="B119" s="125" t="s">
        <v>327</v>
      </c>
      <c r="C119" s="149">
        <v>18</v>
      </c>
      <c r="D119" s="149">
        <v>18</v>
      </c>
      <c r="E119" s="149">
        <v>17</v>
      </c>
      <c r="F119" s="149">
        <v>17</v>
      </c>
      <c r="G119" s="149">
        <v>18</v>
      </c>
      <c r="H119" s="149">
        <v>18</v>
      </c>
      <c r="I119" s="149">
        <v>18</v>
      </c>
      <c r="J119" s="149">
        <v>18</v>
      </c>
      <c r="K119" s="149">
        <v>18</v>
      </c>
      <c r="L119" s="149">
        <v>18</v>
      </c>
      <c r="M119" s="149">
        <v>18</v>
      </c>
      <c r="N119" s="150">
        <v>18</v>
      </c>
      <c r="O119" s="81">
        <f t="shared" si="12"/>
        <v>214</v>
      </c>
      <c r="R119" s="274">
        <f t="shared" si="14"/>
        <v>214</v>
      </c>
    </row>
    <row r="120" spans="2:18">
      <c r="B120" s="125" t="s">
        <v>328</v>
      </c>
      <c r="C120" s="149">
        <v>8</v>
      </c>
      <c r="D120" s="149">
        <v>8</v>
      </c>
      <c r="E120" s="149">
        <v>8</v>
      </c>
      <c r="F120" s="149">
        <v>8</v>
      </c>
      <c r="G120" s="149">
        <v>8</v>
      </c>
      <c r="H120" s="149">
        <v>8</v>
      </c>
      <c r="I120" s="149">
        <v>9</v>
      </c>
      <c r="J120" s="149">
        <v>10</v>
      </c>
      <c r="K120" s="149">
        <v>9</v>
      </c>
      <c r="L120" s="149">
        <v>9</v>
      </c>
      <c r="M120" s="149">
        <v>9</v>
      </c>
      <c r="N120" s="150">
        <v>9</v>
      </c>
      <c r="O120" s="81">
        <f t="shared" si="12"/>
        <v>103</v>
      </c>
      <c r="R120" s="274">
        <f t="shared" si="14"/>
        <v>103</v>
      </c>
    </row>
    <row r="121" spans="2:18">
      <c r="B121" s="126" t="s">
        <v>221</v>
      </c>
      <c r="C121" s="123">
        <v>2398</v>
      </c>
      <c r="D121" s="123">
        <v>2406</v>
      </c>
      <c r="E121" s="123">
        <v>2411</v>
      </c>
      <c r="F121" s="123">
        <v>2451</v>
      </c>
      <c r="G121" s="123">
        <v>2432</v>
      </c>
      <c r="H121" s="123">
        <v>2433</v>
      </c>
      <c r="I121" s="123">
        <v>2450</v>
      </c>
      <c r="J121" s="123">
        <v>2458</v>
      </c>
      <c r="K121" s="123">
        <v>2474</v>
      </c>
      <c r="L121" s="123">
        <v>2497</v>
      </c>
      <c r="M121" s="123">
        <v>2505</v>
      </c>
      <c r="N121" s="73">
        <f>SUM(N115:N120)</f>
        <v>2497</v>
      </c>
      <c r="O121" s="81">
        <f t="shared" si="12"/>
        <v>29412</v>
      </c>
      <c r="R121" s="274">
        <f t="shared" si="14"/>
        <v>29412</v>
      </c>
    </row>
    <row r="122" spans="2:18">
      <c r="B122" s="126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71"/>
      <c r="O122" s="81">
        <f t="shared" si="12"/>
        <v>0</v>
      </c>
      <c r="R122" s="274">
        <f t="shared" si="14"/>
        <v>0</v>
      </c>
    </row>
    <row r="123" spans="2:18">
      <c r="B123" s="124" t="s">
        <v>222</v>
      </c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71"/>
      <c r="O123" s="81">
        <f t="shared" si="12"/>
        <v>0</v>
      </c>
      <c r="R123" s="274">
        <f t="shared" si="14"/>
        <v>0</v>
      </c>
    </row>
    <row r="124" spans="2:18">
      <c r="B124" s="125" t="s">
        <v>146</v>
      </c>
      <c r="C124" s="149">
        <v>38</v>
      </c>
      <c r="D124" s="149">
        <v>38</v>
      </c>
      <c r="E124" s="149">
        <v>40</v>
      </c>
      <c r="F124" s="149">
        <v>40</v>
      </c>
      <c r="G124" s="149">
        <v>40</v>
      </c>
      <c r="H124" s="149">
        <v>40</v>
      </c>
      <c r="I124" s="149">
        <v>40</v>
      </c>
      <c r="J124" s="149">
        <v>39</v>
      </c>
      <c r="K124" s="149">
        <v>39</v>
      </c>
      <c r="L124" s="149">
        <v>39</v>
      </c>
      <c r="M124" s="149">
        <v>39</v>
      </c>
      <c r="N124" s="150">
        <v>39</v>
      </c>
      <c r="O124" s="81">
        <f t="shared" si="12"/>
        <v>471</v>
      </c>
      <c r="R124" s="274">
        <f t="shared" si="14"/>
        <v>471</v>
      </c>
    </row>
    <row r="125" spans="2:18">
      <c r="B125" s="125" t="s">
        <v>149</v>
      </c>
      <c r="C125" s="149">
        <v>17</v>
      </c>
      <c r="D125" s="149">
        <v>17</v>
      </c>
      <c r="E125" s="149">
        <v>16</v>
      </c>
      <c r="F125" s="149">
        <v>16</v>
      </c>
      <c r="G125" s="149">
        <v>16</v>
      </c>
      <c r="H125" s="149">
        <v>16</v>
      </c>
      <c r="I125" s="149">
        <v>16</v>
      </c>
      <c r="J125" s="149">
        <v>16</v>
      </c>
      <c r="K125" s="149">
        <v>16</v>
      </c>
      <c r="L125" s="149">
        <v>16</v>
      </c>
      <c r="M125" s="149">
        <v>16</v>
      </c>
      <c r="N125" s="150">
        <v>16</v>
      </c>
      <c r="O125" s="81">
        <f t="shared" si="12"/>
        <v>194</v>
      </c>
      <c r="R125" s="274">
        <f t="shared" si="14"/>
        <v>194</v>
      </c>
    </row>
    <row r="126" spans="2:18">
      <c r="B126" s="126" t="s">
        <v>223</v>
      </c>
      <c r="C126" s="123">
        <v>55</v>
      </c>
      <c r="D126" s="123">
        <v>55</v>
      </c>
      <c r="E126" s="123">
        <v>56</v>
      </c>
      <c r="F126" s="123">
        <v>56</v>
      </c>
      <c r="G126" s="123">
        <v>56</v>
      </c>
      <c r="H126" s="123">
        <v>56</v>
      </c>
      <c r="I126" s="123">
        <v>56</v>
      </c>
      <c r="J126" s="123">
        <v>55</v>
      </c>
      <c r="K126" s="123">
        <v>55</v>
      </c>
      <c r="L126" s="123">
        <v>55</v>
      </c>
      <c r="M126" s="123">
        <v>55</v>
      </c>
      <c r="N126" s="73">
        <f>SUM(N124:N125)</f>
        <v>55</v>
      </c>
      <c r="O126" s="81">
        <f t="shared" si="12"/>
        <v>665</v>
      </c>
      <c r="R126" s="274">
        <f t="shared" si="14"/>
        <v>665</v>
      </c>
    </row>
    <row r="127" spans="2:18">
      <c r="B127" s="128">
        <f>SUM(B14,B23,B64,B73,B90,B96,B100,B106,B111)</f>
        <v>0</v>
      </c>
      <c r="C127" s="128">
        <v>88377</v>
      </c>
      <c r="D127" s="128">
        <v>88599</v>
      </c>
      <c r="E127" s="128">
        <v>88956</v>
      </c>
      <c r="F127" s="128">
        <v>89466</v>
      </c>
      <c r="G127" s="128">
        <v>89570</v>
      </c>
      <c r="H127" s="128">
        <v>89868</v>
      </c>
      <c r="I127" s="128">
        <v>90062</v>
      </c>
      <c r="J127" s="128">
        <v>90145</v>
      </c>
      <c r="K127" s="128">
        <v>90325</v>
      </c>
      <c r="L127" s="128">
        <v>90601</v>
      </c>
      <c r="M127" s="128">
        <v>91020</v>
      </c>
      <c r="N127" s="74">
        <f>SUM(N14,N23,N64,N73,N90,N96,N100,N106,N111)</f>
        <v>91397</v>
      </c>
      <c r="O127" s="81">
        <f t="shared" si="12"/>
        <v>1078386</v>
      </c>
      <c r="R127" s="274">
        <f t="shared" si="14"/>
        <v>1078386</v>
      </c>
    </row>
    <row r="129" spans="2:22">
      <c r="B129" s="151"/>
      <c r="C129" s="151"/>
      <c r="D129" s="151"/>
      <c r="R129" s="460"/>
      <c r="S129" s="460"/>
    </row>
    <row r="130" spans="2:22">
      <c r="B130" s="151"/>
      <c r="C130" s="151"/>
      <c r="D130" s="151"/>
      <c r="R130" s="460"/>
      <c r="S130" s="460"/>
    </row>
    <row r="131" spans="2:22">
      <c r="B131" s="151"/>
      <c r="C131" s="151"/>
      <c r="D131" s="151"/>
      <c r="R131" s="460"/>
      <c r="S131" s="460"/>
    </row>
    <row r="132" spans="2:22">
      <c r="B132" s="151"/>
      <c r="C132" s="151"/>
      <c r="D132" s="151"/>
      <c r="R132" s="460"/>
      <c r="S132" s="460"/>
    </row>
    <row r="133" spans="2:22">
      <c r="S133" s="460"/>
    </row>
    <row r="134" spans="2:22">
      <c r="S134" s="460"/>
    </row>
    <row r="135" spans="2:22" s="75" customFormat="1">
      <c r="B135" s="258" t="s">
        <v>722</v>
      </c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100"/>
      <c r="S135" s="100"/>
      <c r="T135" s="259"/>
      <c r="U135" s="97"/>
      <c r="V135" s="97"/>
    </row>
    <row r="136" spans="2:22" s="75" customFormat="1">
      <c r="B136" s="260" t="s">
        <v>285</v>
      </c>
      <c r="C136" s="261">
        <v>19</v>
      </c>
      <c r="D136" s="261">
        <v>19</v>
      </c>
      <c r="E136" s="261">
        <v>19</v>
      </c>
      <c r="F136" s="261">
        <v>19</v>
      </c>
      <c r="G136" s="261">
        <v>19</v>
      </c>
      <c r="H136" s="261">
        <v>19</v>
      </c>
      <c r="I136" s="261">
        <v>19</v>
      </c>
      <c r="J136" s="261">
        <v>19</v>
      </c>
      <c r="K136" s="261">
        <v>19</v>
      </c>
      <c r="L136" s="261">
        <v>19</v>
      </c>
      <c r="M136" s="261">
        <v>19</v>
      </c>
      <c r="N136" s="261">
        <v>19</v>
      </c>
      <c r="O136" s="88">
        <f t="shared" ref="O136:O141" si="15">SUM(C136:N136)</f>
        <v>228</v>
      </c>
      <c r="P136" s="259"/>
      <c r="Q136" s="262" t="s">
        <v>5</v>
      </c>
      <c r="R136" s="461">
        <f t="shared" ref="R136:R141" si="16">O136</f>
        <v>228</v>
      </c>
      <c r="S136" s="97" t="s">
        <v>285</v>
      </c>
      <c r="T136" s="262" t="s">
        <v>723</v>
      </c>
      <c r="U136" s="249"/>
      <c r="V136" s="249"/>
    </row>
    <row r="137" spans="2:22" s="75" customFormat="1">
      <c r="B137" s="260" t="s">
        <v>286</v>
      </c>
      <c r="C137" s="261">
        <v>5</v>
      </c>
      <c r="D137" s="261">
        <v>5</v>
      </c>
      <c r="E137" s="261">
        <v>5</v>
      </c>
      <c r="F137" s="261">
        <v>5</v>
      </c>
      <c r="G137" s="261">
        <v>5</v>
      </c>
      <c r="H137" s="261">
        <v>5</v>
      </c>
      <c r="I137" s="261">
        <v>5</v>
      </c>
      <c r="J137" s="261">
        <v>5</v>
      </c>
      <c r="K137" s="261">
        <v>5</v>
      </c>
      <c r="L137" s="261">
        <v>5</v>
      </c>
      <c r="M137" s="261">
        <v>5</v>
      </c>
      <c r="N137" s="261">
        <v>5</v>
      </c>
      <c r="O137" s="88">
        <f t="shared" si="15"/>
        <v>60</v>
      </c>
      <c r="P137" s="259"/>
      <c r="Q137" s="262" t="s">
        <v>5</v>
      </c>
      <c r="R137" s="461">
        <f t="shared" si="16"/>
        <v>60</v>
      </c>
      <c r="S137" s="97" t="s">
        <v>286</v>
      </c>
      <c r="T137" s="262" t="s">
        <v>723</v>
      </c>
      <c r="U137" s="249"/>
      <c r="V137" s="249"/>
    </row>
    <row r="138" spans="2:22" s="75" customFormat="1">
      <c r="B138" s="260" t="s">
        <v>287</v>
      </c>
      <c r="C138" s="261">
        <v>2</v>
      </c>
      <c r="D138" s="261">
        <v>2</v>
      </c>
      <c r="E138" s="261">
        <v>2</v>
      </c>
      <c r="F138" s="261">
        <v>2</v>
      </c>
      <c r="G138" s="261">
        <v>2</v>
      </c>
      <c r="H138" s="261">
        <v>2</v>
      </c>
      <c r="I138" s="261">
        <v>2</v>
      </c>
      <c r="J138" s="261">
        <v>2</v>
      </c>
      <c r="K138" s="261">
        <v>2</v>
      </c>
      <c r="L138" s="261">
        <v>2</v>
      </c>
      <c r="M138" s="261">
        <v>2</v>
      </c>
      <c r="N138" s="261">
        <v>2</v>
      </c>
      <c r="O138" s="88">
        <f t="shared" si="15"/>
        <v>24</v>
      </c>
      <c r="P138" s="259"/>
      <c r="Q138" s="262" t="s">
        <v>5</v>
      </c>
      <c r="R138" s="461">
        <f t="shared" si="16"/>
        <v>24</v>
      </c>
      <c r="S138" s="97" t="s">
        <v>287</v>
      </c>
      <c r="T138" s="262" t="s">
        <v>723</v>
      </c>
      <c r="U138" s="249"/>
      <c r="V138" s="249"/>
    </row>
    <row r="139" spans="2:22" s="75" customFormat="1">
      <c r="B139" s="260" t="s">
        <v>288</v>
      </c>
      <c r="C139" s="261">
        <v>2</v>
      </c>
      <c r="D139" s="261">
        <v>2</v>
      </c>
      <c r="E139" s="261">
        <v>2</v>
      </c>
      <c r="F139" s="261">
        <v>2</v>
      </c>
      <c r="G139" s="261">
        <v>2</v>
      </c>
      <c r="H139" s="261">
        <v>2</v>
      </c>
      <c r="I139" s="261">
        <v>2</v>
      </c>
      <c r="J139" s="261">
        <v>2</v>
      </c>
      <c r="K139" s="261">
        <v>2</v>
      </c>
      <c r="L139" s="261">
        <v>2</v>
      </c>
      <c r="M139" s="261">
        <v>2</v>
      </c>
      <c r="N139" s="261">
        <v>2</v>
      </c>
      <c r="O139" s="88">
        <f t="shared" si="15"/>
        <v>24</v>
      </c>
      <c r="P139" s="259"/>
      <c r="Q139" s="262" t="s">
        <v>5</v>
      </c>
      <c r="R139" s="461">
        <f t="shared" si="16"/>
        <v>24</v>
      </c>
      <c r="S139" s="97" t="s">
        <v>288</v>
      </c>
      <c r="T139" s="262" t="s">
        <v>723</v>
      </c>
      <c r="U139" s="249"/>
      <c r="V139" s="249"/>
    </row>
    <row r="140" spans="2:22" s="75" customFormat="1">
      <c r="B140" s="260" t="s">
        <v>289</v>
      </c>
      <c r="C140" s="261">
        <v>4</v>
      </c>
      <c r="D140" s="261">
        <v>4</v>
      </c>
      <c r="E140" s="261">
        <v>4</v>
      </c>
      <c r="F140" s="261">
        <v>4</v>
      </c>
      <c r="G140" s="261">
        <v>4</v>
      </c>
      <c r="H140" s="261">
        <v>4</v>
      </c>
      <c r="I140" s="261">
        <v>4</v>
      </c>
      <c r="J140" s="261">
        <v>4</v>
      </c>
      <c r="K140" s="261">
        <v>4</v>
      </c>
      <c r="L140" s="261">
        <v>4</v>
      </c>
      <c r="M140" s="261">
        <v>4</v>
      </c>
      <c r="N140" s="261">
        <v>4</v>
      </c>
      <c r="O140" s="88">
        <f t="shared" si="15"/>
        <v>48</v>
      </c>
      <c r="P140" s="259"/>
      <c r="Q140" s="262" t="s">
        <v>5</v>
      </c>
      <c r="R140" s="461">
        <f t="shared" si="16"/>
        <v>48</v>
      </c>
      <c r="S140" s="97" t="s">
        <v>285</v>
      </c>
      <c r="T140" s="262" t="s">
        <v>723</v>
      </c>
      <c r="U140" s="249"/>
      <c r="V140" s="249"/>
    </row>
    <row r="141" spans="2:22" s="75" customFormat="1">
      <c r="B141" s="260" t="s">
        <v>290</v>
      </c>
      <c r="C141" s="261">
        <v>4</v>
      </c>
      <c r="D141" s="261">
        <v>4</v>
      </c>
      <c r="E141" s="261">
        <v>4</v>
      </c>
      <c r="F141" s="261">
        <v>4</v>
      </c>
      <c r="G141" s="261">
        <v>4</v>
      </c>
      <c r="H141" s="261">
        <v>4</v>
      </c>
      <c r="I141" s="261">
        <v>4</v>
      </c>
      <c r="J141" s="261">
        <v>4</v>
      </c>
      <c r="K141" s="261">
        <v>4</v>
      </c>
      <c r="L141" s="261">
        <v>4</v>
      </c>
      <c r="M141" s="261">
        <v>4</v>
      </c>
      <c r="N141" s="261">
        <v>4</v>
      </c>
      <c r="O141" s="88">
        <f t="shared" si="15"/>
        <v>48</v>
      </c>
      <c r="P141" s="259"/>
      <c r="Q141" s="262" t="s">
        <v>5</v>
      </c>
      <c r="R141" s="461">
        <f t="shared" si="16"/>
        <v>48</v>
      </c>
      <c r="S141" s="97" t="s">
        <v>286</v>
      </c>
      <c r="T141" s="262" t="s">
        <v>723</v>
      </c>
      <c r="U141" s="249"/>
      <c r="V141" s="249"/>
    </row>
    <row r="143" spans="2:22">
      <c r="C143" s="141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141"/>
    </row>
    <row r="144" spans="2:22">
      <c r="C144" s="443"/>
      <c r="D144" s="443"/>
      <c r="E144" s="443"/>
      <c r="F144" s="443"/>
      <c r="G144" s="443"/>
      <c r="H144" s="443"/>
      <c r="I144" s="443"/>
      <c r="J144" s="443"/>
      <c r="K144" s="443"/>
      <c r="L144" s="443"/>
      <c r="M144" s="443"/>
      <c r="N144" s="443"/>
      <c r="O144" s="443"/>
    </row>
    <row r="145" spans="3:15">
      <c r="C145" s="443"/>
      <c r="D145" s="443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O145" s="443"/>
    </row>
    <row r="146" spans="3:15">
      <c r="C146" s="443"/>
      <c r="D146" s="443"/>
      <c r="E146" s="443"/>
      <c r="F146" s="443"/>
      <c r="G146" s="443"/>
      <c r="H146" s="443"/>
      <c r="I146" s="443"/>
      <c r="J146" s="443"/>
      <c r="K146" s="443"/>
      <c r="L146" s="443"/>
      <c r="M146" s="443"/>
      <c r="N146" s="443"/>
      <c r="O146" s="443"/>
    </row>
    <row r="147" spans="3:15">
      <c r="C147" s="443"/>
      <c r="D147" s="443"/>
      <c r="E147" s="443"/>
      <c r="F147" s="443"/>
      <c r="G147" s="443"/>
      <c r="H147" s="443"/>
      <c r="I147" s="443"/>
      <c r="J147" s="443"/>
      <c r="K147" s="443"/>
      <c r="L147" s="443"/>
      <c r="M147" s="443"/>
      <c r="N147" s="443"/>
      <c r="O147" s="443"/>
    </row>
    <row r="148" spans="3:15"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3"/>
      <c r="O148" s="443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924A-56AC-4215-8E37-B5C50BC04FCD}">
  <sheetPr codeName="Sheet43">
    <tabColor theme="0" tint="-0.34998626667073579"/>
  </sheetPr>
  <dimension ref="B1:W157"/>
  <sheetViews>
    <sheetView workbookViewId="0"/>
  </sheetViews>
  <sheetFormatPr defaultColWidth="9.140625" defaultRowHeight="12.75"/>
  <cols>
    <col min="1" max="1" width="3.85546875" style="75" customWidth="1"/>
    <col min="2" max="2" width="27.28515625" style="75" customWidth="1"/>
    <col min="3" max="14" width="11.42578125" style="75" bestFit="1" customWidth="1"/>
    <col min="15" max="15" width="12.42578125" style="75" bestFit="1" customWidth="1"/>
    <col min="16" max="16" width="9.7109375" style="75" bestFit="1" customWidth="1"/>
    <col min="17" max="17" width="9.140625" style="75"/>
    <col min="18" max="18" width="37.140625" style="100" bestFit="1" customWidth="1"/>
    <col min="19" max="19" width="9.140625" style="75"/>
    <col min="20" max="20" width="27" style="75" bestFit="1" customWidth="1"/>
    <col min="21" max="21" width="11.42578125" style="97" bestFit="1" customWidth="1"/>
    <col min="22" max="22" width="9.140625" style="97" bestFit="1" customWidth="1"/>
    <col min="23" max="16384" width="9.140625" style="75"/>
  </cols>
  <sheetData>
    <row r="1" spans="2:22">
      <c r="B1" s="75" t="s">
        <v>315</v>
      </c>
      <c r="C1" s="255">
        <v>1</v>
      </c>
      <c r="D1" s="255">
        <v>2</v>
      </c>
      <c r="E1" s="255">
        <v>3</v>
      </c>
      <c r="F1" s="255">
        <v>4</v>
      </c>
      <c r="G1" s="255">
        <v>5</v>
      </c>
      <c r="H1" s="255">
        <v>6</v>
      </c>
      <c r="I1" s="255">
        <v>7</v>
      </c>
      <c r="J1" s="255">
        <v>8</v>
      </c>
      <c r="K1" s="255">
        <v>9</v>
      </c>
      <c r="L1" s="255">
        <v>10</v>
      </c>
      <c r="M1" s="255">
        <v>11</v>
      </c>
      <c r="N1" s="255">
        <v>12</v>
      </c>
      <c r="U1" s="97" t="s">
        <v>717</v>
      </c>
      <c r="V1" s="97" t="s">
        <v>719</v>
      </c>
    </row>
    <row r="2" spans="2:22">
      <c r="B2" s="76" t="s">
        <v>123</v>
      </c>
      <c r="C2" s="77">
        <v>44197</v>
      </c>
      <c r="D2" s="77">
        <v>44228</v>
      </c>
      <c r="E2" s="77">
        <v>44256</v>
      </c>
      <c r="F2" s="77">
        <v>44287</v>
      </c>
      <c r="G2" s="77">
        <v>44317</v>
      </c>
      <c r="H2" s="77">
        <v>44348</v>
      </c>
      <c r="I2" s="77">
        <v>44378</v>
      </c>
      <c r="J2" s="77">
        <v>44409</v>
      </c>
      <c r="K2" s="77">
        <v>44440</v>
      </c>
      <c r="L2" s="77">
        <v>44470</v>
      </c>
      <c r="M2" s="77">
        <v>44501</v>
      </c>
      <c r="N2" s="77">
        <v>44531</v>
      </c>
      <c r="O2" s="61" t="s">
        <v>316</v>
      </c>
      <c r="Q2" s="59"/>
      <c r="R2" s="97" t="s">
        <v>10</v>
      </c>
      <c r="S2" s="59"/>
      <c r="T2" s="59" t="s">
        <v>124</v>
      </c>
      <c r="U2" s="249"/>
      <c r="V2" s="249"/>
    </row>
    <row r="3" spans="2:22">
      <c r="B3" s="78" t="s">
        <v>100</v>
      </c>
      <c r="C3" s="79">
        <v>11351.75</v>
      </c>
      <c r="D3" s="79">
        <v>8786.0800000000309</v>
      </c>
      <c r="E3" s="79">
        <v>8373.1400000000303</v>
      </c>
      <c r="F3" s="79">
        <v>8728.6900000000096</v>
      </c>
      <c r="G3" s="79">
        <v>6463.0099999999502</v>
      </c>
      <c r="H3" s="79">
        <v>6052.9499999999798</v>
      </c>
      <c r="I3" s="79">
        <v>6178.0500000000102</v>
      </c>
      <c r="J3" s="79">
        <v>5713.9500000000298</v>
      </c>
      <c r="K3" s="79">
        <v>6405.2799999999797</v>
      </c>
      <c r="L3" s="79">
        <v>6239.9499999999898</v>
      </c>
      <c r="M3" s="79">
        <v>7330.73</v>
      </c>
      <c r="N3" s="80">
        <v>9796.3799999999501</v>
      </c>
      <c r="O3" s="81">
        <f>SUM(C3:N3)</f>
        <v>91419.959999999948</v>
      </c>
      <c r="P3" s="82"/>
      <c r="Q3" s="59" t="s">
        <v>8</v>
      </c>
      <c r="R3" s="97" t="str">
        <f>CONCATENATE(Q3," - ",B3, " R")</f>
        <v>CFG - FTS-A R</v>
      </c>
      <c r="S3" s="59"/>
      <c r="T3" s="59" t="s">
        <v>125</v>
      </c>
      <c r="U3" s="249">
        <f>MAX(C3:N3)</f>
        <v>11351.75</v>
      </c>
      <c r="V3" s="249">
        <f>IFERROR(INDEX($C$1:$N$1,MATCH(U3,C3:N3,0)),0)</f>
        <v>1</v>
      </c>
    </row>
    <row r="4" spans="2:22">
      <c r="B4" s="78" t="s">
        <v>101</v>
      </c>
      <c r="C4" s="79">
        <v>36943.209999999897</v>
      </c>
      <c r="D4" s="79">
        <v>28284.829999999602</v>
      </c>
      <c r="E4" s="79">
        <v>24660.0700000004</v>
      </c>
      <c r="F4" s="79">
        <v>26575.5099999999</v>
      </c>
      <c r="G4" s="79">
        <v>20283.099999999798</v>
      </c>
      <c r="H4" s="79">
        <v>19602.550000000199</v>
      </c>
      <c r="I4" s="79">
        <v>20004.279999999901</v>
      </c>
      <c r="J4" s="79">
        <v>18649.919999999802</v>
      </c>
      <c r="K4" s="79">
        <v>20356.680000000099</v>
      </c>
      <c r="L4" s="79">
        <v>19536.389999999901</v>
      </c>
      <c r="M4" s="79">
        <v>21566.309999999899</v>
      </c>
      <c r="N4" s="80">
        <v>30811.46</v>
      </c>
      <c r="O4" s="81">
        <f t="shared" ref="O4:O67" si="0">SUM(C4:N4)</f>
        <v>287274.30999999942</v>
      </c>
      <c r="Q4" s="59" t="s">
        <v>8</v>
      </c>
      <c r="R4" s="97" t="str">
        <f>CONCATENATE(Q4," - ",B4, " R")</f>
        <v>CFG - FTS-B R</v>
      </c>
      <c r="S4" s="59"/>
      <c r="T4" s="59" t="s">
        <v>125</v>
      </c>
      <c r="U4" s="249">
        <f t="shared" ref="U4:U67" si="1">MAX(C4:N4)</f>
        <v>36943.209999999897</v>
      </c>
      <c r="V4" s="249">
        <f t="shared" ref="V4:V67" si="2">IFERROR(INDEX($C$1:$N$1,MATCH(U4,C4:N4,0)),0)</f>
        <v>1</v>
      </c>
    </row>
    <row r="5" spans="2:22">
      <c r="B5" s="78" t="s">
        <v>102</v>
      </c>
      <c r="C5" s="79">
        <v>368937.42</v>
      </c>
      <c r="D5" s="79">
        <v>264626.39000000898</v>
      </c>
      <c r="E5" s="79">
        <v>239012.90999999101</v>
      </c>
      <c r="F5" s="79">
        <v>257787.70000000499</v>
      </c>
      <c r="G5" s="79">
        <v>177782.920000015</v>
      </c>
      <c r="H5" s="79">
        <v>165720.29999999801</v>
      </c>
      <c r="I5" s="79">
        <v>160050.92999999801</v>
      </c>
      <c r="J5" s="79">
        <v>140242.14000000901</v>
      </c>
      <c r="K5" s="79">
        <v>148310.96999999401</v>
      </c>
      <c r="L5" s="79">
        <v>153985.19</v>
      </c>
      <c r="M5" s="79">
        <v>190140.60999999099</v>
      </c>
      <c r="N5" s="80">
        <v>297532.95999999798</v>
      </c>
      <c r="O5" s="81">
        <f t="shared" si="0"/>
        <v>2564130.4400000079</v>
      </c>
      <c r="Q5" s="59" t="s">
        <v>8</v>
      </c>
      <c r="R5" s="97" t="str">
        <f>CONCATENATE(Q5," - ",B5," R")</f>
        <v>CFG - FTS-1 R</v>
      </c>
      <c r="S5" s="59"/>
      <c r="T5" s="59" t="s">
        <v>125</v>
      </c>
      <c r="U5" s="249">
        <f t="shared" si="1"/>
        <v>368937.42</v>
      </c>
      <c r="V5" s="249">
        <f t="shared" si="2"/>
        <v>1</v>
      </c>
    </row>
    <row r="6" spans="2:22">
      <c r="B6" s="78" t="s">
        <v>103</v>
      </c>
      <c r="C6" s="79">
        <v>69236.750000000102</v>
      </c>
      <c r="D6" s="79">
        <v>50096.36</v>
      </c>
      <c r="E6" s="79">
        <v>53394.99</v>
      </c>
      <c r="F6" s="79">
        <v>54751.520000000099</v>
      </c>
      <c r="G6" s="79">
        <v>27922.199999999899</v>
      </c>
      <c r="H6" s="79">
        <v>22236.34</v>
      </c>
      <c r="I6" s="79">
        <v>21402.58</v>
      </c>
      <c r="J6" s="79">
        <v>15262.82</v>
      </c>
      <c r="K6" s="79">
        <v>14455.59</v>
      </c>
      <c r="L6" s="79">
        <v>20638.91</v>
      </c>
      <c r="M6" s="79">
        <v>36193.699999999903</v>
      </c>
      <c r="N6" s="80">
        <v>67215.02</v>
      </c>
      <c r="O6" s="81">
        <f t="shared" si="0"/>
        <v>452806.78</v>
      </c>
      <c r="Q6" s="59" t="s">
        <v>8</v>
      </c>
      <c r="R6" s="97" t="str">
        <f>CONCATENATE(Q6," - ",B6," R")</f>
        <v>CFG - FTS-2 R</v>
      </c>
      <c r="S6" s="59"/>
      <c r="T6" s="59" t="s">
        <v>125</v>
      </c>
      <c r="U6" s="249">
        <f t="shared" si="1"/>
        <v>69236.750000000102</v>
      </c>
      <c r="V6" s="249">
        <f t="shared" si="2"/>
        <v>1</v>
      </c>
    </row>
    <row r="7" spans="2:22">
      <c r="B7" s="78" t="s">
        <v>104</v>
      </c>
      <c r="C7" s="79">
        <v>76185.350000000006</v>
      </c>
      <c r="D7" s="79">
        <v>56214.03</v>
      </c>
      <c r="E7" s="79">
        <v>60855.35</v>
      </c>
      <c r="F7" s="79">
        <v>58452.99</v>
      </c>
      <c r="G7" s="79">
        <v>25803.34</v>
      </c>
      <c r="H7" s="79">
        <v>21460.03</v>
      </c>
      <c r="I7" s="79">
        <v>20096.099999999999</v>
      </c>
      <c r="J7" s="79">
        <v>16457.759999999998</v>
      </c>
      <c r="K7" s="79">
        <v>11747.21</v>
      </c>
      <c r="L7" s="79">
        <v>19821.29</v>
      </c>
      <c r="M7" s="79">
        <v>37219.26</v>
      </c>
      <c r="N7" s="80">
        <v>73275.679999999993</v>
      </c>
      <c r="O7" s="81">
        <f t="shared" si="0"/>
        <v>477588.38999999996</v>
      </c>
      <c r="Q7" s="59" t="s">
        <v>8</v>
      </c>
      <c r="R7" s="97" t="str">
        <f>CONCATENATE(Q7," - ",B7," R")</f>
        <v>CFG - FTS-2.1 R</v>
      </c>
      <c r="S7" s="59"/>
      <c r="T7" s="59" t="s">
        <v>125</v>
      </c>
      <c r="U7" s="249">
        <f t="shared" si="1"/>
        <v>76185.350000000006</v>
      </c>
      <c r="V7" s="249">
        <f t="shared" si="2"/>
        <v>1</v>
      </c>
    </row>
    <row r="8" spans="2:22">
      <c r="B8" s="84" t="s">
        <v>105</v>
      </c>
      <c r="C8" s="79">
        <v>7784.91</v>
      </c>
      <c r="D8" s="79">
        <v>5350.02</v>
      </c>
      <c r="E8" s="79">
        <v>4190.9799999999996</v>
      </c>
      <c r="F8" s="79">
        <v>3568.34</v>
      </c>
      <c r="G8" s="79">
        <v>1416.87</v>
      </c>
      <c r="H8" s="79">
        <v>1175.3800000000001</v>
      </c>
      <c r="I8" s="79">
        <v>1014.55</v>
      </c>
      <c r="J8" s="79">
        <v>655.84</v>
      </c>
      <c r="K8" s="79">
        <v>566.65</v>
      </c>
      <c r="L8" s="79">
        <v>1249.69</v>
      </c>
      <c r="M8" s="79">
        <v>2970.2</v>
      </c>
      <c r="N8" s="80">
        <v>4357.7299999999996</v>
      </c>
      <c r="O8" s="81">
        <f t="shared" si="0"/>
        <v>34301.160000000003</v>
      </c>
      <c r="Q8" s="59" t="s">
        <v>8</v>
      </c>
      <c r="R8" s="97" t="str">
        <f>CONCATENATE(Q8," - ",B8, " R")</f>
        <v>CFG - FTS-3 R</v>
      </c>
      <c r="S8" s="59"/>
      <c r="T8" s="59" t="s">
        <v>125</v>
      </c>
      <c r="U8" s="249">
        <f t="shared" si="1"/>
        <v>7784.91</v>
      </c>
      <c r="V8" s="249">
        <f t="shared" si="2"/>
        <v>1</v>
      </c>
    </row>
    <row r="9" spans="2:22">
      <c r="B9" s="84" t="s">
        <v>106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80">
        <v>0</v>
      </c>
      <c r="O9" s="81">
        <f t="shared" si="0"/>
        <v>0</v>
      </c>
      <c r="Q9" s="59" t="s">
        <v>8</v>
      </c>
      <c r="R9" s="97" t="str">
        <f>CONCATENATE(Q9," - ",B9, " R")</f>
        <v>CFG - FTS-3.1 R</v>
      </c>
      <c r="S9" s="59"/>
      <c r="T9" s="59" t="s">
        <v>125</v>
      </c>
      <c r="U9" s="249">
        <f t="shared" si="1"/>
        <v>0</v>
      </c>
      <c r="V9" s="249">
        <f t="shared" si="2"/>
        <v>1</v>
      </c>
    </row>
    <row r="10" spans="2:22">
      <c r="B10" s="84" t="s">
        <v>126</v>
      </c>
      <c r="C10" s="79">
        <v>2495707.2300000116</v>
      </c>
      <c r="D10" s="79">
        <v>1920413.5599999847</v>
      </c>
      <c r="E10" s="79">
        <v>1647912.3800000115</v>
      </c>
      <c r="F10" s="79">
        <v>1574063.5399999898</v>
      </c>
      <c r="G10" s="79">
        <v>1193832.76000001</v>
      </c>
      <c r="H10" s="79">
        <v>951162.19000002928</v>
      </c>
      <c r="I10" s="79">
        <v>875809.12000003376</v>
      </c>
      <c r="J10" s="79">
        <v>752302.45000003267</v>
      </c>
      <c r="K10" s="79">
        <v>822860.08000003546</v>
      </c>
      <c r="L10" s="79">
        <v>857441.39000002749</v>
      </c>
      <c r="M10" s="79">
        <v>1211758.1300000167</v>
      </c>
      <c r="N10" s="80">
        <v>1706736.6299999915</v>
      </c>
      <c r="O10" s="81">
        <f t="shared" si="0"/>
        <v>16009999.460000172</v>
      </c>
      <c r="Q10" s="59" t="s">
        <v>7</v>
      </c>
      <c r="R10" s="97" t="str">
        <f>CONCATENATE(Q10," - ",B10)</f>
        <v>FPU - FPU - RS</v>
      </c>
      <c r="S10" s="59"/>
      <c r="T10" s="59" t="s">
        <v>127</v>
      </c>
      <c r="U10" s="249">
        <f t="shared" si="1"/>
        <v>2495707.2300000116</v>
      </c>
      <c r="V10" s="249">
        <f t="shared" si="2"/>
        <v>1</v>
      </c>
    </row>
    <row r="11" spans="2:22">
      <c r="B11" s="84" t="s">
        <v>128</v>
      </c>
      <c r="C11" s="79">
        <v>10055.480000000003</v>
      </c>
      <c r="D11" s="79">
        <v>11931.940000000008</v>
      </c>
      <c r="E11" s="79">
        <v>8824.5799999999981</v>
      </c>
      <c r="F11" s="79">
        <v>7471.24</v>
      </c>
      <c r="G11" s="79">
        <v>6092.949999999998</v>
      </c>
      <c r="H11" s="79">
        <v>2965.4599999999982</v>
      </c>
      <c r="I11" s="79">
        <v>3081.4699999999984</v>
      </c>
      <c r="J11" s="79">
        <v>2419.5799999999986</v>
      </c>
      <c r="K11" s="79">
        <v>3065.3999999999983</v>
      </c>
      <c r="L11" s="79">
        <v>4330.3699999999944</v>
      </c>
      <c r="M11" s="79">
        <v>7412.1600000000044</v>
      </c>
      <c r="N11" s="80">
        <v>9289.529999999997</v>
      </c>
      <c r="O11" s="81">
        <f t="shared" si="0"/>
        <v>76940.160000000018</v>
      </c>
      <c r="Q11" s="59" t="s">
        <v>7</v>
      </c>
      <c r="R11" s="97" t="str">
        <f>CONCATENATE(Q11," - ",B11)</f>
        <v>FPU - FPU - RS-GS</v>
      </c>
      <c r="S11" s="59"/>
      <c r="T11" s="59" t="s">
        <v>127</v>
      </c>
      <c r="U11" s="249">
        <f t="shared" si="1"/>
        <v>11931.940000000008</v>
      </c>
      <c r="V11" s="249">
        <f t="shared" si="2"/>
        <v>2</v>
      </c>
    </row>
    <row r="12" spans="2:22">
      <c r="B12" s="84" t="s">
        <v>98</v>
      </c>
      <c r="C12" s="79">
        <v>9745.2299999999905</v>
      </c>
      <c r="D12" s="79">
        <v>7917.4600000000237</v>
      </c>
      <c r="E12" s="79">
        <v>6080.2400000000089</v>
      </c>
      <c r="F12" s="79">
        <v>6465.3900000000067</v>
      </c>
      <c r="G12" s="79">
        <v>4844.2799999999907</v>
      </c>
      <c r="H12" s="79">
        <v>4263.9199999999992</v>
      </c>
      <c r="I12" s="79">
        <v>4465.2299999999977</v>
      </c>
      <c r="J12" s="79">
        <v>3661.4500000000039</v>
      </c>
      <c r="K12" s="79">
        <v>4400.9100000000089</v>
      </c>
      <c r="L12" s="79">
        <v>3995.6400000000099</v>
      </c>
      <c r="M12" s="79">
        <v>4766.7599999999939</v>
      </c>
      <c r="N12" s="80">
        <v>6815.1999999999643</v>
      </c>
      <c r="O12" s="81">
        <f t="shared" si="0"/>
        <v>67421.709999999992</v>
      </c>
      <c r="Q12" s="59" t="s">
        <v>5</v>
      </c>
      <c r="R12" s="97" t="str">
        <f>CONCATENATE(Q12," - ",B12)</f>
        <v>FT - FT-RS</v>
      </c>
      <c r="S12" s="59"/>
      <c r="T12" s="59" t="s">
        <v>129</v>
      </c>
      <c r="U12" s="249">
        <f t="shared" si="1"/>
        <v>9745.2299999999905</v>
      </c>
      <c r="V12" s="249">
        <f t="shared" si="2"/>
        <v>1</v>
      </c>
    </row>
    <row r="13" spans="2:22">
      <c r="B13" s="84" t="s">
        <v>93</v>
      </c>
      <c r="C13" s="85">
        <v>11824.13999999999</v>
      </c>
      <c r="D13" s="85">
        <v>10132.179999999978</v>
      </c>
      <c r="E13" s="85">
        <v>10598.280000000004</v>
      </c>
      <c r="F13" s="85">
        <v>9859.7199999999884</v>
      </c>
      <c r="G13" s="85">
        <v>8941.309999999994</v>
      </c>
      <c r="H13" s="85">
        <v>9310.2099999999828</v>
      </c>
      <c r="I13" s="85">
        <v>9022.7600000000039</v>
      </c>
      <c r="J13" s="85">
        <v>8030.0000000000073</v>
      </c>
      <c r="K13" s="85">
        <v>9185.0499999999975</v>
      </c>
      <c r="L13" s="85">
        <v>8354.6400000000012</v>
      </c>
      <c r="M13" s="85">
        <v>7953.5899999999947</v>
      </c>
      <c r="N13" s="86">
        <v>12685.599999999993</v>
      </c>
      <c r="O13" s="81">
        <f t="shared" si="0"/>
        <v>115897.47999999994</v>
      </c>
      <c r="Q13" s="59" t="s">
        <v>4</v>
      </c>
      <c r="R13" s="97" t="str">
        <f>CONCATENATE(Q13," - ",B13)</f>
        <v>IGC - IGC - TS1</v>
      </c>
      <c r="S13" s="59"/>
      <c r="T13" s="59" t="s">
        <v>130</v>
      </c>
      <c r="U13" s="249">
        <f t="shared" si="1"/>
        <v>12685.599999999993</v>
      </c>
      <c r="V13" s="249">
        <f t="shared" si="2"/>
        <v>12</v>
      </c>
    </row>
    <row r="14" spans="2:22">
      <c r="B14" s="87" t="s">
        <v>131</v>
      </c>
      <c r="C14" s="88">
        <f t="shared" ref="C14:M14" si="3">SUM(C3:C13)</f>
        <v>3097771.4700000118</v>
      </c>
      <c r="D14" s="88">
        <f t="shared" si="3"/>
        <v>2363752.8499999931</v>
      </c>
      <c r="E14" s="88">
        <f t="shared" si="3"/>
        <v>2063902.920000003</v>
      </c>
      <c r="F14" s="88">
        <f t="shared" si="3"/>
        <v>2007724.6399999948</v>
      </c>
      <c r="G14" s="88">
        <f t="shared" si="3"/>
        <v>1473382.7400000247</v>
      </c>
      <c r="H14" s="88">
        <f t="shared" si="3"/>
        <v>1203949.3300000273</v>
      </c>
      <c r="I14" s="88">
        <f t="shared" si="3"/>
        <v>1121125.0700000317</v>
      </c>
      <c r="J14" s="88">
        <f t="shared" si="3"/>
        <v>963395.91000004148</v>
      </c>
      <c r="K14" s="88">
        <f t="shared" si="3"/>
        <v>1041353.8200000296</v>
      </c>
      <c r="L14" s="88">
        <f t="shared" si="3"/>
        <v>1095593.460000027</v>
      </c>
      <c r="M14" s="88">
        <f t="shared" si="3"/>
        <v>1527311.4500000074</v>
      </c>
      <c r="N14" s="88">
        <f>SUM(N3:N13)</f>
        <v>2218516.1899999897</v>
      </c>
      <c r="O14" s="81">
        <f t="shared" si="0"/>
        <v>20177779.850000184</v>
      </c>
      <c r="U14" s="249"/>
      <c r="V14" s="249"/>
    </row>
    <row r="15" spans="2:22">
      <c r="B15" s="76" t="s">
        <v>132</v>
      </c>
      <c r="C15" s="89"/>
      <c r="D15" s="89"/>
      <c r="E15" s="89"/>
      <c r="F15" s="89"/>
      <c r="G15" s="89"/>
      <c r="H15" s="90"/>
      <c r="I15" s="90"/>
      <c r="J15" s="89"/>
      <c r="K15" s="89"/>
      <c r="L15" s="89"/>
      <c r="M15" s="89"/>
      <c r="N15" s="89"/>
      <c r="O15" s="81">
        <f t="shared" si="0"/>
        <v>0</v>
      </c>
      <c r="U15" s="249"/>
      <c r="V15" s="249"/>
    </row>
    <row r="16" spans="2:22">
      <c r="B16" s="78" t="s">
        <v>100</v>
      </c>
      <c r="C16" s="79">
        <v>401</v>
      </c>
      <c r="D16" s="79">
        <v>296.44</v>
      </c>
      <c r="E16" s="79">
        <v>278.26</v>
      </c>
      <c r="F16" s="79">
        <v>268.83999999999997</v>
      </c>
      <c r="G16" s="79">
        <v>164.38</v>
      </c>
      <c r="H16" s="79">
        <v>149.66999999999999</v>
      </c>
      <c r="I16" s="79">
        <v>136.75</v>
      </c>
      <c r="J16" s="79">
        <v>129.43</v>
      </c>
      <c r="K16" s="79">
        <v>138.16</v>
      </c>
      <c r="L16" s="79">
        <v>143.85</v>
      </c>
      <c r="M16" s="79">
        <v>197.62</v>
      </c>
      <c r="N16" s="80">
        <v>303.16000000000003</v>
      </c>
      <c r="O16" s="81">
        <f t="shared" si="0"/>
        <v>2607.56</v>
      </c>
      <c r="Q16" s="59" t="s">
        <v>8</v>
      </c>
      <c r="R16" s="97" t="str">
        <f>CONCATENATE(Q16," - ",B16," - ",S16)</f>
        <v>CFG - FTS-A - Fixed R</v>
      </c>
      <c r="S16" s="59" t="s">
        <v>133</v>
      </c>
      <c r="T16" s="59" t="s">
        <v>125</v>
      </c>
      <c r="U16" s="249">
        <f t="shared" si="1"/>
        <v>401</v>
      </c>
      <c r="V16" s="249">
        <f t="shared" si="2"/>
        <v>1</v>
      </c>
    </row>
    <row r="17" spans="2:22">
      <c r="B17" s="78" t="s">
        <v>101</v>
      </c>
      <c r="C17" s="79">
        <v>984.45</v>
      </c>
      <c r="D17" s="79">
        <v>752.48</v>
      </c>
      <c r="E17" s="79">
        <v>661.76</v>
      </c>
      <c r="F17" s="79">
        <v>694.98</v>
      </c>
      <c r="G17" s="79">
        <v>514.55999999999995</v>
      </c>
      <c r="H17" s="79">
        <v>529.73</v>
      </c>
      <c r="I17" s="79">
        <v>710.28</v>
      </c>
      <c r="J17" s="79">
        <v>566</v>
      </c>
      <c r="K17" s="79">
        <v>621.95000000000005</v>
      </c>
      <c r="L17" s="79">
        <v>583.82000000000005</v>
      </c>
      <c r="M17" s="79">
        <v>641.25</v>
      </c>
      <c r="N17" s="80">
        <v>871.34</v>
      </c>
      <c r="O17" s="81">
        <f t="shared" si="0"/>
        <v>8132.5999999999995</v>
      </c>
      <c r="Q17" s="59" t="s">
        <v>8</v>
      </c>
      <c r="R17" s="97" t="str">
        <f t="shared" ref="R17:R22" si="4">CONCATENATE(Q17," - ",B17," - ",S17)</f>
        <v>CFG - FTS-B - Fixed R</v>
      </c>
      <c r="S17" s="59" t="s">
        <v>133</v>
      </c>
      <c r="T17" s="59" t="s">
        <v>125</v>
      </c>
      <c r="U17" s="249">
        <f t="shared" si="1"/>
        <v>984.45</v>
      </c>
      <c r="V17" s="249">
        <f t="shared" si="2"/>
        <v>1</v>
      </c>
    </row>
    <row r="18" spans="2:22">
      <c r="B18" s="78" t="s">
        <v>102</v>
      </c>
      <c r="C18" s="79">
        <v>4956.21</v>
      </c>
      <c r="D18" s="79">
        <v>3436.87</v>
      </c>
      <c r="E18" s="79">
        <v>2914.21</v>
      </c>
      <c r="F18" s="79">
        <v>3660.63</v>
      </c>
      <c r="G18" s="79">
        <v>2175.98</v>
      </c>
      <c r="H18" s="79">
        <v>2044.95</v>
      </c>
      <c r="I18" s="79">
        <v>2047.63</v>
      </c>
      <c r="J18" s="79">
        <v>2015.84</v>
      </c>
      <c r="K18" s="79">
        <v>1811.26</v>
      </c>
      <c r="L18" s="79">
        <v>1859.14</v>
      </c>
      <c r="M18" s="79">
        <v>2864.22</v>
      </c>
      <c r="N18" s="80">
        <v>4027.78</v>
      </c>
      <c r="O18" s="81">
        <f t="shared" si="0"/>
        <v>33814.720000000001</v>
      </c>
      <c r="Q18" s="59" t="s">
        <v>8</v>
      </c>
      <c r="R18" s="97" t="str">
        <f t="shared" si="4"/>
        <v>CFG - FTS-1 - Fixed R</v>
      </c>
      <c r="S18" s="59" t="s">
        <v>133</v>
      </c>
      <c r="T18" s="59" t="s">
        <v>125</v>
      </c>
      <c r="U18" s="249">
        <f t="shared" si="1"/>
        <v>4956.21</v>
      </c>
      <c r="V18" s="249">
        <f t="shared" si="2"/>
        <v>1</v>
      </c>
    </row>
    <row r="19" spans="2:22">
      <c r="B19" s="78" t="s">
        <v>103</v>
      </c>
      <c r="C19" s="79">
        <v>1371.88</v>
      </c>
      <c r="D19" s="79">
        <v>1049.9000000000001</v>
      </c>
      <c r="E19" s="79">
        <v>1404.02</v>
      </c>
      <c r="F19" s="79">
        <v>1511.92</v>
      </c>
      <c r="G19" s="79">
        <v>797.82</v>
      </c>
      <c r="H19" s="79">
        <v>587.61</v>
      </c>
      <c r="I19" s="79">
        <v>465.33</v>
      </c>
      <c r="J19" s="79">
        <v>424.34</v>
      </c>
      <c r="K19" s="79">
        <v>403.11</v>
      </c>
      <c r="L19" s="79">
        <v>607.04</v>
      </c>
      <c r="M19" s="79">
        <v>993.6</v>
      </c>
      <c r="N19" s="80">
        <v>1398.99</v>
      </c>
      <c r="O19" s="81">
        <f t="shared" si="0"/>
        <v>11015.56</v>
      </c>
      <c r="Q19" s="59" t="s">
        <v>8</v>
      </c>
      <c r="R19" s="97" t="str">
        <f t="shared" si="4"/>
        <v>CFG - FTS-2 - Fixed R</v>
      </c>
      <c r="S19" s="59" t="s">
        <v>133</v>
      </c>
      <c r="T19" s="59" t="s">
        <v>125</v>
      </c>
      <c r="U19" s="249">
        <f t="shared" si="1"/>
        <v>1511.92</v>
      </c>
      <c r="V19" s="249">
        <f t="shared" si="2"/>
        <v>4</v>
      </c>
    </row>
    <row r="20" spans="2:22">
      <c r="B20" s="78" t="s">
        <v>104</v>
      </c>
      <c r="C20" s="79">
        <v>1532.26</v>
      </c>
      <c r="D20" s="79">
        <v>1124.7</v>
      </c>
      <c r="E20" s="79">
        <v>1507</v>
      </c>
      <c r="F20" s="79">
        <v>1136.25</v>
      </c>
      <c r="G20" s="79">
        <v>513.04</v>
      </c>
      <c r="H20" s="79">
        <v>361.08</v>
      </c>
      <c r="I20" s="79">
        <v>312.56</v>
      </c>
      <c r="J20" s="79">
        <v>176.72</v>
      </c>
      <c r="K20" s="79">
        <v>248.83</v>
      </c>
      <c r="L20" s="79">
        <v>286.51</v>
      </c>
      <c r="M20" s="79">
        <v>747.12</v>
      </c>
      <c r="N20" s="80">
        <v>1558.09</v>
      </c>
      <c r="O20" s="81">
        <f t="shared" si="0"/>
        <v>9504.16</v>
      </c>
      <c r="Q20" s="59" t="s">
        <v>8</v>
      </c>
      <c r="R20" s="97" t="str">
        <f t="shared" si="4"/>
        <v>CFG - FTS-2.1 - Fixed R</v>
      </c>
      <c r="S20" s="59" t="s">
        <v>133</v>
      </c>
      <c r="T20" s="59" t="s">
        <v>125</v>
      </c>
      <c r="U20" s="249">
        <f t="shared" si="1"/>
        <v>1558.09</v>
      </c>
      <c r="V20" s="249">
        <f t="shared" si="2"/>
        <v>12</v>
      </c>
    </row>
    <row r="21" spans="2:22">
      <c r="B21" s="84" t="s">
        <v>105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80">
        <v>0</v>
      </c>
      <c r="O21" s="81">
        <f t="shared" si="0"/>
        <v>0</v>
      </c>
      <c r="Q21" s="59" t="s">
        <v>8</v>
      </c>
      <c r="R21" s="97" t="str">
        <f t="shared" si="4"/>
        <v>CFG - FTS-3 - Fixed R</v>
      </c>
      <c r="S21" s="59" t="s">
        <v>133</v>
      </c>
      <c r="T21" s="59" t="s">
        <v>125</v>
      </c>
      <c r="U21" s="249">
        <f t="shared" si="1"/>
        <v>0</v>
      </c>
      <c r="V21" s="249">
        <f t="shared" si="2"/>
        <v>1</v>
      </c>
    </row>
    <row r="22" spans="2:22">
      <c r="B22" s="84" t="s">
        <v>106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81">
        <f t="shared" si="0"/>
        <v>0</v>
      </c>
      <c r="Q22" s="59" t="s">
        <v>8</v>
      </c>
      <c r="R22" s="97" t="str">
        <f t="shared" si="4"/>
        <v>CFG - FTS-3.1 - Fixed R</v>
      </c>
      <c r="S22" s="59" t="s">
        <v>133</v>
      </c>
      <c r="T22" s="59" t="s">
        <v>125</v>
      </c>
      <c r="U22" s="249">
        <f t="shared" si="1"/>
        <v>0</v>
      </c>
      <c r="V22" s="249">
        <f t="shared" si="2"/>
        <v>1</v>
      </c>
    </row>
    <row r="23" spans="2:22">
      <c r="B23" s="87" t="s">
        <v>134</v>
      </c>
      <c r="C23" s="88">
        <v>9245.7999999999993</v>
      </c>
      <c r="D23" s="88">
        <v>6660.39</v>
      </c>
      <c r="E23" s="88">
        <v>6765.25</v>
      </c>
      <c r="F23" s="88">
        <v>7272.62</v>
      </c>
      <c r="G23" s="88">
        <v>4165.7800000000007</v>
      </c>
      <c r="H23" s="88">
        <v>3673.04</v>
      </c>
      <c r="I23" s="88">
        <v>3672.5499999999997</v>
      </c>
      <c r="J23" s="88">
        <v>3312.33</v>
      </c>
      <c r="K23" s="88">
        <v>3223.31</v>
      </c>
      <c r="L23" s="88">
        <v>3480.3600000000006</v>
      </c>
      <c r="M23" s="88">
        <v>5443.8099999999995</v>
      </c>
      <c r="N23" s="88">
        <f>SUM(N16:N22)</f>
        <v>8159.3600000000006</v>
      </c>
      <c r="O23" s="81">
        <f t="shared" si="0"/>
        <v>65074.6</v>
      </c>
      <c r="U23" s="249"/>
      <c r="V23" s="249"/>
    </row>
    <row r="24" spans="2:22">
      <c r="B24" s="60" t="s">
        <v>135</v>
      </c>
      <c r="C24" s="91"/>
      <c r="D24" s="91"/>
      <c r="E24" s="91"/>
      <c r="F24" s="91"/>
      <c r="G24" s="91"/>
      <c r="H24" s="92"/>
      <c r="I24" s="92"/>
      <c r="J24" s="91"/>
      <c r="K24" s="91"/>
      <c r="L24" s="91"/>
      <c r="M24" s="91"/>
      <c r="N24" s="91"/>
      <c r="O24" s="81">
        <f t="shared" si="0"/>
        <v>0</v>
      </c>
      <c r="U24" s="249"/>
      <c r="V24" s="249"/>
    </row>
    <row r="25" spans="2:22">
      <c r="B25" s="78" t="s">
        <v>100</v>
      </c>
      <c r="C25" s="79">
        <v>116.21</v>
      </c>
      <c r="D25" s="79">
        <v>49.35</v>
      </c>
      <c r="E25" s="79">
        <v>24.24</v>
      </c>
      <c r="F25" s="79">
        <v>28.21</v>
      </c>
      <c r="G25" s="79">
        <v>22.03</v>
      </c>
      <c r="H25" s="79">
        <v>20.93</v>
      </c>
      <c r="I25" s="79">
        <v>22.89</v>
      </c>
      <c r="J25" s="79">
        <v>19.79</v>
      </c>
      <c r="K25" s="79">
        <v>27.17</v>
      </c>
      <c r="L25" s="79">
        <v>19.78</v>
      </c>
      <c r="M25" s="79">
        <v>24.98</v>
      </c>
      <c r="N25" s="79">
        <v>32.340000000000003</v>
      </c>
      <c r="O25" s="81">
        <f t="shared" si="0"/>
        <v>407.92000000000007</v>
      </c>
      <c r="Q25" s="59" t="s">
        <v>8</v>
      </c>
      <c r="R25" s="97" t="str">
        <f t="shared" ref="R25:R31" si="5">CONCATENATE(Q25," - ",B25," NR")</f>
        <v>CFG - FTS-A NR</v>
      </c>
      <c r="S25" s="59"/>
      <c r="T25" s="59" t="s">
        <v>136</v>
      </c>
      <c r="U25" s="249">
        <f t="shared" si="1"/>
        <v>116.21</v>
      </c>
      <c r="V25" s="249">
        <f t="shared" si="2"/>
        <v>1</v>
      </c>
    </row>
    <row r="26" spans="2:22">
      <c r="B26" s="78" t="s">
        <v>101</v>
      </c>
      <c r="C26" s="79">
        <v>124.43</v>
      </c>
      <c r="D26" s="79">
        <v>103.33</v>
      </c>
      <c r="E26" s="79">
        <v>55.2</v>
      </c>
      <c r="F26" s="79">
        <v>61.68</v>
      </c>
      <c r="G26" s="79">
        <v>52.97</v>
      </c>
      <c r="H26" s="79">
        <v>45.89</v>
      </c>
      <c r="I26" s="79">
        <v>48.95</v>
      </c>
      <c r="J26" s="79">
        <v>48.17</v>
      </c>
      <c r="K26" s="79">
        <v>52.04</v>
      </c>
      <c r="L26" s="79">
        <v>46.85</v>
      </c>
      <c r="M26" s="79">
        <v>47.77</v>
      </c>
      <c r="N26" s="79">
        <v>58.68</v>
      </c>
      <c r="O26" s="81">
        <f t="shared" si="0"/>
        <v>745.95999999999992</v>
      </c>
      <c r="Q26" s="59" t="s">
        <v>8</v>
      </c>
      <c r="R26" s="97" t="str">
        <f t="shared" si="5"/>
        <v>CFG - FTS-B NR</v>
      </c>
      <c r="S26" s="59"/>
      <c r="T26" s="59" t="s">
        <v>136</v>
      </c>
      <c r="U26" s="249">
        <f t="shared" si="1"/>
        <v>124.43</v>
      </c>
      <c r="V26" s="249">
        <f t="shared" si="2"/>
        <v>1</v>
      </c>
    </row>
    <row r="27" spans="2:22">
      <c r="B27" s="78" t="s">
        <v>102</v>
      </c>
      <c r="C27" s="79">
        <v>7310.68</v>
      </c>
      <c r="D27" s="79">
        <v>6553.14</v>
      </c>
      <c r="E27" s="79">
        <v>5400.07</v>
      </c>
      <c r="F27" s="79">
        <v>5427.59</v>
      </c>
      <c r="G27" s="79">
        <v>3922.59</v>
      </c>
      <c r="H27" s="79">
        <v>3827.91</v>
      </c>
      <c r="I27" s="79">
        <v>3814.38</v>
      </c>
      <c r="J27" s="79">
        <v>3609.46</v>
      </c>
      <c r="K27" s="79">
        <v>3569.24</v>
      </c>
      <c r="L27" s="79">
        <v>4805.8999999999996</v>
      </c>
      <c r="M27" s="79">
        <v>4092.17</v>
      </c>
      <c r="N27" s="79">
        <v>6315.02</v>
      </c>
      <c r="O27" s="81">
        <f t="shared" si="0"/>
        <v>58648.149999999994</v>
      </c>
      <c r="Q27" s="59" t="s">
        <v>8</v>
      </c>
      <c r="R27" s="97" t="str">
        <f t="shared" si="5"/>
        <v>CFG - FTS-1 NR</v>
      </c>
      <c r="S27" s="59"/>
      <c r="T27" s="59" t="s">
        <v>136</v>
      </c>
      <c r="U27" s="249">
        <f t="shared" si="1"/>
        <v>7310.68</v>
      </c>
      <c r="V27" s="249">
        <f t="shared" si="2"/>
        <v>1</v>
      </c>
    </row>
    <row r="28" spans="2:22">
      <c r="B28" s="78" t="s">
        <v>103</v>
      </c>
      <c r="C28" s="79">
        <v>8509.61</v>
      </c>
      <c r="D28" s="79">
        <v>7235</v>
      </c>
      <c r="E28" s="79">
        <v>7136.74</v>
      </c>
      <c r="F28" s="79">
        <v>5995.85</v>
      </c>
      <c r="G28" s="79">
        <v>4873.74</v>
      </c>
      <c r="H28" s="79">
        <v>5216.45</v>
      </c>
      <c r="I28" s="79">
        <v>3263.31</v>
      </c>
      <c r="J28" s="79">
        <v>6413.31</v>
      </c>
      <c r="K28" s="79">
        <v>4966.5</v>
      </c>
      <c r="L28" s="79">
        <v>5089.32</v>
      </c>
      <c r="M28" s="79">
        <v>3278.88</v>
      </c>
      <c r="N28" s="79">
        <v>6042.89</v>
      </c>
      <c r="O28" s="81">
        <f t="shared" si="0"/>
        <v>68021.599999999991</v>
      </c>
      <c r="Q28" s="59" t="s">
        <v>8</v>
      </c>
      <c r="R28" s="97" t="str">
        <f t="shared" si="5"/>
        <v>CFG - FTS-2 NR</v>
      </c>
      <c r="S28" s="59"/>
      <c r="T28" s="59" t="s">
        <v>136</v>
      </c>
      <c r="U28" s="249">
        <f t="shared" si="1"/>
        <v>8509.61</v>
      </c>
      <c r="V28" s="249">
        <f t="shared" si="2"/>
        <v>1</v>
      </c>
    </row>
    <row r="29" spans="2:22">
      <c r="B29" s="78" t="s">
        <v>104</v>
      </c>
      <c r="C29" s="79">
        <v>41904.959999999999</v>
      </c>
      <c r="D29" s="79">
        <v>36380.699999999997</v>
      </c>
      <c r="E29" s="79">
        <v>34376.660000000003</v>
      </c>
      <c r="F29" s="79">
        <v>38181.82</v>
      </c>
      <c r="G29" s="79">
        <v>30331.119999999999</v>
      </c>
      <c r="H29" s="79">
        <v>28602.59</v>
      </c>
      <c r="I29" s="79">
        <v>28899.439999999999</v>
      </c>
      <c r="J29" s="79">
        <v>29251.77</v>
      </c>
      <c r="K29" s="79">
        <v>30368.86</v>
      </c>
      <c r="L29" s="79">
        <v>29735.84</v>
      </c>
      <c r="M29" s="79">
        <v>29613.919999999998</v>
      </c>
      <c r="N29" s="79">
        <v>40241.300000000003</v>
      </c>
      <c r="O29" s="81">
        <f t="shared" si="0"/>
        <v>397888.98</v>
      </c>
      <c r="Q29" s="59" t="s">
        <v>8</v>
      </c>
      <c r="R29" s="97" t="str">
        <f t="shared" si="5"/>
        <v>CFG - FTS-2.1 NR</v>
      </c>
      <c r="S29" s="59"/>
      <c r="T29" s="59" t="s">
        <v>136</v>
      </c>
      <c r="U29" s="249">
        <f t="shared" si="1"/>
        <v>41904.959999999999</v>
      </c>
      <c r="V29" s="249">
        <f t="shared" si="2"/>
        <v>1</v>
      </c>
    </row>
    <row r="30" spans="2:22">
      <c r="B30" s="84" t="s">
        <v>105</v>
      </c>
      <c r="C30" s="79">
        <v>101068.8</v>
      </c>
      <c r="D30" s="79">
        <v>89227.900000000096</v>
      </c>
      <c r="E30" s="79">
        <v>90797.34</v>
      </c>
      <c r="F30" s="79">
        <v>103066.6</v>
      </c>
      <c r="G30" s="79">
        <v>86936.66</v>
      </c>
      <c r="H30" s="79">
        <v>84413.639999999898</v>
      </c>
      <c r="I30" s="79">
        <v>83854.950000000099</v>
      </c>
      <c r="J30" s="79">
        <v>81179.37</v>
      </c>
      <c r="K30" s="79">
        <v>90870.52</v>
      </c>
      <c r="L30" s="79">
        <v>87446.32</v>
      </c>
      <c r="M30" s="79">
        <v>85454.140000000101</v>
      </c>
      <c r="N30" s="79">
        <v>112614.11</v>
      </c>
      <c r="O30" s="81">
        <f t="shared" si="0"/>
        <v>1096930.3500000003</v>
      </c>
      <c r="Q30" s="59" t="s">
        <v>8</v>
      </c>
      <c r="R30" s="97" t="str">
        <f t="shared" si="5"/>
        <v>CFG - FTS-3 NR</v>
      </c>
      <c r="S30" s="59"/>
      <c r="T30" s="59" t="s">
        <v>136</v>
      </c>
      <c r="U30" s="249">
        <f t="shared" si="1"/>
        <v>112614.11</v>
      </c>
      <c r="V30" s="249">
        <f t="shared" si="2"/>
        <v>12</v>
      </c>
    </row>
    <row r="31" spans="2:22">
      <c r="B31" s="84" t="s">
        <v>106</v>
      </c>
      <c r="C31" s="79">
        <v>231811.37</v>
      </c>
      <c r="D31" s="79">
        <v>190115.54</v>
      </c>
      <c r="E31" s="79">
        <v>204582.11</v>
      </c>
      <c r="F31" s="79">
        <v>223623.13</v>
      </c>
      <c r="G31" s="79">
        <v>184765.31</v>
      </c>
      <c r="H31" s="79">
        <v>183645.42</v>
      </c>
      <c r="I31" s="79">
        <v>186072.98</v>
      </c>
      <c r="J31" s="79">
        <v>178127.14</v>
      </c>
      <c r="K31" s="79">
        <v>186192.79</v>
      </c>
      <c r="L31" s="79">
        <v>180550.99</v>
      </c>
      <c r="M31" s="79">
        <v>182744.78</v>
      </c>
      <c r="N31" s="79">
        <v>244617.2</v>
      </c>
      <c r="O31" s="81">
        <f t="shared" si="0"/>
        <v>2376848.7600000002</v>
      </c>
      <c r="Q31" s="59" t="s">
        <v>8</v>
      </c>
      <c r="R31" s="97" t="str">
        <f t="shared" si="5"/>
        <v>CFG - FTS-3.1 NR</v>
      </c>
      <c r="S31" s="59"/>
      <c r="T31" s="59" t="s">
        <v>136</v>
      </c>
      <c r="U31" s="249">
        <f t="shared" si="1"/>
        <v>244617.2</v>
      </c>
      <c r="V31" s="249">
        <f t="shared" si="2"/>
        <v>12</v>
      </c>
    </row>
    <row r="32" spans="2:22">
      <c r="B32" s="84" t="s">
        <v>107</v>
      </c>
      <c r="C32" s="79">
        <v>318251.03999999998</v>
      </c>
      <c r="D32" s="79">
        <v>268820.59000000003</v>
      </c>
      <c r="E32" s="79">
        <v>263850.89</v>
      </c>
      <c r="F32" s="79">
        <v>287397.21999999997</v>
      </c>
      <c r="G32" s="79">
        <v>223564.5</v>
      </c>
      <c r="H32" s="79">
        <v>226336.97</v>
      </c>
      <c r="I32" s="79">
        <v>220113.16</v>
      </c>
      <c r="J32" s="79">
        <v>202718.62</v>
      </c>
      <c r="K32" s="79">
        <v>223089.07</v>
      </c>
      <c r="L32" s="79">
        <v>223693.82</v>
      </c>
      <c r="M32" s="79">
        <v>253823.55</v>
      </c>
      <c r="N32" s="79">
        <v>322666.07</v>
      </c>
      <c r="O32" s="81">
        <f t="shared" si="0"/>
        <v>3034325.4999999991</v>
      </c>
      <c r="Q32" s="59" t="s">
        <v>8</v>
      </c>
      <c r="R32" s="97" t="str">
        <f t="shared" ref="R32:R48" si="6">CONCATENATE(Q32," - ",B32)</f>
        <v>CFG - FTS-4</v>
      </c>
      <c r="S32" s="59"/>
      <c r="T32" s="59" t="s">
        <v>136</v>
      </c>
      <c r="U32" s="249">
        <f t="shared" si="1"/>
        <v>322666.07</v>
      </c>
      <c r="V32" s="249">
        <f t="shared" si="2"/>
        <v>12</v>
      </c>
    </row>
    <row r="33" spans="2:22">
      <c r="B33" s="84" t="s">
        <v>111</v>
      </c>
      <c r="C33" s="79">
        <v>105761.76</v>
      </c>
      <c r="D33" s="79">
        <v>98958.61</v>
      </c>
      <c r="E33" s="79">
        <v>124526.79</v>
      </c>
      <c r="F33" s="79">
        <v>91812.54</v>
      </c>
      <c r="G33" s="79">
        <v>72381.36</v>
      </c>
      <c r="H33" s="79">
        <v>67255.009999999995</v>
      </c>
      <c r="I33" s="79">
        <v>69810.84</v>
      </c>
      <c r="J33" s="79">
        <v>65389.68</v>
      </c>
      <c r="K33" s="79">
        <v>75563.990000000005</v>
      </c>
      <c r="L33" s="79">
        <v>93131.82</v>
      </c>
      <c r="M33" s="79">
        <v>80265.070000000007</v>
      </c>
      <c r="N33" s="79">
        <v>101756.27</v>
      </c>
      <c r="O33" s="81">
        <f t="shared" si="0"/>
        <v>1046613.74</v>
      </c>
      <c r="Q33" s="59" t="s">
        <v>8</v>
      </c>
      <c r="R33" s="97" t="str">
        <f t="shared" si="6"/>
        <v>CFG - FTS-5</v>
      </c>
      <c r="S33" s="59"/>
      <c r="T33" s="59" t="s">
        <v>136</v>
      </c>
      <c r="U33" s="249">
        <f t="shared" si="1"/>
        <v>124526.79</v>
      </c>
      <c r="V33" s="249">
        <f t="shared" si="2"/>
        <v>3</v>
      </c>
    </row>
    <row r="34" spans="2:22">
      <c r="B34" s="84" t="s">
        <v>112</v>
      </c>
      <c r="C34" s="79">
        <v>210173.47</v>
      </c>
      <c r="D34" s="79">
        <v>201092.36</v>
      </c>
      <c r="E34" s="79">
        <v>191170.04</v>
      </c>
      <c r="F34" s="79">
        <v>200210.96</v>
      </c>
      <c r="G34" s="79">
        <v>150693.59</v>
      </c>
      <c r="H34" s="79">
        <v>167472.9</v>
      </c>
      <c r="I34" s="79">
        <v>178014.05</v>
      </c>
      <c r="J34" s="79">
        <v>204622.57</v>
      </c>
      <c r="K34" s="79">
        <v>240762.19</v>
      </c>
      <c r="L34" s="79">
        <v>278279.64</v>
      </c>
      <c r="M34" s="79">
        <v>231896.75</v>
      </c>
      <c r="N34" s="79">
        <v>227274.67</v>
      </c>
      <c r="O34" s="81">
        <f t="shared" si="0"/>
        <v>2481663.19</v>
      </c>
      <c r="Q34" s="59" t="s">
        <v>8</v>
      </c>
      <c r="R34" s="97" t="str">
        <f t="shared" si="6"/>
        <v>CFG - FTS-6</v>
      </c>
      <c r="S34" s="59"/>
      <c r="T34" s="59" t="s">
        <v>136</v>
      </c>
      <c r="U34" s="249">
        <f t="shared" si="1"/>
        <v>278279.64</v>
      </c>
      <c r="V34" s="249">
        <f t="shared" si="2"/>
        <v>10</v>
      </c>
    </row>
    <row r="35" spans="2:22">
      <c r="B35" s="84" t="s">
        <v>113</v>
      </c>
      <c r="C35" s="79">
        <v>388866.42</v>
      </c>
      <c r="D35" s="79">
        <v>357754.44</v>
      </c>
      <c r="E35" s="79">
        <v>379808.64</v>
      </c>
      <c r="F35" s="79">
        <v>341812.76</v>
      </c>
      <c r="G35" s="79">
        <v>320712.17</v>
      </c>
      <c r="H35" s="79">
        <v>339060.62</v>
      </c>
      <c r="I35" s="79">
        <v>333494.34000000003</v>
      </c>
      <c r="J35" s="79">
        <v>358903.78</v>
      </c>
      <c r="K35" s="79">
        <v>343747.56</v>
      </c>
      <c r="L35" s="79">
        <v>344073.63</v>
      </c>
      <c r="M35" s="79">
        <v>410780.92</v>
      </c>
      <c r="N35" s="79">
        <v>375423.89</v>
      </c>
      <c r="O35" s="81">
        <f t="shared" si="0"/>
        <v>4294439.17</v>
      </c>
      <c r="Q35" s="59" t="s">
        <v>8</v>
      </c>
      <c r="R35" s="97" t="str">
        <f t="shared" si="6"/>
        <v>CFG - FTS-7</v>
      </c>
      <c r="S35" s="59"/>
      <c r="T35" s="59" t="s">
        <v>136</v>
      </c>
      <c r="U35" s="249">
        <f t="shared" si="1"/>
        <v>410780.92</v>
      </c>
      <c r="V35" s="249">
        <f t="shared" si="2"/>
        <v>11</v>
      </c>
    </row>
    <row r="36" spans="2:22">
      <c r="B36" s="84" t="s">
        <v>114</v>
      </c>
      <c r="C36" s="79">
        <v>484477.76</v>
      </c>
      <c r="D36" s="79">
        <v>449021.25</v>
      </c>
      <c r="E36" s="79">
        <v>473416.92</v>
      </c>
      <c r="F36" s="79">
        <v>425943.66</v>
      </c>
      <c r="G36" s="79">
        <v>423729.45</v>
      </c>
      <c r="H36" s="79">
        <v>388311.1</v>
      </c>
      <c r="I36" s="79">
        <v>350968.21</v>
      </c>
      <c r="J36" s="79">
        <v>331493.65999999997</v>
      </c>
      <c r="K36" s="79">
        <v>319166.61</v>
      </c>
      <c r="L36" s="79">
        <v>413388.43</v>
      </c>
      <c r="M36" s="79">
        <v>498121.48</v>
      </c>
      <c r="N36" s="79">
        <v>423951.85</v>
      </c>
      <c r="O36" s="81">
        <f t="shared" si="0"/>
        <v>4981990.38</v>
      </c>
      <c r="Q36" s="59" t="s">
        <v>8</v>
      </c>
      <c r="R36" s="97" t="str">
        <f t="shared" si="6"/>
        <v>CFG - FTS-8</v>
      </c>
      <c r="S36" s="59"/>
      <c r="T36" s="59" t="s">
        <v>136</v>
      </c>
      <c r="U36" s="249">
        <f t="shared" si="1"/>
        <v>498121.48</v>
      </c>
      <c r="V36" s="249">
        <f t="shared" si="2"/>
        <v>11</v>
      </c>
    </row>
    <row r="37" spans="2:22">
      <c r="B37" s="84" t="s">
        <v>115</v>
      </c>
      <c r="C37" s="79">
        <v>310859.05</v>
      </c>
      <c r="D37" s="79">
        <v>288025.32</v>
      </c>
      <c r="E37" s="79">
        <v>322166.32</v>
      </c>
      <c r="F37" s="79">
        <v>296216.33</v>
      </c>
      <c r="G37" s="79">
        <v>295400.67</v>
      </c>
      <c r="H37" s="79">
        <v>334113.38</v>
      </c>
      <c r="I37" s="79">
        <v>312991.55</v>
      </c>
      <c r="J37" s="79">
        <v>304913.03999999998</v>
      </c>
      <c r="K37" s="79">
        <v>273426.5</v>
      </c>
      <c r="L37" s="79">
        <v>304002.87</v>
      </c>
      <c r="M37" s="79">
        <v>327415.33</v>
      </c>
      <c r="N37" s="79">
        <v>333792.40999999997</v>
      </c>
      <c r="O37" s="81">
        <f t="shared" si="0"/>
        <v>3703322.77</v>
      </c>
      <c r="Q37" s="59" t="s">
        <v>8</v>
      </c>
      <c r="R37" s="97" t="str">
        <f t="shared" si="6"/>
        <v>CFG - FTS-9</v>
      </c>
      <c r="S37" s="59"/>
      <c r="T37" s="59" t="s">
        <v>136</v>
      </c>
      <c r="U37" s="249">
        <f t="shared" si="1"/>
        <v>334113.38</v>
      </c>
      <c r="V37" s="249">
        <f t="shared" si="2"/>
        <v>6</v>
      </c>
    </row>
    <row r="38" spans="2:22">
      <c r="B38" s="84" t="s">
        <v>116</v>
      </c>
      <c r="C38" s="79">
        <v>373297.56</v>
      </c>
      <c r="D38" s="79">
        <v>285709.46999999997</v>
      </c>
      <c r="E38" s="79">
        <v>299857.58</v>
      </c>
      <c r="F38" s="79">
        <v>311305.71000000002</v>
      </c>
      <c r="G38" s="79">
        <v>296646.62</v>
      </c>
      <c r="H38" s="79">
        <v>290986.84999999998</v>
      </c>
      <c r="I38" s="79">
        <v>286758.34999999998</v>
      </c>
      <c r="J38" s="79">
        <v>265043.92</v>
      </c>
      <c r="K38" s="79">
        <v>298780.12</v>
      </c>
      <c r="L38" s="79">
        <v>326581.90999999997</v>
      </c>
      <c r="M38" s="79">
        <v>295483.68</v>
      </c>
      <c r="N38" s="79">
        <v>300437.23</v>
      </c>
      <c r="O38" s="81">
        <f t="shared" si="0"/>
        <v>3630889.0000000005</v>
      </c>
      <c r="Q38" s="59" t="s">
        <v>8</v>
      </c>
      <c r="R38" s="97" t="str">
        <f t="shared" si="6"/>
        <v>CFG - FTS-10</v>
      </c>
      <c r="S38" s="59"/>
      <c r="T38" s="59" t="s">
        <v>136</v>
      </c>
      <c r="U38" s="249">
        <f t="shared" si="1"/>
        <v>373297.56</v>
      </c>
      <c r="V38" s="249">
        <f t="shared" si="2"/>
        <v>1</v>
      </c>
    </row>
    <row r="39" spans="2:22">
      <c r="B39" s="84" t="s">
        <v>117</v>
      </c>
      <c r="C39" s="79">
        <v>146807.04999999999</v>
      </c>
      <c r="D39" s="79">
        <v>148429.10999999999</v>
      </c>
      <c r="E39" s="79">
        <v>167804.58</v>
      </c>
      <c r="F39" s="79">
        <v>169495.38</v>
      </c>
      <c r="G39" s="79">
        <v>56433</v>
      </c>
      <c r="H39" s="93">
        <v>0</v>
      </c>
      <c r="I39" s="93">
        <v>120864.2</v>
      </c>
      <c r="J39" s="79">
        <v>121782.78</v>
      </c>
      <c r="K39" s="79">
        <v>23780.17</v>
      </c>
      <c r="L39" s="79">
        <v>70132.570000000007</v>
      </c>
      <c r="M39" s="79">
        <v>82525.06</v>
      </c>
      <c r="N39" s="79">
        <v>119194.72</v>
      </c>
      <c r="O39" s="81">
        <f t="shared" si="0"/>
        <v>1227248.6200000001</v>
      </c>
      <c r="Q39" s="59" t="s">
        <v>8</v>
      </c>
      <c r="R39" s="97" t="str">
        <f t="shared" si="6"/>
        <v>CFG - FTS-11</v>
      </c>
      <c r="S39" s="59"/>
      <c r="T39" s="59" t="s">
        <v>136</v>
      </c>
      <c r="U39" s="249">
        <f t="shared" si="1"/>
        <v>169495.38</v>
      </c>
      <c r="V39" s="249">
        <f t="shared" si="2"/>
        <v>4</v>
      </c>
    </row>
    <row r="40" spans="2:22">
      <c r="B40" s="84" t="s">
        <v>118</v>
      </c>
      <c r="C40" s="79">
        <v>1503482.54</v>
      </c>
      <c r="D40" s="79">
        <v>1416438</v>
      </c>
      <c r="E40" s="79">
        <v>1676213.44</v>
      </c>
      <c r="F40" s="79">
        <v>1463291.46</v>
      </c>
      <c r="G40" s="79">
        <v>1518088.44</v>
      </c>
      <c r="H40" s="79">
        <v>1037428.35</v>
      </c>
      <c r="I40" s="79">
        <v>1336474.8600000001</v>
      </c>
      <c r="J40" s="79">
        <v>1485718.46</v>
      </c>
      <c r="K40" s="79">
        <v>1224903.8899999999</v>
      </c>
      <c r="L40" s="79">
        <v>1439669.03</v>
      </c>
      <c r="M40" s="79">
        <v>1435815.81</v>
      </c>
      <c r="N40" s="79">
        <v>1489509.28</v>
      </c>
      <c r="O40" s="81">
        <f t="shared" si="0"/>
        <v>17027033.560000002</v>
      </c>
      <c r="Q40" s="59" t="s">
        <v>8</v>
      </c>
      <c r="R40" s="97" t="str">
        <f t="shared" si="6"/>
        <v>CFG - FTS-12</v>
      </c>
      <c r="S40" s="59"/>
      <c r="T40" s="59" t="s">
        <v>136</v>
      </c>
      <c r="U40" s="249">
        <f t="shared" si="1"/>
        <v>1676213.44</v>
      </c>
      <c r="V40" s="249">
        <f t="shared" si="2"/>
        <v>3</v>
      </c>
    </row>
    <row r="41" spans="2:22">
      <c r="B41" s="84" t="s">
        <v>119</v>
      </c>
      <c r="C41" s="79">
        <v>109372.81</v>
      </c>
      <c r="D41" s="79">
        <v>86166.25</v>
      </c>
      <c r="E41" s="79">
        <v>107271.21</v>
      </c>
      <c r="F41" s="79">
        <v>106948.86</v>
      </c>
      <c r="G41" s="79">
        <v>112719.72</v>
      </c>
      <c r="H41" s="79">
        <v>107101.34</v>
      </c>
      <c r="I41" s="79">
        <v>99590.88</v>
      </c>
      <c r="J41" s="79">
        <v>91881.31</v>
      </c>
      <c r="K41" s="93">
        <v>11157.62</v>
      </c>
      <c r="L41" s="93">
        <v>15188.44</v>
      </c>
      <c r="M41" s="79">
        <v>17541.689999999999</v>
      </c>
      <c r="N41" s="79">
        <v>22866.55</v>
      </c>
      <c r="O41" s="81">
        <f t="shared" si="0"/>
        <v>887806.67999999982</v>
      </c>
      <c r="Q41" s="59" t="s">
        <v>8</v>
      </c>
      <c r="R41" s="97" t="str">
        <f t="shared" si="6"/>
        <v>CFG - FTS-NGV</v>
      </c>
      <c r="S41" s="59"/>
      <c r="T41" s="59" t="s">
        <v>136</v>
      </c>
      <c r="U41" s="249">
        <f t="shared" si="1"/>
        <v>112719.72</v>
      </c>
      <c r="V41" s="249">
        <f t="shared" si="2"/>
        <v>5</v>
      </c>
    </row>
    <row r="42" spans="2:22">
      <c r="B42" s="84" t="s">
        <v>99</v>
      </c>
      <c r="C42" s="79">
        <v>119056.1899999999</v>
      </c>
      <c r="D42" s="79">
        <v>89073.610000000073</v>
      </c>
      <c r="E42" s="79">
        <v>102030.51999999993</v>
      </c>
      <c r="F42" s="79">
        <v>87524.490000000034</v>
      </c>
      <c r="G42" s="79">
        <v>75893.589999999938</v>
      </c>
      <c r="H42" s="79">
        <v>66428.049999999959</v>
      </c>
      <c r="I42" s="79">
        <v>68251.92999999992</v>
      </c>
      <c r="J42" s="79">
        <v>60996.560000000012</v>
      </c>
      <c r="K42" s="79">
        <v>68994.330000000045</v>
      </c>
      <c r="L42" s="79">
        <v>68018.949999999968</v>
      </c>
      <c r="M42" s="79">
        <v>80815.790000000037</v>
      </c>
      <c r="N42" s="79">
        <v>97083.329999999929</v>
      </c>
      <c r="O42" s="81">
        <f t="shared" si="0"/>
        <v>984167.33999999985</v>
      </c>
      <c r="Q42" s="59" t="s">
        <v>7</v>
      </c>
      <c r="R42" s="97" t="str">
        <f t="shared" si="6"/>
        <v>FPU - FPU - GS - 1</v>
      </c>
      <c r="S42" s="59"/>
      <c r="T42" s="59" t="s">
        <v>137</v>
      </c>
      <c r="U42" s="249">
        <f t="shared" si="1"/>
        <v>119056.1899999999</v>
      </c>
      <c r="V42" s="249">
        <f t="shared" si="2"/>
        <v>1</v>
      </c>
    </row>
    <row r="43" spans="2:22">
      <c r="B43" s="84" t="s">
        <v>138</v>
      </c>
      <c r="C43" s="79">
        <v>78433.98000000004</v>
      </c>
      <c r="D43" s="79">
        <v>74909.63</v>
      </c>
      <c r="E43" s="79">
        <v>59000.959999999992</v>
      </c>
      <c r="F43" s="79">
        <v>64063.559999999976</v>
      </c>
      <c r="G43" s="79">
        <v>55634.16</v>
      </c>
      <c r="H43" s="79">
        <v>60378.219999999958</v>
      </c>
      <c r="I43" s="79">
        <v>30608.889999999996</v>
      </c>
      <c r="J43" s="79">
        <v>39219.49000000002</v>
      </c>
      <c r="K43" s="79">
        <v>46782.630000000019</v>
      </c>
      <c r="L43" s="79">
        <v>51691.54</v>
      </c>
      <c r="M43" s="79">
        <v>65175.800000000025</v>
      </c>
      <c r="N43" s="79">
        <v>79435.259999999966</v>
      </c>
      <c r="O43" s="81">
        <f t="shared" si="0"/>
        <v>705334.12000000011</v>
      </c>
      <c r="Q43" s="59" t="s">
        <v>7</v>
      </c>
      <c r="R43" s="97" t="str">
        <f t="shared" si="6"/>
        <v>FPU - FPU - GSTS - 1</v>
      </c>
      <c r="S43" s="59"/>
      <c r="T43" s="59" t="s">
        <v>139</v>
      </c>
      <c r="U43" s="249">
        <f t="shared" si="1"/>
        <v>79435.259999999966</v>
      </c>
      <c r="V43" s="249">
        <f t="shared" si="2"/>
        <v>12</v>
      </c>
    </row>
    <row r="44" spans="2:22">
      <c r="B44" s="84" t="s">
        <v>140</v>
      </c>
      <c r="C44" s="79">
        <v>758971.39999999932</v>
      </c>
      <c r="D44" s="79">
        <v>650183.18999999948</v>
      </c>
      <c r="E44" s="79">
        <v>602055.70000000007</v>
      </c>
      <c r="F44" s="79">
        <v>600694.48999999929</v>
      </c>
      <c r="G44" s="79">
        <v>531493.04</v>
      </c>
      <c r="H44" s="79">
        <v>468576.66000000067</v>
      </c>
      <c r="I44" s="79">
        <v>479108.78999999957</v>
      </c>
      <c r="J44" s="79">
        <v>431389.07999999879</v>
      </c>
      <c r="K44" s="79">
        <v>454082.74999999907</v>
      </c>
      <c r="L44" s="79">
        <v>464716.35999999946</v>
      </c>
      <c r="M44" s="79">
        <v>528910.84999999881</v>
      </c>
      <c r="N44" s="79">
        <v>645109.55999999843</v>
      </c>
      <c r="O44" s="81">
        <f t="shared" si="0"/>
        <v>6615291.8699999936</v>
      </c>
      <c r="Q44" s="59" t="s">
        <v>7</v>
      </c>
      <c r="R44" s="97" t="str">
        <f t="shared" si="6"/>
        <v>FPU - FPU - GS - 2</v>
      </c>
      <c r="S44" s="59"/>
      <c r="T44" s="59" t="s">
        <v>137</v>
      </c>
      <c r="U44" s="249">
        <f t="shared" si="1"/>
        <v>758971.39999999932</v>
      </c>
      <c r="V44" s="249">
        <f t="shared" si="2"/>
        <v>1</v>
      </c>
    </row>
    <row r="45" spans="2:22">
      <c r="B45" s="84" t="s">
        <v>141</v>
      </c>
      <c r="C45" s="79">
        <v>577720.72000000114</v>
      </c>
      <c r="D45" s="79">
        <v>506641.32000000123</v>
      </c>
      <c r="E45" s="79">
        <v>477615.20000000019</v>
      </c>
      <c r="F45" s="79">
        <v>521247.72000000026</v>
      </c>
      <c r="G45" s="79">
        <v>475839.89999999956</v>
      </c>
      <c r="H45" s="79">
        <v>415405.71999999956</v>
      </c>
      <c r="I45" s="79">
        <v>438498.45000000036</v>
      </c>
      <c r="J45" s="79">
        <v>406018.52000000048</v>
      </c>
      <c r="K45" s="79">
        <v>433477.68999999989</v>
      </c>
      <c r="L45" s="79">
        <v>425118.72000000038</v>
      </c>
      <c r="M45" s="79">
        <v>469238.1799999997</v>
      </c>
      <c r="N45" s="79">
        <v>557138.63000000024</v>
      </c>
      <c r="O45" s="81">
        <f t="shared" si="0"/>
        <v>5703960.7700000023</v>
      </c>
      <c r="Q45" s="59" t="s">
        <v>7</v>
      </c>
      <c r="R45" s="97" t="str">
        <f t="shared" si="6"/>
        <v>FPU - FPU - GSTS - 2</v>
      </c>
      <c r="S45" s="59"/>
      <c r="T45" s="59" t="s">
        <v>139</v>
      </c>
      <c r="U45" s="249">
        <f t="shared" si="1"/>
        <v>577720.72000000114</v>
      </c>
      <c r="V45" s="249">
        <f t="shared" si="2"/>
        <v>1</v>
      </c>
    </row>
    <row r="46" spans="2:22">
      <c r="B46" s="84" t="s">
        <v>142</v>
      </c>
      <c r="C46" s="79">
        <v>5907.2100000000019</v>
      </c>
      <c r="D46" s="79">
        <v>3544.5399999999995</v>
      </c>
      <c r="E46" s="79">
        <v>3750.3900000000008</v>
      </c>
      <c r="F46" s="79">
        <v>3382.17</v>
      </c>
      <c r="G46" s="79">
        <v>10076.309999999996</v>
      </c>
      <c r="H46" s="79">
        <v>4942.0800000000017</v>
      </c>
      <c r="I46" s="79">
        <v>3058.7200000000007</v>
      </c>
      <c r="J46" s="79">
        <v>2651.36</v>
      </c>
      <c r="K46" s="79">
        <v>2505.1299999999992</v>
      </c>
      <c r="L46" s="79">
        <v>2721.3000000000015</v>
      </c>
      <c r="M46" s="79">
        <v>3725.7800000000007</v>
      </c>
      <c r="N46" s="79">
        <v>3811.0999999999972</v>
      </c>
      <c r="O46" s="81">
        <f t="shared" si="0"/>
        <v>50076.090000000004</v>
      </c>
      <c r="Q46" s="59" t="s">
        <v>7</v>
      </c>
      <c r="R46" s="97" t="str">
        <f t="shared" si="6"/>
        <v>FPU - FPU - CS - GS</v>
      </c>
      <c r="S46" s="59"/>
      <c r="T46" s="59" t="s">
        <v>137</v>
      </c>
      <c r="U46" s="249">
        <f t="shared" si="1"/>
        <v>10076.309999999996</v>
      </c>
      <c r="V46" s="249">
        <f t="shared" si="2"/>
        <v>5</v>
      </c>
    </row>
    <row r="47" spans="2:22">
      <c r="B47" s="94" t="s">
        <v>143</v>
      </c>
      <c r="C47" s="79">
        <v>907393.70999999961</v>
      </c>
      <c r="D47" s="79">
        <v>846397.30999999982</v>
      </c>
      <c r="E47" s="79">
        <v>735880.81000000017</v>
      </c>
      <c r="F47" s="79">
        <v>865461.68999999913</v>
      </c>
      <c r="G47" s="79">
        <v>676204.02999999921</v>
      </c>
      <c r="H47" s="79">
        <v>598290.16999999969</v>
      </c>
      <c r="I47" s="79">
        <v>630215.38999999955</v>
      </c>
      <c r="J47" s="79">
        <v>526934.46000000043</v>
      </c>
      <c r="K47" s="79">
        <v>533690.23</v>
      </c>
      <c r="L47" s="79">
        <v>560291.70999999973</v>
      </c>
      <c r="M47" s="79">
        <v>613351.68999999948</v>
      </c>
      <c r="N47" s="79">
        <v>708706.98000000068</v>
      </c>
      <c r="O47" s="81">
        <f t="shared" si="0"/>
        <v>8202818.1799999988</v>
      </c>
      <c r="Q47" s="59" t="s">
        <v>7</v>
      </c>
      <c r="R47" s="97" t="str">
        <f t="shared" si="6"/>
        <v>FPU - FPU - LVS</v>
      </c>
      <c r="S47" s="59"/>
      <c r="T47" s="59" t="s">
        <v>144</v>
      </c>
      <c r="U47" s="249">
        <f t="shared" si="1"/>
        <v>907393.70999999961</v>
      </c>
      <c r="V47" s="249">
        <f t="shared" si="2"/>
        <v>1</v>
      </c>
    </row>
    <row r="48" spans="2:22">
      <c r="B48" s="95" t="s">
        <v>317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>
        <v>0</v>
      </c>
      <c r="O48" s="81">
        <f t="shared" si="0"/>
        <v>0</v>
      </c>
      <c r="Q48" s="59" t="s">
        <v>7</v>
      </c>
      <c r="R48" s="97" t="str">
        <f t="shared" si="6"/>
        <v>FPU - FPU - LVS Large Customers Non-Residential</v>
      </c>
      <c r="S48" s="97"/>
      <c r="T48" s="97"/>
      <c r="U48" s="249">
        <f t="shared" si="1"/>
        <v>0</v>
      </c>
      <c r="V48" s="249">
        <f t="shared" si="2"/>
        <v>12</v>
      </c>
    </row>
    <row r="49" spans="2:22">
      <c r="B49" s="84" t="s">
        <v>145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80">
        <v>0</v>
      </c>
      <c r="O49" s="81">
        <f t="shared" si="0"/>
        <v>0</v>
      </c>
      <c r="Q49" s="59" t="s">
        <v>7</v>
      </c>
      <c r="R49" s="97" t="str">
        <f t="shared" ref="R49:R54" si="7">CONCATENATE(Q49," - ",B49)</f>
        <v>FPU - FPU - LVTS &lt;50k</v>
      </c>
      <c r="S49" s="59"/>
      <c r="T49" s="59"/>
      <c r="U49" s="249">
        <f t="shared" si="1"/>
        <v>0</v>
      </c>
      <c r="V49" s="249">
        <f t="shared" si="2"/>
        <v>1</v>
      </c>
    </row>
    <row r="50" spans="2:22">
      <c r="B50" s="84" t="s">
        <v>146</v>
      </c>
      <c r="C50" s="79">
        <v>2933518.34</v>
      </c>
      <c r="D50" s="79">
        <v>2701680.1000000024</v>
      </c>
      <c r="E50" s="79">
        <v>2859006.8800000008</v>
      </c>
      <c r="F50" s="79">
        <v>2796620.5100000002</v>
      </c>
      <c r="G50" s="79">
        <v>2691521.36</v>
      </c>
      <c r="H50" s="79">
        <v>2485060.4400000018</v>
      </c>
      <c r="I50" s="79">
        <v>2644571.7300000028</v>
      </c>
      <c r="J50" s="79">
        <v>2453181.5100000002</v>
      </c>
      <c r="K50" s="79">
        <v>2642126.1299999971</v>
      </c>
      <c r="L50" s="79">
        <v>2638686.3299999982</v>
      </c>
      <c r="M50" s="79">
        <v>2782456.46</v>
      </c>
      <c r="N50" s="80">
        <v>2914335.2300000004</v>
      </c>
      <c r="O50" s="81">
        <f t="shared" si="0"/>
        <v>32542765.020000007</v>
      </c>
      <c r="Q50" s="59" t="s">
        <v>7</v>
      </c>
      <c r="R50" s="97" t="str">
        <f t="shared" si="7"/>
        <v>FPU - FPU - LVTS &gt;50k</v>
      </c>
      <c r="S50" s="59"/>
      <c r="T50" s="59" t="s">
        <v>147</v>
      </c>
      <c r="U50" s="249">
        <f t="shared" si="1"/>
        <v>2933518.34</v>
      </c>
      <c r="V50" s="249">
        <f t="shared" si="2"/>
        <v>1</v>
      </c>
    </row>
    <row r="51" spans="2:22">
      <c r="B51" s="98" t="s">
        <v>318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80">
        <v>0</v>
      </c>
      <c r="O51" s="81">
        <f t="shared" si="0"/>
        <v>0</v>
      </c>
      <c r="Q51" s="59" t="s">
        <v>7</v>
      </c>
      <c r="R51" s="97" t="str">
        <f t="shared" si="7"/>
        <v>FPU - FPU - LVTS &gt;50k Large Customers Non-Residential</v>
      </c>
      <c r="S51" s="97"/>
      <c r="T51" s="97"/>
      <c r="U51" s="249">
        <f t="shared" si="1"/>
        <v>0</v>
      </c>
      <c r="V51" s="249">
        <f t="shared" si="2"/>
        <v>12</v>
      </c>
    </row>
    <row r="52" spans="2:22">
      <c r="B52" s="84" t="s">
        <v>148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80">
        <v>0</v>
      </c>
      <c r="O52" s="81">
        <f t="shared" si="0"/>
        <v>0</v>
      </c>
      <c r="Q52" s="59" t="s">
        <v>7</v>
      </c>
      <c r="R52" s="97" t="str">
        <f t="shared" si="7"/>
        <v>FPU - FPU - IS</v>
      </c>
      <c r="S52" s="59"/>
      <c r="T52" s="59"/>
      <c r="U52" s="249">
        <f t="shared" si="1"/>
        <v>0</v>
      </c>
      <c r="V52" s="249">
        <f t="shared" si="2"/>
        <v>1</v>
      </c>
    </row>
    <row r="53" spans="2:22">
      <c r="B53" s="84" t="s">
        <v>149</v>
      </c>
      <c r="C53" s="79">
        <v>935143.99</v>
      </c>
      <c r="D53" s="79">
        <v>756804.09</v>
      </c>
      <c r="E53" s="79">
        <v>825791.8</v>
      </c>
      <c r="F53" s="79">
        <v>729349.22000000009</v>
      </c>
      <c r="G53" s="79">
        <v>783338.03999999992</v>
      </c>
      <c r="H53" s="79">
        <v>685241.05999999994</v>
      </c>
      <c r="I53" s="79">
        <v>739759.74</v>
      </c>
      <c r="J53" s="79">
        <v>786872.29</v>
      </c>
      <c r="K53" s="79">
        <v>739175.55999999994</v>
      </c>
      <c r="L53" s="79">
        <v>871061.63</v>
      </c>
      <c r="M53" s="79">
        <v>847194.51000000013</v>
      </c>
      <c r="N53" s="80">
        <v>845988.45</v>
      </c>
      <c r="O53" s="81">
        <f t="shared" si="0"/>
        <v>9545720.379999999</v>
      </c>
      <c r="Q53" s="59" t="s">
        <v>7</v>
      </c>
      <c r="R53" s="97" t="str">
        <f t="shared" si="7"/>
        <v>FPU - FPU - ITS</v>
      </c>
      <c r="S53" s="59"/>
      <c r="T53" s="59" t="s">
        <v>150</v>
      </c>
      <c r="U53" s="249">
        <f t="shared" si="1"/>
        <v>935143.99</v>
      </c>
      <c r="V53" s="249">
        <f t="shared" si="2"/>
        <v>1</v>
      </c>
    </row>
    <row r="54" spans="2:22">
      <c r="B54" s="98" t="s">
        <v>319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80">
        <v>0</v>
      </c>
      <c r="O54" s="81">
        <f t="shared" si="0"/>
        <v>0</v>
      </c>
      <c r="Q54" s="59" t="s">
        <v>7</v>
      </c>
      <c r="R54" s="97" t="str">
        <f t="shared" si="7"/>
        <v>FPU - FPU - ITS Large Customers Non-Residential</v>
      </c>
      <c r="S54" s="97"/>
      <c r="T54" s="97"/>
      <c r="U54" s="249">
        <f t="shared" si="1"/>
        <v>0</v>
      </c>
      <c r="V54" s="249">
        <f t="shared" si="2"/>
        <v>12</v>
      </c>
    </row>
    <row r="55" spans="2:22">
      <c r="B55" s="84" t="s">
        <v>151</v>
      </c>
      <c r="C55" s="79">
        <v>9094.2199999999993</v>
      </c>
      <c r="D55" s="79">
        <v>8686.2199999999993</v>
      </c>
      <c r="E55" s="79">
        <v>8686.2199999999993</v>
      </c>
      <c r="F55" s="79">
        <v>8686.2199999999993</v>
      </c>
      <c r="G55" s="79">
        <v>8626.2199999999993</v>
      </c>
      <c r="H55" s="79">
        <v>8626.2199999999993</v>
      </c>
      <c r="I55" s="79">
        <v>8626.2199999999993</v>
      </c>
      <c r="J55" s="79">
        <v>7882.2199999999993</v>
      </c>
      <c r="K55" s="79">
        <v>7882.2199999999993</v>
      </c>
      <c r="L55" s="79">
        <v>7882.2199999999993</v>
      </c>
      <c r="M55" s="79">
        <v>7462.22</v>
      </c>
      <c r="N55" s="80">
        <v>7582.2199999999993</v>
      </c>
      <c r="O55" s="81">
        <f t="shared" si="0"/>
        <v>99722.64</v>
      </c>
      <c r="Q55" s="59" t="s">
        <v>7</v>
      </c>
      <c r="R55" s="97" t="str">
        <f t="shared" ref="R55:R63" si="8">CONCATENATE(Q55," - ",B55)</f>
        <v>FPU - FPU - GLS</v>
      </c>
      <c r="S55" s="59"/>
      <c r="T55" s="59" t="s">
        <v>152</v>
      </c>
      <c r="U55" s="249">
        <f t="shared" si="1"/>
        <v>9094.2199999999993</v>
      </c>
      <c r="V55" s="249">
        <f t="shared" si="2"/>
        <v>1</v>
      </c>
    </row>
    <row r="56" spans="2:22">
      <c r="B56" s="84" t="s">
        <v>153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80">
        <v>0</v>
      </c>
      <c r="O56" s="81">
        <f t="shared" si="0"/>
        <v>0</v>
      </c>
      <c r="Q56" s="59" t="s">
        <v>7</v>
      </c>
      <c r="R56" s="97" t="str">
        <f t="shared" si="8"/>
        <v>FPU - FPU-NGVS</v>
      </c>
      <c r="S56" s="59"/>
      <c r="T56" s="59"/>
      <c r="U56" s="249">
        <f t="shared" si="1"/>
        <v>0</v>
      </c>
      <c r="V56" s="249">
        <f t="shared" si="2"/>
        <v>1</v>
      </c>
    </row>
    <row r="57" spans="2:22">
      <c r="B57" s="84" t="s">
        <v>154</v>
      </c>
      <c r="C57" s="79">
        <v>80802.31</v>
      </c>
      <c r="D57" s="79">
        <v>80458.649999999994</v>
      </c>
      <c r="E57" s="79">
        <v>94078.790000000008</v>
      </c>
      <c r="F57" s="79">
        <v>92490.89</v>
      </c>
      <c r="G57" s="79">
        <v>90043.489999999991</v>
      </c>
      <c r="H57" s="79">
        <v>92000.39</v>
      </c>
      <c r="I57" s="79">
        <v>93260.34</v>
      </c>
      <c r="J57" s="79">
        <v>96076.29</v>
      </c>
      <c r="K57" s="79">
        <v>94948.829999999987</v>
      </c>
      <c r="L57" s="79">
        <v>89940.06</v>
      </c>
      <c r="M57" s="79">
        <v>89949.5</v>
      </c>
      <c r="N57" s="80">
        <v>97264.39</v>
      </c>
      <c r="O57" s="81">
        <f t="shared" si="0"/>
        <v>1091313.93</v>
      </c>
      <c r="Q57" s="59" t="s">
        <v>7</v>
      </c>
      <c r="R57" s="97" t="str">
        <f t="shared" si="8"/>
        <v>FPU - FPU- NGVTS</v>
      </c>
      <c r="S57" s="59"/>
      <c r="T57" s="59" t="s">
        <v>139</v>
      </c>
      <c r="U57" s="249">
        <f t="shared" si="1"/>
        <v>97264.39</v>
      </c>
      <c r="V57" s="249">
        <f t="shared" si="2"/>
        <v>12</v>
      </c>
    </row>
    <row r="58" spans="2:22">
      <c r="B58" s="84" t="s">
        <v>155</v>
      </c>
      <c r="C58" s="79">
        <v>11.64</v>
      </c>
      <c r="D58" s="79">
        <v>7.38</v>
      </c>
      <c r="E58" s="79">
        <v>6.3100000000000005</v>
      </c>
      <c r="F58" s="79">
        <v>17.939999999999998</v>
      </c>
      <c r="G58" s="79">
        <v>10.4</v>
      </c>
      <c r="H58" s="79">
        <v>5.2</v>
      </c>
      <c r="I58" s="79">
        <v>9.36</v>
      </c>
      <c r="J58" s="79">
        <v>23.92</v>
      </c>
      <c r="K58" s="79">
        <v>7.35</v>
      </c>
      <c r="L58" s="79">
        <v>8.32</v>
      </c>
      <c r="M58" s="79">
        <v>5.2</v>
      </c>
      <c r="N58" s="80">
        <v>4.17</v>
      </c>
      <c r="O58" s="81">
        <f t="shared" si="0"/>
        <v>117.19</v>
      </c>
      <c r="Q58" s="59" t="s">
        <v>5</v>
      </c>
      <c r="R58" s="97" t="str">
        <f t="shared" si="8"/>
        <v>FT - FT-Comm PA</v>
      </c>
      <c r="S58" s="83" t="s">
        <v>89</v>
      </c>
      <c r="T58" s="59" t="s">
        <v>156</v>
      </c>
      <c r="U58" s="249">
        <f t="shared" si="1"/>
        <v>23.92</v>
      </c>
      <c r="V58" s="249">
        <f t="shared" si="2"/>
        <v>8</v>
      </c>
    </row>
    <row r="59" spans="2:22">
      <c r="B59" s="84" t="s">
        <v>157</v>
      </c>
      <c r="C59" s="79">
        <v>25085.620000000003</v>
      </c>
      <c r="D59" s="79">
        <v>23824.819999999996</v>
      </c>
      <c r="E59" s="79">
        <v>18810.989999999998</v>
      </c>
      <c r="F59" s="79">
        <v>19971.71</v>
      </c>
      <c r="G59" s="79">
        <v>17786.289999999997</v>
      </c>
      <c r="H59" s="79">
        <v>15439.52</v>
      </c>
      <c r="I59" s="79">
        <v>6448.53</v>
      </c>
      <c r="J59" s="79">
        <v>16812.969999999998</v>
      </c>
      <c r="K59" s="79">
        <v>11285.42</v>
      </c>
      <c r="L59" s="79">
        <v>14697.52</v>
      </c>
      <c r="M59" s="79">
        <v>19565.43</v>
      </c>
      <c r="N59" s="80">
        <v>24569.95</v>
      </c>
      <c r="O59" s="81">
        <f t="shared" si="0"/>
        <v>214298.77</v>
      </c>
      <c r="Q59" s="59" t="s">
        <v>5</v>
      </c>
      <c r="R59" s="97" t="str">
        <f t="shared" si="8"/>
        <v>FT - FT-Comm Small</v>
      </c>
      <c r="S59" s="59" t="s">
        <v>158</v>
      </c>
      <c r="T59" s="59" t="s">
        <v>156</v>
      </c>
      <c r="U59" s="249">
        <f t="shared" si="1"/>
        <v>25085.620000000003</v>
      </c>
      <c r="V59" s="249">
        <f t="shared" si="2"/>
        <v>1</v>
      </c>
    </row>
    <row r="60" spans="2:22">
      <c r="B60" s="84" t="s">
        <v>159</v>
      </c>
      <c r="C60" s="79">
        <v>2637.9399999999996</v>
      </c>
      <c r="D60" s="79">
        <v>2797.8500000000004</v>
      </c>
      <c r="E60" s="79">
        <v>2716.6</v>
      </c>
      <c r="F60" s="79">
        <v>2944.5</v>
      </c>
      <c r="G60" s="79">
        <v>2812.53</v>
      </c>
      <c r="H60" s="79">
        <v>2490.88</v>
      </c>
      <c r="I60" s="79">
        <v>2365.71</v>
      </c>
      <c r="J60" s="79">
        <v>2314.86</v>
      </c>
      <c r="K60" s="79">
        <v>3322.42</v>
      </c>
      <c r="L60" s="79">
        <v>3000.5200000000004</v>
      </c>
      <c r="M60" s="79">
        <v>2999.68</v>
      </c>
      <c r="N60" s="80">
        <v>3374.8</v>
      </c>
      <c r="O60" s="81">
        <f t="shared" si="0"/>
        <v>33778.29</v>
      </c>
      <c r="Q60" s="59" t="s">
        <v>5</v>
      </c>
      <c r="R60" s="97" t="str">
        <f t="shared" si="8"/>
        <v>FT - FT-Transportation</v>
      </c>
      <c r="S60" s="59" t="s">
        <v>158</v>
      </c>
      <c r="T60" s="59" t="s">
        <v>160</v>
      </c>
      <c r="U60" s="249">
        <f t="shared" si="1"/>
        <v>3374.8</v>
      </c>
      <c r="V60" s="249">
        <f t="shared" si="2"/>
        <v>12</v>
      </c>
    </row>
    <row r="61" spans="2:22">
      <c r="B61" s="78" t="s">
        <v>95</v>
      </c>
      <c r="C61" s="79">
        <v>6665.2400000000007</v>
      </c>
      <c r="D61" s="79">
        <v>6371.8</v>
      </c>
      <c r="E61" s="79">
        <v>7049.2799999999988</v>
      </c>
      <c r="F61" s="79">
        <v>7238.2999999999993</v>
      </c>
      <c r="G61" s="79">
        <v>6676.26</v>
      </c>
      <c r="H61" s="79">
        <v>6988.9099999999989</v>
      </c>
      <c r="I61" s="79">
        <v>6613.47</v>
      </c>
      <c r="J61" s="79">
        <v>6333.8199999999988</v>
      </c>
      <c r="K61" s="79">
        <v>7330.6399999999985</v>
      </c>
      <c r="L61" s="79">
        <v>5625.0700000000006</v>
      </c>
      <c r="M61" s="79">
        <v>7308.43</v>
      </c>
      <c r="N61" s="80">
        <v>6755.73</v>
      </c>
      <c r="O61" s="81">
        <f t="shared" si="0"/>
        <v>80956.95</v>
      </c>
      <c r="Q61" s="59" t="s">
        <v>4</v>
      </c>
      <c r="R61" s="97" t="str">
        <f t="shared" si="8"/>
        <v>IGC - IGC - TS2</v>
      </c>
      <c r="S61" s="59"/>
      <c r="T61" s="59" t="s">
        <v>161</v>
      </c>
      <c r="U61" s="249">
        <f t="shared" si="1"/>
        <v>7330.6399999999985</v>
      </c>
      <c r="V61" s="249">
        <f t="shared" si="2"/>
        <v>9</v>
      </c>
    </row>
    <row r="62" spans="2:22">
      <c r="B62" s="78" t="s">
        <v>96</v>
      </c>
      <c r="C62" s="79">
        <v>944.37</v>
      </c>
      <c r="D62" s="79">
        <v>755.21</v>
      </c>
      <c r="E62" s="79">
        <v>662.62</v>
      </c>
      <c r="F62" s="79">
        <v>839.3</v>
      </c>
      <c r="G62" s="79">
        <v>494.3</v>
      </c>
      <c r="H62" s="79">
        <v>884.63</v>
      </c>
      <c r="I62" s="79">
        <v>480.33</v>
      </c>
      <c r="J62" s="79">
        <v>481.03</v>
      </c>
      <c r="K62" s="79">
        <v>663.99</v>
      </c>
      <c r="L62" s="79">
        <v>557.28</v>
      </c>
      <c r="M62" s="79">
        <v>694.3</v>
      </c>
      <c r="N62" s="80">
        <v>528.55999999999995</v>
      </c>
      <c r="O62" s="81">
        <f t="shared" si="0"/>
        <v>7985.92</v>
      </c>
      <c r="Q62" s="59" t="s">
        <v>4</v>
      </c>
      <c r="R62" s="97" t="str">
        <f t="shared" si="8"/>
        <v>IGC - IGC - TS3</v>
      </c>
      <c r="S62" s="59"/>
      <c r="T62" s="59" t="s">
        <v>162</v>
      </c>
      <c r="U62" s="249">
        <f t="shared" si="1"/>
        <v>944.37</v>
      </c>
      <c r="V62" s="249">
        <f t="shared" si="2"/>
        <v>1</v>
      </c>
    </row>
    <row r="63" spans="2:22">
      <c r="B63" s="99" t="s">
        <v>97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0">
        <v>0</v>
      </c>
      <c r="O63" s="81">
        <f t="shared" si="0"/>
        <v>0</v>
      </c>
      <c r="Q63" s="59" t="s">
        <v>4</v>
      </c>
      <c r="R63" s="97" t="str">
        <f t="shared" si="8"/>
        <v>IGC - IGC - TS4</v>
      </c>
      <c r="S63" s="59"/>
      <c r="T63" s="59" t="s">
        <v>163</v>
      </c>
      <c r="U63" s="249">
        <f t="shared" si="1"/>
        <v>0</v>
      </c>
      <c r="V63" s="249">
        <f t="shared" si="2"/>
        <v>1</v>
      </c>
    </row>
    <row r="64" spans="2:22">
      <c r="B64" s="87" t="s">
        <v>164</v>
      </c>
      <c r="C64" s="88">
        <v>10783582.4</v>
      </c>
      <c r="D64" s="88">
        <v>9682216.0800000057</v>
      </c>
      <c r="E64" s="88">
        <v>10145601.84</v>
      </c>
      <c r="F64" s="88">
        <v>9871352.4700000025</v>
      </c>
      <c r="G64" s="88">
        <v>9207723.8599999975</v>
      </c>
      <c r="H64" s="88">
        <v>8174597.5</v>
      </c>
      <c r="I64" s="88">
        <v>8766934.9400000032</v>
      </c>
      <c r="J64" s="88">
        <v>8568305.2100000009</v>
      </c>
      <c r="K64" s="88">
        <v>8396700.1599999946</v>
      </c>
      <c r="L64" s="88">
        <v>9019854.6899999995</v>
      </c>
      <c r="M64" s="88">
        <v>9457779.799999997</v>
      </c>
      <c r="N64" s="88">
        <f>SUM(N25:N63)</f>
        <v>10118482.840000002</v>
      </c>
      <c r="O64" s="81">
        <f t="shared" si="0"/>
        <v>112193131.79000001</v>
      </c>
      <c r="Q64" s="100"/>
      <c r="S64" s="100"/>
      <c r="T64" s="100"/>
      <c r="U64" s="249"/>
      <c r="V64" s="249"/>
    </row>
    <row r="65" spans="2:22">
      <c r="B65" s="60" t="s">
        <v>165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81">
        <f t="shared" si="0"/>
        <v>0</v>
      </c>
      <c r="U65" s="249"/>
      <c r="V65" s="249"/>
    </row>
    <row r="66" spans="2:22">
      <c r="B66" s="78" t="s">
        <v>100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80">
        <v>0</v>
      </c>
      <c r="O66" s="81">
        <f t="shared" si="0"/>
        <v>0</v>
      </c>
      <c r="Q66" s="59" t="s">
        <v>8</v>
      </c>
      <c r="R66" s="97" t="str">
        <f>CONCATENATE(Q66," - ",B66," - ",S66)</f>
        <v>CFG - FTS-A - Fixed NR</v>
      </c>
      <c r="S66" s="59" t="s">
        <v>166</v>
      </c>
      <c r="T66" s="59" t="s">
        <v>136</v>
      </c>
      <c r="U66" s="249">
        <f t="shared" si="1"/>
        <v>0</v>
      </c>
      <c r="V66" s="249">
        <f t="shared" si="2"/>
        <v>1</v>
      </c>
    </row>
    <row r="67" spans="2:22">
      <c r="B67" s="78" t="s">
        <v>101</v>
      </c>
      <c r="C67" s="79">
        <v>2.08</v>
      </c>
      <c r="D67" s="79">
        <v>1.03</v>
      </c>
      <c r="E67" s="79">
        <v>2.08</v>
      </c>
      <c r="F67" s="79">
        <v>2.08</v>
      </c>
      <c r="G67" s="79">
        <v>1.03</v>
      </c>
      <c r="H67" s="79">
        <v>1.03</v>
      </c>
      <c r="I67" s="79">
        <v>2.08</v>
      </c>
      <c r="J67" s="79">
        <v>2.08</v>
      </c>
      <c r="K67" s="79">
        <v>2.08</v>
      </c>
      <c r="L67" s="79">
        <v>2.08</v>
      </c>
      <c r="M67" s="79">
        <v>2.08</v>
      </c>
      <c r="N67" s="80">
        <v>2.0699999999999998</v>
      </c>
      <c r="O67" s="81">
        <f t="shared" si="0"/>
        <v>21.799999999999997</v>
      </c>
      <c r="Q67" s="59" t="s">
        <v>8</v>
      </c>
      <c r="R67" s="97" t="str">
        <f t="shared" ref="R67:R72" si="9">CONCATENATE(Q67," - ",B67," - ",S67)</f>
        <v>CFG - FTS-B - Fixed NR</v>
      </c>
      <c r="S67" s="59" t="s">
        <v>166</v>
      </c>
      <c r="T67" s="59" t="s">
        <v>136</v>
      </c>
      <c r="U67" s="249">
        <f t="shared" si="1"/>
        <v>2.08</v>
      </c>
      <c r="V67" s="249">
        <f t="shared" si="2"/>
        <v>1</v>
      </c>
    </row>
    <row r="68" spans="2:22">
      <c r="B68" s="78" t="s">
        <v>102</v>
      </c>
      <c r="C68" s="79">
        <v>672.54</v>
      </c>
      <c r="D68" s="79">
        <v>585.37</v>
      </c>
      <c r="E68" s="79">
        <v>543.95000000000005</v>
      </c>
      <c r="F68" s="79">
        <v>660.44</v>
      </c>
      <c r="G68" s="79">
        <v>497.09</v>
      </c>
      <c r="H68" s="79">
        <v>538.77</v>
      </c>
      <c r="I68" s="79">
        <v>560.59</v>
      </c>
      <c r="J68" s="79">
        <v>592.87</v>
      </c>
      <c r="K68" s="79">
        <v>605.74</v>
      </c>
      <c r="L68" s="79">
        <v>533.71</v>
      </c>
      <c r="M68" s="79">
        <v>563.61</v>
      </c>
      <c r="N68" s="80">
        <v>824.48</v>
      </c>
      <c r="O68" s="81">
        <f t="shared" ref="O68:O100" si="10">SUM(C68:N68)</f>
        <v>7179.16</v>
      </c>
      <c r="Q68" s="59" t="s">
        <v>8</v>
      </c>
      <c r="R68" s="97" t="str">
        <f t="shared" si="9"/>
        <v>CFG - FTS-1 - Fixed NR</v>
      </c>
      <c r="S68" s="59" t="s">
        <v>166</v>
      </c>
      <c r="T68" s="59" t="s">
        <v>136</v>
      </c>
      <c r="U68" s="249">
        <f t="shared" ref="U68:U127" si="11">MAX(C68:N68)</f>
        <v>824.48</v>
      </c>
      <c r="V68" s="249">
        <f t="shared" ref="V68:V127" si="12">IFERROR(INDEX($C$1:$N$1,MATCH(U68,C68:N68,0)),0)</f>
        <v>12</v>
      </c>
    </row>
    <row r="69" spans="2:22">
      <c r="B69" s="84" t="s">
        <v>103</v>
      </c>
      <c r="C69" s="79">
        <v>226.34</v>
      </c>
      <c r="D69" s="79">
        <v>188.16</v>
      </c>
      <c r="E69" s="79">
        <v>198.76</v>
      </c>
      <c r="F69" s="79">
        <v>252.76</v>
      </c>
      <c r="G69" s="79">
        <v>210.07</v>
      </c>
      <c r="H69" s="79">
        <v>233.59</v>
      </c>
      <c r="I69" s="79">
        <v>965.55</v>
      </c>
      <c r="J69" s="79">
        <v>191.37</v>
      </c>
      <c r="K69" s="79">
        <v>185.76</v>
      </c>
      <c r="L69" s="79">
        <v>194.25</v>
      </c>
      <c r="M69" s="79">
        <v>186.94</v>
      </c>
      <c r="N69" s="80">
        <v>247.95</v>
      </c>
      <c r="O69" s="81">
        <f t="shared" si="10"/>
        <v>3281.4999999999995</v>
      </c>
      <c r="Q69" s="59" t="s">
        <v>8</v>
      </c>
      <c r="R69" s="97" t="str">
        <f t="shared" si="9"/>
        <v>CFG - FTS-2 - Fixed NR</v>
      </c>
      <c r="S69" s="59" t="s">
        <v>166</v>
      </c>
      <c r="T69" s="59" t="s">
        <v>136</v>
      </c>
      <c r="U69" s="249">
        <f t="shared" si="11"/>
        <v>965.55</v>
      </c>
      <c r="V69" s="249">
        <f t="shared" si="12"/>
        <v>7</v>
      </c>
    </row>
    <row r="70" spans="2:22">
      <c r="B70" s="84" t="s">
        <v>104</v>
      </c>
      <c r="C70" s="79">
        <v>1724.12</v>
      </c>
      <c r="D70" s="79">
        <v>1600.9</v>
      </c>
      <c r="E70" s="79">
        <v>1595.07</v>
      </c>
      <c r="F70" s="79">
        <v>2059.5100000000002</v>
      </c>
      <c r="G70" s="79">
        <v>1726.39</v>
      </c>
      <c r="H70" s="79">
        <v>1535.63</v>
      </c>
      <c r="I70" s="79">
        <v>1424.14</v>
      </c>
      <c r="J70" s="79">
        <v>1430.3</v>
      </c>
      <c r="K70" s="79">
        <v>1335.95</v>
      </c>
      <c r="L70" s="79">
        <v>1166.99</v>
      </c>
      <c r="M70" s="79">
        <v>1040.3</v>
      </c>
      <c r="N70" s="80">
        <v>1314.67</v>
      </c>
      <c r="O70" s="81">
        <f t="shared" si="10"/>
        <v>17953.97</v>
      </c>
      <c r="Q70" s="59" t="s">
        <v>8</v>
      </c>
      <c r="R70" s="97" t="str">
        <f t="shared" si="9"/>
        <v>CFG - FTS-2.1 - Fixed NR</v>
      </c>
      <c r="S70" s="59" t="s">
        <v>166</v>
      </c>
      <c r="T70" s="59" t="s">
        <v>136</v>
      </c>
      <c r="U70" s="249">
        <f t="shared" si="11"/>
        <v>2059.5100000000002</v>
      </c>
      <c r="V70" s="249">
        <f t="shared" si="12"/>
        <v>4</v>
      </c>
    </row>
    <row r="71" spans="2:22">
      <c r="B71" s="84" t="s">
        <v>105</v>
      </c>
      <c r="C71" s="79">
        <v>5107.8999999999996</v>
      </c>
      <c r="D71" s="79">
        <v>4444.54</v>
      </c>
      <c r="E71" s="79">
        <v>4630.54</v>
      </c>
      <c r="F71" s="79">
        <v>5541.51</v>
      </c>
      <c r="G71" s="79">
        <v>4779.2</v>
      </c>
      <c r="H71" s="79">
        <v>4867.28</v>
      </c>
      <c r="I71" s="79">
        <v>4919.43</v>
      </c>
      <c r="J71" s="79">
        <v>4812.09</v>
      </c>
      <c r="K71" s="79">
        <v>4864.22</v>
      </c>
      <c r="L71" s="79">
        <v>4949.08</v>
      </c>
      <c r="M71" s="79">
        <v>4663.97</v>
      </c>
      <c r="N71" s="80">
        <v>5933.09</v>
      </c>
      <c r="O71" s="81">
        <f t="shared" si="10"/>
        <v>59512.849999999991</v>
      </c>
      <c r="Q71" s="59" t="s">
        <v>8</v>
      </c>
      <c r="R71" s="97" t="str">
        <f t="shared" si="9"/>
        <v>CFG - FTS-3 - Fixed NR</v>
      </c>
      <c r="S71" s="59" t="s">
        <v>166</v>
      </c>
      <c r="T71" s="59" t="s">
        <v>136</v>
      </c>
      <c r="U71" s="249">
        <f t="shared" si="11"/>
        <v>5933.09</v>
      </c>
      <c r="V71" s="249">
        <f t="shared" si="12"/>
        <v>12</v>
      </c>
    </row>
    <row r="72" spans="2:22">
      <c r="B72" s="99" t="s">
        <v>106</v>
      </c>
      <c r="C72" s="85">
        <v>4863.43</v>
      </c>
      <c r="D72" s="85">
        <v>3675.86</v>
      </c>
      <c r="E72" s="85">
        <v>4042.47</v>
      </c>
      <c r="F72" s="85">
        <v>3821.95</v>
      </c>
      <c r="G72" s="85">
        <v>3467.36</v>
      </c>
      <c r="H72" s="85">
        <v>3616.92</v>
      </c>
      <c r="I72" s="85">
        <v>3704.97</v>
      </c>
      <c r="J72" s="85">
        <v>3014.32</v>
      </c>
      <c r="K72" s="85">
        <v>6564.54</v>
      </c>
      <c r="L72" s="85">
        <v>3445.84</v>
      </c>
      <c r="M72" s="85">
        <v>2797.31</v>
      </c>
      <c r="N72" s="86">
        <v>4527.55</v>
      </c>
      <c r="O72" s="81">
        <f t="shared" si="10"/>
        <v>47542.520000000004</v>
      </c>
      <c r="Q72" s="59" t="s">
        <v>8</v>
      </c>
      <c r="R72" s="97" t="str">
        <f t="shared" si="9"/>
        <v>CFG - FTS-3.1 - Fixed NR</v>
      </c>
      <c r="S72" s="59" t="s">
        <v>166</v>
      </c>
      <c r="T72" s="59" t="s">
        <v>136</v>
      </c>
      <c r="U72" s="249">
        <f t="shared" si="11"/>
        <v>6564.54</v>
      </c>
      <c r="V72" s="249">
        <f t="shared" si="12"/>
        <v>9</v>
      </c>
    </row>
    <row r="73" spans="2:22">
      <c r="B73" s="87" t="s">
        <v>167</v>
      </c>
      <c r="C73" s="88">
        <v>12596.41</v>
      </c>
      <c r="D73" s="88">
        <v>10495.86</v>
      </c>
      <c r="E73" s="88">
        <v>11012.869999999999</v>
      </c>
      <c r="F73" s="88">
        <v>12338.25</v>
      </c>
      <c r="G73" s="88">
        <v>10681.14</v>
      </c>
      <c r="H73" s="88">
        <v>10793.22</v>
      </c>
      <c r="I73" s="88">
        <v>11576.76</v>
      </c>
      <c r="J73" s="88">
        <v>10043.030000000001</v>
      </c>
      <c r="K73" s="88">
        <v>13558.29</v>
      </c>
      <c r="L73" s="88">
        <v>10291.950000000001</v>
      </c>
      <c r="M73" s="88">
        <v>9254.2100000000009</v>
      </c>
      <c r="N73" s="88">
        <f>SUM(N66:N72)</f>
        <v>12849.810000000001</v>
      </c>
      <c r="O73" s="81">
        <f t="shared" si="10"/>
        <v>135491.79999999999</v>
      </c>
      <c r="U73" s="249"/>
      <c r="V73" s="249"/>
    </row>
    <row r="74" spans="2:22">
      <c r="B74" s="63" t="s">
        <v>168</v>
      </c>
      <c r="C74" s="101"/>
      <c r="D74" s="101"/>
      <c r="E74" s="101"/>
      <c r="F74" s="101"/>
      <c r="G74" s="101"/>
      <c r="H74" s="102"/>
      <c r="I74" s="102"/>
      <c r="J74" s="101"/>
      <c r="K74" s="101"/>
      <c r="L74" s="101"/>
      <c r="M74" s="101"/>
      <c r="N74" s="101"/>
      <c r="O74" s="81">
        <f t="shared" si="10"/>
        <v>0</v>
      </c>
      <c r="U74" s="249"/>
      <c r="V74" s="249"/>
    </row>
    <row r="75" spans="2:22">
      <c r="B75" s="103" t="s">
        <v>169</v>
      </c>
      <c r="C75" s="79">
        <v>38252.380000000005</v>
      </c>
      <c r="D75" s="79">
        <v>27546.61</v>
      </c>
      <c r="E75" s="79">
        <v>74377.23000000001</v>
      </c>
      <c r="F75" s="79">
        <v>112385.8</v>
      </c>
      <c r="G75" s="79">
        <v>58910.64</v>
      </c>
      <c r="H75" s="79">
        <v>57021</v>
      </c>
      <c r="I75" s="79">
        <v>25763.79</v>
      </c>
      <c r="J75" s="79">
        <v>63494.12</v>
      </c>
      <c r="K75" s="79">
        <v>40793.380000000005</v>
      </c>
      <c r="L75" s="79">
        <v>57164.17</v>
      </c>
      <c r="M75" s="79">
        <v>61033.2</v>
      </c>
      <c r="N75" s="80">
        <v>64151.22</v>
      </c>
      <c r="O75" s="81">
        <f t="shared" si="10"/>
        <v>680893.53999999992</v>
      </c>
      <c r="Q75" s="59" t="s">
        <v>8</v>
      </c>
      <c r="R75" s="97"/>
      <c r="S75" s="59"/>
      <c r="T75" s="59" t="s">
        <v>170</v>
      </c>
      <c r="U75" s="249">
        <f t="shared" si="11"/>
        <v>112385.8</v>
      </c>
      <c r="V75" s="249">
        <f t="shared" si="12"/>
        <v>4</v>
      </c>
    </row>
    <row r="76" spans="2:22">
      <c r="B76" s="103" t="s">
        <v>171</v>
      </c>
      <c r="C76" s="79">
        <v>31237.98</v>
      </c>
      <c r="D76" s="79">
        <v>21159.09</v>
      </c>
      <c r="E76" s="79">
        <v>17797.64</v>
      </c>
      <c r="F76" s="79">
        <v>10570.76</v>
      </c>
      <c r="G76" s="79">
        <v>9760.7900000000009</v>
      </c>
      <c r="H76" s="79">
        <v>7983.16</v>
      </c>
      <c r="I76" s="79">
        <v>7636.68</v>
      </c>
      <c r="J76" s="79">
        <v>7536.49</v>
      </c>
      <c r="K76" s="79">
        <v>7328.72</v>
      </c>
      <c r="L76" s="79">
        <v>8943.7900000000009</v>
      </c>
      <c r="M76" s="79">
        <v>17495.52</v>
      </c>
      <c r="N76" s="80">
        <v>16877.64</v>
      </c>
      <c r="O76" s="81">
        <f t="shared" si="10"/>
        <v>164328.25999999995</v>
      </c>
      <c r="Q76" s="59" t="s">
        <v>8</v>
      </c>
      <c r="R76" s="97"/>
      <c r="S76" s="59"/>
      <c r="T76" s="59" t="s">
        <v>170</v>
      </c>
      <c r="U76" s="249">
        <f t="shared" si="11"/>
        <v>31237.98</v>
      </c>
      <c r="V76" s="249">
        <f t="shared" si="12"/>
        <v>1</v>
      </c>
    </row>
    <row r="77" spans="2:22">
      <c r="B77" s="103" t="s">
        <v>172</v>
      </c>
      <c r="C77" s="79">
        <v>1766701.62</v>
      </c>
      <c r="D77" s="79">
        <v>1623568.9</v>
      </c>
      <c r="E77" s="79">
        <v>1761612.95</v>
      </c>
      <c r="F77" s="79">
        <v>575313.29</v>
      </c>
      <c r="G77" s="79">
        <v>634919.35</v>
      </c>
      <c r="H77" s="79">
        <v>1558652.93</v>
      </c>
      <c r="I77" s="79">
        <v>1795016.53</v>
      </c>
      <c r="J77" s="79">
        <v>1797106.31</v>
      </c>
      <c r="K77" s="79">
        <v>1735484.1</v>
      </c>
      <c r="L77" s="79">
        <v>1793378.86</v>
      </c>
      <c r="M77" s="79">
        <v>1513283.69</v>
      </c>
      <c r="N77" s="80">
        <v>1790927.12</v>
      </c>
      <c r="O77" s="81">
        <f t="shared" si="10"/>
        <v>18345965.649999999</v>
      </c>
      <c r="Q77" s="59" t="s">
        <v>8</v>
      </c>
      <c r="R77" s="97"/>
      <c r="S77" s="59"/>
      <c r="T77" s="59" t="s">
        <v>170</v>
      </c>
      <c r="U77" s="249">
        <f t="shared" si="11"/>
        <v>1797106.31</v>
      </c>
      <c r="V77" s="249">
        <f t="shared" si="12"/>
        <v>8</v>
      </c>
    </row>
    <row r="78" spans="2:22">
      <c r="B78" s="103" t="s">
        <v>173</v>
      </c>
      <c r="C78" s="79">
        <v>661100.51</v>
      </c>
      <c r="D78" s="79">
        <v>1040569.65</v>
      </c>
      <c r="E78" s="79">
        <v>1701940.25</v>
      </c>
      <c r="F78" s="79">
        <v>1927319.9</v>
      </c>
      <c r="G78" s="79">
        <v>1982440.38</v>
      </c>
      <c r="H78" s="79">
        <v>2141499.9900000002</v>
      </c>
      <c r="I78" s="79">
        <v>2082660.47</v>
      </c>
      <c r="J78" s="79">
        <v>1183600.24</v>
      </c>
      <c r="K78" s="79">
        <v>1229440.1499999999</v>
      </c>
      <c r="L78" s="79">
        <v>2217079.67</v>
      </c>
      <c r="M78" s="79">
        <v>1837040.12</v>
      </c>
      <c r="N78" s="80">
        <v>1761140.21</v>
      </c>
      <c r="O78" s="81">
        <f t="shared" si="10"/>
        <v>19765831.540000003</v>
      </c>
      <c r="Q78" s="59" t="s">
        <v>8</v>
      </c>
      <c r="R78" s="97"/>
      <c r="S78" s="59"/>
      <c r="T78" s="59" t="s">
        <v>170</v>
      </c>
      <c r="U78" s="249">
        <f t="shared" si="11"/>
        <v>2217079.67</v>
      </c>
      <c r="V78" s="249">
        <f t="shared" si="12"/>
        <v>10</v>
      </c>
    </row>
    <row r="79" spans="2:22">
      <c r="B79" s="103" t="s">
        <v>174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80">
        <v>0</v>
      </c>
      <c r="O79" s="81">
        <f t="shared" si="10"/>
        <v>0</v>
      </c>
      <c r="Q79" s="59" t="s">
        <v>8</v>
      </c>
      <c r="R79" s="97"/>
      <c r="S79" s="59"/>
      <c r="T79" s="59" t="s">
        <v>170</v>
      </c>
      <c r="U79" s="249">
        <f t="shared" si="11"/>
        <v>0</v>
      </c>
      <c r="V79" s="249">
        <f t="shared" si="12"/>
        <v>1</v>
      </c>
    </row>
    <row r="80" spans="2:22">
      <c r="B80" s="103" t="s">
        <v>175</v>
      </c>
      <c r="C80" s="79">
        <v>1046308.36</v>
      </c>
      <c r="D80" s="79">
        <v>661504.91</v>
      </c>
      <c r="E80" s="79">
        <v>818688.5</v>
      </c>
      <c r="F80" s="79">
        <v>854753.87</v>
      </c>
      <c r="G80" s="79">
        <v>874101.86</v>
      </c>
      <c r="H80" s="79">
        <v>807731.9</v>
      </c>
      <c r="I80" s="79">
        <v>796851.19999999995</v>
      </c>
      <c r="J80" s="79">
        <v>520096.08</v>
      </c>
      <c r="K80" s="79">
        <v>603238.5</v>
      </c>
      <c r="L80" s="79">
        <v>673460.26</v>
      </c>
      <c r="M80" s="79">
        <v>510798.05</v>
      </c>
      <c r="N80" s="80">
        <v>554821</v>
      </c>
      <c r="O80" s="81">
        <f t="shared" si="10"/>
        <v>8722354.4900000002</v>
      </c>
      <c r="Q80" s="59" t="s">
        <v>8</v>
      </c>
      <c r="R80" s="97"/>
      <c r="S80" s="59"/>
      <c r="T80" s="59" t="s">
        <v>170</v>
      </c>
      <c r="U80" s="249">
        <f t="shared" si="11"/>
        <v>1046308.36</v>
      </c>
      <c r="V80" s="249">
        <f t="shared" si="12"/>
        <v>1</v>
      </c>
    </row>
    <row r="81" spans="2:22">
      <c r="B81" s="103" t="s">
        <v>176</v>
      </c>
      <c r="C81" s="79">
        <v>443642.31</v>
      </c>
      <c r="D81" s="79">
        <v>159213.12</v>
      </c>
      <c r="E81" s="79">
        <v>564351.25</v>
      </c>
      <c r="F81" s="79">
        <v>501750.81</v>
      </c>
      <c r="G81" s="79">
        <v>151584.92000000001</v>
      </c>
      <c r="H81" s="79">
        <v>66084.59</v>
      </c>
      <c r="I81" s="79">
        <v>44737.49</v>
      </c>
      <c r="J81" s="79">
        <v>60319.68</v>
      </c>
      <c r="K81" s="79">
        <v>51828</v>
      </c>
      <c r="L81" s="79">
        <v>40617.43</v>
      </c>
      <c r="M81" s="79">
        <v>29598.33</v>
      </c>
      <c r="N81" s="80">
        <v>364423.67</v>
      </c>
      <c r="O81" s="81">
        <f t="shared" si="10"/>
        <v>2478151.5999999996</v>
      </c>
      <c r="Q81" s="59" t="s">
        <v>8</v>
      </c>
      <c r="R81" s="97"/>
      <c r="S81" s="59"/>
      <c r="T81" s="59" t="s">
        <v>170</v>
      </c>
      <c r="U81" s="249">
        <f t="shared" si="11"/>
        <v>564351.25</v>
      </c>
      <c r="V81" s="249">
        <f t="shared" si="12"/>
        <v>3</v>
      </c>
    </row>
    <row r="82" spans="2:22">
      <c r="B82" s="103" t="s">
        <v>177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80">
        <v>0</v>
      </c>
      <c r="O82" s="81">
        <f t="shared" si="10"/>
        <v>0</v>
      </c>
      <c r="Q82" s="59" t="s">
        <v>7</v>
      </c>
      <c r="R82" s="97"/>
      <c r="S82" s="59"/>
      <c r="T82" s="59" t="s">
        <v>178</v>
      </c>
      <c r="U82" s="249">
        <f t="shared" si="11"/>
        <v>0</v>
      </c>
      <c r="V82" s="249">
        <f t="shared" si="12"/>
        <v>1</v>
      </c>
    </row>
    <row r="83" spans="2:22">
      <c r="B83" s="64" t="s">
        <v>179</v>
      </c>
      <c r="C83" s="79">
        <v>2518732.09</v>
      </c>
      <c r="D83" s="79">
        <v>2532891.3199999998</v>
      </c>
      <c r="E83" s="79">
        <v>2882061.39</v>
      </c>
      <c r="F83" s="79">
        <v>3014531.13</v>
      </c>
      <c r="G83" s="79">
        <v>3277786.87</v>
      </c>
      <c r="H83" s="79">
        <v>2962665.31</v>
      </c>
      <c r="I83" s="79">
        <v>2827947.14</v>
      </c>
      <c r="J83" s="79">
        <v>3096015.1</v>
      </c>
      <c r="K83" s="79">
        <v>1672663.53</v>
      </c>
      <c r="L83" s="79">
        <v>2371378.1</v>
      </c>
      <c r="M83" s="79">
        <v>2784032.99</v>
      </c>
      <c r="N83" s="80">
        <v>2967803.34</v>
      </c>
      <c r="O83" s="81">
        <f t="shared" si="10"/>
        <v>32908508.310000006</v>
      </c>
      <c r="Q83" s="59" t="s">
        <v>8</v>
      </c>
      <c r="R83" s="97"/>
      <c r="S83" s="59"/>
      <c r="T83" s="59" t="s">
        <v>170</v>
      </c>
      <c r="U83" s="249">
        <f t="shared" si="11"/>
        <v>3277786.87</v>
      </c>
      <c r="V83" s="249">
        <f t="shared" si="12"/>
        <v>5</v>
      </c>
    </row>
    <row r="84" spans="2:22">
      <c r="B84" s="64" t="s">
        <v>180</v>
      </c>
      <c r="C84" s="79">
        <v>1240022.92</v>
      </c>
      <c r="D84" s="79">
        <v>1119431.53</v>
      </c>
      <c r="E84" s="79">
        <v>930713.02</v>
      </c>
      <c r="F84" s="79">
        <v>928174.53</v>
      </c>
      <c r="G84" s="79">
        <v>927139.2</v>
      </c>
      <c r="H84" s="79">
        <v>899220.64</v>
      </c>
      <c r="I84" s="79">
        <v>930095.08</v>
      </c>
      <c r="J84" s="79">
        <v>931051.65</v>
      </c>
      <c r="K84" s="79">
        <v>899114.38</v>
      </c>
      <c r="L84" s="79">
        <v>930082.44</v>
      </c>
      <c r="M84" s="104">
        <v>900132.08</v>
      </c>
      <c r="N84" s="80">
        <v>927812.6</v>
      </c>
      <c r="O84" s="81">
        <f t="shared" si="10"/>
        <v>11562990.07</v>
      </c>
      <c r="Q84" s="59" t="s">
        <v>8</v>
      </c>
      <c r="R84" s="97"/>
      <c r="S84" s="59"/>
      <c r="T84" s="59" t="s">
        <v>170</v>
      </c>
      <c r="U84" s="249">
        <f t="shared" si="11"/>
        <v>1240022.92</v>
      </c>
      <c r="V84" s="249">
        <f t="shared" si="12"/>
        <v>1</v>
      </c>
    </row>
    <row r="85" spans="2:22">
      <c r="B85" s="64" t="s">
        <v>181</v>
      </c>
      <c r="C85" s="79">
        <v>13840135.09</v>
      </c>
      <c r="D85" s="79">
        <v>12673863.35</v>
      </c>
      <c r="E85" s="79">
        <v>12902116.82</v>
      </c>
      <c r="F85" s="79">
        <v>12728771.699999999</v>
      </c>
      <c r="G85" s="79">
        <v>12469234.77</v>
      </c>
      <c r="H85" s="79">
        <v>11398744.890000001</v>
      </c>
      <c r="I85" s="79">
        <v>13969606.76</v>
      </c>
      <c r="J85" s="79">
        <v>13268415.75</v>
      </c>
      <c r="K85" s="79">
        <v>12470271.99</v>
      </c>
      <c r="L85" s="79">
        <v>13318620.199999999</v>
      </c>
      <c r="M85" s="79">
        <v>12449911.01</v>
      </c>
      <c r="N85" s="80">
        <v>13247820.470000001</v>
      </c>
      <c r="O85" s="81">
        <f t="shared" si="10"/>
        <v>154737512.79999998</v>
      </c>
      <c r="Q85" s="59" t="s">
        <v>8</v>
      </c>
      <c r="R85" s="97"/>
      <c r="S85" s="59"/>
      <c r="T85" s="59" t="s">
        <v>170</v>
      </c>
      <c r="U85" s="249">
        <f t="shared" si="11"/>
        <v>13969606.76</v>
      </c>
      <c r="V85" s="249">
        <f t="shared" si="12"/>
        <v>7</v>
      </c>
    </row>
    <row r="86" spans="2:22">
      <c r="B86" s="64" t="s">
        <v>182</v>
      </c>
      <c r="C86" s="79"/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80">
        <v>0</v>
      </c>
      <c r="O86" s="81">
        <f t="shared" si="10"/>
        <v>0</v>
      </c>
      <c r="Q86" s="59" t="s">
        <v>8</v>
      </c>
      <c r="R86" s="97"/>
      <c r="S86" s="59"/>
      <c r="T86" s="59" t="s">
        <v>170</v>
      </c>
      <c r="U86" s="249">
        <f t="shared" si="11"/>
        <v>0</v>
      </c>
      <c r="V86" s="249">
        <f t="shared" si="12"/>
        <v>2</v>
      </c>
    </row>
    <row r="87" spans="2:22">
      <c r="B87" s="64" t="s">
        <v>183</v>
      </c>
      <c r="C87" s="79">
        <v>121445.99</v>
      </c>
      <c r="D87" s="79">
        <v>130977.94</v>
      </c>
      <c r="E87" s="79">
        <v>126903.44</v>
      </c>
      <c r="F87" s="79">
        <v>117648.39</v>
      </c>
      <c r="G87" s="79">
        <v>124008.19</v>
      </c>
      <c r="H87" s="79">
        <v>134436.57999999999</v>
      </c>
      <c r="I87" s="79">
        <v>120024.95</v>
      </c>
      <c r="J87" s="79">
        <v>128962.69</v>
      </c>
      <c r="K87" s="79">
        <v>142180.82</v>
      </c>
      <c r="L87" s="79">
        <v>126341.95</v>
      </c>
      <c r="M87" s="104">
        <v>134115.01999999999</v>
      </c>
      <c r="N87" s="80">
        <v>149537.49</v>
      </c>
      <c r="O87" s="81">
        <f t="shared" si="10"/>
        <v>1556583.45</v>
      </c>
      <c r="Q87" s="59" t="s">
        <v>7</v>
      </c>
      <c r="R87" s="97"/>
      <c r="S87" s="59"/>
      <c r="T87" s="59" t="s">
        <v>170</v>
      </c>
      <c r="U87" s="249">
        <f t="shared" si="11"/>
        <v>149537.49</v>
      </c>
      <c r="V87" s="249">
        <f t="shared" si="12"/>
        <v>12</v>
      </c>
    </row>
    <row r="88" spans="2:22">
      <c r="B88" s="64" t="s">
        <v>184</v>
      </c>
      <c r="C88" s="79">
        <v>1003258.03</v>
      </c>
      <c r="D88" s="79">
        <v>1082710.43</v>
      </c>
      <c r="E88" s="79">
        <v>1076317.81</v>
      </c>
      <c r="F88" s="79">
        <v>830295.25</v>
      </c>
      <c r="G88" s="79">
        <v>1128409.94</v>
      </c>
      <c r="H88" s="79">
        <v>1292336.2</v>
      </c>
      <c r="I88" s="79">
        <v>1106240.6200000001</v>
      </c>
      <c r="J88" s="79">
        <v>1291714.99</v>
      </c>
      <c r="K88" s="79">
        <v>1271821.23</v>
      </c>
      <c r="L88" s="79">
        <v>1358289.79</v>
      </c>
      <c r="M88" s="104">
        <v>1375023.89</v>
      </c>
      <c r="N88" s="80">
        <v>1382109.07</v>
      </c>
      <c r="O88" s="81">
        <f t="shared" si="10"/>
        <v>14198527.25</v>
      </c>
      <c r="Q88" s="59" t="s">
        <v>7</v>
      </c>
      <c r="R88" s="97"/>
      <c r="S88" s="59"/>
      <c r="T88" s="59" t="s">
        <v>178</v>
      </c>
      <c r="U88" s="249">
        <f t="shared" si="11"/>
        <v>1382109.07</v>
      </c>
      <c r="V88" s="249">
        <f t="shared" si="12"/>
        <v>12</v>
      </c>
    </row>
    <row r="89" spans="2:22">
      <c r="B89" s="65" t="s">
        <v>185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80">
        <v>0</v>
      </c>
      <c r="O89" s="81">
        <f t="shared" si="10"/>
        <v>0</v>
      </c>
      <c r="Q89" s="59" t="s">
        <v>8</v>
      </c>
      <c r="R89" s="97"/>
      <c r="S89" s="59"/>
      <c r="T89" s="59" t="s">
        <v>178</v>
      </c>
      <c r="U89" s="249">
        <f t="shared" si="11"/>
        <v>0</v>
      </c>
      <c r="V89" s="249">
        <f t="shared" si="12"/>
        <v>1</v>
      </c>
    </row>
    <row r="90" spans="2:22">
      <c r="B90" s="87" t="s">
        <v>186</v>
      </c>
      <c r="C90" s="105">
        <v>22710837.279999997</v>
      </c>
      <c r="D90" s="105">
        <v>21073436.850000001</v>
      </c>
      <c r="E90" s="105">
        <v>22856880.300000001</v>
      </c>
      <c r="F90" s="105">
        <v>21601515.43</v>
      </c>
      <c r="G90" s="105">
        <v>21638296.910000004</v>
      </c>
      <c r="H90" s="105">
        <v>21326377.190000001</v>
      </c>
      <c r="I90" s="105">
        <v>23706580.710000001</v>
      </c>
      <c r="J90" s="105">
        <v>22348313.100000001</v>
      </c>
      <c r="K90" s="105">
        <v>20124164.800000001</v>
      </c>
      <c r="L90" s="105">
        <v>22895356.659999996</v>
      </c>
      <c r="M90" s="105">
        <v>21612463.900000002</v>
      </c>
      <c r="N90" s="105">
        <f>SUM(N75:N89)</f>
        <v>23227423.830000002</v>
      </c>
      <c r="O90" s="81">
        <f t="shared" si="10"/>
        <v>265121646.96000001</v>
      </c>
      <c r="U90" s="249"/>
      <c r="V90" s="249"/>
    </row>
    <row r="91" spans="2:22">
      <c r="B91" s="63" t="s">
        <v>187</v>
      </c>
      <c r="C91" s="101"/>
      <c r="D91" s="101"/>
      <c r="E91" s="101"/>
      <c r="F91" s="101"/>
      <c r="G91" s="101"/>
      <c r="H91" s="101"/>
      <c r="I91" s="101"/>
      <c r="J91" s="106"/>
      <c r="K91" s="106"/>
      <c r="L91" s="101"/>
      <c r="M91" s="101"/>
      <c r="N91" s="101"/>
      <c r="O91" s="81">
        <f t="shared" si="10"/>
        <v>0</v>
      </c>
      <c r="U91" s="249"/>
      <c r="V91" s="249"/>
    </row>
    <row r="92" spans="2:22">
      <c r="B92" s="6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81">
        <f t="shared" si="10"/>
        <v>0</v>
      </c>
      <c r="U92" s="249"/>
      <c r="V92" s="249"/>
    </row>
    <row r="93" spans="2:22">
      <c r="B93" s="108" t="s">
        <v>188</v>
      </c>
      <c r="C93" s="79">
        <v>309681.76</v>
      </c>
      <c r="D93" s="79">
        <v>294312.24</v>
      </c>
      <c r="E93" s="79">
        <v>314452.11</v>
      </c>
      <c r="F93" s="79">
        <v>308468.38</v>
      </c>
      <c r="G93" s="79">
        <v>307226.78999999998</v>
      </c>
      <c r="H93" s="79">
        <v>302496.23</v>
      </c>
      <c r="I93" s="79">
        <v>307231.27</v>
      </c>
      <c r="J93" s="79">
        <v>284256.03999999998</v>
      </c>
      <c r="K93" s="79">
        <v>290488.78999999998</v>
      </c>
      <c r="L93" s="79">
        <v>300857.48</v>
      </c>
      <c r="M93" s="79">
        <v>289838.59000000003</v>
      </c>
      <c r="N93" s="79">
        <v>291449.27</v>
      </c>
      <c r="O93" s="81">
        <f t="shared" si="10"/>
        <v>3600758.95</v>
      </c>
      <c r="Q93" s="59" t="s">
        <v>8</v>
      </c>
      <c r="R93" s="97"/>
      <c r="S93" s="59"/>
      <c r="T93" s="59" t="s">
        <v>170</v>
      </c>
      <c r="U93" s="249">
        <f t="shared" si="11"/>
        <v>314452.11</v>
      </c>
      <c r="V93" s="249">
        <f t="shared" si="12"/>
        <v>3</v>
      </c>
    </row>
    <row r="94" spans="2:22">
      <c r="B94" s="109" t="s">
        <v>189</v>
      </c>
      <c r="C94" s="79">
        <v>1445562.13</v>
      </c>
      <c r="D94" s="79">
        <v>1432220.56</v>
      </c>
      <c r="E94" s="79">
        <v>1566908.62</v>
      </c>
      <c r="F94" s="79">
        <v>1498364.84</v>
      </c>
      <c r="G94" s="79">
        <v>1509558.41</v>
      </c>
      <c r="H94" s="79">
        <v>1483841.36</v>
      </c>
      <c r="I94" s="79">
        <v>1484492.59</v>
      </c>
      <c r="J94" s="79">
        <v>1405670.33</v>
      </c>
      <c r="K94" s="79">
        <v>1457530.04</v>
      </c>
      <c r="L94" s="79">
        <v>1604838.58</v>
      </c>
      <c r="M94" s="104">
        <v>1592843.42</v>
      </c>
      <c r="N94" s="79">
        <v>1620443.73</v>
      </c>
      <c r="O94" s="81">
        <f t="shared" si="10"/>
        <v>18102274.609999999</v>
      </c>
      <c r="Q94" s="59" t="s">
        <v>8</v>
      </c>
      <c r="R94" s="97"/>
      <c r="S94" s="59"/>
      <c r="T94" s="59" t="s">
        <v>170</v>
      </c>
      <c r="U94" s="249">
        <f t="shared" si="11"/>
        <v>1620443.73</v>
      </c>
      <c r="V94" s="249">
        <f t="shared" si="12"/>
        <v>12</v>
      </c>
    </row>
    <row r="95" spans="2:22">
      <c r="B95" s="110" t="s">
        <v>225</v>
      </c>
      <c r="C95" s="79">
        <v>53158.23</v>
      </c>
      <c r="D95" s="79">
        <v>0</v>
      </c>
      <c r="E95" s="79">
        <v>5677.06</v>
      </c>
      <c r="F95" s="79">
        <v>0</v>
      </c>
      <c r="G95" s="79">
        <v>0</v>
      </c>
      <c r="H95" s="79">
        <v>4659.83</v>
      </c>
      <c r="I95" s="79">
        <v>90763.22</v>
      </c>
      <c r="J95" s="79">
        <v>7213.99</v>
      </c>
      <c r="K95" s="79">
        <v>0</v>
      </c>
      <c r="L95" s="79">
        <v>79623.62</v>
      </c>
      <c r="M95" s="79">
        <v>16339.19</v>
      </c>
      <c r="N95" s="79">
        <v>0</v>
      </c>
      <c r="O95" s="81">
        <f t="shared" si="10"/>
        <v>257435.13999999998</v>
      </c>
      <c r="Q95" s="59" t="s">
        <v>7</v>
      </c>
      <c r="R95" s="97"/>
      <c r="S95" s="59"/>
      <c r="T95" s="59" t="s">
        <v>178</v>
      </c>
      <c r="U95" s="249">
        <f t="shared" si="11"/>
        <v>90763.22</v>
      </c>
      <c r="V95" s="249">
        <f t="shared" si="12"/>
        <v>7</v>
      </c>
    </row>
    <row r="96" spans="2:22">
      <c r="B96" s="87" t="s">
        <v>191</v>
      </c>
      <c r="C96" s="105">
        <v>1808402.1199999999</v>
      </c>
      <c r="D96" s="105">
        <v>1726532.8</v>
      </c>
      <c r="E96" s="105">
        <v>1887037.79</v>
      </c>
      <c r="F96" s="105">
        <v>1806833.2200000002</v>
      </c>
      <c r="G96" s="105">
        <v>1816785.2</v>
      </c>
      <c r="H96" s="105">
        <v>1790997.4200000002</v>
      </c>
      <c r="I96" s="105">
        <v>1882487.08</v>
      </c>
      <c r="J96" s="105">
        <v>1697140.36</v>
      </c>
      <c r="K96" s="105">
        <v>1748018.83</v>
      </c>
      <c r="L96" s="105">
        <v>1985319.6800000002</v>
      </c>
      <c r="M96" s="105">
        <v>1899021.2</v>
      </c>
      <c r="N96" s="105">
        <f>SUM(N93:N95)</f>
        <v>1911893</v>
      </c>
      <c r="O96" s="81">
        <f t="shared" si="10"/>
        <v>21960468.699999999</v>
      </c>
      <c r="Q96" s="59" t="s">
        <v>7</v>
      </c>
      <c r="R96" s="97"/>
      <c r="S96" s="59"/>
      <c r="T96" s="59" t="s">
        <v>178</v>
      </c>
      <c r="U96" s="249">
        <f t="shared" si="11"/>
        <v>1985319.6800000002</v>
      </c>
      <c r="V96" s="249">
        <f t="shared" si="12"/>
        <v>10</v>
      </c>
    </row>
    <row r="97" spans="2:22">
      <c r="B97" s="63" t="s">
        <v>192</v>
      </c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81">
        <f t="shared" si="10"/>
        <v>0</v>
      </c>
      <c r="Q97" s="59"/>
      <c r="R97" s="97"/>
      <c r="S97" s="59"/>
      <c r="T97" s="59"/>
      <c r="U97" s="249"/>
      <c r="V97" s="249"/>
    </row>
    <row r="98" spans="2:22">
      <c r="B98" s="109" t="s">
        <v>172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81">
        <f t="shared" si="10"/>
        <v>0</v>
      </c>
      <c r="Q98" s="59"/>
      <c r="R98" s="97"/>
      <c r="S98" s="59"/>
      <c r="T98" s="59"/>
      <c r="U98" s="249"/>
      <c r="V98" s="249"/>
    </row>
    <row r="99" spans="2:22">
      <c r="B99" s="111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81">
        <f t="shared" si="10"/>
        <v>0</v>
      </c>
      <c r="Q99" s="59" t="s">
        <v>8</v>
      </c>
      <c r="R99" s="97"/>
      <c r="S99" s="59"/>
      <c r="T99" s="59" t="s">
        <v>170</v>
      </c>
      <c r="U99" s="249">
        <f t="shared" si="11"/>
        <v>0</v>
      </c>
      <c r="V99" s="249">
        <f t="shared" si="12"/>
        <v>0</v>
      </c>
    </row>
    <row r="100" spans="2:22">
      <c r="B100" s="87" t="s">
        <v>193</v>
      </c>
      <c r="C100" s="88">
        <v>0</v>
      </c>
      <c r="D100" s="88">
        <v>0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1">
        <f t="shared" si="10"/>
        <v>0</v>
      </c>
      <c r="Q100" s="59" t="s">
        <v>8</v>
      </c>
      <c r="R100" s="97"/>
      <c r="S100" s="59"/>
      <c r="T100" s="59" t="s">
        <v>170</v>
      </c>
      <c r="U100" s="249">
        <f t="shared" si="11"/>
        <v>0</v>
      </c>
      <c r="V100" s="249">
        <f t="shared" si="12"/>
        <v>1</v>
      </c>
    </row>
    <row r="101" spans="2:22">
      <c r="B101" s="69" t="s">
        <v>194</v>
      </c>
      <c r="C101" s="70">
        <f t="shared" ref="C101:M101" si="13">+C14+C23+C64+C73+C90+C96+C100</f>
        <v>38422435.480000012</v>
      </c>
      <c r="D101" s="70">
        <f t="shared" si="13"/>
        <v>34863094.829999998</v>
      </c>
      <c r="E101" s="70">
        <f t="shared" si="13"/>
        <v>36971200.970000006</v>
      </c>
      <c r="F101" s="70">
        <f t="shared" si="13"/>
        <v>35307036.629999995</v>
      </c>
      <c r="G101" s="70">
        <f t="shared" si="13"/>
        <v>34151035.630000025</v>
      </c>
      <c r="H101" s="70">
        <f t="shared" si="13"/>
        <v>32510387.700000033</v>
      </c>
      <c r="I101" s="70">
        <f t="shared" si="13"/>
        <v>35492377.110000037</v>
      </c>
      <c r="J101" s="70">
        <f t="shared" si="13"/>
        <v>33590509.940000042</v>
      </c>
      <c r="K101" s="70">
        <f t="shared" si="13"/>
        <v>31327019.210000023</v>
      </c>
      <c r="L101" s="70">
        <f t="shared" si="13"/>
        <v>35009896.800000019</v>
      </c>
      <c r="M101" s="70">
        <f t="shared" si="13"/>
        <v>34511274.370000012</v>
      </c>
      <c r="N101" s="70">
        <f>+N14+N23+N64+N73+N90+N96+N100</f>
        <v>37497325.029999994</v>
      </c>
      <c r="O101" s="81">
        <f>SUM(C101:N101)</f>
        <v>419653593.70000017</v>
      </c>
      <c r="Q101" s="59"/>
      <c r="R101" s="97"/>
      <c r="S101" s="59"/>
      <c r="T101" s="59"/>
      <c r="U101" s="249">
        <f t="shared" si="11"/>
        <v>38422435.480000012</v>
      </c>
      <c r="V101" s="249">
        <f t="shared" si="12"/>
        <v>1</v>
      </c>
    </row>
    <row r="102" spans="2:22">
      <c r="B102" s="113" t="s">
        <v>195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81"/>
      <c r="Q102" s="59"/>
      <c r="R102" s="97"/>
      <c r="S102" s="59"/>
      <c r="T102" s="59"/>
      <c r="U102" s="249"/>
      <c r="V102" s="249"/>
    </row>
    <row r="103" spans="2:22">
      <c r="B103" s="114" t="s">
        <v>196</v>
      </c>
      <c r="C103" s="79">
        <v>0</v>
      </c>
      <c r="D103" s="79"/>
      <c r="E103" s="79"/>
      <c r="F103" s="79"/>
      <c r="G103" s="79"/>
      <c r="H103" s="79"/>
      <c r="I103" s="79"/>
      <c r="J103" s="115"/>
      <c r="K103" s="115"/>
      <c r="L103" s="115"/>
      <c r="M103" s="115"/>
      <c r="N103" s="79"/>
      <c r="O103" s="81">
        <f>SUM(C103:N103)</f>
        <v>0</v>
      </c>
      <c r="Q103" s="59"/>
      <c r="R103" s="97"/>
      <c r="S103" s="59"/>
      <c r="T103" s="59"/>
      <c r="U103" s="249"/>
      <c r="V103" s="249"/>
    </row>
    <row r="104" spans="2:22">
      <c r="B104" s="114" t="s">
        <v>197</v>
      </c>
      <c r="C104" s="79">
        <v>687819.55</v>
      </c>
      <c r="D104" s="79">
        <v>626361.31999999995</v>
      </c>
      <c r="E104" s="79">
        <v>656960.07999999996</v>
      </c>
      <c r="F104" s="79">
        <v>651432.04</v>
      </c>
      <c r="G104" s="79">
        <v>513316.5</v>
      </c>
      <c r="H104" s="79">
        <v>587272.24</v>
      </c>
      <c r="I104" s="79">
        <v>594017.34</v>
      </c>
      <c r="J104" s="79">
        <v>690222.96</v>
      </c>
      <c r="K104" s="79">
        <v>667816.17000000004</v>
      </c>
      <c r="L104" s="115">
        <v>629039.81000000006</v>
      </c>
      <c r="M104" s="115">
        <v>710094.33</v>
      </c>
      <c r="N104" s="115">
        <v>712886.82</v>
      </c>
      <c r="O104" s="81">
        <f>SUM(C104:N104)</f>
        <v>7727239.1600000001</v>
      </c>
      <c r="Q104" s="59"/>
      <c r="R104" s="97"/>
      <c r="S104" s="59"/>
      <c r="T104" s="59"/>
      <c r="U104" s="249">
        <f t="shared" si="11"/>
        <v>712886.82</v>
      </c>
      <c r="V104" s="249"/>
    </row>
    <row r="105" spans="2:22">
      <c r="B105" s="116" t="s">
        <v>198</v>
      </c>
      <c r="C105" s="85">
        <v>113773.33</v>
      </c>
      <c r="D105" s="85">
        <v>80487.59</v>
      </c>
      <c r="E105" s="85">
        <v>77914.559999999998</v>
      </c>
      <c r="F105" s="85">
        <v>51054.59</v>
      </c>
      <c r="G105" s="85">
        <v>42082.31</v>
      </c>
      <c r="H105" s="85">
        <v>32818.32</v>
      </c>
      <c r="I105" s="85">
        <v>34251.160000000003</v>
      </c>
      <c r="J105" s="85">
        <v>25438.74</v>
      </c>
      <c r="K105" s="85">
        <v>26227.18</v>
      </c>
      <c r="L105" s="85">
        <v>83355.399999999994</v>
      </c>
      <c r="M105" s="85">
        <v>167653.10999999999</v>
      </c>
      <c r="N105" s="85">
        <v>95636.23</v>
      </c>
      <c r="O105" s="81">
        <f>SUM(C105:N105)</f>
        <v>830692.5199999999</v>
      </c>
      <c r="Q105" s="59"/>
      <c r="R105" s="97"/>
      <c r="S105" s="59"/>
      <c r="T105" s="59" t="s">
        <v>178</v>
      </c>
      <c r="U105" s="249">
        <f t="shared" si="11"/>
        <v>167653.10999999999</v>
      </c>
      <c r="V105" s="249"/>
    </row>
    <row r="106" spans="2:22">
      <c r="B106" s="117" t="s">
        <v>199</v>
      </c>
      <c r="C106" s="118">
        <v>801592.88</v>
      </c>
      <c r="D106" s="118">
        <v>706848.90999999992</v>
      </c>
      <c r="E106" s="118">
        <v>734874.6399999999</v>
      </c>
      <c r="F106" s="118">
        <v>702486.63</v>
      </c>
      <c r="G106" s="118">
        <v>555398.81000000006</v>
      </c>
      <c r="H106" s="118">
        <v>620090.55999999994</v>
      </c>
      <c r="I106" s="118">
        <v>628268.5</v>
      </c>
      <c r="J106" s="118">
        <v>715661.7</v>
      </c>
      <c r="K106" s="118">
        <v>694043.35000000009</v>
      </c>
      <c r="L106" s="118">
        <v>712395.21000000008</v>
      </c>
      <c r="M106" s="118">
        <v>877747.44</v>
      </c>
      <c r="N106" s="118">
        <f>SUM(N104:N105)</f>
        <v>808523.04999999993</v>
      </c>
      <c r="O106" s="81">
        <f>SUM(C106:N106)</f>
        <v>8557931.6800000016</v>
      </c>
      <c r="Q106" s="59" t="s">
        <v>8</v>
      </c>
      <c r="R106" s="97"/>
      <c r="S106" s="59"/>
      <c r="T106" s="59" t="s">
        <v>170</v>
      </c>
      <c r="U106" s="249">
        <f t="shared" si="11"/>
        <v>877747.44</v>
      </c>
      <c r="V106" s="249"/>
    </row>
    <row r="107" spans="2:22">
      <c r="B107" s="63" t="s">
        <v>200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81"/>
      <c r="Q107" s="59" t="s">
        <v>8</v>
      </c>
      <c r="R107" s="97"/>
      <c r="S107" s="59"/>
      <c r="T107" s="59" t="s">
        <v>170</v>
      </c>
      <c r="U107" s="249">
        <f t="shared" si="11"/>
        <v>0</v>
      </c>
      <c r="V107" s="249"/>
    </row>
    <row r="108" spans="2:22">
      <c r="B108" s="109" t="s">
        <v>201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19">
        <f>SUM(C108:N108)</f>
        <v>0</v>
      </c>
      <c r="Q108" s="59"/>
      <c r="R108" s="97"/>
      <c r="S108" s="59"/>
      <c r="T108" s="59"/>
      <c r="U108" s="249">
        <f t="shared" si="11"/>
        <v>0</v>
      </c>
      <c r="V108" s="249"/>
    </row>
    <row r="109" spans="2:22">
      <c r="B109" s="109" t="s">
        <v>202</v>
      </c>
      <c r="C109" s="120">
        <v>1278269.95</v>
      </c>
      <c r="D109" s="120">
        <v>1211499.71</v>
      </c>
      <c r="E109" s="120">
        <v>1262949.8899999999</v>
      </c>
      <c r="F109" s="120">
        <v>222529.75</v>
      </c>
      <c r="G109" s="120">
        <v>2293900.06</v>
      </c>
      <c r="H109" s="120">
        <v>1585420.32</v>
      </c>
      <c r="I109" s="120">
        <v>1528919.9</v>
      </c>
      <c r="J109" s="120">
        <v>1500509.97</v>
      </c>
      <c r="K109" s="120">
        <v>1518499.9</v>
      </c>
      <c r="L109" s="120">
        <v>1451659.78</v>
      </c>
      <c r="M109" s="120">
        <v>1200650.24</v>
      </c>
      <c r="N109" s="121">
        <v>1286039.96</v>
      </c>
      <c r="O109" s="119">
        <f>SUM(C109:N109)</f>
        <v>16340849.43</v>
      </c>
      <c r="Q109" s="59"/>
      <c r="R109" s="97"/>
      <c r="S109" s="59"/>
      <c r="T109" s="59"/>
      <c r="U109" s="249">
        <f t="shared" si="11"/>
        <v>2293900.06</v>
      </c>
      <c r="V109" s="249"/>
    </row>
    <row r="110" spans="2:22">
      <c r="B110" s="111" t="s">
        <v>203</v>
      </c>
      <c r="C110" s="120">
        <v>2090230.19</v>
      </c>
      <c r="D110" s="120">
        <v>550299.93999999994</v>
      </c>
      <c r="E110" s="120">
        <v>1914889.86</v>
      </c>
      <c r="F110" s="120">
        <v>2000699.79</v>
      </c>
      <c r="G110" s="120">
        <v>1523319.73</v>
      </c>
      <c r="H110" s="120">
        <v>336669.68</v>
      </c>
      <c r="I110" s="120">
        <v>346159.68</v>
      </c>
      <c r="J110" s="120">
        <v>351459.86</v>
      </c>
      <c r="K110" s="120">
        <v>319529.98</v>
      </c>
      <c r="L110" s="120">
        <v>314750.21999999997</v>
      </c>
      <c r="M110" s="120">
        <v>346790.35</v>
      </c>
      <c r="N110" s="121">
        <v>1907060.35</v>
      </c>
      <c r="O110" s="119">
        <f>SUM(C110:N110)</f>
        <v>12001859.629999999</v>
      </c>
      <c r="Q110" s="59"/>
      <c r="R110" s="97"/>
      <c r="S110" s="59"/>
      <c r="T110" s="59"/>
      <c r="U110" s="249">
        <f t="shared" si="11"/>
        <v>2090230.19</v>
      </c>
      <c r="V110" s="249"/>
    </row>
    <row r="111" spans="2:22">
      <c r="B111" s="87" t="s">
        <v>204</v>
      </c>
      <c r="C111" s="118">
        <v>3368500.1399999997</v>
      </c>
      <c r="D111" s="118">
        <v>1761799.65</v>
      </c>
      <c r="E111" s="118">
        <v>3177839.75</v>
      </c>
      <c r="F111" s="118">
        <v>2223229.54</v>
      </c>
      <c r="G111" s="118">
        <v>3817219.79</v>
      </c>
      <c r="H111" s="118">
        <v>1922090</v>
      </c>
      <c r="I111" s="118">
        <v>1875079.5799999998</v>
      </c>
      <c r="J111" s="118">
        <v>1851969.83</v>
      </c>
      <c r="K111" s="118">
        <v>1838029.88</v>
      </c>
      <c r="L111" s="118">
        <v>1766410</v>
      </c>
      <c r="M111" s="118">
        <v>1547440.5899999999</v>
      </c>
      <c r="N111" s="118">
        <f>SUM(N109:N110)</f>
        <v>3193100.31</v>
      </c>
      <c r="O111" s="119">
        <f>SUM(C111:N111)</f>
        <v>28342709.059999991</v>
      </c>
      <c r="Q111" s="59" t="s">
        <v>8</v>
      </c>
      <c r="R111" s="97"/>
      <c r="S111" s="59"/>
      <c r="T111" s="59" t="s">
        <v>170</v>
      </c>
      <c r="U111" s="249">
        <f t="shared" si="11"/>
        <v>3817219.79</v>
      </c>
      <c r="V111" s="249"/>
    </row>
    <row r="112" spans="2:22">
      <c r="B112" s="69" t="s">
        <v>205</v>
      </c>
      <c r="C112" s="122">
        <v>4170093.0199999996</v>
      </c>
      <c r="D112" s="122">
        <v>2468648.5599999996</v>
      </c>
      <c r="E112" s="122">
        <v>3912714.3899999997</v>
      </c>
      <c r="F112" s="122">
        <v>2925716.17</v>
      </c>
      <c r="G112" s="122">
        <v>4372618.5999999996</v>
      </c>
      <c r="H112" s="122">
        <v>2542180.56</v>
      </c>
      <c r="I112" s="122">
        <v>2503348.08</v>
      </c>
      <c r="J112" s="122">
        <v>2567631.5300000003</v>
      </c>
      <c r="K112" s="122">
        <v>2532073.23</v>
      </c>
      <c r="L112" s="122">
        <v>2478805.21</v>
      </c>
      <c r="M112" s="122">
        <v>2425188.0299999998</v>
      </c>
      <c r="N112" s="70">
        <f>+N106+N111</f>
        <v>4001623.36</v>
      </c>
      <c r="O112" s="119">
        <f>SUM(C112:N112)</f>
        <v>36900640.740000002</v>
      </c>
      <c r="Q112" s="59" t="s">
        <v>8</v>
      </c>
      <c r="R112" s="97"/>
      <c r="S112" s="59"/>
      <c r="T112" s="59" t="s">
        <v>170</v>
      </c>
      <c r="U112" s="249">
        <f t="shared" si="11"/>
        <v>4372618.5999999996</v>
      </c>
      <c r="V112" s="249"/>
    </row>
    <row r="113" spans="2:22">
      <c r="B113" s="7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U113" s="249">
        <f t="shared" si="11"/>
        <v>0</v>
      </c>
      <c r="V113" s="249">
        <f t="shared" si="12"/>
        <v>0</v>
      </c>
    </row>
    <row r="114" spans="2:22">
      <c r="B114" s="124" t="s">
        <v>219</v>
      </c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U114" s="249">
        <f t="shared" si="11"/>
        <v>0</v>
      </c>
      <c r="V114" s="249">
        <f t="shared" si="12"/>
        <v>0</v>
      </c>
    </row>
    <row r="115" spans="2:22">
      <c r="B115" s="125" t="s">
        <v>138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U115" s="249">
        <f t="shared" si="11"/>
        <v>0</v>
      </c>
      <c r="V115" s="249">
        <f t="shared" si="12"/>
        <v>0</v>
      </c>
    </row>
    <row r="116" spans="2:22">
      <c r="B116" s="125" t="s">
        <v>141</v>
      </c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U116" s="249">
        <f t="shared" si="11"/>
        <v>0</v>
      </c>
      <c r="V116" s="249">
        <f t="shared" si="12"/>
        <v>0</v>
      </c>
    </row>
    <row r="117" spans="2:22">
      <c r="B117" s="125" t="s">
        <v>145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U117" s="249">
        <f t="shared" si="11"/>
        <v>0</v>
      </c>
      <c r="V117" s="249">
        <f t="shared" si="12"/>
        <v>0</v>
      </c>
    </row>
    <row r="118" spans="2:22">
      <c r="B118" s="125" t="s">
        <v>146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U118" s="249">
        <f t="shared" si="11"/>
        <v>0</v>
      </c>
      <c r="V118" s="249">
        <f t="shared" si="12"/>
        <v>0</v>
      </c>
    </row>
    <row r="119" spans="2:22">
      <c r="B119" s="125" t="s">
        <v>149</v>
      </c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U119" s="249">
        <f t="shared" si="11"/>
        <v>0</v>
      </c>
      <c r="V119" s="249">
        <f t="shared" si="12"/>
        <v>0</v>
      </c>
    </row>
    <row r="120" spans="2:22">
      <c r="B120" s="125" t="s">
        <v>220</v>
      </c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U120" s="249">
        <f t="shared" si="11"/>
        <v>0</v>
      </c>
      <c r="V120" s="249">
        <f t="shared" si="12"/>
        <v>0</v>
      </c>
    </row>
    <row r="121" spans="2:22">
      <c r="B121" s="126" t="s">
        <v>221</v>
      </c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U121" s="249">
        <f t="shared" si="11"/>
        <v>0</v>
      </c>
      <c r="V121" s="249">
        <f t="shared" si="12"/>
        <v>0</v>
      </c>
    </row>
    <row r="122" spans="2:22">
      <c r="B122" s="126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U122" s="249">
        <f t="shared" si="11"/>
        <v>0</v>
      </c>
      <c r="V122" s="249">
        <f t="shared" si="12"/>
        <v>0</v>
      </c>
    </row>
    <row r="123" spans="2:22">
      <c r="B123" s="124" t="s">
        <v>222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U123" s="249">
        <f t="shared" si="11"/>
        <v>0</v>
      </c>
      <c r="V123" s="249">
        <f t="shared" si="12"/>
        <v>0</v>
      </c>
    </row>
    <row r="124" spans="2:22">
      <c r="B124" s="125" t="s">
        <v>146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U124" s="249">
        <f t="shared" si="11"/>
        <v>0</v>
      </c>
      <c r="V124" s="249">
        <f t="shared" si="12"/>
        <v>0</v>
      </c>
    </row>
    <row r="125" spans="2:22">
      <c r="B125" s="125" t="s">
        <v>149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U125" s="249">
        <f t="shared" si="11"/>
        <v>0</v>
      </c>
      <c r="V125" s="249">
        <f t="shared" si="12"/>
        <v>0</v>
      </c>
    </row>
    <row r="126" spans="2:22">
      <c r="B126" s="126" t="s">
        <v>223</v>
      </c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U126" s="249">
        <f t="shared" si="11"/>
        <v>0</v>
      </c>
      <c r="V126" s="249">
        <f t="shared" si="12"/>
        <v>0</v>
      </c>
    </row>
    <row r="127" spans="2:22">
      <c r="B127" s="127" t="s">
        <v>320</v>
      </c>
      <c r="C127" s="128">
        <v>42592528.500000015</v>
      </c>
      <c r="D127" s="128">
        <v>37331743.389999993</v>
      </c>
      <c r="E127" s="128">
        <v>40883915.360000007</v>
      </c>
      <c r="F127" s="128">
        <v>38232752.799999997</v>
      </c>
      <c r="G127" s="128">
        <v>38523654.230000027</v>
      </c>
      <c r="H127" s="128">
        <v>35052568.260000035</v>
      </c>
      <c r="I127" s="128">
        <v>37995725.190000035</v>
      </c>
      <c r="J127" s="128">
        <v>36158141.470000044</v>
      </c>
      <c r="K127" s="128">
        <v>33859092.440000027</v>
      </c>
      <c r="L127" s="128">
        <v>37488702.01000002</v>
      </c>
      <c r="M127" s="128">
        <v>36936462.400000006</v>
      </c>
      <c r="N127" s="74">
        <f>SUM(N14,N23,N64,N73,N90,N96,N100,N106,N111)</f>
        <v>41498948.389999993</v>
      </c>
      <c r="O127" s="128">
        <f>SUM(C127:N127)</f>
        <v>456554234.44000018</v>
      </c>
      <c r="U127" s="249">
        <f t="shared" si="11"/>
        <v>42592528.500000015</v>
      </c>
      <c r="V127" s="249">
        <f t="shared" si="12"/>
        <v>1</v>
      </c>
    </row>
    <row r="128" spans="2:22">
      <c r="B128" s="129" t="s">
        <v>321</v>
      </c>
      <c r="C128" s="130">
        <v>39224028.360000014</v>
      </c>
      <c r="D128" s="130">
        <v>35569943.739999995</v>
      </c>
      <c r="E128" s="130">
        <v>37706075.610000007</v>
      </c>
      <c r="F128" s="130">
        <v>36009523.259999998</v>
      </c>
      <c r="G128" s="130">
        <v>34706434.440000027</v>
      </c>
      <c r="H128" s="130">
        <v>33130478.260000035</v>
      </c>
      <c r="I128" s="130">
        <v>36120645.610000037</v>
      </c>
      <c r="J128" s="130">
        <v>34306171.640000045</v>
      </c>
      <c r="K128" s="130">
        <v>32021062.560000028</v>
      </c>
      <c r="L128" s="130">
        <v>35722292.01000002</v>
      </c>
      <c r="M128" s="130">
        <v>35389021.810000002</v>
      </c>
      <c r="N128" s="131">
        <f>N127-N111</f>
        <v>38305848.079999991</v>
      </c>
      <c r="O128" s="130">
        <f>SUM(C128:N128)</f>
        <v>428211525.38000023</v>
      </c>
    </row>
    <row r="130" spans="2:22">
      <c r="O130" s="14"/>
      <c r="R130" s="132"/>
    </row>
    <row r="131" spans="2:22">
      <c r="O131" s="14"/>
      <c r="R131" s="132"/>
    </row>
    <row r="132" spans="2:22">
      <c r="B132" s="257"/>
      <c r="O132" s="14"/>
      <c r="R132" s="132"/>
    </row>
    <row r="133" spans="2:22">
      <c r="O133" s="14"/>
      <c r="R133" s="132"/>
    </row>
    <row r="134" spans="2:22">
      <c r="B134" s="258" t="s">
        <v>722</v>
      </c>
      <c r="C134" s="259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</row>
    <row r="135" spans="2:22">
      <c r="B135" s="260" t="s">
        <v>285</v>
      </c>
      <c r="C135" s="261">
        <v>7444.43</v>
      </c>
      <c r="D135" s="261">
        <v>6717.3000000000011</v>
      </c>
      <c r="E135" s="261">
        <v>5171.75</v>
      </c>
      <c r="F135" s="261">
        <v>4386.2</v>
      </c>
      <c r="G135" s="261">
        <v>3092.4900000000002</v>
      </c>
      <c r="H135" s="261">
        <v>1731.0099999999998</v>
      </c>
      <c r="I135" s="261">
        <v>1387.48</v>
      </c>
      <c r="J135" s="261">
        <v>1146.5999999999999</v>
      </c>
      <c r="K135" s="261">
        <v>1398.5400000000002</v>
      </c>
      <c r="L135" s="261">
        <v>1863.93</v>
      </c>
      <c r="M135" s="261">
        <v>3941.34</v>
      </c>
      <c r="N135" s="261">
        <v>6048.09</v>
      </c>
      <c r="O135" s="261">
        <v>44329.16</v>
      </c>
      <c r="P135" s="259"/>
      <c r="Q135" s="262" t="s">
        <v>5</v>
      </c>
      <c r="R135" s="97" t="s">
        <v>285</v>
      </c>
      <c r="T135" s="59" t="s">
        <v>723</v>
      </c>
      <c r="U135" s="249">
        <f t="shared" ref="U135:U140" si="14">MAX(C135:N135)</f>
        <v>7444.43</v>
      </c>
      <c r="V135" s="249">
        <f t="shared" ref="V135:V140" si="15">IFERROR(INDEX($C$1:$N$1,MATCH(U135,C135:N135,0)),0)</f>
        <v>1</v>
      </c>
    </row>
    <row r="136" spans="2:22">
      <c r="B136" s="260" t="s">
        <v>286</v>
      </c>
      <c r="C136" s="261">
        <v>2297.7399999999998</v>
      </c>
      <c r="D136" s="261">
        <v>2232.9499999999998</v>
      </c>
      <c r="E136" s="261">
        <v>2163.25</v>
      </c>
      <c r="F136" s="261">
        <v>2491.9499999999998</v>
      </c>
      <c r="G136" s="261">
        <v>2580.42</v>
      </c>
      <c r="H136" s="261">
        <v>2354.73</v>
      </c>
      <c r="I136" s="261">
        <v>2458.98</v>
      </c>
      <c r="J136" s="261">
        <v>2087.1</v>
      </c>
      <c r="K136" s="261">
        <v>2820.5199999999995</v>
      </c>
      <c r="L136" s="261">
        <v>2287.08</v>
      </c>
      <c r="M136" s="261">
        <v>2414.16</v>
      </c>
      <c r="N136" s="261">
        <v>2767.4399999999996</v>
      </c>
      <c r="O136" s="261">
        <v>28956.32</v>
      </c>
      <c r="P136" s="259"/>
      <c r="Q136" s="262" t="s">
        <v>5</v>
      </c>
      <c r="R136" s="97" t="s">
        <v>286</v>
      </c>
      <c r="T136" s="59" t="s">
        <v>723</v>
      </c>
      <c r="U136" s="249">
        <f t="shared" si="14"/>
        <v>2820.5199999999995</v>
      </c>
      <c r="V136" s="249">
        <f t="shared" si="15"/>
        <v>9</v>
      </c>
    </row>
    <row r="137" spans="2:22">
      <c r="B137" s="260" t="s">
        <v>287</v>
      </c>
      <c r="C137" s="261">
        <v>14955.78</v>
      </c>
      <c r="D137" s="261">
        <v>13816.58</v>
      </c>
      <c r="E137" s="261">
        <v>10961.56</v>
      </c>
      <c r="F137" s="261">
        <v>13020.56</v>
      </c>
      <c r="G137" s="261">
        <v>11914.47</v>
      </c>
      <c r="H137" s="261">
        <v>11327.23</v>
      </c>
      <c r="I137" s="261">
        <v>3449.21</v>
      </c>
      <c r="J137" s="261">
        <v>13831.349999999999</v>
      </c>
      <c r="K137" s="261">
        <v>8491.91</v>
      </c>
      <c r="L137" s="261">
        <v>11035.48</v>
      </c>
      <c r="M137" s="261">
        <v>13487.19</v>
      </c>
      <c r="N137" s="261">
        <v>15547.46</v>
      </c>
      <c r="O137" s="261">
        <v>141838.77999999997</v>
      </c>
      <c r="P137" s="259"/>
      <c r="Q137" s="262" t="s">
        <v>5</v>
      </c>
      <c r="R137" s="97" t="s">
        <v>287</v>
      </c>
      <c r="T137" s="59" t="s">
        <v>723</v>
      </c>
      <c r="U137" s="249">
        <f t="shared" si="14"/>
        <v>15547.46</v>
      </c>
      <c r="V137" s="249">
        <f t="shared" si="15"/>
        <v>12</v>
      </c>
    </row>
    <row r="138" spans="2:22">
      <c r="B138" s="260" t="s">
        <v>288</v>
      </c>
      <c r="C138" s="261">
        <v>2685.41</v>
      </c>
      <c r="D138" s="261">
        <v>3290.9399999999996</v>
      </c>
      <c r="E138" s="261">
        <v>2677.68</v>
      </c>
      <c r="F138" s="261">
        <v>2564.9499999999998</v>
      </c>
      <c r="G138" s="261">
        <v>2415.52</v>
      </c>
      <c r="H138" s="261">
        <v>2110.79</v>
      </c>
      <c r="I138" s="261">
        <v>1440.57</v>
      </c>
      <c r="J138" s="261">
        <v>1835.02</v>
      </c>
      <c r="K138" s="261">
        <v>1394.97</v>
      </c>
      <c r="L138" s="261">
        <v>1798.1100000000001</v>
      </c>
      <c r="M138" s="261">
        <v>2136.9</v>
      </c>
      <c r="N138" s="261">
        <v>2974.4</v>
      </c>
      <c r="O138" s="261">
        <v>27325.26</v>
      </c>
      <c r="P138" s="259"/>
      <c r="Q138" s="262" t="s">
        <v>5</v>
      </c>
      <c r="R138" s="97" t="s">
        <v>288</v>
      </c>
      <c r="T138" s="59" t="s">
        <v>723</v>
      </c>
      <c r="U138" s="249">
        <f t="shared" si="14"/>
        <v>3290.9399999999996</v>
      </c>
      <c r="V138" s="249">
        <f t="shared" si="15"/>
        <v>2</v>
      </c>
    </row>
    <row r="139" spans="2:22">
      <c r="B139" s="260" t="s">
        <v>289</v>
      </c>
      <c r="C139" s="261">
        <v>11.64</v>
      </c>
      <c r="D139" s="261">
        <v>7.38</v>
      </c>
      <c r="E139" s="261">
        <v>6.3100000000000005</v>
      </c>
      <c r="F139" s="261">
        <v>17.939999999999998</v>
      </c>
      <c r="G139" s="261">
        <v>10.4</v>
      </c>
      <c r="H139" s="261">
        <v>5.2</v>
      </c>
      <c r="I139" s="261">
        <v>9.36</v>
      </c>
      <c r="J139" s="261">
        <v>23.92</v>
      </c>
      <c r="K139" s="261">
        <v>7.35</v>
      </c>
      <c r="L139" s="261">
        <v>8.32</v>
      </c>
      <c r="M139" s="261">
        <v>5.2</v>
      </c>
      <c r="N139" s="261">
        <v>4.17</v>
      </c>
      <c r="O139" s="261">
        <v>117.19</v>
      </c>
      <c r="P139" s="259"/>
      <c r="Q139" s="262" t="s">
        <v>5</v>
      </c>
      <c r="R139" s="97" t="s">
        <v>285</v>
      </c>
      <c r="T139" s="59" t="s">
        <v>723</v>
      </c>
      <c r="U139" s="249">
        <f t="shared" si="14"/>
        <v>23.92</v>
      </c>
      <c r="V139" s="249">
        <f t="shared" si="15"/>
        <v>8</v>
      </c>
    </row>
    <row r="140" spans="2:22">
      <c r="B140" s="260" t="s">
        <v>290</v>
      </c>
      <c r="C140" s="261">
        <v>340.2</v>
      </c>
      <c r="D140" s="261">
        <v>564.90000000000009</v>
      </c>
      <c r="E140" s="261">
        <v>553.35</v>
      </c>
      <c r="F140" s="261">
        <v>452.54999999999995</v>
      </c>
      <c r="G140" s="261">
        <v>595.92000000000007</v>
      </c>
      <c r="H140" s="261">
        <v>406.64</v>
      </c>
      <c r="I140" s="261">
        <v>78</v>
      </c>
      <c r="J140" s="261">
        <v>227.76</v>
      </c>
      <c r="K140" s="261">
        <v>501.9</v>
      </c>
      <c r="L140" s="261">
        <v>713.44</v>
      </c>
      <c r="M140" s="261">
        <v>585.52</v>
      </c>
      <c r="N140" s="261">
        <v>607.36</v>
      </c>
      <c r="O140" s="261">
        <v>5627.5400000000009</v>
      </c>
      <c r="P140" s="259"/>
      <c r="Q140" s="262" t="s">
        <v>5</v>
      </c>
      <c r="R140" s="97" t="s">
        <v>286</v>
      </c>
      <c r="T140" s="59" t="s">
        <v>723</v>
      </c>
      <c r="U140" s="249">
        <f t="shared" si="14"/>
        <v>713.44</v>
      </c>
      <c r="V140" s="249">
        <f t="shared" si="15"/>
        <v>10</v>
      </c>
    </row>
    <row r="146" spans="17:23">
      <c r="V146" s="439">
        <v>1</v>
      </c>
      <c r="W146" s="75">
        <f>COUNTIF($V$2:$V$101,V146)</f>
        <v>43</v>
      </c>
    </row>
    <row r="147" spans="17:23">
      <c r="V147" s="439">
        <v>2</v>
      </c>
      <c r="W147" s="75">
        <f t="shared" ref="W147:W157" si="16">COUNTIF($V$2:$V$101,V147)</f>
        <v>2</v>
      </c>
    </row>
    <row r="148" spans="17:23">
      <c r="Q148" s="100"/>
      <c r="V148" s="439">
        <v>3</v>
      </c>
      <c r="W148" s="75">
        <f t="shared" si="16"/>
        <v>4</v>
      </c>
    </row>
    <row r="149" spans="17:23">
      <c r="Q149" s="97"/>
      <c r="V149" s="439">
        <v>4</v>
      </c>
      <c r="W149" s="75">
        <f t="shared" si="16"/>
        <v>4</v>
      </c>
    </row>
    <row r="150" spans="17:23">
      <c r="Q150" s="97"/>
      <c r="V150" s="439">
        <v>5</v>
      </c>
      <c r="W150" s="75">
        <f t="shared" si="16"/>
        <v>3</v>
      </c>
    </row>
    <row r="151" spans="17:23">
      <c r="Q151" s="97"/>
      <c r="V151" s="439">
        <v>6</v>
      </c>
      <c r="W151" s="75">
        <f t="shared" si="16"/>
        <v>1</v>
      </c>
    </row>
    <row r="152" spans="17:23">
      <c r="Q152" s="97"/>
      <c r="V152" s="439">
        <v>7</v>
      </c>
      <c r="W152" s="75">
        <f t="shared" si="16"/>
        <v>3</v>
      </c>
    </row>
    <row r="153" spans="17:23">
      <c r="Q153" s="97"/>
      <c r="V153" s="439">
        <v>8</v>
      </c>
      <c r="W153" s="75">
        <f t="shared" si="16"/>
        <v>2</v>
      </c>
    </row>
    <row r="154" spans="17:23">
      <c r="Q154" s="97"/>
      <c r="V154" s="439">
        <v>9</v>
      </c>
      <c r="W154" s="75">
        <f t="shared" si="16"/>
        <v>2</v>
      </c>
    </row>
    <row r="155" spans="17:23">
      <c r="Q155" s="97"/>
      <c r="V155" s="439">
        <v>10</v>
      </c>
      <c r="W155" s="75">
        <f t="shared" si="16"/>
        <v>3</v>
      </c>
    </row>
    <row r="156" spans="17:23">
      <c r="Q156" s="97"/>
      <c r="V156" s="439">
        <v>11</v>
      </c>
      <c r="W156" s="75">
        <f t="shared" si="16"/>
        <v>2</v>
      </c>
    </row>
    <row r="157" spans="17:23">
      <c r="Q157" s="97"/>
      <c r="V157" s="439">
        <v>12</v>
      </c>
      <c r="W157" s="75">
        <f t="shared" si="16"/>
        <v>16</v>
      </c>
    </row>
  </sheetData>
  <phoneticPr fontId="59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BF7F-638E-4782-B367-7817C2AA3789}">
  <sheetPr codeName="Sheet25">
    <tabColor theme="0" tint="-0.34998626667073579"/>
  </sheetPr>
  <dimension ref="A1:DB263"/>
  <sheetViews>
    <sheetView workbookViewId="0"/>
  </sheetViews>
  <sheetFormatPr defaultColWidth="9.140625" defaultRowHeight="12.75" outlineLevelRow="1" outlineLevelCol="1"/>
  <cols>
    <col min="1" max="1" width="2.28515625" style="180" customWidth="1" outlineLevel="1"/>
    <col min="2" max="2" width="34.5703125" style="180" bestFit="1" customWidth="1" outlineLevel="1"/>
    <col min="3" max="3" width="21.7109375" style="180" bestFit="1" customWidth="1" outlineLevel="1"/>
    <col min="4" max="4" width="4" style="180" bestFit="1" customWidth="1" outlineLevel="1"/>
    <col min="5" max="5" width="17.7109375" style="97" bestFit="1" customWidth="1" outlineLevel="1"/>
    <col min="6" max="6" width="30.5703125" style="180" customWidth="1"/>
    <col min="7" max="18" width="9.5703125" style="180" hidden="1" customWidth="1" outlineLevel="1"/>
    <col min="19" max="19" width="10.5703125" style="180" hidden="1" customWidth="1" collapsed="1"/>
    <col min="20" max="23" width="13" style="180" hidden="1" customWidth="1" outlineLevel="1"/>
    <col min="24" max="24" width="6.5703125" style="180" hidden="1" customWidth="1" collapsed="1"/>
    <col min="25" max="36" width="11.42578125" style="180" bestFit="1" customWidth="1" outlineLevel="1"/>
    <col min="37" max="37" width="12.42578125" style="180" bestFit="1" customWidth="1"/>
    <col min="38" max="39" width="12.28515625" style="180" bestFit="1" customWidth="1"/>
    <col min="40" max="40" width="22.140625" style="180" customWidth="1"/>
    <col min="41" max="42" width="9.28515625" style="180" customWidth="1"/>
    <col min="43" max="43" width="12.42578125" style="180" bestFit="1" customWidth="1" outlineLevel="1"/>
    <col min="44" max="44" width="9.5703125" style="180" customWidth="1" outlineLevel="1"/>
    <col min="45" max="45" width="8.85546875" style="180" customWidth="1" outlineLevel="1"/>
    <col min="46" max="46" width="10.42578125" style="180" customWidth="1" outlineLevel="1"/>
    <col min="47" max="47" width="7.5703125" style="180" customWidth="1"/>
    <col min="48" max="59" width="8.140625" style="180" customWidth="1" outlineLevel="1"/>
    <col min="60" max="60" width="12.42578125" style="180" bestFit="1" customWidth="1"/>
    <col min="61" max="64" width="8.85546875" style="180" customWidth="1" outlineLevel="1"/>
    <col min="65" max="65" width="4.7109375" style="180" customWidth="1"/>
    <col min="66" max="67" width="7.5703125" style="180" hidden="1" customWidth="1" outlineLevel="1"/>
    <col min="68" max="77" width="8.140625" style="180" customWidth="1" outlineLevel="1"/>
    <col min="78" max="78" width="11.5703125" style="180" hidden="1" customWidth="1"/>
    <col min="79" max="79" width="8.42578125" style="180" hidden="1" customWidth="1" outlineLevel="1"/>
    <col min="80" max="82" width="8.85546875" style="180" hidden="1" customWidth="1" outlineLevel="1"/>
    <col min="83" max="83" width="4.7109375" style="180" customWidth="1" collapsed="1"/>
    <col min="84" max="84" width="9.140625" style="180" hidden="1" customWidth="1" outlineLevel="1"/>
    <col min="85" max="85" width="9.140625" style="181" collapsed="1"/>
    <col min="86" max="97" width="8.140625" style="180" hidden="1" customWidth="1" outlineLevel="1"/>
    <col min="98" max="98" width="19.140625" style="181" hidden="1" customWidth="1" outlineLevel="1"/>
    <col min="99" max="101" width="8.85546875" style="180" hidden="1" customWidth="1" outlineLevel="1"/>
    <col min="102" max="104" width="9.140625" style="181" hidden="1" customWidth="1" outlineLevel="1"/>
    <col min="105" max="105" width="9.140625" style="181" collapsed="1"/>
    <col min="106" max="106" width="9.140625" style="181"/>
    <col min="107" max="16384" width="9.140625" style="180"/>
  </cols>
  <sheetData>
    <row r="1" spans="2:103" ht="13.5" thickBot="1">
      <c r="F1" s="353" t="s">
        <v>224</v>
      </c>
      <c r="G1" s="272" t="s">
        <v>449</v>
      </c>
      <c r="H1" s="272" t="s">
        <v>449</v>
      </c>
      <c r="I1" s="272" t="s">
        <v>449</v>
      </c>
      <c r="J1" s="272" t="s">
        <v>449</v>
      </c>
      <c r="K1" s="272" t="s">
        <v>449</v>
      </c>
      <c r="L1" s="272" t="s">
        <v>449</v>
      </c>
      <c r="M1" s="272" t="s">
        <v>449</v>
      </c>
      <c r="N1" s="272" t="s">
        <v>449</v>
      </c>
      <c r="O1" s="272" t="s">
        <v>449</v>
      </c>
      <c r="P1" s="272" t="s">
        <v>449</v>
      </c>
      <c r="Q1" s="272" t="s">
        <v>449</v>
      </c>
      <c r="R1" s="272" t="s">
        <v>449</v>
      </c>
      <c r="S1" s="272" t="s">
        <v>449</v>
      </c>
      <c r="T1" s="272" t="s">
        <v>449</v>
      </c>
      <c r="U1" s="272" t="s">
        <v>449</v>
      </c>
      <c r="V1" s="272" t="s">
        <v>449</v>
      </c>
      <c r="W1" s="272" t="s">
        <v>449</v>
      </c>
      <c r="X1" s="354"/>
      <c r="Y1" s="272" t="s">
        <v>450</v>
      </c>
      <c r="Z1" s="272" t="s">
        <v>450</v>
      </c>
      <c r="AA1" s="272" t="s">
        <v>450</v>
      </c>
      <c r="AB1" s="272" t="s">
        <v>450</v>
      </c>
      <c r="AC1" s="272" t="s">
        <v>450</v>
      </c>
      <c r="AD1" s="272" t="s">
        <v>450</v>
      </c>
      <c r="AE1" s="272" t="s">
        <v>450</v>
      </c>
      <c r="AF1" s="272" t="s">
        <v>450</v>
      </c>
      <c r="AG1" s="272" t="s">
        <v>450</v>
      </c>
      <c r="AH1" s="272" t="s">
        <v>450</v>
      </c>
      <c r="AI1" s="272" t="s">
        <v>450</v>
      </c>
      <c r="AJ1" s="272" t="s">
        <v>450</v>
      </c>
      <c r="AK1" s="272" t="s">
        <v>450</v>
      </c>
      <c r="AL1" s="272"/>
      <c r="AM1" s="272"/>
      <c r="AN1" s="272"/>
      <c r="AO1" s="272"/>
      <c r="AP1" s="272"/>
      <c r="AQ1" s="272" t="s">
        <v>450</v>
      </c>
      <c r="AR1" s="272" t="s">
        <v>450</v>
      </c>
      <c r="AS1" s="272" t="s">
        <v>450</v>
      </c>
      <c r="AT1" s="355" t="s">
        <v>450</v>
      </c>
      <c r="AU1" s="356"/>
      <c r="AV1" s="357" t="s">
        <v>451</v>
      </c>
      <c r="AW1" s="270" t="s">
        <v>451</v>
      </c>
      <c r="AX1" s="270" t="s">
        <v>451</v>
      </c>
      <c r="AY1" s="270" t="s">
        <v>451</v>
      </c>
      <c r="AZ1" s="270" t="s">
        <v>451</v>
      </c>
      <c r="BA1" s="270" t="s">
        <v>451</v>
      </c>
      <c r="BB1" s="270" t="s">
        <v>451</v>
      </c>
      <c r="BC1" s="270" t="s">
        <v>451</v>
      </c>
      <c r="BD1" s="270" t="s">
        <v>451</v>
      </c>
      <c r="BE1" s="270" t="s">
        <v>451</v>
      </c>
      <c r="BF1" s="270" t="s">
        <v>451</v>
      </c>
      <c r="BG1" s="270" t="s">
        <v>451</v>
      </c>
      <c r="BH1" s="270" t="s">
        <v>451</v>
      </c>
      <c r="BI1" s="270" t="s">
        <v>451</v>
      </c>
      <c r="BJ1" s="270" t="s">
        <v>451</v>
      </c>
      <c r="BK1" s="270" t="s">
        <v>451</v>
      </c>
      <c r="BL1" s="358" t="s">
        <v>451</v>
      </c>
      <c r="BM1" s="356"/>
      <c r="BN1" s="357" t="s">
        <v>452</v>
      </c>
      <c r="BO1" s="357" t="s">
        <v>452</v>
      </c>
      <c r="BP1" s="357" t="s">
        <v>452</v>
      </c>
      <c r="BQ1" s="357" t="s">
        <v>452</v>
      </c>
      <c r="BR1" s="357" t="s">
        <v>452</v>
      </c>
      <c r="BS1" s="357" t="s">
        <v>452</v>
      </c>
      <c r="BT1" s="357" t="s">
        <v>452</v>
      </c>
      <c r="BU1" s="357" t="s">
        <v>452</v>
      </c>
      <c r="BV1" s="357" t="s">
        <v>452</v>
      </c>
      <c r="BW1" s="357" t="s">
        <v>452</v>
      </c>
      <c r="BX1" s="357" t="s">
        <v>452</v>
      </c>
      <c r="BY1" s="357" t="s">
        <v>452</v>
      </c>
      <c r="BZ1" s="357" t="s">
        <v>452</v>
      </c>
      <c r="CA1" s="357" t="s">
        <v>452</v>
      </c>
      <c r="CB1" s="357" t="s">
        <v>452</v>
      </c>
      <c r="CC1" s="357" t="s">
        <v>452</v>
      </c>
      <c r="CD1" s="357" t="s">
        <v>452</v>
      </c>
      <c r="CE1" s="356"/>
      <c r="CH1" s="357" t="s">
        <v>453</v>
      </c>
      <c r="CI1" s="357" t="s">
        <v>453</v>
      </c>
      <c r="CJ1" s="357" t="s">
        <v>453</v>
      </c>
      <c r="CK1" s="357" t="s">
        <v>453</v>
      </c>
      <c r="CL1" s="357" t="s">
        <v>453</v>
      </c>
      <c r="CM1" s="357" t="s">
        <v>453</v>
      </c>
      <c r="CN1" s="357" t="s">
        <v>453</v>
      </c>
      <c r="CO1" s="357" t="s">
        <v>453</v>
      </c>
      <c r="CP1" s="357" t="s">
        <v>453</v>
      </c>
      <c r="CQ1" s="357" t="s">
        <v>453</v>
      </c>
      <c r="CR1" s="357" t="s">
        <v>453</v>
      </c>
      <c r="CS1" s="357" t="s">
        <v>453</v>
      </c>
      <c r="CU1" s="357"/>
      <c r="CV1" s="357"/>
      <c r="CW1" s="357"/>
    </row>
    <row r="2" spans="2:103">
      <c r="F2" s="359">
        <v>12</v>
      </c>
      <c r="G2" s="360" t="s">
        <v>454</v>
      </c>
      <c r="H2" s="360" t="s">
        <v>454</v>
      </c>
      <c r="I2" s="360" t="s">
        <v>454</v>
      </c>
      <c r="J2" s="360" t="s">
        <v>455</v>
      </c>
      <c r="K2" s="360" t="s">
        <v>455</v>
      </c>
      <c r="L2" s="360" t="s">
        <v>455</v>
      </c>
      <c r="M2" s="360" t="s">
        <v>456</v>
      </c>
      <c r="N2" s="360" t="s">
        <v>456</v>
      </c>
      <c r="O2" s="360" t="s">
        <v>456</v>
      </c>
      <c r="P2" s="360" t="s">
        <v>457</v>
      </c>
      <c r="Q2" s="360" t="s">
        <v>457</v>
      </c>
      <c r="R2" s="360" t="s">
        <v>457</v>
      </c>
      <c r="T2" s="361" t="s">
        <v>454</v>
      </c>
      <c r="U2" s="361" t="s">
        <v>455</v>
      </c>
      <c r="V2" s="361" t="s">
        <v>456</v>
      </c>
      <c r="W2" s="361" t="s">
        <v>457</v>
      </c>
      <c r="X2" s="362"/>
      <c r="Y2" s="360" t="s">
        <v>458</v>
      </c>
      <c r="Z2" s="360" t="s">
        <v>458</v>
      </c>
      <c r="AA2" s="360" t="s">
        <v>458</v>
      </c>
      <c r="AB2" s="360" t="s">
        <v>459</v>
      </c>
      <c r="AC2" s="360" t="s">
        <v>459</v>
      </c>
      <c r="AD2" s="360" t="s">
        <v>459</v>
      </c>
      <c r="AE2" s="360" t="s">
        <v>460</v>
      </c>
      <c r="AF2" s="360" t="s">
        <v>460</v>
      </c>
      <c r="AG2" s="360" t="s">
        <v>460</v>
      </c>
      <c r="AH2" s="360" t="s">
        <v>461</v>
      </c>
      <c r="AI2" s="360" t="s">
        <v>461</v>
      </c>
      <c r="AJ2" s="360" t="s">
        <v>461</v>
      </c>
      <c r="AQ2" s="361" t="s">
        <v>458</v>
      </c>
      <c r="AR2" s="361" t="s">
        <v>459</v>
      </c>
      <c r="AS2" s="361" t="s">
        <v>460</v>
      </c>
      <c r="AT2" s="361" t="s">
        <v>461</v>
      </c>
      <c r="AU2" s="181"/>
      <c r="AV2" s="360" t="s">
        <v>462</v>
      </c>
      <c r="AW2" s="360" t="s">
        <v>462</v>
      </c>
      <c r="AX2" s="360" t="s">
        <v>462</v>
      </c>
      <c r="AY2" s="360" t="s">
        <v>463</v>
      </c>
      <c r="AZ2" s="360" t="s">
        <v>463</v>
      </c>
      <c r="BA2" s="360" t="s">
        <v>463</v>
      </c>
      <c r="BB2" s="360" t="s">
        <v>464</v>
      </c>
      <c r="BC2" s="360" t="s">
        <v>464</v>
      </c>
      <c r="BD2" s="360" t="s">
        <v>464</v>
      </c>
      <c r="BE2" s="360" t="s">
        <v>465</v>
      </c>
      <c r="BF2" s="360" t="s">
        <v>465</v>
      </c>
      <c r="BG2" s="360" t="s">
        <v>465</v>
      </c>
      <c r="BI2" s="361" t="s">
        <v>462</v>
      </c>
      <c r="BJ2" s="361" t="s">
        <v>463</v>
      </c>
      <c r="BK2" s="361" t="s">
        <v>464</v>
      </c>
      <c r="BL2" s="361" t="s">
        <v>465</v>
      </c>
      <c r="BM2" s="362"/>
      <c r="BN2" s="360" t="s">
        <v>466</v>
      </c>
      <c r="BO2" s="360" t="s">
        <v>466</v>
      </c>
      <c r="BP2" s="360" t="s">
        <v>466</v>
      </c>
      <c r="BQ2" s="360" t="s">
        <v>467</v>
      </c>
      <c r="BR2" s="360" t="s">
        <v>467</v>
      </c>
      <c r="BS2" s="360" t="s">
        <v>467</v>
      </c>
      <c r="BT2" s="360" t="s">
        <v>468</v>
      </c>
      <c r="BU2" s="360" t="s">
        <v>468</v>
      </c>
      <c r="BV2" s="360" t="s">
        <v>468</v>
      </c>
      <c r="BW2" s="360" t="s">
        <v>469</v>
      </c>
      <c r="BX2" s="360" t="s">
        <v>469</v>
      </c>
      <c r="BY2" s="360" t="s">
        <v>469</v>
      </c>
      <c r="CA2" s="361" t="s">
        <v>466</v>
      </c>
      <c r="CB2" s="361" t="s">
        <v>467</v>
      </c>
      <c r="CC2" s="361" t="s">
        <v>468</v>
      </c>
      <c r="CD2" s="361" t="s">
        <v>469</v>
      </c>
      <c r="CE2" s="362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360"/>
      <c r="CS2" s="360"/>
      <c r="CU2" s="360"/>
      <c r="CV2" s="360"/>
      <c r="CW2" s="360"/>
    </row>
    <row r="3" spans="2:103">
      <c r="G3" s="251">
        <v>1</v>
      </c>
      <c r="H3" s="251">
        <v>2</v>
      </c>
      <c r="I3" s="251">
        <v>3</v>
      </c>
      <c r="J3" s="251">
        <v>4</v>
      </c>
      <c r="K3" s="251">
        <v>5</v>
      </c>
      <c r="L3" s="251">
        <v>6</v>
      </c>
      <c r="M3" s="251">
        <v>7</v>
      </c>
      <c r="N3" s="251">
        <v>8</v>
      </c>
      <c r="O3" s="251">
        <v>9</v>
      </c>
      <c r="P3" s="251">
        <v>10</v>
      </c>
      <c r="Q3" s="251">
        <v>11</v>
      </c>
      <c r="R3" s="251">
        <v>12</v>
      </c>
      <c r="S3" s="251" t="s">
        <v>121</v>
      </c>
      <c r="T3" s="251"/>
      <c r="U3" s="251"/>
      <c r="V3" s="251"/>
      <c r="W3" s="251"/>
      <c r="X3" s="363"/>
      <c r="Y3" s="251">
        <v>1</v>
      </c>
      <c r="Z3" s="251">
        <v>2</v>
      </c>
      <c r="AA3" s="251">
        <v>3</v>
      </c>
      <c r="AB3" s="251">
        <v>4</v>
      </c>
      <c r="AC3" s="251">
        <v>5</v>
      </c>
      <c r="AD3" s="251">
        <v>6</v>
      </c>
      <c r="AE3" s="251">
        <v>7</v>
      </c>
      <c r="AF3" s="251">
        <v>8</v>
      </c>
      <c r="AG3" s="251">
        <v>9</v>
      </c>
      <c r="AH3" s="251">
        <v>10</v>
      </c>
      <c r="AI3" s="251">
        <v>11</v>
      </c>
      <c r="AJ3" s="251">
        <v>12</v>
      </c>
      <c r="AK3" s="251" t="s">
        <v>121</v>
      </c>
      <c r="AL3" s="251"/>
      <c r="AM3" s="251"/>
      <c r="AN3" s="251"/>
      <c r="AO3" s="251"/>
      <c r="AP3" s="251"/>
      <c r="AQ3" s="251"/>
      <c r="AR3" s="251"/>
      <c r="AS3" s="251"/>
      <c r="AT3" s="251"/>
      <c r="AU3" s="181"/>
      <c r="AV3" s="251">
        <v>1</v>
      </c>
      <c r="AW3" s="251">
        <v>2</v>
      </c>
      <c r="AX3" s="251">
        <v>3</v>
      </c>
      <c r="AY3" s="251">
        <v>4</v>
      </c>
      <c r="AZ3" s="251">
        <v>5</v>
      </c>
      <c r="BA3" s="251">
        <v>6</v>
      </c>
      <c r="BB3" s="251">
        <v>7</v>
      </c>
      <c r="BC3" s="251">
        <v>8</v>
      </c>
      <c r="BD3" s="251">
        <v>9</v>
      </c>
      <c r="BE3" s="251">
        <v>10</v>
      </c>
      <c r="BF3" s="251">
        <v>11</v>
      </c>
      <c r="BG3" s="251">
        <v>12</v>
      </c>
      <c r="BH3" s="251" t="s">
        <v>121</v>
      </c>
      <c r="BI3" s="251"/>
      <c r="BJ3" s="251"/>
      <c r="BK3" s="251"/>
      <c r="BL3" s="251"/>
      <c r="BM3" s="363"/>
      <c r="BN3" s="251">
        <v>1</v>
      </c>
      <c r="BO3" s="251">
        <v>2</v>
      </c>
      <c r="BP3" s="251">
        <v>3</v>
      </c>
      <c r="BQ3" s="251">
        <v>4</v>
      </c>
      <c r="BR3" s="251">
        <v>5</v>
      </c>
      <c r="BS3" s="251">
        <v>6</v>
      </c>
      <c r="BT3" s="251">
        <v>7</v>
      </c>
      <c r="BU3" s="251">
        <v>8</v>
      </c>
      <c r="BV3" s="251">
        <v>9</v>
      </c>
      <c r="BW3" s="251">
        <v>10</v>
      </c>
      <c r="BX3" s="251">
        <v>11</v>
      </c>
      <c r="BY3" s="251">
        <v>12</v>
      </c>
      <c r="BZ3" s="251" t="s">
        <v>121</v>
      </c>
      <c r="CA3" s="251"/>
      <c r="CB3" s="251"/>
      <c r="CC3" s="251"/>
      <c r="CD3" s="251"/>
      <c r="CE3" s="363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U3" s="251"/>
      <c r="CV3" s="251"/>
      <c r="CW3" s="251"/>
    </row>
    <row r="4" spans="2:103">
      <c r="F4" s="364" t="s">
        <v>470</v>
      </c>
      <c r="G4" s="365"/>
      <c r="H4" s="365"/>
      <c r="I4" s="365"/>
      <c r="J4" s="365"/>
      <c r="K4" s="365"/>
      <c r="O4" s="366"/>
      <c r="T4" s="97"/>
      <c r="U4" s="97"/>
      <c r="V4" s="97"/>
      <c r="W4" s="97"/>
      <c r="X4" s="367"/>
      <c r="Y4" s="365"/>
      <c r="Z4" s="365"/>
      <c r="AA4" s="365"/>
      <c r="AB4" s="365"/>
      <c r="AC4" s="365"/>
      <c r="AG4" s="366"/>
      <c r="AQ4" s="97"/>
      <c r="AR4" s="97"/>
      <c r="AS4" s="97"/>
      <c r="AT4" s="97"/>
      <c r="AU4" s="181"/>
      <c r="AV4" s="365"/>
      <c r="AW4" s="365"/>
      <c r="AX4" s="365"/>
      <c r="AY4" s="365"/>
      <c r="AZ4" s="365"/>
      <c r="BD4" s="366"/>
      <c r="BI4" s="97"/>
      <c r="BJ4" s="97"/>
      <c r="BK4" s="97"/>
      <c r="BL4" s="97"/>
      <c r="BM4" s="367"/>
      <c r="BN4" s="368"/>
      <c r="BO4" s="368"/>
      <c r="BP4" s="369" t="s">
        <v>471</v>
      </c>
      <c r="BQ4" s="359" t="s">
        <v>472</v>
      </c>
      <c r="BR4" s="359" t="s">
        <v>473</v>
      </c>
      <c r="BS4" s="359" t="s">
        <v>474</v>
      </c>
      <c r="BT4" s="359" t="str">
        <f>BS4</f>
        <v>5+7</v>
      </c>
      <c r="BU4" s="359" t="str">
        <f>BT4</f>
        <v>5+7</v>
      </c>
      <c r="BV4" s="359" t="s">
        <v>475</v>
      </c>
      <c r="BW4" s="359" t="str">
        <f>BV4</f>
        <v>8+4</v>
      </c>
      <c r="BX4" s="359" t="s">
        <v>476</v>
      </c>
      <c r="BY4" s="359" t="s">
        <v>477</v>
      </c>
      <c r="CA4" s="97"/>
      <c r="CB4" s="97"/>
      <c r="CC4" s="97"/>
      <c r="CD4" s="97"/>
      <c r="CE4" s="367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U4" s="359"/>
      <c r="CV4" s="359"/>
      <c r="CW4" s="359"/>
    </row>
    <row r="5" spans="2:103">
      <c r="B5" s="284" t="s">
        <v>478</v>
      </c>
      <c r="C5" s="284"/>
      <c r="D5" s="284"/>
      <c r="E5" s="97" t="s">
        <v>124</v>
      </c>
      <c r="F5" s="327" t="s">
        <v>123</v>
      </c>
      <c r="G5" s="370">
        <v>43831</v>
      </c>
      <c r="H5" s="370">
        <v>43862</v>
      </c>
      <c r="I5" s="370">
        <v>43891</v>
      </c>
      <c r="J5" s="370">
        <v>43922</v>
      </c>
      <c r="K5" s="370">
        <v>43952</v>
      </c>
      <c r="L5" s="370">
        <v>43983</v>
      </c>
      <c r="M5" s="370">
        <v>44013</v>
      </c>
      <c r="N5" s="370">
        <v>44044</v>
      </c>
      <c r="O5" s="370">
        <v>44075</v>
      </c>
      <c r="P5" s="370">
        <v>44105</v>
      </c>
      <c r="Q5" s="370">
        <v>44136</v>
      </c>
      <c r="R5" s="370">
        <v>44166</v>
      </c>
      <c r="S5" s="250" t="str">
        <f>+"YTD 1-"&amp;$F$2&amp;" "&amp;2020</f>
        <v>YTD 1-12 2020</v>
      </c>
      <c r="T5" s="370" t="str">
        <f>T2</f>
        <v>PY-Q1</v>
      </c>
      <c r="U5" s="370" t="str">
        <f>U2</f>
        <v>PY-Q2</v>
      </c>
      <c r="V5" s="370" t="str">
        <f>V2</f>
        <v>PY-Q3</v>
      </c>
      <c r="W5" s="370" t="str">
        <f>W2</f>
        <v>PY-Q4</v>
      </c>
      <c r="X5" s="371"/>
      <c r="Y5" s="372">
        <v>44197</v>
      </c>
      <c r="Z5" s="372">
        <v>44228</v>
      </c>
      <c r="AA5" s="372">
        <v>44256</v>
      </c>
      <c r="AB5" s="372">
        <v>44287</v>
      </c>
      <c r="AC5" s="372">
        <v>44317</v>
      </c>
      <c r="AD5" s="372">
        <v>44348</v>
      </c>
      <c r="AE5" s="372">
        <v>44378</v>
      </c>
      <c r="AF5" s="372">
        <v>44409</v>
      </c>
      <c r="AG5" s="372">
        <v>44440</v>
      </c>
      <c r="AH5" s="372">
        <v>44470</v>
      </c>
      <c r="AI5" s="372">
        <v>44501</v>
      </c>
      <c r="AJ5" s="372">
        <v>44531</v>
      </c>
      <c r="AK5" s="250" t="str">
        <f>+"YTD 1-"&amp;$F$2&amp;" "&amp;2021</f>
        <v>YTD 1-12 2021</v>
      </c>
      <c r="AL5" s="250"/>
      <c r="AM5" s="250"/>
      <c r="AN5" s="250"/>
      <c r="AO5" s="250"/>
      <c r="AP5" s="250"/>
      <c r="AQ5" s="370" t="str">
        <f>AQ2</f>
        <v>Q1</v>
      </c>
      <c r="AR5" s="370" t="str">
        <f>AR2</f>
        <v>Q2</v>
      </c>
      <c r="AS5" s="370" t="str">
        <f>AS2</f>
        <v>Q3</v>
      </c>
      <c r="AT5" s="370" t="str">
        <f>AT2</f>
        <v>Q4</v>
      </c>
      <c r="AU5" s="181"/>
      <c r="AV5" s="370" t="s">
        <v>479</v>
      </c>
      <c r="AW5" s="370" t="s">
        <v>480</v>
      </c>
      <c r="AX5" s="370" t="s">
        <v>481</v>
      </c>
      <c r="AY5" s="370" t="s">
        <v>482</v>
      </c>
      <c r="AZ5" s="370" t="s">
        <v>483</v>
      </c>
      <c r="BA5" s="370" t="s">
        <v>484</v>
      </c>
      <c r="BB5" s="370" t="s">
        <v>485</v>
      </c>
      <c r="BC5" s="370" t="s">
        <v>486</v>
      </c>
      <c r="BD5" s="370" t="s">
        <v>487</v>
      </c>
      <c r="BE5" s="370" t="s">
        <v>488</v>
      </c>
      <c r="BF5" s="370" t="s">
        <v>489</v>
      </c>
      <c r="BG5" s="370" t="s">
        <v>490</v>
      </c>
      <c r="BH5" s="250" t="str">
        <f>+"YTD 1-"&amp;$F$2&amp;" "&amp;"Budget"</f>
        <v>YTD 1-12 Budget</v>
      </c>
      <c r="BI5" s="370" t="str">
        <f>BI2</f>
        <v>B-Q1</v>
      </c>
      <c r="BJ5" s="370" t="str">
        <f>BJ2</f>
        <v>B-Q2</v>
      </c>
      <c r="BK5" s="370" t="str">
        <f>BK2</f>
        <v>B-Q3</v>
      </c>
      <c r="BL5" s="370" t="str">
        <f>BL2</f>
        <v>B-Q4</v>
      </c>
      <c r="BM5" s="371"/>
      <c r="BN5" s="370" t="s">
        <v>491</v>
      </c>
      <c r="BO5" s="370" t="s">
        <v>492</v>
      </c>
      <c r="BP5" s="370" t="s">
        <v>493</v>
      </c>
      <c r="BQ5" s="370" t="s">
        <v>494</v>
      </c>
      <c r="BR5" s="370" t="s">
        <v>495</v>
      </c>
      <c r="BS5" s="370" t="s">
        <v>496</v>
      </c>
      <c r="BT5" s="370" t="s">
        <v>497</v>
      </c>
      <c r="BU5" s="370" t="s">
        <v>498</v>
      </c>
      <c r="BV5" s="370" t="s">
        <v>499</v>
      </c>
      <c r="BW5" s="370" t="s">
        <v>500</v>
      </c>
      <c r="BX5" s="370" t="s">
        <v>501</v>
      </c>
      <c r="BY5" s="370" t="s">
        <v>502</v>
      </c>
      <c r="BZ5" s="250" t="str">
        <f>+"YTD 1-"&amp;$F$2&amp;" "&amp;"Forecast"</f>
        <v>YTD 1-12 Forecast</v>
      </c>
      <c r="CA5" s="370" t="str">
        <f>CA2</f>
        <v>F-Q1</v>
      </c>
      <c r="CB5" s="370" t="str">
        <f>CB2</f>
        <v>F-Q2</v>
      </c>
      <c r="CC5" s="370" t="str">
        <f>CC2</f>
        <v>F-Q3</v>
      </c>
      <c r="CD5" s="370" t="str">
        <f>CD2</f>
        <v>F-Q4</v>
      </c>
      <c r="CE5" s="371"/>
      <c r="CF5" s="97" t="s">
        <v>503</v>
      </c>
      <c r="CH5" s="370" t="s">
        <v>504</v>
      </c>
      <c r="CI5" s="370" t="s">
        <v>505</v>
      </c>
      <c r="CJ5" s="370" t="s">
        <v>506</v>
      </c>
      <c r="CK5" s="370" t="s">
        <v>507</v>
      </c>
      <c r="CL5" s="370" t="s">
        <v>508</v>
      </c>
      <c r="CM5" s="370" t="s">
        <v>509</v>
      </c>
      <c r="CN5" s="370" t="s">
        <v>510</v>
      </c>
      <c r="CO5" s="370" t="s">
        <v>511</v>
      </c>
      <c r="CP5" s="370" t="s">
        <v>512</v>
      </c>
      <c r="CQ5" s="370" t="s">
        <v>513</v>
      </c>
      <c r="CR5" s="370" t="s">
        <v>514</v>
      </c>
      <c r="CS5" s="370" t="s">
        <v>515</v>
      </c>
      <c r="CU5" s="370" t="s">
        <v>516</v>
      </c>
      <c r="CV5" s="370" t="s">
        <v>517</v>
      </c>
      <c r="CW5" s="370" t="s">
        <v>518</v>
      </c>
      <c r="CX5" s="370" t="s">
        <v>519</v>
      </c>
      <c r="CY5" s="370" t="s">
        <v>520</v>
      </c>
    </row>
    <row r="6" spans="2:103" outlineLevel="1">
      <c r="B6" s="97" t="s">
        <v>521</v>
      </c>
      <c r="C6" s="97" t="s">
        <v>0</v>
      </c>
      <c r="D6" s="97" t="s">
        <v>8</v>
      </c>
      <c r="E6" s="97" t="s">
        <v>125</v>
      </c>
      <c r="F6" s="174" t="s">
        <v>100</v>
      </c>
      <c r="G6" s="175">
        <v>19201.64</v>
      </c>
      <c r="H6" s="175">
        <v>18913.46</v>
      </c>
      <c r="I6" s="175">
        <v>18625.14</v>
      </c>
      <c r="J6" s="175">
        <v>18277.28</v>
      </c>
      <c r="K6" s="175">
        <v>17968.32</v>
      </c>
      <c r="L6" s="175">
        <v>17425.77</v>
      </c>
      <c r="M6" s="175">
        <v>17565.740000000002</v>
      </c>
      <c r="N6" s="175">
        <v>17317.259999999998</v>
      </c>
      <c r="O6" s="175">
        <v>17316.560000000001</v>
      </c>
      <c r="P6" s="175">
        <v>17304.14</v>
      </c>
      <c r="Q6" s="175">
        <v>17798.28</v>
      </c>
      <c r="R6" s="175">
        <v>19362.73</v>
      </c>
      <c r="S6" s="373">
        <f ca="1">SUM(G6:OFFSET(G6,0,$F$2-1))</f>
        <v>217076.32</v>
      </c>
      <c r="T6" s="175">
        <f t="shared" ref="T6:T16" si="0">SUM(G6:I6)</f>
        <v>56740.24</v>
      </c>
      <c r="U6" s="175">
        <f t="shared" ref="U6:U16" si="1">SUM(J6:L6)</f>
        <v>53671.369999999995</v>
      </c>
      <c r="V6" s="175">
        <f t="shared" ref="V6:V16" si="2">SUM(M6:O6)</f>
        <v>52199.56</v>
      </c>
      <c r="W6" s="175">
        <f t="shared" ref="W6:W16" si="3">SUM(P6:R6)</f>
        <v>54465.149999999994</v>
      </c>
      <c r="X6" s="178"/>
      <c r="Y6" s="179">
        <v>19872.53</v>
      </c>
      <c r="Z6" s="179">
        <v>18640.71</v>
      </c>
      <c r="AA6" s="179">
        <v>18440.150000000001</v>
      </c>
      <c r="AB6" s="179">
        <v>18637.47</v>
      </c>
      <c r="AC6" s="179">
        <v>17519.48</v>
      </c>
      <c r="AD6" s="179">
        <v>17207.79</v>
      </c>
      <c r="AE6" s="179">
        <v>17282.759999999998</v>
      </c>
      <c r="AF6" s="179">
        <v>17052.3</v>
      </c>
      <c r="AG6" s="179">
        <v>17349.45</v>
      </c>
      <c r="AH6" s="179">
        <v>17283.95</v>
      </c>
      <c r="AI6" s="179">
        <v>17722.509999999998</v>
      </c>
      <c r="AJ6" s="179">
        <v>19023.7</v>
      </c>
      <c r="AK6" s="177">
        <f>SUM(Y6:AJ6)</f>
        <v>216032.80000000005</v>
      </c>
      <c r="AL6" s="97" t="s">
        <v>8</v>
      </c>
      <c r="AM6" s="97" t="s">
        <v>8</v>
      </c>
      <c r="AN6" s="180" t="str">
        <f t="shared" ref="AN6:AN12" si="4">CONCATENATE(AL6," - ",F6," R")</f>
        <v>CFG - FTS-A R</v>
      </c>
      <c r="AP6" s="177"/>
      <c r="AQ6" s="175">
        <f t="shared" ref="AQ6:AQ16" si="5">SUM(Y6:AA6)</f>
        <v>56953.39</v>
      </c>
      <c r="AR6" s="175">
        <f t="shared" ref="AR6:AR16" si="6">SUM(AB6:AD6)</f>
        <v>53364.74</v>
      </c>
      <c r="AS6" s="175">
        <f t="shared" ref="AS6:AS16" si="7">SUM(AE6:AG6)</f>
        <v>51684.509999999995</v>
      </c>
      <c r="AT6" s="175">
        <f t="shared" ref="AT6:AT16" si="8">SUM(AH6:AJ6)</f>
        <v>54030.16</v>
      </c>
      <c r="AU6" s="181"/>
      <c r="AV6" s="175">
        <v>19715.139281853415</v>
      </c>
      <c r="AW6" s="175">
        <v>19101.167897735613</v>
      </c>
      <c r="AX6" s="175">
        <v>18745.509276047615</v>
      </c>
      <c r="AY6" s="175">
        <v>18189.87802024468</v>
      </c>
      <c r="AZ6" s="175">
        <v>17461.54395302332</v>
      </c>
      <c r="BA6" s="175">
        <v>17228.211922724109</v>
      </c>
      <c r="BB6" s="175">
        <v>16808.835663155427</v>
      </c>
      <c r="BC6" s="175">
        <v>16963.748564648213</v>
      </c>
      <c r="BD6" s="175">
        <v>16940.09088096155</v>
      </c>
      <c r="BE6" s="175">
        <v>16823.091396850657</v>
      </c>
      <c r="BF6" s="175">
        <v>17530.817719423314</v>
      </c>
      <c r="BG6" s="175">
        <v>18537.619507375643</v>
      </c>
      <c r="BH6" s="373">
        <f ca="1">SUM(AV6:OFFSET(AV6,0,$F$2-1))</f>
        <v>214045.65408404358</v>
      </c>
      <c r="BI6" s="175">
        <f t="shared" ref="BI6:BI16" si="9">SUM(AV6:AX6)</f>
        <v>57561.816455636639</v>
      </c>
      <c r="BJ6" s="175">
        <f t="shared" ref="BJ6:BJ16" si="10">SUM(AY6:BA6)</f>
        <v>52879.633895992112</v>
      </c>
      <c r="BK6" s="175">
        <f t="shared" ref="BK6:BK16" si="11">SUM(BB6:BD6)</f>
        <v>50712.675108765194</v>
      </c>
      <c r="BL6" s="175">
        <f t="shared" ref="BL6:BL16" si="12">SUM(BE6:BG6)</f>
        <v>52891.528623649618</v>
      </c>
      <c r="BM6" s="178"/>
      <c r="BN6" s="178"/>
      <c r="BO6" s="178"/>
      <c r="BP6" s="178">
        <v>18825.962105558549</v>
      </c>
      <c r="BQ6" s="178">
        <v>18253.983317232327</v>
      </c>
      <c r="BR6" s="178">
        <v>17523.68467883479</v>
      </c>
      <c r="BS6" s="178">
        <v>17491.592860391655</v>
      </c>
      <c r="BT6" s="178">
        <v>17080.92113252305</v>
      </c>
      <c r="BU6" s="178">
        <v>17223.086447381145</v>
      </c>
      <c r="BV6" s="178">
        <v>16909.430082986957</v>
      </c>
      <c r="BW6" s="178">
        <v>16807.866879749436</v>
      </c>
      <c r="BX6" s="178">
        <v>17546.654049793164</v>
      </c>
      <c r="BY6" s="178">
        <v>18438.044111633248</v>
      </c>
      <c r="BZ6" s="373">
        <f ca="1">SUM(BN6:OFFSET(BN6,0,$F$2-1))</f>
        <v>176101.22566608433</v>
      </c>
      <c r="CA6" s="175">
        <f t="shared" ref="CA6:CA16" si="13">SUM(BN6:BP6)</f>
        <v>18825.962105558549</v>
      </c>
      <c r="CB6" s="175">
        <f t="shared" ref="CB6:CB16" si="14">SUM(BQ6:BS6)</f>
        <v>53269.260856458772</v>
      </c>
      <c r="CC6" s="175">
        <f t="shared" ref="CC6:CC16" si="15">SUM(BT6:BV6)</f>
        <v>51213.437662891156</v>
      </c>
      <c r="CD6" s="175">
        <f t="shared" ref="CD6:CD16" si="16">SUM(BW6:BY6)</f>
        <v>52792.565041175854</v>
      </c>
      <c r="CE6" s="178"/>
      <c r="CF6" s="97" t="s">
        <v>521</v>
      </c>
      <c r="CH6" s="374"/>
      <c r="CI6" s="178"/>
      <c r="CJ6" s="178">
        <f t="shared" ref="CJ6:CQ6" si="17">AA6-BP6</f>
        <v>-385.81210555854705</v>
      </c>
      <c r="CK6" s="178">
        <f t="shared" si="17"/>
        <v>383.48668276767421</v>
      </c>
      <c r="CL6" s="178">
        <f t="shared" si="17"/>
        <v>-4.204678834790684</v>
      </c>
      <c r="CM6" s="178">
        <f t="shared" si="17"/>
        <v>-283.80286039165367</v>
      </c>
      <c r="CN6" s="178">
        <f t="shared" si="17"/>
        <v>201.83886747694851</v>
      </c>
      <c r="CO6" s="178">
        <f t="shared" si="17"/>
        <v>-170.78644738114599</v>
      </c>
      <c r="CP6" s="178">
        <f t="shared" si="17"/>
        <v>440.0199170130436</v>
      </c>
      <c r="CQ6" s="178">
        <f t="shared" si="17"/>
        <v>476.08312025056512</v>
      </c>
      <c r="CR6" s="178"/>
      <c r="CS6" s="178"/>
      <c r="CU6" s="178">
        <f>SUM(Y6:AC6)+SUM(BS6:BY6)</f>
        <v>214607.93556445866</v>
      </c>
      <c r="CV6" s="178" t="e">
        <v>#VALUE!</v>
      </c>
      <c r="CW6" s="178">
        <f>SUM(AV6:BG6)</f>
        <v>214045.65408404358</v>
      </c>
    </row>
    <row r="7" spans="2:103" outlineLevel="1">
      <c r="B7" s="97" t="s">
        <v>522</v>
      </c>
      <c r="C7" s="97" t="s">
        <v>0</v>
      </c>
      <c r="D7" s="97" t="s">
        <v>8</v>
      </c>
      <c r="E7" s="97" t="s">
        <v>125</v>
      </c>
      <c r="F7" s="174" t="s">
        <v>101</v>
      </c>
      <c r="G7" s="175">
        <v>49559.080000000104</v>
      </c>
      <c r="H7" s="175">
        <v>48721.699999999903</v>
      </c>
      <c r="I7" s="175">
        <v>47603.860000000299</v>
      </c>
      <c r="J7" s="175">
        <v>47102.370000000097</v>
      </c>
      <c r="K7" s="175">
        <v>45775.200000000099</v>
      </c>
      <c r="L7" s="175">
        <v>44211.620000000097</v>
      </c>
      <c r="M7" s="175">
        <v>44992.200000000201</v>
      </c>
      <c r="N7" s="175">
        <v>43721.6700000001</v>
      </c>
      <c r="O7" s="175">
        <v>44282.8400000002</v>
      </c>
      <c r="P7" s="175">
        <v>43571.439999999799</v>
      </c>
      <c r="Q7" s="175">
        <v>45506.239999999802</v>
      </c>
      <c r="R7" s="175">
        <v>51986.46</v>
      </c>
      <c r="S7" s="177">
        <f ca="1">SUM(G7:OFFSET(G7,0,$F$2-1))</f>
        <v>557034.68000000075</v>
      </c>
      <c r="T7" s="175">
        <f t="shared" si="0"/>
        <v>145884.64000000031</v>
      </c>
      <c r="U7" s="175">
        <f t="shared" si="1"/>
        <v>137089.19000000029</v>
      </c>
      <c r="V7" s="175">
        <f t="shared" si="2"/>
        <v>132996.71000000049</v>
      </c>
      <c r="W7" s="175">
        <f t="shared" si="3"/>
        <v>141064.13999999961</v>
      </c>
      <c r="X7" s="178"/>
      <c r="Y7" s="179">
        <v>52862.14</v>
      </c>
      <c r="Z7" s="179">
        <v>48726.74</v>
      </c>
      <c r="AA7" s="179">
        <v>46759.229999999698</v>
      </c>
      <c r="AB7" s="179">
        <v>47831.1600000002</v>
      </c>
      <c r="AC7" s="179">
        <v>44500.859999999797</v>
      </c>
      <c r="AD7" s="179">
        <v>44003.130000000201</v>
      </c>
      <c r="AE7" s="179">
        <v>44227.720000000198</v>
      </c>
      <c r="AF7" s="179">
        <v>43329.369999999901</v>
      </c>
      <c r="AG7" s="179">
        <v>44073.15</v>
      </c>
      <c r="AH7" s="179">
        <v>43675.120000000097</v>
      </c>
      <c r="AI7" s="179">
        <v>44824.140000000101</v>
      </c>
      <c r="AJ7" s="179">
        <v>49585.120000000003</v>
      </c>
      <c r="AK7" s="177">
        <f t="shared" ref="AK7:AK16" si="18">SUM(Y7:AJ7)</f>
        <v>554397.88000000024</v>
      </c>
      <c r="AL7" s="97" t="s">
        <v>8</v>
      </c>
      <c r="AM7" s="97" t="s">
        <v>8</v>
      </c>
      <c r="AN7" s="180" t="str">
        <f t="shared" si="4"/>
        <v>CFG - FTS-B R</v>
      </c>
      <c r="AP7" s="177"/>
      <c r="AQ7" s="175">
        <f t="shared" si="5"/>
        <v>148348.10999999969</v>
      </c>
      <c r="AR7" s="175">
        <f t="shared" si="6"/>
        <v>136335.1500000002</v>
      </c>
      <c r="AS7" s="175">
        <f t="shared" si="7"/>
        <v>131630.24000000011</v>
      </c>
      <c r="AT7" s="175">
        <f t="shared" si="8"/>
        <v>138084.38000000021</v>
      </c>
      <c r="AU7" s="181"/>
      <c r="AV7" s="175">
        <v>53338.430282296307</v>
      </c>
      <c r="AW7" s="175">
        <v>49313.957672739438</v>
      </c>
      <c r="AX7" s="175">
        <v>47130.665094058539</v>
      </c>
      <c r="AY7" s="175">
        <v>46900.533534975155</v>
      </c>
      <c r="AZ7" s="175">
        <v>45185.709889724749</v>
      </c>
      <c r="BA7" s="175">
        <v>44537.088398540945</v>
      </c>
      <c r="BB7" s="175">
        <v>43317.505634396395</v>
      </c>
      <c r="BC7" s="175">
        <v>43762.495120964399</v>
      </c>
      <c r="BD7" s="175">
        <v>44071.94664321257</v>
      </c>
      <c r="BE7" s="175">
        <v>43235.754394907788</v>
      </c>
      <c r="BF7" s="175">
        <v>45617.507809398638</v>
      </c>
      <c r="BG7" s="175">
        <v>49581.308469754826</v>
      </c>
      <c r="BH7" s="177">
        <f ca="1">SUM(AV7:OFFSET(AV7,0,$F$2-1))</f>
        <v>555992.90294496983</v>
      </c>
      <c r="BI7" s="175">
        <f t="shared" si="9"/>
        <v>149783.05304909428</v>
      </c>
      <c r="BJ7" s="175">
        <f t="shared" si="10"/>
        <v>136623.33182324085</v>
      </c>
      <c r="BK7" s="175">
        <f t="shared" si="11"/>
        <v>131151.94739857336</v>
      </c>
      <c r="BL7" s="175">
        <f t="shared" si="12"/>
        <v>138434.57067406125</v>
      </c>
      <c r="BM7" s="178"/>
      <c r="BN7" s="178"/>
      <c r="BO7" s="178"/>
      <c r="BP7" s="178">
        <v>47172.596290761438</v>
      </c>
      <c r="BQ7" s="178">
        <v>46942.038431908768</v>
      </c>
      <c r="BR7" s="178">
        <v>45226.01828391719</v>
      </c>
      <c r="BS7" s="178">
        <v>44657.080554082597</v>
      </c>
      <c r="BT7" s="178">
        <v>43453.175674414641</v>
      </c>
      <c r="BU7" s="178">
        <v>43959.09213408643</v>
      </c>
      <c r="BV7" s="178">
        <v>44249.895283763901</v>
      </c>
      <c r="BW7" s="178">
        <v>43548.20790453675</v>
      </c>
      <c r="BX7" s="178">
        <v>45864.088932692684</v>
      </c>
      <c r="BY7" s="178">
        <v>49803.546517579816</v>
      </c>
      <c r="BZ7" s="177">
        <f ca="1">SUM(BN7:OFFSET(BN7,0,$F$2-1))</f>
        <v>454875.74000774417</v>
      </c>
      <c r="CA7" s="175">
        <f t="shared" si="13"/>
        <v>47172.596290761438</v>
      </c>
      <c r="CB7" s="175">
        <f t="shared" si="14"/>
        <v>136825.13726990856</v>
      </c>
      <c r="CC7" s="175">
        <f t="shared" si="15"/>
        <v>131662.16309226496</v>
      </c>
      <c r="CD7" s="175">
        <f t="shared" si="16"/>
        <v>139215.84335480924</v>
      </c>
      <c r="CE7" s="178"/>
      <c r="CF7" s="97" t="s">
        <v>522</v>
      </c>
      <c r="CH7" s="178"/>
      <c r="CI7" s="178"/>
      <c r="CJ7" s="178">
        <f t="shared" ref="CJ7:CJ16" si="19">AA7-BP7</f>
        <v>-413.36629076173995</v>
      </c>
      <c r="CK7" s="178">
        <f t="shared" ref="CK7:CK16" si="20">AB7-BQ7</f>
        <v>889.12156809143198</v>
      </c>
      <c r="CL7" s="178">
        <f t="shared" ref="CL7:CL16" si="21">AC7-BR7</f>
        <v>-725.15828391739342</v>
      </c>
      <c r="CM7" s="178">
        <f t="shared" ref="CM7:CM16" si="22">AD7-BS7</f>
        <v>-653.95055408239568</v>
      </c>
      <c r="CN7" s="178">
        <f t="shared" ref="CN7:CN16" si="23">AE7-BT7</f>
        <v>774.54432558555709</v>
      </c>
      <c r="CO7" s="178">
        <f t="shared" ref="CO7:CO16" si="24">AF7-BU7</f>
        <v>-629.72213408652897</v>
      </c>
      <c r="CP7" s="178">
        <f t="shared" ref="CP7:CP16" si="25">AG7-BV7</f>
        <v>-176.74528376389935</v>
      </c>
      <c r="CQ7" s="178">
        <f t="shared" ref="CQ7:CQ16" si="26">AH7-BW7</f>
        <v>126.91209546334721</v>
      </c>
      <c r="CR7" s="178"/>
      <c r="CS7" s="178"/>
      <c r="CU7" s="178">
        <f t="shared" ref="CU7:CU16" si="27">SUM(Y7:AC7)+SUM(BS7:BY7)</f>
        <v>556215.21700115653</v>
      </c>
      <c r="CV7" s="178">
        <v>555706.08863857307</v>
      </c>
      <c r="CW7" s="178">
        <f t="shared" ref="CW7:CW16" si="28">SUM(AV7:BG7)</f>
        <v>555992.90294496983</v>
      </c>
    </row>
    <row r="8" spans="2:103" outlineLevel="1">
      <c r="B8" s="97" t="s">
        <v>523</v>
      </c>
      <c r="C8" s="97" t="s">
        <v>0</v>
      </c>
      <c r="D8" s="97" t="s">
        <v>8</v>
      </c>
      <c r="E8" s="97" t="s">
        <v>125</v>
      </c>
      <c r="F8" s="174" t="s">
        <v>102</v>
      </c>
      <c r="G8" s="175">
        <v>371036.01999999699</v>
      </c>
      <c r="H8" s="175">
        <v>359419.35000000201</v>
      </c>
      <c r="I8" s="175">
        <v>356752.49999999802</v>
      </c>
      <c r="J8" s="175">
        <v>331648.52999999799</v>
      </c>
      <c r="K8" s="175">
        <v>323192.04999999399</v>
      </c>
      <c r="L8" s="175">
        <v>309914.49999999901</v>
      </c>
      <c r="M8" s="175">
        <v>313266.54999999597</v>
      </c>
      <c r="N8" s="175">
        <v>305572.92999999598</v>
      </c>
      <c r="O8" s="175">
        <v>310366.59999999899</v>
      </c>
      <c r="P8" s="175">
        <v>315620.07000000897</v>
      </c>
      <c r="Q8" s="175">
        <v>335675.91000000399</v>
      </c>
      <c r="R8" s="175">
        <v>400653.23000000301</v>
      </c>
      <c r="S8" s="177">
        <f ca="1">SUM(G8:OFFSET(G8,0,$F$2-1))</f>
        <v>4033118.2399999946</v>
      </c>
      <c r="T8" s="175">
        <f t="shared" si="0"/>
        <v>1087207.8699999969</v>
      </c>
      <c r="U8" s="175">
        <f t="shared" si="1"/>
        <v>964755.07999999099</v>
      </c>
      <c r="V8" s="175">
        <f t="shared" si="2"/>
        <v>929206.07999999099</v>
      </c>
      <c r="W8" s="175">
        <f t="shared" si="3"/>
        <v>1051949.210000016</v>
      </c>
      <c r="X8" s="178"/>
      <c r="Y8" s="179">
        <v>428293.49000000698</v>
      </c>
      <c r="Z8" s="179">
        <v>379894.12000000599</v>
      </c>
      <c r="AA8" s="179">
        <v>369184.27000001399</v>
      </c>
      <c r="AB8" s="179">
        <v>379398.52999999898</v>
      </c>
      <c r="AC8" s="179">
        <v>341962.65999999299</v>
      </c>
      <c r="AD8" s="179">
        <v>336118.25000000099</v>
      </c>
      <c r="AE8" s="179">
        <v>333737.19999999902</v>
      </c>
      <c r="AF8" s="179">
        <v>324131.60000000399</v>
      </c>
      <c r="AG8" s="179">
        <v>328395.25999999797</v>
      </c>
      <c r="AH8" s="179">
        <v>330989.729999998</v>
      </c>
      <c r="AI8" s="179">
        <v>348941.18</v>
      </c>
      <c r="AJ8" s="179">
        <v>400623.580000007</v>
      </c>
      <c r="AK8" s="177">
        <f t="shared" si="18"/>
        <v>4301669.8700000262</v>
      </c>
      <c r="AL8" s="97" t="s">
        <v>8</v>
      </c>
      <c r="AM8" s="97" t="s">
        <v>8</v>
      </c>
      <c r="AN8" s="180" t="str">
        <f t="shared" si="4"/>
        <v>CFG - FTS-1 R</v>
      </c>
      <c r="AP8" s="177"/>
      <c r="AQ8" s="175">
        <f t="shared" si="5"/>
        <v>1177371.8800000269</v>
      </c>
      <c r="AR8" s="175">
        <f t="shared" si="6"/>
        <v>1057479.439999993</v>
      </c>
      <c r="AS8" s="175">
        <f t="shared" si="7"/>
        <v>986264.06000000099</v>
      </c>
      <c r="AT8" s="175">
        <f t="shared" si="8"/>
        <v>1080554.4900000051</v>
      </c>
      <c r="AU8" s="181"/>
      <c r="AV8" s="175">
        <v>419151.50633854192</v>
      </c>
      <c r="AW8" s="175">
        <v>379706.65768692049</v>
      </c>
      <c r="AX8" s="175">
        <v>368203.13638521155</v>
      </c>
      <c r="AY8" s="175">
        <v>364813.62751716468</v>
      </c>
      <c r="AZ8" s="175">
        <v>341287.17400695401</v>
      </c>
      <c r="BA8" s="175">
        <v>335193.62997291761</v>
      </c>
      <c r="BB8" s="175">
        <v>324720.58645833813</v>
      </c>
      <c r="BC8" s="175">
        <v>329970.20839613053</v>
      </c>
      <c r="BD8" s="175">
        <v>330228.65032682446</v>
      </c>
      <c r="BE8" s="175">
        <v>331627.72459307994</v>
      </c>
      <c r="BF8" s="175">
        <v>360047.48767538625</v>
      </c>
      <c r="BG8" s="175">
        <v>403175.27199434617</v>
      </c>
      <c r="BH8" s="177">
        <f ca="1">SUM(AV8:OFFSET(AV8,0,$F$2-1))</f>
        <v>4288125.6613518158</v>
      </c>
      <c r="BI8" s="175">
        <f t="shared" si="9"/>
        <v>1167061.300410674</v>
      </c>
      <c r="BJ8" s="175">
        <f t="shared" si="10"/>
        <v>1041294.4314970364</v>
      </c>
      <c r="BK8" s="175">
        <f t="shared" si="11"/>
        <v>984919.44518129318</v>
      </c>
      <c r="BL8" s="175">
        <f t="shared" si="12"/>
        <v>1094850.4842628124</v>
      </c>
      <c r="BM8" s="178"/>
      <c r="BN8" s="178"/>
      <c r="BO8" s="178"/>
      <c r="BP8" s="178">
        <v>368717.7648677273</v>
      </c>
      <c r="BQ8" s="178">
        <v>365292.00191035395</v>
      </c>
      <c r="BR8" s="178">
        <v>341734.37274992012</v>
      </c>
      <c r="BS8" s="178">
        <v>324525.94811427535</v>
      </c>
      <c r="BT8" s="178">
        <v>314584.0669590967</v>
      </c>
      <c r="BU8" s="178">
        <v>319517.16178290639</v>
      </c>
      <c r="BV8" s="178">
        <v>321397.36572030094</v>
      </c>
      <c r="BW8" s="178">
        <v>321864.92964996625</v>
      </c>
      <c r="BX8" s="178">
        <v>350924.31940354384</v>
      </c>
      <c r="BY8" s="178">
        <v>392846.15187937906</v>
      </c>
      <c r="BZ8" s="177">
        <f ca="1">SUM(BN8:OFFSET(BN8,0,$F$2-1))</f>
        <v>3421404.08303747</v>
      </c>
      <c r="CA8" s="175">
        <f t="shared" si="13"/>
        <v>368717.7648677273</v>
      </c>
      <c r="CB8" s="175">
        <f t="shared" si="14"/>
        <v>1031552.3227745494</v>
      </c>
      <c r="CC8" s="175">
        <f t="shared" si="15"/>
        <v>955498.59446230403</v>
      </c>
      <c r="CD8" s="175">
        <f t="shared" si="16"/>
        <v>1065635.4009328892</v>
      </c>
      <c r="CE8" s="178"/>
      <c r="CF8" s="97" t="s">
        <v>523</v>
      </c>
      <c r="CH8" s="178"/>
      <c r="CI8" s="178"/>
      <c r="CJ8" s="178">
        <f t="shared" si="19"/>
        <v>466.50513228669297</v>
      </c>
      <c r="CK8" s="178">
        <f t="shared" si="20"/>
        <v>14106.528089645028</v>
      </c>
      <c r="CL8" s="178">
        <f t="shared" si="21"/>
        <v>228.28725007286994</v>
      </c>
      <c r="CM8" s="178">
        <f t="shared" si="22"/>
        <v>11592.301885725639</v>
      </c>
      <c r="CN8" s="178">
        <f t="shared" si="23"/>
        <v>19153.133040902321</v>
      </c>
      <c r="CO8" s="178">
        <f t="shared" si="24"/>
        <v>4614.4382170976023</v>
      </c>
      <c r="CP8" s="178">
        <f t="shared" si="25"/>
        <v>6997.8942796970368</v>
      </c>
      <c r="CQ8" s="178">
        <f t="shared" si="26"/>
        <v>9124.8003500317573</v>
      </c>
      <c r="CR8" s="178"/>
      <c r="CS8" s="178"/>
      <c r="CU8" s="178">
        <f t="shared" si="27"/>
        <v>4244393.0135094877</v>
      </c>
      <c r="CV8" s="178" t="e">
        <v>#VALUE!</v>
      </c>
      <c r="CW8" s="178">
        <f t="shared" si="28"/>
        <v>4288125.6613518158</v>
      </c>
    </row>
    <row r="9" spans="2:103" outlineLevel="1">
      <c r="B9" s="97" t="s">
        <v>524</v>
      </c>
      <c r="C9" s="97" t="s">
        <v>0</v>
      </c>
      <c r="D9" s="97" t="s">
        <v>8</v>
      </c>
      <c r="E9" s="97" t="s">
        <v>125</v>
      </c>
      <c r="F9" s="174" t="s">
        <v>103</v>
      </c>
      <c r="G9" s="175">
        <v>49651.670000000202</v>
      </c>
      <c r="H9" s="175">
        <v>46665.589999999902</v>
      </c>
      <c r="I9" s="175">
        <v>47867.56</v>
      </c>
      <c r="J9" s="175">
        <v>34823.799999999901</v>
      </c>
      <c r="K9" s="175">
        <v>32300.1700000001</v>
      </c>
      <c r="L9" s="175">
        <v>29640.040000000099</v>
      </c>
      <c r="M9" s="175">
        <v>29633.4900000001</v>
      </c>
      <c r="N9" s="175">
        <v>28522.820000000102</v>
      </c>
      <c r="O9" s="175">
        <v>28815.919999999998</v>
      </c>
      <c r="P9" s="175">
        <v>30072.84</v>
      </c>
      <c r="Q9" s="175">
        <v>32732.389999999901</v>
      </c>
      <c r="R9" s="175">
        <v>42283.269999999902</v>
      </c>
      <c r="S9" s="375">
        <f ca="1">SUM(G9:OFFSET(G9,0,$F$2-1))</f>
        <v>433009.56000000023</v>
      </c>
      <c r="T9" s="175">
        <f t="shared" si="0"/>
        <v>144184.82000000009</v>
      </c>
      <c r="U9" s="175">
        <f t="shared" si="1"/>
        <v>96764.010000000097</v>
      </c>
      <c r="V9" s="175">
        <f t="shared" si="2"/>
        <v>86972.2300000002</v>
      </c>
      <c r="W9" s="175">
        <f t="shared" si="3"/>
        <v>105088.4999999998</v>
      </c>
      <c r="X9" s="178"/>
      <c r="Y9" s="179">
        <v>46996.799999999901</v>
      </c>
      <c r="Z9" s="179">
        <v>40854.559999999998</v>
      </c>
      <c r="AA9" s="179">
        <v>41871.56</v>
      </c>
      <c r="AB9" s="179">
        <v>42226.909999999902</v>
      </c>
      <c r="AC9" s="179">
        <v>33842.6700000001</v>
      </c>
      <c r="AD9" s="179">
        <v>31846.400000000202</v>
      </c>
      <c r="AE9" s="179">
        <v>31500.38</v>
      </c>
      <c r="AF9" s="179">
        <v>29407.809999999899</v>
      </c>
      <c r="AG9" s="179">
        <v>29221.210000000101</v>
      </c>
      <c r="AH9" s="179">
        <v>31050.37</v>
      </c>
      <c r="AI9" s="179">
        <v>36063.56</v>
      </c>
      <c r="AJ9" s="179">
        <v>46166.970000000103</v>
      </c>
      <c r="AK9" s="177">
        <f t="shared" si="18"/>
        <v>441049.20000000013</v>
      </c>
      <c r="AL9" s="97" t="s">
        <v>8</v>
      </c>
      <c r="AM9" s="97" t="s">
        <v>8</v>
      </c>
      <c r="AN9" s="180" t="str">
        <f t="shared" si="4"/>
        <v>CFG - FTS-2 R</v>
      </c>
      <c r="AP9" s="375"/>
      <c r="AQ9" s="175">
        <f t="shared" si="5"/>
        <v>129722.9199999999</v>
      </c>
      <c r="AR9" s="175">
        <f t="shared" si="6"/>
        <v>107915.9800000002</v>
      </c>
      <c r="AS9" s="175">
        <f t="shared" si="7"/>
        <v>90129.4</v>
      </c>
      <c r="AT9" s="175">
        <f t="shared" si="8"/>
        <v>113280.9000000001</v>
      </c>
      <c r="AU9" s="181"/>
      <c r="AV9" s="175">
        <v>53977.353194558389</v>
      </c>
      <c r="AW9" s="175">
        <v>47481.360392229893</v>
      </c>
      <c r="AX9" s="175">
        <v>49069.191142535601</v>
      </c>
      <c r="AY9" s="175">
        <v>49545.214896428588</v>
      </c>
      <c r="AZ9" s="175">
        <v>37916.378559142664</v>
      </c>
      <c r="BA9" s="175">
        <v>33446.305045232948</v>
      </c>
      <c r="BB9" s="175">
        <v>31863.353063964249</v>
      </c>
      <c r="BC9" s="175">
        <v>31617.281178576068</v>
      </c>
      <c r="BD9" s="175">
        <v>31211.646553689214</v>
      </c>
      <c r="BE9" s="175">
        <v>32821.519891038937</v>
      </c>
      <c r="BF9" s="175">
        <v>40288.2610203562</v>
      </c>
      <c r="BG9" s="175">
        <v>47184.27318104844</v>
      </c>
      <c r="BH9" s="375">
        <f ca="1">SUM(AV9:OFFSET(AV9,0,$F$2-1))</f>
        <v>486422.13811880117</v>
      </c>
      <c r="BI9" s="175">
        <f t="shared" si="9"/>
        <v>150527.90472932387</v>
      </c>
      <c r="BJ9" s="175">
        <f t="shared" si="10"/>
        <v>120907.89850080419</v>
      </c>
      <c r="BK9" s="175">
        <f t="shared" si="11"/>
        <v>94692.280796229519</v>
      </c>
      <c r="BL9" s="175">
        <f t="shared" si="12"/>
        <v>120294.05409244358</v>
      </c>
      <c r="BM9" s="178"/>
      <c r="BN9" s="178"/>
      <c r="BO9" s="178"/>
      <c r="BP9" s="178">
        <v>48613.641622644682</v>
      </c>
      <c r="BQ9" s="178">
        <v>49037.058846208805</v>
      </c>
      <c r="BR9" s="178">
        <v>37524.983683693448</v>
      </c>
      <c r="BS9" s="178">
        <v>32754.014125797337</v>
      </c>
      <c r="BT9" s="178">
        <v>31162.606618831793</v>
      </c>
      <c r="BU9" s="178">
        <v>31000.559178993957</v>
      </c>
      <c r="BV9" s="178">
        <v>29837.040358319482</v>
      </c>
      <c r="BW9" s="178">
        <v>31461.042382602092</v>
      </c>
      <c r="BX9" s="178">
        <v>38419.217983329363</v>
      </c>
      <c r="BY9" s="178">
        <v>45053.370521259152</v>
      </c>
      <c r="BZ9" s="375">
        <f ca="1">SUM(BN9:OFFSET(BN9,0,$F$2-1))</f>
        <v>374863.53532168013</v>
      </c>
      <c r="CA9" s="175">
        <f t="shared" si="13"/>
        <v>48613.641622644682</v>
      </c>
      <c r="CB9" s="175">
        <f t="shared" si="14"/>
        <v>119316.05665569959</v>
      </c>
      <c r="CC9" s="175">
        <f t="shared" si="15"/>
        <v>92000.206156145228</v>
      </c>
      <c r="CD9" s="175">
        <f t="shared" si="16"/>
        <v>114933.63088719061</v>
      </c>
      <c r="CE9" s="178"/>
      <c r="CF9" s="97" t="s">
        <v>524</v>
      </c>
      <c r="CH9" s="178"/>
      <c r="CI9" s="178"/>
      <c r="CJ9" s="178">
        <f t="shared" si="19"/>
        <v>-6742.0816226446841</v>
      </c>
      <c r="CK9" s="178">
        <f t="shared" si="20"/>
        <v>-6810.1488462089037</v>
      </c>
      <c r="CL9" s="178">
        <f t="shared" si="21"/>
        <v>-3682.3136836933481</v>
      </c>
      <c r="CM9" s="178">
        <f t="shared" si="22"/>
        <v>-907.61412579713578</v>
      </c>
      <c r="CN9" s="178">
        <f t="shared" si="23"/>
        <v>337.77338116820829</v>
      </c>
      <c r="CO9" s="178">
        <f t="shared" si="24"/>
        <v>-1592.7491789940577</v>
      </c>
      <c r="CP9" s="178">
        <f t="shared" si="25"/>
        <v>-615.83035831938105</v>
      </c>
      <c r="CQ9" s="178">
        <f t="shared" si="26"/>
        <v>-410.67238260209342</v>
      </c>
      <c r="CR9" s="178"/>
      <c r="CS9" s="178"/>
      <c r="CU9" s="178">
        <f t="shared" si="27"/>
        <v>445480.35116913304</v>
      </c>
      <c r="CV9" s="178" t="e">
        <v>#VALUE!</v>
      </c>
      <c r="CW9" s="178">
        <f t="shared" si="28"/>
        <v>486422.13811880117</v>
      </c>
    </row>
    <row r="10" spans="2:103" outlineLevel="1">
      <c r="B10" s="97" t="s">
        <v>525</v>
      </c>
      <c r="C10" s="97" t="s">
        <v>0</v>
      </c>
      <c r="D10" s="97" t="s">
        <v>8</v>
      </c>
      <c r="E10" s="97" t="s">
        <v>125</v>
      </c>
      <c r="F10" s="174" t="s">
        <v>104</v>
      </c>
      <c r="G10" s="175">
        <v>44707.839999999902</v>
      </c>
      <c r="H10" s="175">
        <v>42908.38</v>
      </c>
      <c r="I10" s="175">
        <v>41198.25</v>
      </c>
      <c r="J10" s="175">
        <v>26136.16</v>
      </c>
      <c r="K10" s="376">
        <v>23733.59</v>
      </c>
      <c r="L10" s="175">
        <v>22629.779999999901</v>
      </c>
      <c r="M10" s="175">
        <v>22908.880000000001</v>
      </c>
      <c r="N10" s="175">
        <v>21990.6499999999</v>
      </c>
      <c r="O10" s="175">
        <v>21798.74</v>
      </c>
      <c r="P10" s="175">
        <v>23140.44</v>
      </c>
      <c r="Q10" s="175">
        <v>26369.54</v>
      </c>
      <c r="R10" s="175">
        <v>37509.879999999997</v>
      </c>
      <c r="S10" s="375">
        <f ca="1">SUM(G10:OFFSET(G10,0,$F$2-1))</f>
        <v>355032.12999999971</v>
      </c>
      <c r="T10" s="175">
        <f t="shared" si="0"/>
        <v>128814.4699999999</v>
      </c>
      <c r="U10" s="175">
        <f t="shared" si="1"/>
        <v>72499.529999999897</v>
      </c>
      <c r="V10" s="175">
        <f t="shared" si="2"/>
        <v>66698.269999999902</v>
      </c>
      <c r="W10" s="175">
        <f t="shared" si="3"/>
        <v>87019.859999999986</v>
      </c>
      <c r="X10" s="178"/>
      <c r="Y10" s="179">
        <v>42712.3</v>
      </c>
      <c r="Z10" s="179">
        <v>36441</v>
      </c>
      <c r="AA10" s="179">
        <v>37850.47</v>
      </c>
      <c r="AB10" s="179">
        <v>37209.93</v>
      </c>
      <c r="AC10" s="179">
        <v>27031.82</v>
      </c>
      <c r="AD10" s="179">
        <v>25563.5099999999</v>
      </c>
      <c r="AE10" s="179">
        <v>25083.03</v>
      </c>
      <c r="AF10" s="179">
        <v>23891.84</v>
      </c>
      <c r="AG10" s="179">
        <v>22646.639999999999</v>
      </c>
      <c r="AH10" s="179">
        <v>25157</v>
      </c>
      <c r="AI10" s="179">
        <v>30338.97</v>
      </c>
      <c r="AJ10" s="179">
        <v>41479.32</v>
      </c>
      <c r="AK10" s="177">
        <f t="shared" si="18"/>
        <v>375405.8299999999</v>
      </c>
      <c r="AL10" s="97" t="s">
        <v>8</v>
      </c>
      <c r="AM10" s="97" t="s">
        <v>8</v>
      </c>
      <c r="AN10" s="180" t="str">
        <f t="shared" si="4"/>
        <v>CFG - FTS-2.1 R</v>
      </c>
      <c r="AP10" s="375"/>
      <c r="AQ10" s="175">
        <f t="shared" si="5"/>
        <v>117003.77</v>
      </c>
      <c r="AR10" s="175">
        <f t="shared" si="6"/>
        <v>89805.259999999893</v>
      </c>
      <c r="AS10" s="175">
        <f t="shared" si="7"/>
        <v>71621.509999999995</v>
      </c>
      <c r="AT10" s="175">
        <f t="shared" si="8"/>
        <v>96975.290000000008</v>
      </c>
      <c r="AU10" s="181"/>
      <c r="AV10" s="175">
        <v>49388.168228097595</v>
      </c>
      <c r="AW10" s="175">
        <v>43520.289507715555</v>
      </c>
      <c r="AX10" s="175">
        <v>44887.236073605382</v>
      </c>
      <c r="AY10" s="175">
        <v>43399.47087006658</v>
      </c>
      <c r="AZ10" s="376">
        <v>31046.494055084746</v>
      </c>
      <c r="BA10" s="175">
        <v>25788.912684625433</v>
      </c>
      <c r="BB10" s="175">
        <v>24289.324779705603</v>
      </c>
      <c r="BC10" s="175">
        <v>23965.247905969285</v>
      </c>
      <c r="BD10" s="175">
        <v>23635.348909610075</v>
      </c>
      <c r="BE10" s="175">
        <v>25832.283420797103</v>
      </c>
      <c r="BF10" s="175">
        <v>33838.257350923683</v>
      </c>
      <c r="BG10" s="175">
        <v>41000.233216544482</v>
      </c>
      <c r="BH10" s="375">
        <f ca="1">SUM(AV10:OFFSET(AV10,0,$F$2-1))</f>
        <v>410591.26700274547</v>
      </c>
      <c r="BI10" s="175">
        <f t="shared" si="9"/>
        <v>137795.69380941853</v>
      </c>
      <c r="BJ10" s="175">
        <f t="shared" si="10"/>
        <v>100234.87760977675</v>
      </c>
      <c r="BK10" s="175">
        <f t="shared" si="11"/>
        <v>71889.921595284963</v>
      </c>
      <c r="BL10" s="175">
        <f t="shared" si="12"/>
        <v>100670.77398826527</v>
      </c>
      <c r="BM10" s="178"/>
      <c r="BN10" s="178"/>
      <c r="BO10" s="178"/>
      <c r="BP10" s="178">
        <v>44434.743774476294</v>
      </c>
      <c r="BQ10" s="178">
        <v>42956.619126494465</v>
      </c>
      <c r="BR10" s="377">
        <v>30664.774865882886</v>
      </c>
      <c r="BS10" s="178">
        <v>25683.22041952451</v>
      </c>
      <c r="BT10" s="178">
        <v>24141.519557922406</v>
      </c>
      <c r="BU10" s="178">
        <v>23867.230532120742</v>
      </c>
      <c r="BV10" s="178">
        <v>23104.759444292296</v>
      </c>
      <c r="BW10" s="178">
        <v>25252.375017473085</v>
      </c>
      <c r="BX10" s="178">
        <v>33078.623002229477</v>
      </c>
      <c r="BY10" s="178">
        <v>40076.047631745329</v>
      </c>
      <c r="BZ10" s="375">
        <f ca="1">SUM(BN10:OFFSET(BN10,0,$F$2-1))</f>
        <v>313259.91337216151</v>
      </c>
      <c r="CA10" s="175">
        <f t="shared" si="13"/>
        <v>44434.743774476294</v>
      </c>
      <c r="CB10" s="175">
        <f t="shared" si="14"/>
        <v>99304.614411901872</v>
      </c>
      <c r="CC10" s="175">
        <f t="shared" si="15"/>
        <v>71113.509534335448</v>
      </c>
      <c r="CD10" s="175">
        <f t="shared" si="16"/>
        <v>98407.045651447886</v>
      </c>
      <c r="CE10" s="178"/>
      <c r="CF10" s="97" t="s">
        <v>525</v>
      </c>
      <c r="CH10" s="178"/>
      <c r="CI10" s="178"/>
      <c r="CJ10" s="178">
        <f t="shared" si="19"/>
        <v>-6584.2737744762926</v>
      </c>
      <c r="CK10" s="178">
        <f t="shared" si="20"/>
        <v>-5746.6891264944643</v>
      </c>
      <c r="CL10" s="178">
        <f t="shared" si="21"/>
        <v>-3632.9548658828862</v>
      </c>
      <c r="CM10" s="178">
        <f t="shared" si="22"/>
        <v>-119.71041952461019</v>
      </c>
      <c r="CN10" s="178">
        <f t="shared" si="23"/>
        <v>941.51044207759332</v>
      </c>
      <c r="CO10" s="178">
        <f t="shared" si="24"/>
        <v>24.609467879257863</v>
      </c>
      <c r="CP10" s="178">
        <f t="shared" si="25"/>
        <v>-458.11944429229698</v>
      </c>
      <c r="CQ10" s="178">
        <f t="shared" si="26"/>
        <v>-95.375017473084881</v>
      </c>
      <c r="CR10" s="178"/>
      <c r="CS10" s="178"/>
      <c r="CU10" s="178">
        <f t="shared" si="27"/>
        <v>376449.29560530785</v>
      </c>
      <c r="CV10" s="178" t="e">
        <v>#VALUE!</v>
      </c>
      <c r="CW10" s="178">
        <f t="shared" si="28"/>
        <v>410591.26700274547</v>
      </c>
    </row>
    <row r="11" spans="2:103" outlineLevel="1">
      <c r="B11" s="97" t="s">
        <v>526</v>
      </c>
      <c r="C11" s="97" t="s">
        <v>0</v>
      </c>
      <c r="D11" s="97" t="s">
        <v>8</v>
      </c>
      <c r="E11" s="97" t="s">
        <v>125</v>
      </c>
      <c r="F11" s="329" t="s">
        <v>105</v>
      </c>
      <c r="G11" s="175">
        <v>3244.12</v>
      </c>
      <c r="H11" s="175">
        <v>2943.33</v>
      </c>
      <c r="I11" s="175">
        <v>2777.83</v>
      </c>
      <c r="J11" s="175">
        <v>2110.0700000000002</v>
      </c>
      <c r="K11" s="175">
        <v>2079.83</v>
      </c>
      <c r="L11" s="175">
        <v>1988.36</v>
      </c>
      <c r="M11" s="175">
        <v>1918.16</v>
      </c>
      <c r="N11" s="175">
        <v>1823.04</v>
      </c>
      <c r="O11" s="175">
        <v>1892.9</v>
      </c>
      <c r="P11" s="175">
        <v>2051.64</v>
      </c>
      <c r="Q11" s="175">
        <v>2305.37</v>
      </c>
      <c r="R11" s="175">
        <v>3443.67</v>
      </c>
      <c r="S11" s="375">
        <f ca="1">SUM(G11:OFFSET(G11,0,$F$2-1))</f>
        <v>28578.32</v>
      </c>
      <c r="T11" s="175">
        <f t="shared" si="0"/>
        <v>8965.2799999999988</v>
      </c>
      <c r="U11" s="175">
        <f t="shared" si="1"/>
        <v>6178.2599999999993</v>
      </c>
      <c r="V11" s="175">
        <f t="shared" si="2"/>
        <v>5634.1</v>
      </c>
      <c r="W11" s="175">
        <f t="shared" si="3"/>
        <v>7800.68</v>
      </c>
      <c r="X11" s="178"/>
      <c r="Y11" s="179">
        <v>3604.3</v>
      </c>
      <c r="Z11" s="179">
        <v>3017.47</v>
      </c>
      <c r="AA11" s="179">
        <v>2738.1</v>
      </c>
      <c r="AB11" s="179">
        <v>2588.02</v>
      </c>
      <c r="AC11" s="179">
        <v>2069.5</v>
      </c>
      <c r="AD11" s="179">
        <v>2011.28</v>
      </c>
      <c r="AE11" s="179">
        <v>1972.53</v>
      </c>
      <c r="AF11" s="179">
        <v>1886.07</v>
      </c>
      <c r="AG11" s="179">
        <v>1864.59</v>
      </c>
      <c r="AH11" s="179">
        <v>1960.79</v>
      </c>
      <c r="AI11" s="179">
        <v>2335.87</v>
      </c>
      <c r="AJ11" s="179">
        <v>2673.92</v>
      </c>
      <c r="AK11" s="177">
        <f t="shared" si="18"/>
        <v>28722.440000000002</v>
      </c>
      <c r="AL11" s="97" t="s">
        <v>8</v>
      </c>
      <c r="AM11" s="97" t="s">
        <v>8</v>
      </c>
      <c r="AN11" s="180" t="str">
        <f t="shared" si="4"/>
        <v>CFG - FTS-3 R</v>
      </c>
      <c r="AP11" s="375"/>
      <c r="AQ11" s="175">
        <f t="shared" si="5"/>
        <v>9359.8700000000008</v>
      </c>
      <c r="AR11" s="175">
        <f t="shared" si="6"/>
        <v>6668.8</v>
      </c>
      <c r="AS11" s="175">
        <f t="shared" si="7"/>
        <v>5723.19</v>
      </c>
      <c r="AT11" s="175">
        <f t="shared" si="8"/>
        <v>6970.58</v>
      </c>
      <c r="AU11" s="181"/>
      <c r="AV11" s="175">
        <v>3237.7952592000001</v>
      </c>
      <c r="AW11" s="175">
        <v>2859.2557362000002</v>
      </c>
      <c r="AX11" s="175">
        <v>3026.7555516000002</v>
      </c>
      <c r="AY11" s="175">
        <v>3092.0317363125</v>
      </c>
      <c r="AZ11" s="175">
        <v>2621.0200583249998</v>
      </c>
      <c r="BA11" s="175">
        <v>2280.44524095</v>
      </c>
      <c r="BB11" s="175">
        <v>2222.4212899808822</v>
      </c>
      <c r="BC11" s="175">
        <v>2082.6092462625002</v>
      </c>
      <c r="BD11" s="175">
        <v>2097.3203538749999</v>
      </c>
      <c r="BE11" s="175">
        <v>2286.4145531624999</v>
      </c>
      <c r="BF11" s="175">
        <v>2960.1740628000002</v>
      </c>
      <c r="BG11" s="175">
        <v>3596.6901075750002</v>
      </c>
      <c r="BH11" s="375">
        <f ca="1">SUM(AV11:OFFSET(AV11,0,$F$2-1))</f>
        <v>32362.933196243383</v>
      </c>
      <c r="BI11" s="175">
        <f t="shared" si="9"/>
        <v>9123.8065470000001</v>
      </c>
      <c r="BJ11" s="175">
        <f t="shared" si="10"/>
        <v>7993.4970355875002</v>
      </c>
      <c r="BK11" s="175">
        <f t="shared" si="11"/>
        <v>6402.3508901183832</v>
      </c>
      <c r="BL11" s="175">
        <f t="shared" si="12"/>
        <v>8843.2787235374999</v>
      </c>
      <c r="BM11" s="178"/>
      <c r="BN11" s="178"/>
      <c r="BO11" s="178"/>
      <c r="BP11" s="178">
        <v>3026.7555516000002</v>
      </c>
      <c r="BQ11" s="178">
        <v>3092.0317363125</v>
      </c>
      <c r="BR11" s="178">
        <v>2621.0200583249998</v>
      </c>
      <c r="BS11" s="178">
        <v>2153.7538386750002</v>
      </c>
      <c r="BT11" s="178">
        <v>1988.482206825</v>
      </c>
      <c r="BU11" s="178">
        <v>1966.90873258125</v>
      </c>
      <c r="BV11" s="178">
        <v>1864.2847590000001</v>
      </c>
      <c r="BW11" s="178">
        <v>2032.3684917</v>
      </c>
      <c r="BX11" s="178">
        <v>2631.2658336</v>
      </c>
      <c r="BY11" s="178">
        <v>3396.8739904875001</v>
      </c>
      <c r="BZ11" s="375">
        <f ca="1">SUM(BN11:OFFSET(BN11,0,$F$2-1))</f>
        <v>24773.745199106248</v>
      </c>
      <c r="CA11" s="175">
        <f t="shared" si="13"/>
        <v>3026.7555516000002</v>
      </c>
      <c r="CB11" s="175">
        <f t="shared" si="14"/>
        <v>7866.8056333125005</v>
      </c>
      <c r="CC11" s="175">
        <f t="shared" si="15"/>
        <v>5819.6756984062504</v>
      </c>
      <c r="CD11" s="175">
        <f t="shared" si="16"/>
        <v>8060.5083157874997</v>
      </c>
      <c r="CE11" s="178"/>
      <c r="CF11" s="97" t="s">
        <v>526</v>
      </c>
      <c r="CH11" s="178"/>
      <c r="CI11" s="178"/>
      <c r="CJ11" s="178">
        <f t="shared" si="19"/>
        <v>-288.65555160000031</v>
      </c>
      <c r="CK11" s="178">
        <f t="shared" si="20"/>
        <v>-504.01173631250003</v>
      </c>
      <c r="CL11" s="178">
        <f t="shared" si="21"/>
        <v>-551.52005832499981</v>
      </c>
      <c r="CM11" s="178">
        <f t="shared" si="22"/>
        <v>-142.47383867500025</v>
      </c>
      <c r="CN11" s="178">
        <f t="shared" si="23"/>
        <v>-15.952206825000076</v>
      </c>
      <c r="CO11" s="178">
        <f t="shared" si="24"/>
        <v>-80.838732581250042</v>
      </c>
      <c r="CP11" s="178">
        <f t="shared" si="25"/>
        <v>0.30524099999979626</v>
      </c>
      <c r="CQ11" s="178">
        <f t="shared" si="26"/>
        <v>-71.578491700000086</v>
      </c>
      <c r="CR11" s="178"/>
      <c r="CS11" s="178"/>
      <c r="CU11" s="178">
        <f t="shared" si="27"/>
        <v>30051.327852868752</v>
      </c>
      <c r="CV11" s="178" t="e">
        <v>#VALUE!</v>
      </c>
      <c r="CW11" s="178">
        <f t="shared" si="28"/>
        <v>32362.933196243383</v>
      </c>
    </row>
    <row r="12" spans="2:103" outlineLevel="1">
      <c r="B12" s="97" t="s">
        <v>527</v>
      </c>
      <c r="C12" s="97" t="s">
        <v>0</v>
      </c>
      <c r="D12" s="97" t="s">
        <v>8</v>
      </c>
      <c r="E12" s="97" t="s">
        <v>125</v>
      </c>
      <c r="F12" s="329" t="s">
        <v>106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375">
        <f ca="1">SUM(G12:OFFSET(G12,0,$F$2-1))</f>
        <v>0</v>
      </c>
      <c r="T12" s="175">
        <f t="shared" si="0"/>
        <v>0</v>
      </c>
      <c r="U12" s="175">
        <f t="shared" si="1"/>
        <v>0</v>
      </c>
      <c r="V12" s="175">
        <f t="shared" si="2"/>
        <v>0</v>
      </c>
      <c r="W12" s="175">
        <f t="shared" si="3"/>
        <v>0</v>
      </c>
      <c r="X12" s="178"/>
      <c r="Y12" s="179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0</v>
      </c>
      <c r="AI12" s="179">
        <v>0</v>
      </c>
      <c r="AJ12" s="179">
        <v>0</v>
      </c>
      <c r="AK12" s="177">
        <f t="shared" si="18"/>
        <v>0</v>
      </c>
      <c r="AL12" s="97" t="s">
        <v>8</v>
      </c>
      <c r="AM12" s="97" t="s">
        <v>8</v>
      </c>
      <c r="AN12" s="180" t="str">
        <f t="shared" si="4"/>
        <v>CFG - FTS-3.1 R</v>
      </c>
      <c r="AP12" s="375"/>
      <c r="AQ12" s="175">
        <f t="shared" si="5"/>
        <v>0</v>
      </c>
      <c r="AR12" s="175">
        <f t="shared" si="6"/>
        <v>0</v>
      </c>
      <c r="AS12" s="175">
        <f t="shared" si="7"/>
        <v>0</v>
      </c>
      <c r="AT12" s="175">
        <f t="shared" si="8"/>
        <v>0</v>
      </c>
      <c r="AU12" s="181"/>
      <c r="AV12" s="175">
        <v>0</v>
      </c>
      <c r="AW12" s="175">
        <v>0</v>
      </c>
      <c r="AX12" s="175">
        <v>0</v>
      </c>
      <c r="AY12" s="175"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375">
        <f ca="1">SUM(AV12:OFFSET(AV12,0,$F$2-1))</f>
        <v>0</v>
      </c>
      <c r="BI12" s="175">
        <f t="shared" si="9"/>
        <v>0</v>
      </c>
      <c r="BJ12" s="175">
        <f t="shared" si="10"/>
        <v>0</v>
      </c>
      <c r="BK12" s="175">
        <f t="shared" si="11"/>
        <v>0</v>
      </c>
      <c r="BL12" s="175">
        <f t="shared" si="12"/>
        <v>0</v>
      </c>
      <c r="BM12" s="178"/>
      <c r="BN12" s="178"/>
      <c r="BO12" s="178"/>
      <c r="BP12" s="178">
        <v>0</v>
      </c>
      <c r="BQ12" s="178">
        <v>0</v>
      </c>
      <c r="BR12" s="178">
        <v>0</v>
      </c>
      <c r="BS12" s="178">
        <v>0</v>
      </c>
      <c r="BT12" s="178">
        <v>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375">
        <f ca="1">SUM(BN12:OFFSET(BN12,0,$F$2-1))</f>
        <v>0</v>
      </c>
      <c r="CA12" s="175">
        <f t="shared" si="13"/>
        <v>0</v>
      </c>
      <c r="CB12" s="175">
        <f t="shared" si="14"/>
        <v>0</v>
      </c>
      <c r="CC12" s="175">
        <f t="shared" si="15"/>
        <v>0</v>
      </c>
      <c r="CD12" s="175">
        <f t="shared" si="16"/>
        <v>0</v>
      </c>
      <c r="CE12" s="178"/>
      <c r="CF12" s="97" t="s">
        <v>527</v>
      </c>
      <c r="CH12" s="178"/>
      <c r="CI12" s="178"/>
      <c r="CJ12" s="178">
        <f t="shared" si="19"/>
        <v>0</v>
      </c>
      <c r="CK12" s="178">
        <f t="shared" si="20"/>
        <v>0</v>
      </c>
      <c r="CL12" s="178">
        <f t="shared" si="21"/>
        <v>0</v>
      </c>
      <c r="CM12" s="178">
        <f t="shared" si="22"/>
        <v>0</v>
      </c>
      <c r="CN12" s="178">
        <f t="shared" si="23"/>
        <v>0</v>
      </c>
      <c r="CO12" s="178">
        <f t="shared" si="24"/>
        <v>0</v>
      </c>
      <c r="CP12" s="178">
        <f t="shared" si="25"/>
        <v>0</v>
      </c>
      <c r="CQ12" s="178">
        <f t="shared" si="26"/>
        <v>0</v>
      </c>
      <c r="CR12" s="178"/>
      <c r="CS12" s="178"/>
      <c r="CU12" s="178">
        <f t="shared" si="27"/>
        <v>0</v>
      </c>
      <c r="CV12" s="178" t="e">
        <v>#VALUE!</v>
      </c>
      <c r="CW12" s="178">
        <f t="shared" si="28"/>
        <v>0</v>
      </c>
    </row>
    <row r="13" spans="2:103" outlineLevel="1">
      <c r="B13" s="97" t="s">
        <v>528</v>
      </c>
      <c r="C13" s="97" t="s">
        <v>0</v>
      </c>
      <c r="D13" s="97" t="s">
        <v>7</v>
      </c>
      <c r="E13" s="97" t="s">
        <v>127</v>
      </c>
      <c r="F13" s="329" t="s">
        <v>126</v>
      </c>
      <c r="G13" s="175">
        <v>1566240.8199999921</v>
      </c>
      <c r="H13" s="175">
        <v>1462658.7600000093</v>
      </c>
      <c r="I13" s="175">
        <v>1383397.9699999788</v>
      </c>
      <c r="J13" s="175">
        <v>1329334.2099999685</v>
      </c>
      <c r="K13" s="176">
        <v>1284377.469999982</v>
      </c>
      <c r="L13" s="175">
        <v>1129634.6899999978</v>
      </c>
      <c r="M13" s="175">
        <v>1065037.9700000025</v>
      </c>
      <c r="N13" s="175">
        <v>1023045.2999999984</v>
      </c>
      <c r="O13" s="175">
        <v>1023493.0599999983</v>
      </c>
      <c r="P13" s="175">
        <v>1058307.0600000008</v>
      </c>
      <c r="Q13" s="175">
        <v>1234229.2099999851</v>
      </c>
      <c r="R13" s="175">
        <v>1593938.3899999778</v>
      </c>
      <c r="S13" s="375">
        <f ca="1">SUM(G13:OFFSET(G13,0,$F$2-1))</f>
        <v>15153694.909999892</v>
      </c>
      <c r="T13" s="175">
        <f t="shared" si="0"/>
        <v>4412297.5499999803</v>
      </c>
      <c r="U13" s="175">
        <f t="shared" si="1"/>
        <v>3743346.369999948</v>
      </c>
      <c r="V13" s="175">
        <f t="shared" si="2"/>
        <v>3111576.3299999991</v>
      </c>
      <c r="W13" s="175">
        <f t="shared" si="3"/>
        <v>3886474.6599999634</v>
      </c>
      <c r="X13" s="178"/>
      <c r="Y13" s="179">
        <v>1897800.8799999901</v>
      </c>
      <c r="Z13" s="179">
        <v>1614176.3799999873</v>
      </c>
      <c r="AA13" s="179">
        <v>1477487.0799999742</v>
      </c>
      <c r="AB13" s="179">
        <v>1446833.389999989</v>
      </c>
      <c r="AC13" s="179">
        <v>1251731.5299999961</v>
      </c>
      <c r="AD13" s="179">
        <v>1142636.7799999914</v>
      </c>
      <c r="AE13" s="179">
        <v>1105765.1799999983</v>
      </c>
      <c r="AF13" s="179">
        <v>1046068.959999989</v>
      </c>
      <c r="AG13" s="179">
        <v>1083155.759999993</v>
      </c>
      <c r="AH13" s="179">
        <v>1103100.4499999876</v>
      </c>
      <c r="AI13" s="179">
        <v>1283841.409999995</v>
      </c>
      <c r="AJ13" s="179">
        <v>1532888.3799999917</v>
      </c>
      <c r="AK13" s="177">
        <f t="shared" si="18"/>
        <v>15985486.179999882</v>
      </c>
      <c r="AL13" s="97" t="s">
        <v>7</v>
      </c>
      <c r="AM13" s="97" t="s">
        <v>7</v>
      </c>
      <c r="AN13" s="180" t="str">
        <f>CONCATENATE(AL13," - ",F13)</f>
        <v>FPU - FPU - RS</v>
      </c>
      <c r="AP13" s="375"/>
      <c r="AQ13" s="175">
        <f t="shared" si="5"/>
        <v>4989464.3399999514</v>
      </c>
      <c r="AR13" s="175">
        <f t="shared" si="6"/>
        <v>3841201.6999999764</v>
      </c>
      <c r="AS13" s="175">
        <f t="shared" si="7"/>
        <v>3234989.8999999808</v>
      </c>
      <c r="AT13" s="175">
        <f t="shared" si="8"/>
        <v>3919830.2399999741</v>
      </c>
      <c r="AU13" s="181"/>
      <c r="AV13" s="175">
        <v>1771492.952810792</v>
      </c>
      <c r="AW13" s="175">
        <v>1526774.7488725348</v>
      </c>
      <c r="AX13" s="175">
        <v>1402394.8164675469</v>
      </c>
      <c r="AY13" s="175">
        <v>1376758.2447034763</v>
      </c>
      <c r="AZ13" s="176">
        <v>1201174.0029264269</v>
      </c>
      <c r="BA13" s="175">
        <v>1115694.2937706644</v>
      </c>
      <c r="BB13" s="175">
        <v>1034420.6926830936</v>
      </c>
      <c r="BC13" s="175">
        <v>1027996.1761822691</v>
      </c>
      <c r="BD13" s="175">
        <v>1061404.1224647881</v>
      </c>
      <c r="BE13" s="175">
        <v>1055157.2102029528</v>
      </c>
      <c r="BF13" s="175">
        <v>1220304.0437534594</v>
      </c>
      <c r="BG13" s="175">
        <v>1535780.2620419967</v>
      </c>
      <c r="BH13" s="375">
        <f ca="1">SUM(AV13:OFFSET(AV13,0,$F$2-1))</f>
        <v>15329351.566880001</v>
      </c>
      <c r="BI13" s="175">
        <f t="shared" si="9"/>
        <v>4700662.5181508735</v>
      </c>
      <c r="BJ13" s="175">
        <f t="shared" si="10"/>
        <v>3693626.5414005676</v>
      </c>
      <c r="BK13" s="175">
        <f t="shared" si="11"/>
        <v>3123820.991330151</v>
      </c>
      <c r="BL13" s="175">
        <f t="shared" si="12"/>
        <v>3811241.5159984087</v>
      </c>
      <c r="BM13" s="178"/>
      <c r="BN13" s="178"/>
      <c r="BO13" s="178"/>
      <c r="BP13" s="178">
        <v>1406865.2381695947</v>
      </c>
      <c r="BQ13" s="178">
        <v>1381148.9747876034</v>
      </c>
      <c r="BR13" s="378">
        <v>1204992.2298647258</v>
      </c>
      <c r="BS13" s="178">
        <v>1113372.7165513053</v>
      </c>
      <c r="BT13" s="178">
        <v>1032895.9081316213</v>
      </c>
      <c r="BU13" s="178">
        <v>1027705.9264729999</v>
      </c>
      <c r="BV13" s="178">
        <v>1081256.6105283997</v>
      </c>
      <c r="BW13" s="178">
        <v>1076958.485120669</v>
      </c>
      <c r="BX13" s="178">
        <v>1249930.7765313685</v>
      </c>
      <c r="BY13" s="178">
        <v>1573396.8532757089</v>
      </c>
      <c r="BZ13" s="375">
        <f ca="1">SUM(BN13:OFFSET(BN13,0,$F$2-1))</f>
        <v>12148523.719433997</v>
      </c>
      <c r="CA13" s="175">
        <f t="shared" si="13"/>
        <v>1406865.2381695947</v>
      </c>
      <c r="CB13" s="175">
        <f t="shared" si="14"/>
        <v>3699513.9212036342</v>
      </c>
      <c r="CC13" s="175">
        <f t="shared" si="15"/>
        <v>3141858.4451330211</v>
      </c>
      <c r="CD13" s="175">
        <f t="shared" si="16"/>
        <v>3900286.1149277464</v>
      </c>
      <c r="CE13" s="178"/>
      <c r="CF13" s="97" t="s">
        <v>528</v>
      </c>
      <c r="CH13" s="178"/>
      <c r="CI13" s="178"/>
      <c r="CJ13" s="178">
        <f t="shared" si="19"/>
        <v>70621.841830379562</v>
      </c>
      <c r="CK13" s="178">
        <f t="shared" si="20"/>
        <v>65684.415212385589</v>
      </c>
      <c r="CL13" s="178">
        <f t="shared" si="21"/>
        <v>46739.300135270227</v>
      </c>
      <c r="CM13" s="178">
        <f t="shared" si="22"/>
        <v>29264.063448686153</v>
      </c>
      <c r="CN13" s="178">
        <f t="shared" si="23"/>
        <v>72869.271868376993</v>
      </c>
      <c r="CO13" s="178">
        <f t="shared" si="24"/>
        <v>18363.033526989166</v>
      </c>
      <c r="CP13" s="178">
        <f t="shared" si="25"/>
        <v>1899.1494715933222</v>
      </c>
      <c r="CQ13" s="178">
        <f t="shared" si="26"/>
        <v>26141.964879318606</v>
      </c>
      <c r="CR13" s="178"/>
      <c r="CS13" s="178"/>
      <c r="CU13" s="178">
        <f t="shared" si="27"/>
        <v>15843546.53661201</v>
      </c>
      <c r="CV13" s="178" t="e">
        <v>#VALUE!</v>
      </c>
      <c r="CW13" s="178">
        <f t="shared" si="28"/>
        <v>15329351.566880001</v>
      </c>
    </row>
    <row r="14" spans="2:103" outlineLevel="1">
      <c r="B14" s="97" t="s">
        <v>529</v>
      </c>
      <c r="C14" s="97" t="s">
        <v>0</v>
      </c>
      <c r="D14" s="97" t="s">
        <v>7</v>
      </c>
      <c r="E14" s="97" t="s">
        <v>127</v>
      </c>
      <c r="F14" s="329" t="s">
        <v>128</v>
      </c>
      <c r="G14" s="175">
        <v>15390.27</v>
      </c>
      <c r="H14" s="175">
        <v>15081.249999999996</v>
      </c>
      <c r="I14" s="175">
        <v>14581.640000000003</v>
      </c>
      <c r="J14" s="175">
        <v>14546.069999999998</v>
      </c>
      <c r="K14" s="176">
        <v>14233.379999999997</v>
      </c>
      <c r="L14" s="175">
        <v>13455.88</v>
      </c>
      <c r="M14" s="175">
        <v>12923.32</v>
      </c>
      <c r="N14" s="175">
        <v>12958.13</v>
      </c>
      <c r="O14" s="175">
        <v>13314.619999999997</v>
      </c>
      <c r="P14" s="175">
        <v>14067.31</v>
      </c>
      <c r="Q14" s="175">
        <v>16001.059999999996</v>
      </c>
      <c r="R14" s="175">
        <v>17730.029999999995</v>
      </c>
      <c r="S14" s="375">
        <f ca="1">SUM(G14:OFFSET(G14,0,$F$2-1))</f>
        <v>174282.96</v>
      </c>
      <c r="T14" s="175">
        <f t="shared" si="0"/>
        <v>45053.16</v>
      </c>
      <c r="U14" s="175">
        <f t="shared" si="1"/>
        <v>42235.329999999994</v>
      </c>
      <c r="V14" s="175">
        <f t="shared" si="2"/>
        <v>39196.069999999992</v>
      </c>
      <c r="W14" s="175">
        <f t="shared" si="3"/>
        <v>47798.399999999994</v>
      </c>
      <c r="X14" s="178"/>
      <c r="Y14" s="179">
        <v>18118.57</v>
      </c>
      <c r="Z14" s="179">
        <v>18441.019999999993</v>
      </c>
      <c r="AA14" s="179">
        <v>17749.030000000002</v>
      </c>
      <c r="AB14" s="179">
        <v>17122.72</v>
      </c>
      <c r="AC14" s="179">
        <v>17903.699999999993</v>
      </c>
      <c r="AD14" s="179">
        <v>15434.569999999998</v>
      </c>
      <c r="AE14" s="179">
        <v>16031.279999999995</v>
      </c>
      <c r="AF14" s="179">
        <v>14935.22</v>
      </c>
      <c r="AG14" s="179">
        <v>16243.729999999996</v>
      </c>
      <c r="AH14" s="179">
        <v>17201.250000000007</v>
      </c>
      <c r="AI14" s="179">
        <v>18891.980000000007</v>
      </c>
      <c r="AJ14" s="179">
        <v>19942.090000000004</v>
      </c>
      <c r="AK14" s="177">
        <f t="shared" si="18"/>
        <v>208015.15999999997</v>
      </c>
      <c r="AL14" s="97" t="s">
        <v>7</v>
      </c>
      <c r="AM14" s="97" t="s">
        <v>7</v>
      </c>
      <c r="AN14" s="180" t="str">
        <f>CONCATENATE(AL14," - ",F14)</f>
        <v>FPU - FPU - RS-GS</v>
      </c>
      <c r="AP14" s="375"/>
      <c r="AQ14" s="175">
        <f t="shared" si="5"/>
        <v>54308.619999999995</v>
      </c>
      <c r="AR14" s="175">
        <f t="shared" si="6"/>
        <v>50460.99</v>
      </c>
      <c r="AS14" s="175">
        <f t="shared" si="7"/>
        <v>47210.229999999989</v>
      </c>
      <c r="AT14" s="175">
        <f t="shared" si="8"/>
        <v>56035.320000000014</v>
      </c>
      <c r="AU14" s="181"/>
      <c r="AV14" s="175">
        <v>19226.655532287292</v>
      </c>
      <c r="AW14" s="175">
        <v>17134.465993474074</v>
      </c>
      <c r="AX14" s="175">
        <v>17460.83840408743</v>
      </c>
      <c r="AY14" s="175">
        <v>17720.886649444372</v>
      </c>
      <c r="AZ14" s="176">
        <v>19869.976710885065</v>
      </c>
      <c r="BA14" s="175">
        <v>15973.968040455455</v>
      </c>
      <c r="BB14" s="175">
        <v>15422.410648759691</v>
      </c>
      <c r="BC14" s="175">
        <v>15636.350405469713</v>
      </c>
      <c r="BD14" s="175">
        <v>16948.901346678034</v>
      </c>
      <c r="BE14" s="175">
        <v>17781.620275100693</v>
      </c>
      <c r="BF14" s="175">
        <v>17765.709301638759</v>
      </c>
      <c r="BG14" s="175">
        <v>19798.771194599311</v>
      </c>
      <c r="BH14" s="375">
        <f ca="1">SUM(AV14:OFFSET(AV14,0,$F$2-1))</f>
        <v>210740.55450287988</v>
      </c>
      <c r="BI14" s="175">
        <f t="shared" si="9"/>
        <v>53821.959929848796</v>
      </c>
      <c r="BJ14" s="175">
        <f t="shared" si="10"/>
        <v>53564.831400784889</v>
      </c>
      <c r="BK14" s="175">
        <f t="shared" si="11"/>
        <v>48007.662400907444</v>
      </c>
      <c r="BL14" s="175">
        <f t="shared" si="12"/>
        <v>55346.100771338766</v>
      </c>
      <c r="BM14" s="178"/>
      <c r="BN14" s="178"/>
      <c r="BO14" s="178"/>
      <c r="BP14" s="178">
        <v>17268.65936504873</v>
      </c>
      <c r="BQ14" s="178">
        <v>17529.457318354696</v>
      </c>
      <c r="BR14" s="378">
        <v>19645.316170184105</v>
      </c>
      <c r="BS14" s="178">
        <v>16759.170770554647</v>
      </c>
      <c r="BT14" s="178">
        <v>16170.163892335919</v>
      </c>
      <c r="BU14" s="178">
        <v>16336.485498251939</v>
      </c>
      <c r="BV14" s="178">
        <v>18184.244010430077</v>
      </c>
      <c r="BW14" s="178">
        <v>17658.526070816326</v>
      </c>
      <c r="BX14" s="178">
        <v>19366.910569168431</v>
      </c>
      <c r="BY14" s="178">
        <v>21603.787371884719</v>
      </c>
      <c r="BZ14" s="375">
        <f ca="1">SUM(BN14:OFFSET(BN14,0,$F$2-1))</f>
        <v>180522.72103702958</v>
      </c>
      <c r="CA14" s="175">
        <f t="shared" si="13"/>
        <v>17268.65936504873</v>
      </c>
      <c r="CB14" s="175">
        <f t="shared" si="14"/>
        <v>53933.944259093449</v>
      </c>
      <c r="CC14" s="175">
        <f t="shared" si="15"/>
        <v>50690.893401017936</v>
      </c>
      <c r="CD14" s="175">
        <f t="shared" si="16"/>
        <v>58629.224011869475</v>
      </c>
      <c r="CE14" s="178"/>
      <c r="CF14" s="97" t="s">
        <v>529</v>
      </c>
      <c r="CH14" s="178"/>
      <c r="CI14" s="178"/>
      <c r="CJ14" s="178">
        <f t="shared" si="19"/>
        <v>480.37063495127222</v>
      </c>
      <c r="CK14" s="178">
        <f t="shared" si="20"/>
        <v>-406.73731835469516</v>
      </c>
      <c r="CL14" s="178">
        <f t="shared" si="21"/>
        <v>-1741.616170184112</v>
      </c>
      <c r="CM14" s="178">
        <f t="shared" si="22"/>
        <v>-1324.600770554649</v>
      </c>
      <c r="CN14" s="178">
        <f t="shared" si="23"/>
        <v>-138.88389233592352</v>
      </c>
      <c r="CO14" s="178">
        <f t="shared" si="24"/>
        <v>-1401.2654982519398</v>
      </c>
      <c r="CP14" s="178">
        <f t="shared" si="25"/>
        <v>-1940.5140104300808</v>
      </c>
      <c r="CQ14" s="178">
        <f t="shared" si="26"/>
        <v>-457.27607081631868</v>
      </c>
      <c r="CR14" s="178"/>
      <c r="CS14" s="178"/>
      <c r="CU14" s="178">
        <f t="shared" si="27"/>
        <v>215414.32818344206</v>
      </c>
      <c r="CV14" s="178" t="e">
        <v>#VALUE!</v>
      </c>
      <c r="CW14" s="178">
        <f t="shared" si="28"/>
        <v>210740.55450287988</v>
      </c>
    </row>
    <row r="15" spans="2:103" outlineLevel="1">
      <c r="B15" s="97" t="s">
        <v>530</v>
      </c>
      <c r="C15" s="97" t="s">
        <v>0</v>
      </c>
      <c r="D15" s="97" t="s">
        <v>5</v>
      </c>
      <c r="E15" s="97" t="s">
        <v>129</v>
      </c>
      <c r="F15" s="329" t="s">
        <v>98</v>
      </c>
      <c r="G15" s="175">
        <v>9517.5899999999801</v>
      </c>
      <c r="H15" s="175">
        <v>8993.5599999999758</v>
      </c>
      <c r="I15" s="175">
        <v>8558.5199999999732</v>
      </c>
      <c r="J15" s="175">
        <v>8052.0899999999738</v>
      </c>
      <c r="K15" s="176">
        <v>7626.7900000000191</v>
      </c>
      <c r="L15" s="175">
        <v>7169.069999999967</v>
      </c>
      <c r="M15" s="175">
        <v>7277.0299999999734</v>
      </c>
      <c r="N15" s="175">
        <v>6961.639999999974</v>
      </c>
      <c r="O15" s="175">
        <v>7270.8399999999692</v>
      </c>
      <c r="P15" s="175">
        <v>7288.739999999977</v>
      </c>
      <c r="Q15" s="175">
        <v>7577.6100000000133</v>
      </c>
      <c r="R15" s="175">
        <v>9122.1999999999753</v>
      </c>
      <c r="S15" s="375">
        <f ca="1">SUM(G15:OFFSET(G15,0,$F$2-1))</f>
        <v>95415.67999999976</v>
      </c>
      <c r="T15" s="175">
        <f t="shared" si="0"/>
        <v>27069.669999999933</v>
      </c>
      <c r="U15" s="175">
        <f t="shared" si="1"/>
        <v>22847.949999999961</v>
      </c>
      <c r="V15" s="175">
        <f t="shared" si="2"/>
        <v>21509.509999999915</v>
      </c>
      <c r="W15" s="175">
        <f t="shared" si="3"/>
        <v>23988.549999999967</v>
      </c>
      <c r="X15" s="178"/>
      <c r="Y15" s="179">
        <v>10172.36</v>
      </c>
      <c r="Z15" s="179">
        <v>9198.1600000000235</v>
      </c>
      <c r="AA15" s="179">
        <v>8147.600000000014</v>
      </c>
      <c r="AB15" s="179">
        <v>8372.5300000000279</v>
      </c>
      <c r="AC15" s="179">
        <v>7352.5699999999733</v>
      </c>
      <c r="AD15" s="179">
        <v>7027.0899999999729</v>
      </c>
      <c r="AE15" s="179">
        <v>7176.5399999999754</v>
      </c>
      <c r="AF15" s="179">
        <v>6688.089999999982</v>
      </c>
      <c r="AG15" s="179">
        <v>7081.370000000009</v>
      </c>
      <c r="AH15" s="179">
        <v>6857.1899999999814</v>
      </c>
      <c r="AI15" s="179">
        <v>7272.2099999999746</v>
      </c>
      <c r="AJ15" s="179">
        <v>8436.7299999999777</v>
      </c>
      <c r="AK15" s="177">
        <f t="shared" si="18"/>
        <v>93782.43999999993</v>
      </c>
      <c r="AL15" s="97" t="s">
        <v>5</v>
      </c>
      <c r="AM15" s="97" t="s">
        <v>5</v>
      </c>
      <c r="AN15" s="180" t="str">
        <f>CONCATENATE(AL15," - ",F15)</f>
        <v>FT - FT-RS</v>
      </c>
      <c r="AP15" s="375"/>
      <c r="AQ15" s="175">
        <f t="shared" si="5"/>
        <v>27518.120000000039</v>
      </c>
      <c r="AR15" s="175">
        <f t="shared" si="6"/>
        <v>22752.189999999973</v>
      </c>
      <c r="AS15" s="175">
        <f t="shared" si="7"/>
        <v>20945.999999999967</v>
      </c>
      <c r="AT15" s="175">
        <f t="shared" si="8"/>
        <v>22566.129999999932</v>
      </c>
      <c r="AU15" s="181"/>
      <c r="AV15" s="175">
        <v>10832.962858688512</v>
      </c>
      <c r="AW15" s="175">
        <v>9574.3057293747406</v>
      </c>
      <c r="AX15" s="175">
        <v>8027.8857942418454</v>
      </c>
      <c r="AY15" s="175">
        <v>8125.3151987803167</v>
      </c>
      <c r="AZ15" s="176">
        <v>7407.7288039960204</v>
      </c>
      <c r="BA15" s="175">
        <v>7369.8259866310082</v>
      </c>
      <c r="BB15" s="175">
        <v>6851.6389946500922</v>
      </c>
      <c r="BC15" s="175">
        <v>7004.2376563176913</v>
      </c>
      <c r="BD15" s="175">
        <v>6988.4672441157309</v>
      </c>
      <c r="BE15" s="175">
        <v>6882.3979642629138</v>
      </c>
      <c r="BF15" s="175">
        <v>7277.2596999079688</v>
      </c>
      <c r="BG15" s="175">
        <v>8752.3219643375924</v>
      </c>
      <c r="BH15" s="375">
        <f ca="1">SUM(AV15:OFFSET(AV15,0,$F$2-1))</f>
        <v>95094.347895304425</v>
      </c>
      <c r="BI15" s="175">
        <f t="shared" si="9"/>
        <v>28435.154382305096</v>
      </c>
      <c r="BJ15" s="175">
        <f t="shared" si="10"/>
        <v>22902.869989407343</v>
      </c>
      <c r="BK15" s="175">
        <f t="shared" si="11"/>
        <v>20844.343895083515</v>
      </c>
      <c r="BL15" s="175">
        <f t="shared" si="12"/>
        <v>22911.979628508474</v>
      </c>
      <c r="BM15" s="178"/>
      <c r="BN15" s="178"/>
      <c r="BO15" s="178"/>
      <c r="BP15" s="178">
        <v>8042.0693380479261</v>
      </c>
      <c r="BQ15" s="178">
        <v>8154.1795511738528</v>
      </c>
      <c r="BR15" s="378">
        <v>7434.5684011119474</v>
      </c>
      <c r="BS15" s="178">
        <v>7410.1717493315427</v>
      </c>
      <c r="BT15" s="178">
        <v>6914.3829414875472</v>
      </c>
      <c r="BU15" s="178">
        <v>7081.4902775270766</v>
      </c>
      <c r="BV15" s="178">
        <v>7065.545926955243</v>
      </c>
      <c r="BW15" s="178">
        <v>6970.9582321854141</v>
      </c>
      <c r="BX15" s="178">
        <v>7330.6707802742658</v>
      </c>
      <c r="BY15" s="178">
        <v>8800.2361356752062</v>
      </c>
      <c r="BZ15" s="375">
        <f ca="1">SUM(BN15:OFFSET(BN15,0,$F$2-1))</f>
        <v>75204.273333770019</v>
      </c>
      <c r="CA15" s="175">
        <f t="shared" si="13"/>
        <v>8042.0693380479261</v>
      </c>
      <c r="CB15" s="175">
        <f t="shared" si="14"/>
        <v>22998.919701617342</v>
      </c>
      <c r="CC15" s="175">
        <f t="shared" si="15"/>
        <v>21061.419145969867</v>
      </c>
      <c r="CD15" s="175">
        <f t="shared" si="16"/>
        <v>23101.865148134886</v>
      </c>
      <c r="CE15" s="178"/>
      <c r="CF15" s="97" t="s">
        <v>530</v>
      </c>
      <c r="CH15" s="178"/>
      <c r="CI15" s="178"/>
      <c r="CJ15" s="178">
        <f t="shared" si="19"/>
        <v>105.53066195208794</v>
      </c>
      <c r="CK15" s="178">
        <f t="shared" si="20"/>
        <v>218.35044882617512</v>
      </c>
      <c r="CL15" s="178">
        <f t="shared" si="21"/>
        <v>-81.99840111197409</v>
      </c>
      <c r="CM15" s="178">
        <f t="shared" si="22"/>
        <v>-383.08174933156988</v>
      </c>
      <c r="CN15" s="178">
        <f t="shared" si="23"/>
        <v>262.15705851242819</v>
      </c>
      <c r="CO15" s="178">
        <f t="shared" si="24"/>
        <v>-393.40027752709466</v>
      </c>
      <c r="CP15" s="178">
        <f t="shared" si="25"/>
        <v>15.82407304476601</v>
      </c>
      <c r="CQ15" s="178">
        <f t="shared" si="26"/>
        <v>-113.76823218543268</v>
      </c>
      <c r="CR15" s="178"/>
      <c r="CS15" s="178"/>
      <c r="CU15" s="178">
        <f t="shared" si="27"/>
        <v>94816.676043436339</v>
      </c>
      <c r="CV15" s="178" t="e">
        <v>#VALUE!</v>
      </c>
      <c r="CW15" s="178">
        <f t="shared" si="28"/>
        <v>95094.347895304425</v>
      </c>
    </row>
    <row r="16" spans="2:103" outlineLevel="1">
      <c r="B16" s="97" t="s">
        <v>531</v>
      </c>
      <c r="C16" s="97" t="s">
        <v>0</v>
      </c>
      <c r="D16" s="97" t="s">
        <v>4</v>
      </c>
      <c r="E16" s="97" t="s">
        <v>130</v>
      </c>
      <c r="F16" s="329" t="s">
        <v>93</v>
      </c>
      <c r="G16" s="379">
        <v>10629.220000000007</v>
      </c>
      <c r="H16" s="379">
        <v>9749.7299999999959</v>
      </c>
      <c r="I16" s="379">
        <v>9878.9499999999935</v>
      </c>
      <c r="J16" s="379">
        <v>10163.71000000001</v>
      </c>
      <c r="K16" s="380">
        <v>9863.31</v>
      </c>
      <c r="L16" s="379">
        <v>9441.5100000000039</v>
      </c>
      <c r="M16" s="379">
        <v>9842.6099999999897</v>
      </c>
      <c r="N16" s="379">
        <v>9233.2900000000027</v>
      </c>
      <c r="O16" s="379">
        <v>9360.6099999999933</v>
      </c>
      <c r="P16" s="379">
        <v>9404.9399999999951</v>
      </c>
      <c r="Q16" s="379">
        <v>10043.070000000007</v>
      </c>
      <c r="R16" s="379">
        <v>10510.440000000008</v>
      </c>
      <c r="S16" s="381">
        <f ca="1">SUM(G16:OFFSET(G16,0,$F$2-1))</f>
        <v>118121.39000000001</v>
      </c>
      <c r="T16" s="379">
        <f t="shared" si="0"/>
        <v>30257.899999999998</v>
      </c>
      <c r="U16" s="379">
        <f t="shared" si="1"/>
        <v>29468.530000000013</v>
      </c>
      <c r="V16" s="379">
        <f t="shared" si="2"/>
        <v>28436.509999999987</v>
      </c>
      <c r="W16" s="379">
        <f t="shared" si="3"/>
        <v>29958.450000000012</v>
      </c>
      <c r="X16" s="178"/>
      <c r="Y16" s="382">
        <v>10659.050000000005</v>
      </c>
      <c r="Z16" s="382">
        <v>9879.9399999999914</v>
      </c>
      <c r="AA16" s="382">
        <v>10068.860000000006</v>
      </c>
      <c r="AB16" s="382">
        <v>9778.0400000000063</v>
      </c>
      <c r="AC16" s="382">
        <v>9442.0199999999822</v>
      </c>
      <c r="AD16" s="382">
        <v>9592.0200000000168</v>
      </c>
      <c r="AE16" s="382">
        <v>9484.7999999999975</v>
      </c>
      <c r="AF16" s="382">
        <v>9096.3500000000222</v>
      </c>
      <c r="AG16" s="382">
        <v>9540.5399999999845</v>
      </c>
      <c r="AH16" s="382">
        <v>9181.2299999999941</v>
      </c>
      <c r="AI16" s="382">
        <v>8999.8700000000026</v>
      </c>
      <c r="AJ16" s="382">
        <v>10788.779999999997</v>
      </c>
      <c r="AK16" s="177">
        <f t="shared" si="18"/>
        <v>116511.5</v>
      </c>
      <c r="AL16" s="97" t="s">
        <v>4</v>
      </c>
      <c r="AM16" s="97" t="s">
        <v>4</v>
      </c>
      <c r="AN16" s="180" t="str">
        <f>CONCATENATE(AL16," - ",F16)</f>
        <v>IGC - IGC - TS1</v>
      </c>
      <c r="AP16" s="381"/>
      <c r="AQ16" s="379">
        <f t="shared" si="5"/>
        <v>30607.850000000006</v>
      </c>
      <c r="AR16" s="379">
        <f t="shared" si="6"/>
        <v>28812.080000000009</v>
      </c>
      <c r="AS16" s="379">
        <f t="shared" si="7"/>
        <v>28121.690000000002</v>
      </c>
      <c r="AT16" s="379">
        <f t="shared" si="8"/>
        <v>28969.879999999997</v>
      </c>
      <c r="AU16" s="181"/>
      <c r="AV16" s="379">
        <v>10529.909579982072</v>
      </c>
      <c r="AW16" s="379">
        <v>9789.0752147796666</v>
      </c>
      <c r="AX16" s="379">
        <v>9872.5246368860662</v>
      </c>
      <c r="AY16" s="379">
        <v>9720.0748583391778</v>
      </c>
      <c r="AZ16" s="380">
        <v>9850.2553290130763</v>
      </c>
      <c r="BA16" s="379">
        <v>9316.5626720703749</v>
      </c>
      <c r="BB16" s="379">
        <v>9346.6761892189843</v>
      </c>
      <c r="BC16" s="379">
        <v>9249.6767738617655</v>
      </c>
      <c r="BD16" s="379">
        <v>9229.5864524598801</v>
      </c>
      <c r="BE16" s="379">
        <v>9457.1224516227594</v>
      </c>
      <c r="BF16" s="379">
        <v>9612.8105733967968</v>
      </c>
      <c r="BG16" s="379">
        <v>10175.219553147901</v>
      </c>
      <c r="BH16" s="381">
        <f ca="1">SUM(AV16:OFFSET(AV16,0,$F$2-1))</f>
        <v>116149.49428477854</v>
      </c>
      <c r="BI16" s="379">
        <f t="shared" si="9"/>
        <v>30191.509431647806</v>
      </c>
      <c r="BJ16" s="379">
        <f t="shared" si="10"/>
        <v>28886.892859422631</v>
      </c>
      <c r="BK16" s="379">
        <f t="shared" si="11"/>
        <v>27825.93941554063</v>
      </c>
      <c r="BL16" s="379">
        <f t="shared" si="12"/>
        <v>29245.152578167457</v>
      </c>
      <c r="BM16" s="178"/>
      <c r="BN16" s="383"/>
      <c r="BO16" s="383"/>
      <c r="BP16" s="383">
        <v>9916.5984075864508</v>
      </c>
      <c r="BQ16" s="383">
        <v>9763.5327191067154</v>
      </c>
      <c r="BR16" s="384">
        <v>9879.6152554780929</v>
      </c>
      <c r="BS16" s="383">
        <v>9344.3733069123755</v>
      </c>
      <c r="BT16" s="383">
        <v>9388.5269781259358</v>
      </c>
      <c r="BU16" s="383">
        <v>9290.9699737450774</v>
      </c>
      <c r="BV16" s="383">
        <v>9298.5669192196692</v>
      </c>
      <c r="BW16" s="383">
        <v>9513.4987404550866</v>
      </c>
      <c r="BX16" s="383">
        <v>9655.724906313746</v>
      </c>
      <c r="BY16" s="383">
        <v>10220.916646949463</v>
      </c>
      <c r="BZ16" s="381">
        <f ca="1">SUM(BN16:OFFSET(BN16,0,$F$2-1))</f>
        <v>96272.323853892623</v>
      </c>
      <c r="CA16" s="379">
        <f t="shared" si="13"/>
        <v>9916.5984075864508</v>
      </c>
      <c r="CB16" s="379">
        <f t="shared" si="14"/>
        <v>28987.521281497182</v>
      </c>
      <c r="CC16" s="379">
        <f t="shared" si="15"/>
        <v>27978.063871090682</v>
      </c>
      <c r="CD16" s="379">
        <f t="shared" si="16"/>
        <v>29390.140293718297</v>
      </c>
      <c r="CE16" s="178"/>
      <c r="CF16" s="97" t="s">
        <v>531</v>
      </c>
      <c r="CH16" s="383"/>
      <c r="CI16" s="383"/>
      <c r="CJ16" s="178">
        <f t="shared" si="19"/>
        <v>152.26159241355526</v>
      </c>
      <c r="CK16" s="178">
        <f t="shared" si="20"/>
        <v>14.507280893290954</v>
      </c>
      <c r="CL16" s="178">
        <f t="shared" si="21"/>
        <v>-437.59525547811063</v>
      </c>
      <c r="CM16" s="178">
        <f t="shared" si="22"/>
        <v>247.64669308764132</v>
      </c>
      <c r="CN16" s="178">
        <f t="shared" si="23"/>
        <v>96.273021874061669</v>
      </c>
      <c r="CO16" s="178">
        <f t="shared" si="24"/>
        <v>-194.61997374505518</v>
      </c>
      <c r="CP16" s="178">
        <f t="shared" si="25"/>
        <v>241.97308078031529</v>
      </c>
      <c r="CQ16" s="178">
        <f t="shared" si="26"/>
        <v>-332.26874045509248</v>
      </c>
      <c r="CR16" s="383"/>
      <c r="CS16" s="383"/>
      <c r="CU16" s="178">
        <f t="shared" si="27"/>
        <v>116540.48747172137</v>
      </c>
      <c r="CV16" s="178" t="e">
        <v>#VALUE!</v>
      </c>
      <c r="CW16" s="178">
        <f t="shared" si="28"/>
        <v>116149.49428477854</v>
      </c>
    </row>
    <row r="17" spans="2:101">
      <c r="B17" s="284"/>
      <c r="C17" s="284"/>
      <c r="D17" s="284" t="s">
        <v>532</v>
      </c>
      <c r="E17" s="249"/>
      <c r="F17" s="385" t="s">
        <v>131</v>
      </c>
      <c r="G17" s="177">
        <f t="shared" ref="G17:P17" si="29">SUM(G6:G16)</f>
        <v>2139178.2699999893</v>
      </c>
      <c r="H17" s="177">
        <f t="shared" si="29"/>
        <v>2016055.1100000113</v>
      </c>
      <c r="I17" s="177">
        <f t="shared" si="29"/>
        <v>1931242.2199999769</v>
      </c>
      <c r="J17" s="177">
        <f t="shared" si="29"/>
        <v>1822194.2899999665</v>
      </c>
      <c r="K17" s="177">
        <f t="shared" si="29"/>
        <v>1761150.1099999761</v>
      </c>
      <c r="L17" s="177">
        <f t="shared" si="29"/>
        <v>1585511.2199999969</v>
      </c>
      <c r="M17" s="177">
        <f t="shared" si="29"/>
        <v>1525365.949999999</v>
      </c>
      <c r="N17" s="177">
        <f t="shared" si="29"/>
        <v>1471146.7299999944</v>
      </c>
      <c r="O17" s="177">
        <f t="shared" si="29"/>
        <v>1477912.6899999978</v>
      </c>
      <c r="P17" s="177">
        <f t="shared" si="29"/>
        <v>1520828.6200000097</v>
      </c>
      <c r="Q17" s="177">
        <f>SUM(Q6:Q16)</f>
        <v>1728238.679999989</v>
      </c>
      <c r="R17" s="177">
        <f t="shared" ref="R17:W17" si="30">SUM(R6:R16)</f>
        <v>2186540.2999999807</v>
      </c>
      <c r="S17" s="177">
        <f t="shared" ca="1" si="30"/>
        <v>21165364.18999989</v>
      </c>
      <c r="T17" s="177">
        <f t="shared" si="30"/>
        <v>6086475.5999999782</v>
      </c>
      <c r="U17" s="177">
        <f t="shared" si="30"/>
        <v>5168855.6199999396</v>
      </c>
      <c r="V17" s="177">
        <f t="shared" si="30"/>
        <v>4474425.3699999908</v>
      </c>
      <c r="W17" s="177">
        <f t="shared" si="30"/>
        <v>5435607.5999999791</v>
      </c>
      <c r="X17" s="386"/>
      <c r="Y17" s="177">
        <f t="shared" ref="Y17:AT17" si="31">SUM(Y6:Y16)</f>
        <v>2531092.4199999967</v>
      </c>
      <c r="Z17" s="177">
        <f t="shared" si="31"/>
        <v>2179270.0999999931</v>
      </c>
      <c r="AA17" s="177">
        <f t="shared" si="31"/>
        <v>2030296.349999988</v>
      </c>
      <c r="AB17" s="177">
        <f t="shared" si="31"/>
        <v>2009998.6999999881</v>
      </c>
      <c r="AC17" s="177">
        <f t="shared" si="31"/>
        <v>1753356.8099999889</v>
      </c>
      <c r="AD17" s="177">
        <f t="shared" si="31"/>
        <v>1631440.8199999928</v>
      </c>
      <c r="AE17" s="177">
        <f t="shared" si="31"/>
        <v>1592261.4199999976</v>
      </c>
      <c r="AF17" s="177">
        <f t="shared" si="31"/>
        <v>1516487.6099999929</v>
      </c>
      <c r="AG17" s="177">
        <f>SUM(AG6:AG16)</f>
        <v>1559571.6999999913</v>
      </c>
      <c r="AH17" s="177">
        <f t="shared" si="31"/>
        <v>1586457.0799999856</v>
      </c>
      <c r="AI17" s="177">
        <f>SUM(AI6:AI16)</f>
        <v>1799231.6999999951</v>
      </c>
      <c r="AJ17" s="177">
        <f t="shared" si="31"/>
        <v>2131608.5899999985</v>
      </c>
      <c r="AK17" s="177">
        <f t="shared" si="31"/>
        <v>22321073.299999911</v>
      </c>
      <c r="AL17" s="177"/>
      <c r="AM17" s="177"/>
      <c r="AN17" s="177"/>
      <c r="AO17" s="177"/>
      <c r="AP17" s="177"/>
      <c r="AQ17" s="177">
        <f t="shared" si="31"/>
        <v>6740658.8699999778</v>
      </c>
      <c r="AR17" s="177">
        <f t="shared" si="31"/>
        <v>5394796.3299999703</v>
      </c>
      <c r="AS17" s="177">
        <f t="shared" si="31"/>
        <v>4668320.7299999828</v>
      </c>
      <c r="AT17" s="177">
        <f t="shared" si="31"/>
        <v>5517297.3699999796</v>
      </c>
      <c r="AU17" s="181"/>
      <c r="AV17" s="177">
        <f t="shared" ref="AV17:BE17" si="32">SUM(AV6:AV16)</f>
        <v>2410890.8733662977</v>
      </c>
      <c r="AW17" s="177">
        <f t="shared" si="32"/>
        <v>2105255.2847037045</v>
      </c>
      <c r="AX17" s="177">
        <f t="shared" si="32"/>
        <v>1968818.5588258209</v>
      </c>
      <c r="AY17" s="177">
        <f t="shared" si="32"/>
        <v>1938265.2779852326</v>
      </c>
      <c r="AZ17" s="177">
        <f t="shared" si="32"/>
        <v>1713820.2842925757</v>
      </c>
      <c r="BA17" s="177">
        <f t="shared" si="32"/>
        <v>1606829.2437348121</v>
      </c>
      <c r="BB17" s="177">
        <f t="shared" si="32"/>
        <v>1509263.4454052628</v>
      </c>
      <c r="BC17" s="177">
        <f t="shared" si="32"/>
        <v>1508248.0314304694</v>
      </c>
      <c r="BD17" s="177">
        <f t="shared" si="32"/>
        <v>1542756.0811762146</v>
      </c>
      <c r="BE17" s="177">
        <f t="shared" si="32"/>
        <v>1541905.1391437761</v>
      </c>
      <c r="BF17" s="177">
        <f>SUM(BF6:BF16)</f>
        <v>1755242.3289666907</v>
      </c>
      <c r="BG17" s="177">
        <f t="shared" ref="BG17:BL17" si="33">SUM(BG6:BG16)</f>
        <v>2137581.9712307258</v>
      </c>
      <c r="BH17" s="177">
        <f t="shared" ca="1" si="33"/>
        <v>21738876.520261586</v>
      </c>
      <c r="BI17" s="177">
        <f t="shared" si="33"/>
        <v>6484964.7168958234</v>
      </c>
      <c r="BJ17" s="177">
        <f t="shared" si="33"/>
        <v>5258914.8060126202</v>
      </c>
      <c r="BK17" s="177">
        <f t="shared" si="33"/>
        <v>4560267.5580119472</v>
      </c>
      <c r="BL17" s="177">
        <f t="shared" si="33"/>
        <v>5434729.439341194</v>
      </c>
      <c r="BM17" s="386"/>
      <c r="BN17" s="177">
        <f t="shared" ref="BN17:BW17" si="34">SUM(BN6:BN16)</f>
        <v>0</v>
      </c>
      <c r="BO17" s="177">
        <f t="shared" si="34"/>
        <v>0</v>
      </c>
      <c r="BP17" s="177">
        <f t="shared" si="34"/>
        <v>1972884.0294930458</v>
      </c>
      <c r="BQ17" s="177">
        <f t="shared" si="34"/>
        <v>1942169.8777447494</v>
      </c>
      <c r="BR17" s="177">
        <f t="shared" si="34"/>
        <v>1717246.5840120735</v>
      </c>
      <c r="BS17" s="177">
        <f t="shared" si="34"/>
        <v>1594152.0422908501</v>
      </c>
      <c r="BT17" s="177">
        <f t="shared" si="34"/>
        <v>1497779.7540931844</v>
      </c>
      <c r="BU17" s="177">
        <f t="shared" si="34"/>
        <v>1497948.9110305938</v>
      </c>
      <c r="BV17" s="177">
        <f t="shared" si="34"/>
        <v>1553167.7430336683</v>
      </c>
      <c r="BW17" s="177">
        <f t="shared" si="34"/>
        <v>1552068.2584901536</v>
      </c>
      <c r="BX17" s="177">
        <f>SUM(BX6:BX16)</f>
        <v>1774748.2519923134</v>
      </c>
      <c r="BY17" s="177">
        <f t="shared" ref="BY17:CD17" si="35">SUM(BY6:BY16)</f>
        <v>2163635.8280823021</v>
      </c>
      <c r="BZ17" s="177">
        <f t="shared" ca="1" si="35"/>
        <v>17265801.280262936</v>
      </c>
      <c r="CA17" s="177">
        <f t="shared" si="35"/>
        <v>1972884.0294930458</v>
      </c>
      <c r="CB17" s="177">
        <f t="shared" si="35"/>
        <v>5253568.5040476732</v>
      </c>
      <c r="CC17" s="177">
        <f t="shared" si="35"/>
        <v>4548896.4081574464</v>
      </c>
      <c r="CD17" s="177">
        <f t="shared" si="35"/>
        <v>5490452.3385647684</v>
      </c>
      <c r="CE17" s="386"/>
      <c r="CF17" s="97"/>
      <c r="CH17" s="177"/>
      <c r="CI17" s="177"/>
      <c r="CJ17" s="177">
        <f t="shared" ref="CJ17:CS17" si="36">SUM(CJ6:CJ16)</f>
        <v>57412.320506941905</v>
      </c>
      <c r="CK17" s="177">
        <f t="shared" si="36"/>
        <v>67828.822255238643</v>
      </c>
      <c r="CL17" s="177">
        <f t="shared" si="36"/>
        <v>36110.225987915481</v>
      </c>
      <c r="CM17" s="177">
        <f t="shared" si="36"/>
        <v>37288.777709142414</v>
      </c>
      <c r="CN17" s="177">
        <f t="shared" si="36"/>
        <v>94481.665906813185</v>
      </c>
      <c r="CO17" s="177">
        <f t="shared" si="36"/>
        <v>18538.698969398956</v>
      </c>
      <c r="CP17" s="177">
        <f t="shared" si="36"/>
        <v>6403.9569663228258</v>
      </c>
      <c r="CQ17" s="177">
        <f t="shared" si="36"/>
        <v>34388.821509832254</v>
      </c>
      <c r="CR17" s="177">
        <f t="shared" si="36"/>
        <v>0</v>
      </c>
      <c r="CS17" s="177">
        <f t="shared" si="36"/>
        <v>0</v>
      </c>
      <c r="CU17" s="177">
        <f>SUM(CU6:CU16)</f>
        <v>22137515.169013023</v>
      </c>
      <c r="CV17" s="177" t="e">
        <f>SUM(CV6:CV16)</f>
        <v>#VALUE!</v>
      </c>
      <c r="CW17" s="177">
        <f>SUM(CW6:CW16)</f>
        <v>21738876.520261586</v>
      </c>
    </row>
    <row r="18" spans="2:101">
      <c r="B18" s="97"/>
      <c r="C18" s="97"/>
      <c r="D18" s="97" t="s">
        <v>532</v>
      </c>
      <c r="E18" s="249"/>
      <c r="F18" s="327" t="s">
        <v>132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177"/>
      <c r="T18" s="62"/>
      <c r="U18" s="62"/>
      <c r="V18" s="62"/>
      <c r="W18" s="62"/>
      <c r="X18" s="178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177"/>
      <c r="AL18" s="177"/>
      <c r="AM18" s="177"/>
      <c r="AN18" s="177"/>
      <c r="AO18" s="177"/>
      <c r="AP18" s="177"/>
      <c r="AQ18" s="62"/>
      <c r="AR18" s="62"/>
      <c r="AS18" s="62"/>
      <c r="AT18" s="62"/>
      <c r="AU18" s="181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177"/>
      <c r="BI18" s="62"/>
      <c r="BJ18" s="62"/>
      <c r="BK18" s="62"/>
      <c r="BL18" s="62"/>
      <c r="BM18" s="178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177"/>
      <c r="CA18" s="62"/>
      <c r="CB18" s="62"/>
      <c r="CC18" s="62"/>
      <c r="CD18" s="62"/>
      <c r="CE18" s="178"/>
      <c r="CF18" s="97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U18" s="62"/>
      <c r="CV18" s="62"/>
      <c r="CW18" s="62"/>
    </row>
    <row r="19" spans="2:101" outlineLevel="1">
      <c r="B19" s="97" t="s">
        <v>533</v>
      </c>
      <c r="C19" s="97" t="s">
        <v>534</v>
      </c>
      <c r="D19" s="97" t="s">
        <v>8</v>
      </c>
      <c r="E19" s="97" t="s">
        <v>125</v>
      </c>
      <c r="F19" s="174" t="s">
        <v>100</v>
      </c>
      <c r="G19" s="175">
        <v>561</v>
      </c>
      <c r="H19" s="175">
        <v>593.29999999999995</v>
      </c>
      <c r="I19" s="175">
        <v>589.9</v>
      </c>
      <c r="J19" s="175">
        <v>555.9</v>
      </c>
      <c r="K19" s="176">
        <v>527</v>
      </c>
      <c r="L19" s="175">
        <v>527</v>
      </c>
      <c r="M19" s="175">
        <v>517.92999999999995</v>
      </c>
      <c r="N19" s="175">
        <v>484.5</v>
      </c>
      <c r="O19" s="175">
        <v>486.77</v>
      </c>
      <c r="P19" s="175">
        <v>503.77</v>
      </c>
      <c r="Q19" s="175">
        <v>526.44000000000005</v>
      </c>
      <c r="R19" s="175">
        <v>535.5</v>
      </c>
      <c r="S19" s="177">
        <f ca="1">SUM(G19:OFFSET(G19,0,$F$2-1))</f>
        <v>6409.01</v>
      </c>
      <c r="T19" s="175">
        <f t="shared" ref="T19:T25" si="37">SUM(G19:I19)</f>
        <v>1744.1999999999998</v>
      </c>
      <c r="U19" s="175">
        <f t="shared" ref="U19:U25" si="38">SUM(J19:L19)</f>
        <v>1609.9</v>
      </c>
      <c r="V19" s="175">
        <f t="shared" ref="V19:V25" si="39">SUM(M19:O19)</f>
        <v>1489.1999999999998</v>
      </c>
      <c r="W19" s="175">
        <f t="shared" ref="W19:W25" si="40">SUM(P19:R19)</f>
        <v>1565.71</v>
      </c>
      <c r="X19" s="178"/>
      <c r="Y19" s="179">
        <v>527</v>
      </c>
      <c r="Z19" s="179">
        <v>527</v>
      </c>
      <c r="AA19" s="179">
        <v>527</v>
      </c>
      <c r="AB19" s="179">
        <v>538.33000000000004</v>
      </c>
      <c r="AC19" s="179">
        <v>530.4</v>
      </c>
      <c r="AD19" s="179">
        <v>511.7</v>
      </c>
      <c r="AE19" s="179">
        <v>485.07</v>
      </c>
      <c r="AF19" s="179">
        <v>475.44</v>
      </c>
      <c r="AG19" s="179">
        <v>476</v>
      </c>
      <c r="AH19" s="179">
        <v>476</v>
      </c>
      <c r="AI19" s="179">
        <v>507.73</v>
      </c>
      <c r="AJ19" s="179">
        <v>545.13</v>
      </c>
      <c r="AK19" s="177">
        <f t="shared" ref="AK19:AK25" si="41">SUM(Y19:AJ19)</f>
        <v>6126.8</v>
      </c>
      <c r="AL19" s="97" t="s">
        <v>8</v>
      </c>
      <c r="AM19" s="97" t="s">
        <v>8</v>
      </c>
      <c r="AN19" s="180" t="str">
        <f>CONCATENATE(AL19," - ",F19," - ",AO19)</f>
        <v>CFG - FTS-A - Fixed R</v>
      </c>
      <c r="AO19" s="180" t="s">
        <v>133</v>
      </c>
      <c r="AP19" s="177"/>
      <c r="AQ19" s="175">
        <f t="shared" ref="AQ19:AQ25" si="42">SUM(Y19:AA19)</f>
        <v>1581</v>
      </c>
      <c r="AR19" s="175">
        <f t="shared" ref="AR19:AR25" si="43">SUM(AB19:AD19)</f>
        <v>1580.43</v>
      </c>
      <c r="AS19" s="175">
        <f t="shared" ref="AS19:AS25" si="44">SUM(AE19:AG19)</f>
        <v>1436.51</v>
      </c>
      <c r="AT19" s="175">
        <f t="shared" ref="AT19:AT25" si="45">SUM(AH19:AJ19)</f>
        <v>1528.8600000000001</v>
      </c>
      <c r="AU19" s="181"/>
      <c r="AV19" s="175">
        <v>595</v>
      </c>
      <c r="AW19" s="175">
        <v>595</v>
      </c>
      <c r="AX19" s="175">
        <v>612</v>
      </c>
      <c r="AY19" s="175">
        <v>578</v>
      </c>
      <c r="AZ19" s="176">
        <v>510</v>
      </c>
      <c r="BA19" s="175">
        <v>493</v>
      </c>
      <c r="BB19" s="175">
        <v>493</v>
      </c>
      <c r="BC19" s="175">
        <v>493</v>
      </c>
      <c r="BD19" s="175">
        <v>476</v>
      </c>
      <c r="BE19" s="175">
        <v>527</v>
      </c>
      <c r="BF19" s="175">
        <v>544</v>
      </c>
      <c r="BG19" s="175">
        <v>561</v>
      </c>
      <c r="BH19" s="177">
        <f ca="1">SUM(AV19:OFFSET(AV19,0,$F$2-1))</f>
        <v>6477</v>
      </c>
      <c r="BI19" s="175">
        <f t="shared" ref="BI19:BI25" si="46">SUM(AV19:AX19)</f>
        <v>1802</v>
      </c>
      <c r="BJ19" s="175">
        <f t="shared" ref="BJ19:BJ25" si="47">SUM(AY19:BA19)</f>
        <v>1581</v>
      </c>
      <c r="BK19" s="175">
        <f t="shared" ref="BK19:BK25" si="48">SUM(BB19:BD19)</f>
        <v>1462</v>
      </c>
      <c r="BL19" s="175">
        <f t="shared" ref="BL19:BL25" si="49">SUM(BE19:BG19)</f>
        <v>1632</v>
      </c>
      <c r="BM19" s="178"/>
      <c r="BN19" s="178"/>
      <c r="BO19" s="178"/>
      <c r="BP19" s="178">
        <v>527</v>
      </c>
      <c r="BQ19" s="178">
        <v>527</v>
      </c>
      <c r="BR19" s="378">
        <v>544</v>
      </c>
      <c r="BS19" s="178">
        <v>544</v>
      </c>
      <c r="BT19" s="178">
        <v>544</v>
      </c>
      <c r="BU19" s="178">
        <v>544</v>
      </c>
      <c r="BV19" s="178">
        <v>493</v>
      </c>
      <c r="BW19" s="178">
        <v>493</v>
      </c>
      <c r="BX19" s="178">
        <v>476</v>
      </c>
      <c r="BY19" s="178">
        <v>510</v>
      </c>
      <c r="BZ19" s="177">
        <f ca="1">SUM(BN19:OFFSET(BN19,0,$F$2-1))</f>
        <v>5202</v>
      </c>
      <c r="CA19" s="175">
        <f t="shared" ref="CA19:CA25" si="50">SUM(BN19:BP19)</f>
        <v>527</v>
      </c>
      <c r="CB19" s="175">
        <f t="shared" ref="CB19:CB25" si="51">SUM(BQ19:BS19)</f>
        <v>1615</v>
      </c>
      <c r="CC19" s="175">
        <f t="shared" ref="CC19:CC25" si="52">SUM(BT19:BV19)</f>
        <v>1581</v>
      </c>
      <c r="CD19" s="175">
        <f t="shared" ref="CD19:CD25" si="53">SUM(BW19:BY19)</f>
        <v>1479</v>
      </c>
      <c r="CE19" s="178"/>
      <c r="CF19" s="97" t="s">
        <v>533</v>
      </c>
      <c r="CH19" s="178"/>
      <c r="CI19" s="178"/>
      <c r="CJ19" s="178">
        <f t="shared" ref="CJ19:CQ25" si="54">AA19-BP19</f>
        <v>0</v>
      </c>
      <c r="CK19" s="178">
        <f t="shared" si="54"/>
        <v>11.330000000000041</v>
      </c>
      <c r="CL19" s="178">
        <f t="shared" si="54"/>
        <v>-13.600000000000023</v>
      </c>
      <c r="CM19" s="178">
        <f t="shared" si="54"/>
        <v>-32.300000000000011</v>
      </c>
      <c r="CN19" s="178">
        <f t="shared" si="54"/>
        <v>-58.930000000000007</v>
      </c>
      <c r="CO19" s="178">
        <f t="shared" si="54"/>
        <v>-68.56</v>
      </c>
      <c r="CP19" s="178">
        <f t="shared" si="54"/>
        <v>-17</v>
      </c>
      <c r="CQ19" s="178">
        <f t="shared" si="54"/>
        <v>-17</v>
      </c>
      <c r="CR19" s="178"/>
      <c r="CS19" s="178"/>
      <c r="CU19" s="178">
        <f t="shared" ref="CU19:CU25" si="55">SUM(Y19:AC19)+SUM(BS19:BY19)</f>
        <v>6253.73</v>
      </c>
      <c r="CV19" s="178">
        <v>6093.94</v>
      </c>
      <c r="CW19" s="178">
        <f t="shared" ref="CW19:CW25" si="56">SUM(AV19:BG19)</f>
        <v>6477</v>
      </c>
    </row>
    <row r="20" spans="2:101" outlineLevel="1">
      <c r="B20" s="97" t="s">
        <v>535</v>
      </c>
      <c r="C20" s="97" t="s">
        <v>534</v>
      </c>
      <c r="D20" s="97" t="s">
        <v>8</v>
      </c>
      <c r="E20" s="97" t="s">
        <v>125</v>
      </c>
      <c r="F20" s="174" t="s">
        <v>101</v>
      </c>
      <c r="G20" s="175">
        <v>1417.57</v>
      </c>
      <c r="H20" s="175">
        <v>1386.9</v>
      </c>
      <c r="I20" s="175">
        <v>1396.87</v>
      </c>
      <c r="J20" s="175">
        <v>1387.67</v>
      </c>
      <c r="K20" s="176">
        <v>1380</v>
      </c>
      <c r="L20" s="175">
        <v>1380</v>
      </c>
      <c r="M20" s="175">
        <v>1380</v>
      </c>
      <c r="N20" s="175">
        <v>1409.13</v>
      </c>
      <c r="O20" s="175">
        <v>1403</v>
      </c>
      <c r="P20" s="175">
        <v>1411.44</v>
      </c>
      <c r="Q20" s="175">
        <v>1415.27</v>
      </c>
      <c r="R20" s="175">
        <v>1434.43</v>
      </c>
      <c r="S20" s="177">
        <f ca="1">SUM(G20:OFFSET(G20,0,$F$2-1))</f>
        <v>16802.28</v>
      </c>
      <c r="T20" s="175">
        <f t="shared" si="37"/>
        <v>4201.34</v>
      </c>
      <c r="U20" s="175">
        <f t="shared" si="38"/>
        <v>4147.67</v>
      </c>
      <c r="V20" s="175">
        <f t="shared" si="39"/>
        <v>4192.13</v>
      </c>
      <c r="W20" s="175">
        <f t="shared" si="40"/>
        <v>4261.1400000000003</v>
      </c>
      <c r="X20" s="178"/>
      <c r="Y20" s="179">
        <v>1426</v>
      </c>
      <c r="Z20" s="179">
        <v>1426</v>
      </c>
      <c r="AA20" s="179">
        <v>1426</v>
      </c>
      <c r="AB20" s="179">
        <v>1426</v>
      </c>
      <c r="AC20" s="179">
        <v>1419.1</v>
      </c>
      <c r="AD20" s="179">
        <v>1403</v>
      </c>
      <c r="AE20" s="179">
        <v>1403</v>
      </c>
      <c r="AF20" s="179">
        <v>1437.5</v>
      </c>
      <c r="AG20" s="179">
        <v>1414.5</v>
      </c>
      <c r="AH20" s="179">
        <v>1412.2</v>
      </c>
      <c r="AI20" s="179">
        <v>1396.87</v>
      </c>
      <c r="AJ20" s="179">
        <v>1411.43</v>
      </c>
      <c r="AK20" s="177">
        <f t="shared" si="41"/>
        <v>17001.600000000002</v>
      </c>
      <c r="AL20" s="97" t="s">
        <v>8</v>
      </c>
      <c r="AM20" s="97" t="s">
        <v>8</v>
      </c>
      <c r="AN20" s="180" t="str">
        <f t="shared" ref="AN20:AN25" si="57">CONCATENATE(AL20," - ",F20," - ",AO20)</f>
        <v>CFG - FTS-B - Fixed R</v>
      </c>
      <c r="AO20" s="180" t="s">
        <v>133</v>
      </c>
      <c r="AP20" s="177"/>
      <c r="AQ20" s="175">
        <f t="shared" si="42"/>
        <v>4278</v>
      </c>
      <c r="AR20" s="175">
        <f t="shared" si="43"/>
        <v>4248.1000000000004</v>
      </c>
      <c r="AS20" s="175">
        <f t="shared" si="44"/>
        <v>4255</v>
      </c>
      <c r="AT20" s="175">
        <f t="shared" si="45"/>
        <v>4220.5</v>
      </c>
      <c r="AU20" s="181"/>
      <c r="AV20" s="175">
        <v>1426</v>
      </c>
      <c r="AW20" s="175">
        <v>1426</v>
      </c>
      <c r="AX20" s="175">
        <v>1426</v>
      </c>
      <c r="AY20" s="175">
        <v>1426</v>
      </c>
      <c r="AZ20" s="176">
        <v>1403</v>
      </c>
      <c r="BA20" s="175">
        <v>1426</v>
      </c>
      <c r="BB20" s="175">
        <v>1357</v>
      </c>
      <c r="BC20" s="175">
        <v>1357</v>
      </c>
      <c r="BD20" s="175">
        <v>1357</v>
      </c>
      <c r="BE20" s="175">
        <v>1403</v>
      </c>
      <c r="BF20" s="175">
        <v>1380</v>
      </c>
      <c r="BG20" s="175">
        <v>1403</v>
      </c>
      <c r="BH20" s="177">
        <f ca="1">SUM(AV20:OFFSET(AV20,0,$F$2-1))</f>
        <v>16790</v>
      </c>
      <c r="BI20" s="175">
        <f t="shared" si="46"/>
        <v>4278</v>
      </c>
      <c r="BJ20" s="175">
        <f t="shared" si="47"/>
        <v>4255</v>
      </c>
      <c r="BK20" s="175">
        <f t="shared" si="48"/>
        <v>4071</v>
      </c>
      <c r="BL20" s="175">
        <f t="shared" si="49"/>
        <v>4186</v>
      </c>
      <c r="BM20" s="178"/>
      <c r="BN20" s="178"/>
      <c r="BO20" s="178"/>
      <c r="BP20" s="178">
        <v>1426</v>
      </c>
      <c r="BQ20" s="178">
        <v>1426</v>
      </c>
      <c r="BR20" s="378">
        <v>1426</v>
      </c>
      <c r="BS20" s="178">
        <v>1426</v>
      </c>
      <c r="BT20" s="178">
        <v>1426</v>
      </c>
      <c r="BU20" s="178">
        <v>1426</v>
      </c>
      <c r="BV20" s="178">
        <v>1426</v>
      </c>
      <c r="BW20" s="178">
        <v>1426</v>
      </c>
      <c r="BX20" s="178">
        <v>1403</v>
      </c>
      <c r="BY20" s="178">
        <v>1403</v>
      </c>
      <c r="BZ20" s="177">
        <f ca="1">SUM(BN20:OFFSET(BN20,0,$F$2-1))</f>
        <v>14214</v>
      </c>
      <c r="CA20" s="175">
        <f t="shared" si="50"/>
        <v>1426</v>
      </c>
      <c r="CB20" s="175">
        <f t="shared" si="51"/>
        <v>4278</v>
      </c>
      <c r="CC20" s="175">
        <f t="shared" si="52"/>
        <v>4278</v>
      </c>
      <c r="CD20" s="175">
        <f t="shared" si="53"/>
        <v>4232</v>
      </c>
      <c r="CE20" s="178"/>
      <c r="CF20" s="97" t="s">
        <v>535</v>
      </c>
      <c r="CH20" s="178"/>
      <c r="CI20" s="178"/>
      <c r="CJ20" s="178">
        <f t="shared" si="54"/>
        <v>0</v>
      </c>
      <c r="CK20" s="178">
        <f t="shared" si="54"/>
        <v>0</v>
      </c>
      <c r="CL20" s="178">
        <f t="shared" si="54"/>
        <v>-6.9000000000000909</v>
      </c>
      <c r="CM20" s="178">
        <f t="shared" si="54"/>
        <v>-23</v>
      </c>
      <c r="CN20" s="178">
        <f t="shared" si="54"/>
        <v>-23</v>
      </c>
      <c r="CO20" s="178">
        <f t="shared" si="54"/>
        <v>11.5</v>
      </c>
      <c r="CP20" s="178">
        <f t="shared" si="54"/>
        <v>-11.5</v>
      </c>
      <c r="CQ20" s="178">
        <f t="shared" si="54"/>
        <v>-13.799999999999955</v>
      </c>
      <c r="CR20" s="178"/>
      <c r="CS20" s="178"/>
      <c r="CU20" s="178">
        <f t="shared" si="55"/>
        <v>17059.099999999999</v>
      </c>
      <c r="CV20" s="178" t="e">
        <v>#VALUE!</v>
      </c>
      <c r="CW20" s="178">
        <f t="shared" si="56"/>
        <v>16790</v>
      </c>
    </row>
    <row r="21" spans="2:101" outlineLevel="1">
      <c r="B21" s="97" t="s">
        <v>536</v>
      </c>
      <c r="C21" s="97" t="s">
        <v>534</v>
      </c>
      <c r="D21" s="97" t="s">
        <v>8</v>
      </c>
      <c r="E21" s="97" t="s">
        <v>125</v>
      </c>
      <c r="F21" s="174" t="s">
        <v>102</v>
      </c>
      <c r="G21" s="175">
        <v>4846.87</v>
      </c>
      <c r="H21" s="175">
        <v>4826.57</v>
      </c>
      <c r="I21" s="175">
        <v>4772.43</v>
      </c>
      <c r="J21" s="175">
        <v>4776.3</v>
      </c>
      <c r="K21" s="176">
        <v>4757.93</v>
      </c>
      <c r="L21" s="175">
        <v>4754.03</v>
      </c>
      <c r="M21" s="175">
        <v>4756</v>
      </c>
      <c r="N21" s="175">
        <v>4752.1400000000003</v>
      </c>
      <c r="O21" s="175">
        <v>4764.7</v>
      </c>
      <c r="P21" s="175">
        <v>4729.8999999999996</v>
      </c>
      <c r="Q21" s="175">
        <v>4710.57</v>
      </c>
      <c r="R21" s="175">
        <v>4775.34</v>
      </c>
      <c r="S21" s="177">
        <f ca="1">SUM(G21:OFFSET(G21,0,$F$2-1))</f>
        <v>57222.78</v>
      </c>
      <c r="T21" s="175">
        <f t="shared" si="37"/>
        <v>14445.869999999999</v>
      </c>
      <c r="U21" s="175">
        <f t="shared" si="38"/>
        <v>14288.259999999998</v>
      </c>
      <c r="V21" s="175">
        <f t="shared" si="39"/>
        <v>14272.84</v>
      </c>
      <c r="W21" s="175">
        <f t="shared" si="40"/>
        <v>14215.81</v>
      </c>
      <c r="X21" s="178"/>
      <c r="Y21" s="179">
        <v>4737.63</v>
      </c>
      <c r="Z21" s="179">
        <v>4750.2</v>
      </c>
      <c r="AA21" s="179">
        <v>4756</v>
      </c>
      <c r="AB21" s="179">
        <v>4710.57</v>
      </c>
      <c r="AC21" s="179">
        <v>4653.53</v>
      </c>
      <c r="AD21" s="179">
        <v>4722.17</v>
      </c>
      <c r="AE21" s="179">
        <v>4683.5</v>
      </c>
      <c r="AF21" s="179">
        <v>4719.2700000000004</v>
      </c>
      <c r="AG21" s="179">
        <v>4705.7299999999996</v>
      </c>
      <c r="AH21" s="179">
        <v>4609.08</v>
      </c>
      <c r="AI21" s="179">
        <v>4611</v>
      </c>
      <c r="AJ21" s="179">
        <v>4621.6400000000003</v>
      </c>
      <c r="AK21" s="177">
        <f t="shared" si="41"/>
        <v>56280.319999999992</v>
      </c>
      <c r="AL21" s="97" t="s">
        <v>8</v>
      </c>
      <c r="AM21" s="97" t="s">
        <v>8</v>
      </c>
      <c r="AN21" s="180" t="str">
        <f t="shared" si="57"/>
        <v>CFG - FTS-1 - Fixed R</v>
      </c>
      <c r="AO21" s="180" t="s">
        <v>133</v>
      </c>
      <c r="AP21" s="177"/>
      <c r="AQ21" s="175">
        <f t="shared" si="42"/>
        <v>14243.83</v>
      </c>
      <c r="AR21" s="175">
        <f t="shared" si="43"/>
        <v>14086.269999999999</v>
      </c>
      <c r="AS21" s="175">
        <f t="shared" si="44"/>
        <v>14108.5</v>
      </c>
      <c r="AT21" s="175">
        <f t="shared" si="45"/>
        <v>13841.720000000001</v>
      </c>
      <c r="AU21" s="181"/>
      <c r="AV21" s="175">
        <v>4814</v>
      </c>
      <c r="AW21" s="175">
        <v>4843</v>
      </c>
      <c r="AX21" s="175">
        <v>4843</v>
      </c>
      <c r="AY21" s="175">
        <v>4814</v>
      </c>
      <c r="AZ21" s="176">
        <v>4814</v>
      </c>
      <c r="BA21" s="175">
        <v>4843</v>
      </c>
      <c r="BB21" s="175">
        <v>4872</v>
      </c>
      <c r="BC21" s="175">
        <v>4843</v>
      </c>
      <c r="BD21" s="175">
        <v>4814</v>
      </c>
      <c r="BE21" s="175">
        <v>4785</v>
      </c>
      <c r="BF21" s="175">
        <v>4814</v>
      </c>
      <c r="BG21" s="175">
        <v>4814</v>
      </c>
      <c r="BH21" s="177">
        <f ca="1">SUM(AV21:OFFSET(AV21,0,$F$2-1))</f>
        <v>57913</v>
      </c>
      <c r="BI21" s="175">
        <f t="shared" si="46"/>
        <v>14500</v>
      </c>
      <c r="BJ21" s="175">
        <f t="shared" si="47"/>
        <v>14471</v>
      </c>
      <c r="BK21" s="175">
        <f t="shared" si="48"/>
        <v>14529</v>
      </c>
      <c r="BL21" s="175">
        <f t="shared" si="49"/>
        <v>14413</v>
      </c>
      <c r="BM21" s="178"/>
      <c r="BN21" s="178"/>
      <c r="BO21" s="178"/>
      <c r="BP21" s="178">
        <v>4785</v>
      </c>
      <c r="BQ21" s="178">
        <v>4756</v>
      </c>
      <c r="BR21" s="378">
        <v>4785</v>
      </c>
      <c r="BS21" s="178">
        <v>4756</v>
      </c>
      <c r="BT21" s="178">
        <v>4756</v>
      </c>
      <c r="BU21" s="178">
        <v>4756</v>
      </c>
      <c r="BV21" s="178">
        <v>4756</v>
      </c>
      <c r="BW21" s="178">
        <v>4756</v>
      </c>
      <c r="BX21" s="178">
        <v>4727</v>
      </c>
      <c r="BY21" s="178">
        <v>4611</v>
      </c>
      <c r="BZ21" s="177">
        <f ca="1">SUM(BN21:OFFSET(BN21,0,$F$2-1))</f>
        <v>47444</v>
      </c>
      <c r="CA21" s="175">
        <f t="shared" si="50"/>
        <v>4785</v>
      </c>
      <c r="CB21" s="175">
        <f t="shared" si="51"/>
        <v>14297</v>
      </c>
      <c r="CC21" s="175">
        <f t="shared" si="52"/>
        <v>14268</v>
      </c>
      <c r="CD21" s="175">
        <f t="shared" si="53"/>
        <v>14094</v>
      </c>
      <c r="CE21" s="178"/>
      <c r="CF21" s="97" t="s">
        <v>536</v>
      </c>
      <c r="CH21" s="178"/>
      <c r="CI21" s="178"/>
      <c r="CJ21" s="178">
        <f t="shared" si="54"/>
        <v>-29</v>
      </c>
      <c r="CK21" s="178">
        <f t="shared" si="54"/>
        <v>-45.430000000000291</v>
      </c>
      <c r="CL21" s="178">
        <f t="shared" si="54"/>
        <v>-131.47000000000025</v>
      </c>
      <c r="CM21" s="178">
        <f t="shared" si="54"/>
        <v>-33.829999999999927</v>
      </c>
      <c r="CN21" s="178">
        <f t="shared" si="54"/>
        <v>-72.5</v>
      </c>
      <c r="CO21" s="178">
        <f t="shared" si="54"/>
        <v>-36.729999999999563</v>
      </c>
      <c r="CP21" s="178">
        <f t="shared" si="54"/>
        <v>-50.270000000000437</v>
      </c>
      <c r="CQ21" s="178">
        <f t="shared" si="54"/>
        <v>-146.92000000000007</v>
      </c>
      <c r="CR21" s="178"/>
      <c r="CS21" s="178"/>
      <c r="CU21" s="178">
        <f t="shared" si="55"/>
        <v>56725.93</v>
      </c>
      <c r="CV21" s="178" t="e">
        <v>#VALUE!</v>
      </c>
      <c r="CW21" s="178">
        <f t="shared" si="56"/>
        <v>57913</v>
      </c>
    </row>
    <row r="22" spans="2:101" outlineLevel="1">
      <c r="B22" s="97" t="s">
        <v>537</v>
      </c>
      <c r="C22" s="97" t="s">
        <v>534</v>
      </c>
      <c r="D22" s="97" t="s">
        <v>8</v>
      </c>
      <c r="E22" s="97" t="s">
        <v>125</v>
      </c>
      <c r="F22" s="174" t="s">
        <v>103</v>
      </c>
      <c r="G22" s="175">
        <v>912</v>
      </c>
      <c r="H22" s="175">
        <v>912</v>
      </c>
      <c r="I22" s="175">
        <v>932.8</v>
      </c>
      <c r="J22" s="175">
        <v>960</v>
      </c>
      <c r="K22" s="176">
        <v>960</v>
      </c>
      <c r="L22" s="175">
        <v>960</v>
      </c>
      <c r="M22" s="175">
        <v>960</v>
      </c>
      <c r="N22" s="175">
        <v>960</v>
      </c>
      <c r="O22" s="175">
        <v>960</v>
      </c>
      <c r="P22" s="175">
        <v>958.4</v>
      </c>
      <c r="Q22" s="175">
        <v>960</v>
      </c>
      <c r="R22" s="175">
        <v>960</v>
      </c>
      <c r="S22" s="375">
        <f ca="1">SUM(G22:OFFSET(G22,0,$F$2-1))</f>
        <v>11395.199999999999</v>
      </c>
      <c r="T22" s="175">
        <f t="shared" si="37"/>
        <v>2756.8</v>
      </c>
      <c r="U22" s="175">
        <f t="shared" si="38"/>
        <v>2880</v>
      </c>
      <c r="V22" s="175">
        <f t="shared" si="39"/>
        <v>2880</v>
      </c>
      <c r="W22" s="175">
        <f t="shared" si="40"/>
        <v>2878.4</v>
      </c>
      <c r="X22" s="178"/>
      <c r="Y22" s="179">
        <v>960</v>
      </c>
      <c r="Z22" s="179">
        <v>960</v>
      </c>
      <c r="AA22" s="179">
        <v>960</v>
      </c>
      <c r="AB22" s="179">
        <v>960</v>
      </c>
      <c r="AC22" s="179">
        <v>950.4</v>
      </c>
      <c r="AD22" s="179">
        <v>912</v>
      </c>
      <c r="AE22" s="179">
        <v>913.6</v>
      </c>
      <c r="AF22" s="179">
        <v>924.8</v>
      </c>
      <c r="AG22" s="179">
        <v>891.2</v>
      </c>
      <c r="AH22" s="179">
        <v>878.4</v>
      </c>
      <c r="AI22" s="179">
        <v>920</v>
      </c>
      <c r="AJ22" s="179">
        <v>974.4</v>
      </c>
      <c r="AK22" s="177">
        <f t="shared" si="41"/>
        <v>11204.8</v>
      </c>
      <c r="AL22" s="97" t="s">
        <v>8</v>
      </c>
      <c r="AM22" s="97" t="s">
        <v>8</v>
      </c>
      <c r="AN22" s="180" t="str">
        <f t="shared" si="57"/>
        <v>CFG - FTS-2 - Fixed R</v>
      </c>
      <c r="AO22" s="180" t="s">
        <v>133</v>
      </c>
      <c r="AP22" s="375"/>
      <c r="AQ22" s="175">
        <f t="shared" si="42"/>
        <v>2880</v>
      </c>
      <c r="AR22" s="175">
        <f t="shared" si="43"/>
        <v>2822.4</v>
      </c>
      <c r="AS22" s="175">
        <f t="shared" si="44"/>
        <v>2729.6000000000004</v>
      </c>
      <c r="AT22" s="175">
        <f t="shared" si="45"/>
        <v>2772.8</v>
      </c>
      <c r="AU22" s="181"/>
      <c r="AV22" s="175">
        <v>864</v>
      </c>
      <c r="AW22" s="175">
        <v>864</v>
      </c>
      <c r="AX22" s="175">
        <v>864</v>
      </c>
      <c r="AY22" s="175">
        <v>960</v>
      </c>
      <c r="AZ22" s="176">
        <v>960</v>
      </c>
      <c r="BA22" s="175">
        <v>912</v>
      </c>
      <c r="BB22" s="175">
        <v>912</v>
      </c>
      <c r="BC22" s="175">
        <v>912</v>
      </c>
      <c r="BD22" s="175">
        <v>912</v>
      </c>
      <c r="BE22" s="175">
        <v>912</v>
      </c>
      <c r="BF22" s="175">
        <v>960</v>
      </c>
      <c r="BG22" s="175">
        <v>960</v>
      </c>
      <c r="BH22" s="375">
        <f ca="1">SUM(AV22:OFFSET(AV22,0,$F$2-1))</f>
        <v>10992</v>
      </c>
      <c r="BI22" s="175">
        <f t="shared" si="46"/>
        <v>2592</v>
      </c>
      <c r="BJ22" s="175">
        <f t="shared" si="47"/>
        <v>2832</v>
      </c>
      <c r="BK22" s="175">
        <f t="shared" si="48"/>
        <v>2736</v>
      </c>
      <c r="BL22" s="175">
        <f t="shared" si="49"/>
        <v>2832</v>
      </c>
      <c r="BM22" s="178"/>
      <c r="BN22" s="178"/>
      <c r="BO22" s="178"/>
      <c r="BP22" s="178">
        <v>960</v>
      </c>
      <c r="BQ22" s="178">
        <v>960</v>
      </c>
      <c r="BR22" s="378">
        <v>960</v>
      </c>
      <c r="BS22" s="178">
        <v>960</v>
      </c>
      <c r="BT22" s="178">
        <v>960</v>
      </c>
      <c r="BU22" s="178">
        <v>960</v>
      </c>
      <c r="BV22" s="178">
        <v>912</v>
      </c>
      <c r="BW22" s="178">
        <v>912</v>
      </c>
      <c r="BX22" s="178">
        <v>912</v>
      </c>
      <c r="BY22" s="178">
        <v>960</v>
      </c>
      <c r="BZ22" s="375">
        <f ca="1">SUM(BN22:OFFSET(BN22,0,$F$2-1))</f>
        <v>9456</v>
      </c>
      <c r="CA22" s="175">
        <f t="shared" si="50"/>
        <v>960</v>
      </c>
      <c r="CB22" s="175">
        <f t="shared" si="51"/>
        <v>2880</v>
      </c>
      <c r="CC22" s="175">
        <f t="shared" si="52"/>
        <v>2832</v>
      </c>
      <c r="CD22" s="175">
        <f t="shared" si="53"/>
        <v>2784</v>
      </c>
      <c r="CE22" s="178"/>
      <c r="CF22" s="97" t="s">
        <v>537</v>
      </c>
      <c r="CH22" s="178"/>
      <c r="CI22" s="178"/>
      <c r="CJ22" s="178">
        <f t="shared" si="54"/>
        <v>0</v>
      </c>
      <c r="CK22" s="178">
        <f t="shared" si="54"/>
        <v>0</v>
      </c>
      <c r="CL22" s="178">
        <f t="shared" si="54"/>
        <v>-9.6000000000000227</v>
      </c>
      <c r="CM22" s="178">
        <f t="shared" si="54"/>
        <v>-48</v>
      </c>
      <c r="CN22" s="178">
        <f t="shared" si="54"/>
        <v>-46.399999999999977</v>
      </c>
      <c r="CO22" s="178">
        <f t="shared" si="54"/>
        <v>-35.200000000000045</v>
      </c>
      <c r="CP22" s="178">
        <f t="shared" si="54"/>
        <v>-20.799999999999955</v>
      </c>
      <c r="CQ22" s="178">
        <f t="shared" si="54"/>
        <v>-33.600000000000023</v>
      </c>
      <c r="CR22" s="178"/>
      <c r="CS22" s="178"/>
      <c r="CU22" s="178">
        <f t="shared" si="55"/>
        <v>11366.4</v>
      </c>
      <c r="CV22" s="178" t="e">
        <v>#VALUE!</v>
      </c>
      <c r="CW22" s="178">
        <f t="shared" si="56"/>
        <v>10992</v>
      </c>
    </row>
    <row r="23" spans="2:101" outlineLevel="1">
      <c r="B23" s="97" t="s">
        <v>538</v>
      </c>
      <c r="C23" s="97" t="s">
        <v>534</v>
      </c>
      <c r="D23" s="97" t="s">
        <v>8</v>
      </c>
      <c r="E23" s="97" t="s">
        <v>125</v>
      </c>
      <c r="F23" s="174" t="s">
        <v>104</v>
      </c>
      <c r="G23" s="175">
        <v>696</v>
      </c>
      <c r="H23" s="175">
        <v>696</v>
      </c>
      <c r="I23" s="175">
        <v>696</v>
      </c>
      <c r="J23" s="175">
        <v>696</v>
      </c>
      <c r="K23" s="176">
        <v>696</v>
      </c>
      <c r="L23" s="175">
        <v>696</v>
      </c>
      <c r="M23" s="175">
        <v>696</v>
      </c>
      <c r="N23" s="175">
        <v>696</v>
      </c>
      <c r="O23" s="175">
        <v>696</v>
      </c>
      <c r="P23" s="175">
        <v>696</v>
      </c>
      <c r="Q23" s="175">
        <v>696</v>
      </c>
      <c r="R23" s="175">
        <v>696</v>
      </c>
      <c r="S23" s="375">
        <f ca="1">SUM(G23:OFFSET(G23,0,$F$2-1))</f>
        <v>8352</v>
      </c>
      <c r="T23" s="175">
        <f t="shared" si="37"/>
        <v>2088</v>
      </c>
      <c r="U23" s="175">
        <f t="shared" si="38"/>
        <v>2088</v>
      </c>
      <c r="V23" s="175">
        <f t="shared" si="39"/>
        <v>2088</v>
      </c>
      <c r="W23" s="175">
        <f t="shared" si="40"/>
        <v>2088</v>
      </c>
      <c r="X23" s="178"/>
      <c r="Y23" s="179">
        <v>548.1</v>
      </c>
      <c r="Z23" s="179">
        <v>669.9</v>
      </c>
      <c r="AA23" s="179">
        <v>548.1</v>
      </c>
      <c r="AB23" s="179">
        <v>609</v>
      </c>
      <c r="AC23" s="179">
        <v>609</v>
      </c>
      <c r="AD23" s="179">
        <v>609</v>
      </c>
      <c r="AE23" s="179">
        <v>609</v>
      </c>
      <c r="AF23" s="179">
        <v>609</v>
      </c>
      <c r="AG23" s="179">
        <v>609</v>
      </c>
      <c r="AH23" s="179">
        <v>609</v>
      </c>
      <c r="AI23" s="179">
        <v>609</v>
      </c>
      <c r="AJ23" s="179">
        <v>609</v>
      </c>
      <c r="AK23" s="177">
        <f t="shared" si="41"/>
        <v>7247.1</v>
      </c>
      <c r="AL23" s="97" t="s">
        <v>8</v>
      </c>
      <c r="AM23" s="97" t="s">
        <v>8</v>
      </c>
      <c r="AN23" s="180" t="str">
        <f t="shared" si="57"/>
        <v>CFG - FTS-2.1 - Fixed R</v>
      </c>
      <c r="AO23" s="180" t="s">
        <v>133</v>
      </c>
      <c r="AP23" s="375"/>
      <c r="AQ23" s="175">
        <f t="shared" si="42"/>
        <v>1766.1</v>
      </c>
      <c r="AR23" s="175">
        <f t="shared" si="43"/>
        <v>1827</v>
      </c>
      <c r="AS23" s="175">
        <f t="shared" si="44"/>
        <v>1827</v>
      </c>
      <c r="AT23" s="175">
        <f t="shared" si="45"/>
        <v>1827</v>
      </c>
      <c r="AU23" s="181"/>
      <c r="AV23" s="175">
        <v>696</v>
      </c>
      <c r="AW23" s="175">
        <v>696</v>
      </c>
      <c r="AX23" s="175">
        <v>696</v>
      </c>
      <c r="AY23" s="175">
        <v>696</v>
      </c>
      <c r="AZ23" s="176">
        <v>696</v>
      </c>
      <c r="BA23" s="175">
        <v>696</v>
      </c>
      <c r="BB23" s="175">
        <v>696</v>
      </c>
      <c r="BC23" s="175">
        <v>783</v>
      </c>
      <c r="BD23" s="175">
        <v>783</v>
      </c>
      <c r="BE23" s="175">
        <v>696</v>
      </c>
      <c r="BF23" s="175">
        <v>696</v>
      </c>
      <c r="BG23" s="175">
        <v>696</v>
      </c>
      <c r="BH23" s="375">
        <f ca="1">SUM(AV23:OFFSET(AV23,0,$F$2-1))</f>
        <v>8526</v>
      </c>
      <c r="BI23" s="175">
        <f t="shared" si="46"/>
        <v>2088</v>
      </c>
      <c r="BJ23" s="175">
        <f t="shared" si="47"/>
        <v>2088</v>
      </c>
      <c r="BK23" s="175">
        <f t="shared" si="48"/>
        <v>2262</v>
      </c>
      <c r="BL23" s="175">
        <f t="shared" si="49"/>
        <v>2088</v>
      </c>
      <c r="BM23" s="178"/>
      <c r="BN23" s="178"/>
      <c r="BO23" s="178"/>
      <c r="BP23" s="178">
        <v>696</v>
      </c>
      <c r="BQ23" s="178">
        <v>609</v>
      </c>
      <c r="BR23" s="378">
        <v>609</v>
      </c>
      <c r="BS23" s="178">
        <v>609</v>
      </c>
      <c r="BT23" s="178">
        <v>609</v>
      </c>
      <c r="BU23" s="178">
        <v>609</v>
      </c>
      <c r="BV23" s="178">
        <v>609</v>
      </c>
      <c r="BW23" s="178">
        <v>609</v>
      </c>
      <c r="BX23" s="178">
        <v>609</v>
      </c>
      <c r="BY23" s="178">
        <v>609</v>
      </c>
      <c r="BZ23" s="375">
        <f ca="1">SUM(BN23:OFFSET(BN23,0,$F$2-1))</f>
        <v>6177</v>
      </c>
      <c r="CA23" s="175">
        <f t="shared" si="50"/>
        <v>696</v>
      </c>
      <c r="CB23" s="175">
        <f t="shared" si="51"/>
        <v>1827</v>
      </c>
      <c r="CC23" s="175">
        <f t="shared" si="52"/>
        <v>1827</v>
      </c>
      <c r="CD23" s="175">
        <f t="shared" si="53"/>
        <v>1827</v>
      </c>
      <c r="CE23" s="178"/>
      <c r="CF23" s="97" t="s">
        <v>538</v>
      </c>
      <c r="CH23" s="178"/>
      <c r="CI23" s="178"/>
      <c r="CJ23" s="178">
        <f t="shared" si="54"/>
        <v>-147.89999999999998</v>
      </c>
      <c r="CK23" s="178">
        <f t="shared" si="54"/>
        <v>0</v>
      </c>
      <c r="CL23" s="178">
        <f t="shared" si="54"/>
        <v>0</v>
      </c>
      <c r="CM23" s="178">
        <f t="shared" si="54"/>
        <v>0</v>
      </c>
      <c r="CN23" s="178">
        <f t="shared" si="54"/>
        <v>0</v>
      </c>
      <c r="CO23" s="178">
        <f t="shared" si="54"/>
        <v>0</v>
      </c>
      <c r="CP23" s="178">
        <f t="shared" si="54"/>
        <v>0</v>
      </c>
      <c r="CQ23" s="178">
        <f t="shared" si="54"/>
        <v>0</v>
      </c>
      <c r="CR23" s="178"/>
      <c r="CS23" s="178"/>
      <c r="CU23" s="178">
        <f t="shared" si="55"/>
        <v>7247.1</v>
      </c>
      <c r="CV23" s="178" t="e">
        <v>#VALUE!</v>
      </c>
      <c r="CW23" s="178">
        <f t="shared" si="56"/>
        <v>8526</v>
      </c>
    </row>
    <row r="24" spans="2:101" outlineLevel="1">
      <c r="B24" s="97" t="s">
        <v>539</v>
      </c>
      <c r="C24" s="97" t="s">
        <v>534</v>
      </c>
      <c r="D24" s="97" t="s">
        <v>8</v>
      </c>
      <c r="E24" s="97" t="s">
        <v>125</v>
      </c>
      <c r="F24" s="329" t="s">
        <v>105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375">
        <f ca="1">SUM(G24:OFFSET(G24,0,$F$2-1))</f>
        <v>0</v>
      </c>
      <c r="T24" s="175">
        <f t="shared" si="37"/>
        <v>0</v>
      </c>
      <c r="U24" s="175">
        <f t="shared" si="38"/>
        <v>0</v>
      </c>
      <c r="V24" s="175">
        <f t="shared" si="39"/>
        <v>0</v>
      </c>
      <c r="W24" s="175">
        <f t="shared" si="40"/>
        <v>0</v>
      </c>
      <c r="X24" s="178"/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179">
        <v>0</v>
      </c>
      <c r="AI24" s="179">
        <v>0</v>
      </c>
      <c r="AJ24" s="179">
        <v>0</v>
      </c>
      <c r="AK24" s="177">
        <f t="shared" si="41"/>
        <v>0</v>
      </c>
      <c r="AL24" s="97" t="s">
        <v>8</v>
      </c>
      <c r="AM24" s="97" t="s">
        <v>8</v>
      </c>
      <c r="AN24" s="180" t="str">
        <f t="shared" si="57"/>
        <v>CFG - FTS-3 - Fixed R</v>
      </c>
      <c r="AO24" s="180" t="s">
        <v>133</v>
      </c>
      <c r="AP24" s="375"/>
      <c r="AQ24" s="175">
        <f t="shared" si="42"/>
        <v>0</v>
      </c>
      <c r="AR24" s="175">
        <f t="shared" si="43"/>
        <v>0</v>
      </c>
      <c r="AS24" s="175">
        <f t="shared" si="44"/>
        <v>0</v>
      </c>
      <c r="AT24" s="175">
        <f t="shared" si="45"/>
        <v>0</v>
      </c>
      <c r="AU24" s="181"/>
      <c r="AV24" s="175">
        <v>0</v>
      </c>
      <c r="AW24" s="175">
        <v>0</v>
      </c>
      <c r="AX24" s="175">
        <v>0</v>
      </c>
      <c r="AY24" s="175">
        <v>0</v>
      </c>
      <c r="AZ24" s="175">
        <v>0</v>
      </c>
      <c r="BA24" s="175">
        <v>0</v>
      </c>
      <c r="BB24" s="175">
        <v>0</v>
      </c>
      <c r="BC24" s="175">
        <v>0</v>
      </c>
      <c r="BD24" s="175">
        <v>0</v>
      </c>
      <c r="BE24" s="175">
        <v>0</v>
      </c>
      <c r="BF24" s="175">
        <v>0</v>
      </c>
      <c r="BG24" s="175">
        <v>0</v>
      </c>
      <c r="BH24" s="375">
        <f ca="1">SUM(AV24:OFFSET(AV24,0,$F$2-1))</f>
        <v>0</v>
      </c>
      <c r="BI24" s="175">
        <f t="shared" si="46"/>
        <v>0</v>
      </c>
      <c r="BJ24" s="175">
        <f t="shared" si="47"/>
        <v>0</v>
      </c>
      <c r="BK24" s="175">
        <f t="shared" si="48"/>
        <v>0</v>
      </c>
      <c r="BL24" s="175">
        <f t="shared" si="49"/>
        <v>0</v>
      </c>
      <c r="BM24" s="178"/>
      <c r="BN24" s="178"/>
      <c r="BO24" s="178"/>
      <c r="BP24" s="178">
        <v>0</v>
      </c>
      <c r="BQ24" s="178">
        <v>0</v>
      </c>
      <c r="BR24" s="178">
        <v>0</v>
      </c>
      <c r="BS24" s="178">
        <v>0</v>
      </c>
      <c r="BT24" s="178">
        <v>0</v>
      </c>
      <c r="BU24" s="178">
        <v>0</v>
      </c>
      <c r="BV24" s="178">
        <v>0</v>
      </c>
      <c r="BW24" s="178">
        <v>0</v>
      </c>
      <c r="BX24" s="178">
        <v>0</v>
      </c>
      <c r="BY24" s="178">
        <v>0</v>
      </c>
      <c r="BZ24" s="375">
        <f ca="1">SUM(BN24:OFFSET(BN24,0,$F$2-1))</f>
        <v>0</v>
      </c>
      <c r="CA24" s="175">
        <f t="shared" si="50"/>
        <v>0</v>
      </c>
      <c r="CB24" s="175">
        <f t="shared" si="51"/>
        <v>0</v>
      </c>
      <c r="CC24" s="175">
        <f t="shared" si="52"/>
        <v>0</v>
      </c>
      <c r="CD24" s="175">
        <f t="shared" si="53"/>
        <v>0</v>
      </c>
      <c r="CE24" s="178"/>
      <c r="CF24" s="97" t="s">
        <v>539</v>
      </c>
      <c r="CH24" s="178"/>
      <c r="CI24" s="178"/>
      <c r="CJ24" s="178">
        <f t="shared" si="54"/>
        <v>0</v>
      </c>
      <c r="CK24" s="178">
        <f t="shared" si="54"/>
        <v>0</v>
      </c>
      <c r="CL24" s="178">
        <f t="shared" si="54"/>
        <v>0</v>
      </c>
      <c r="CM24" s="178">
        <f t="shared" si="54"/>
        <v>0</v>
      </c>
      <c r="CN24" s="178">
        <f t="shared" si="54"/>
        <v>0</v>
      </c>
      <c r="CO24" s="178">
        <f t="shared" si="54"/>
        <v>0</v>
      </c>
      <c r="CP24" s="178">
        <f t="shared" si="54"/>
        <v>0</v>
      </c>
      <c r="CQ24" s="178">
        <f t="shared" si="54"/>
        <v>0</v>
      </c>
      <c r="CR24" s="178"/>
      <c r="CS24" s="178"/>
      <c r="CU24" s="178">
        <f t="shared" si="55"/>
        <v>0</v>
      </c>
      <c r="CV24" s="178" t="e">
        <v>#VALUE!</v>
      </c>
      <c r="CW24" s="178">
        <f t="shared" si="56"/>
        <v>0</v>
      </c>
    </row>
    <row r="25" spans="2:101" outlineLevel="1">
      <c r="B25" s="97" t="s">
        <v>540</v>
      </c>
      <c r="C25" s="97" t="s">
        <v>534</v>
      </c>
      <c r="D25" s="97" t="s">
        <v>8</v>
      </c>
      <c r="E25" s="97" t="s">
        <v>125</v>
      </c>
      <c r="F25" s="329" t="s">
        <v>106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81">
        <f ca="1">SUM(G25:OFFSET(G25,0,$F$2-1))</f>
        <v>0</v>
      </c>
      <c r="T25" s="379">
        <f t="shared" si="37"/>
        <v>0</v>
      </c>
      <c r="U25" s="379">
        <f t="shared" si="38"/>
        <v>0</v>
      </c>
      <c r="V25" s="379">
        <f t="shared" si="39"/>
        <v>0</v>
      </c>
      <c r="W25" s="379">
        <f t="shared" si="40"/>
        <v>0</v>
      </c>
      <c r="X25" s="178"/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177">
        <f t="shared" si="41"/>
        <v>0</v>
      </c>
      <c r="AL25" s="97" t="s">
        <v>8</v>
      </c>
      <c r="AM25" s="97" t="s">
        <v>8</v>
      </c>
      <c r="AN25" s="180" t="str">
        <f t="shared" si="57"/>
        <v>CFG - FTS-3.1 - Fixed R</v>
      </c>
      <c r="AO25" s="180" t="s">
        <v>133</v>
      </c>
      <c r="AP25" s="381"/>
      <c r="AQ25" s="379">
        <f t="shared" si="42"/>
        <v>0</v>
      </c>
      <c r="AR25" s="379">
        <f t="shared" si="43"/>
        <v>0</v>
      </c>
      <c r="AS25" s="379">
        <f t="shared" si="44"/>
        <v>0</v>
      </c>
      <c r="AT25" s="379">
        <f t="shared" si="45"/>
        <v>0</v>
      </c>
      <c r="AU25" s="181"/>
      <c r="AV25" s="379">
        <v>0</v>
      </c>
      <c r="AW25" s="379">
        <v>0</v>
      </c>
      <c r="AX25" s="379">
        <v>0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379">
        <v>0</v>
      </c>
      <c r="BG25" s="379">
        <v>0</v>
      </c>
      <c r="BH25" s="381">
        <f ca="1">SUM(AV25:OFFSET(AV25,0,$F$2-1))</f>
        <v>0</v>
      </c>
      <c r="BI25" s="379">
        <f t="shared" si="46"/>
        <v>0</v>
      </c>
      <c r="BJ25" s="379">
        <f t="shared" si="47"/>
        <v>0</v>
      </c>
      <c r="BK25" s="379">
        <f t="shared" si="48"/>
        <v>0</v>
      </c>
      <c r="BL25" s="379">
        <f t="shared" si="49"/>
        <v>0</v>
      </c>
      <c r="BM25" s="178"/>
      <c r="BN25" s="383"/>
      <c r="BO25" s="383"/>
      <c r="BP25" s="383">
        <v>0</v>
      </c>
      <c r="BQ25" s="383">
        <v>0</v>
      </c>
      <c r="BR25" s="383">
        <v>0</v>
      </c>
      <c r="BS25" s="383">
        <v>0</v>
      </c>
      <c r="BT25" s="383">
        <v>0</v>
      </c>
      <c r="BU25" s="383">
        <v>0</v>
      </c>
      <c r="BV25" s="383">
        <v>0</v>
      </c>
      <c r="BW25" s="383">
        <v>0</v>
      </c>
      <c r="BX25" s="383">
        <v>0</v>
      </c>
      <c r="BY25" s="383">
        <v>0</v>
      </c>
      <c r="BZ25" s="381">
        <f ca="1">SUM(BN25:OFFSET(BN25,0,$F$2-1))</f>
        <v>0</v>
      </c>
      <c r="CA25" s="379">
        <f t="shared" si="50"/>
        <v>0</v>
      </c>
      <c r="CB25" s="379">
        <f t="shared" si="51"/>
        <v>0</v>
      </c>
      <c r="CC25" s="379">
        <f t="shared" si="52"/>
        <v>0</v>
      </c>
      <c r="CD25" s="379">
        <f t="shared" si="53"/>
        <v>0</v>
      </c>
      <c r="CE25" s="178"/>
      <c r="CF25" s="97" t="s">
        <v>540</v>
      </c>
      <c r="CH25" s="383"/>
      <c r="CI25" s="383"/>
      <c r="CJ25" s="178">
        <f t="shared" si="54"/>
        <v>0</v>
      </c>
      <c r="CK25" s="178">
        <f t="shared" si="54"/>
        <v>0</v>
      </c>
      <c r="CL25" s="178">
        <f t="shared" si="54"/>
        <v>0</v>
      </c>
      <c r="CM25" s="178">
        <f t="shared" si="54"/>
        <v>0</v>
      </c>
      <c r="CN25" s="178">
        <f t="shared" si="54"/>
        <v>0</v>
      </c>
      <c r="CO25" s="178">
        <f t="shared" si="54"/>
        <v>0</v>
      </c>
      <c r="CP25" s="178">
        <f t="shared" si="54"/>
        <v>0</v>
      </c>
      <c r="CQ25" s="178">
        <f t="shared" si="54"/>
        <v>0</v>
      </c>
      <c r="CR25" s="383"/>
      <c r="CS25" s="383"/>
      <c r="CU25" s="178">
        <f t="shared" si="55"/>
        <v>0</v>
      </c>
      <c r="CV25" s="178" t="e">
        <v>#VALUE!</v>
      </c>
      <c r="CW25" s="178">
        <f t="shared" si="56"/>
        <v>0</v>
      </c>
    </row>
    <row r="26" spans="2:101">
      <c r="B26" s="284"/>
      <c r="C26" s="284"/>
      <c r="D26" s="284" t="s">
        <v>532</v>
      </c>
      <c r="F26" s="385" t="s">
        <v>134</v>
      </c>
      <c r="G26" s="177">
        <f t="shared" ref="G26:P26" si="58">SUM(G19:G25)</f>
        <v>8433.4399999999987</v>
      </c>
      <c r="H26" s="177">
        <f t="shared" si="58"/>
        <v>8414.77</v>
      </c>
      <c r="I26" s="177">
        <f t="shared" si="58"/>
        <v>8388</v>
      </c>
      <c r="J26" s="177">
        <f t="shared" si="58"/>
        <v>8375.8700000000008</v>
      </c>
      <c r="K26" s="177">
        <f t="shared" si="58"/>
        <v>8320.93</v>
      </c>
      <c r="L26" s="177">
        <f t="shared" si="58"/>
        <v>8317.0299999999988</v>
      </c>
      <c r="M26" s="177">
        <f t="shared" si="58"/>
        <v>8309.93</v>
      </c>
      <c r="N26" s="177">
        <f t="shared" si="58"/>
        <v>8301.77</v>
      </c>
      <c r="O26" s="177">
        <f t="shared" si="58"/>
        <v>8310.4699999999993</v>
      </c>
      <c r="P26" s="177">
        <f t="shared" si="58"/>
        <v>8299.5099999999984</v>
      </c>
      <c r="Q26" s="177">
        <f>SUM(Q19:Q25)</f>
        <v>8308.2799999999988</v>
      </c>
      <c r="R26" s="177">
        <f t="shared" ref="R26:W26" si="59">SUM(R19:R25)</f>
        <v>8401.27</v>
      </c>
      <c r="S26" s="177">
        <f t="shared" ca="1" si="59"/>
        <v>100181.27</v>
      </c>
      <c r="T26" s="177">
        <f t="shared" si="59"/>
        <v>25236.21</v>
      </c>
      <c r="U26" s="177">
        <f t="shared" si="59"/>
        <v>25013.829999999998</v>
      </c>
      <c r="V26" s="177">
        <f t="shared" si="59"/>
        <v>24922.17</v>
      </c>
      <c r="W26" s="177">
        <f t="shared" si="59"/>
        <v>25009.06</v>
      </c>
      <c r="X26" s="386"/>
      <c r="Y26" s="177">
        <f t="shared" ref="Y26:AT26" si="60">SUM(Y19:Y25)</f>
        <v>8198.73</v>
      </c>
      <c r="Z26" s="177">
        <f t="shared" si="60"/>
        <v>8333.1</v>
      </c>
      <c r="AA26" s="177">
        <f t="shared" si="60"/>
        <v>8217.1</v>
      </c>
      <c r="AB26" s="177">
        <f t="shared" si="60"/>
        <v>8243.9</v>
      </c>
      <c r="AC26" s="177">
        <f t="shared" si="60"/>
        <v>8162.4299999999994</v>
      </c>
      <c r="AD26" s="177">
        <f t="shared" si="60"/>
        <v>8157.87</v>
      </c>
      <c r="AE26" s="177">
        <f t="shared" si="60"/>
        <v>8094.17</v>
      </c>
      <c r="AF26" s="177">
        <f t="shared" si="60"/>
        <v>8166.0100000000011</v>
      </c>
      <c r="AG26" s="177">
        <f>SUM(AG19:AG25)</f>
        <v>8096.4299999999994</v>
      </c>
      <c r="AH26" s="177">
        <f t="shared" si="60"/>
        <v>7984.6799999999994</v>
      </c>
      <c r="AI26" s="177">
        <f>SUM(AI19:AI25)</f>
        <v>8044.6</v>
      </c>
      <c r="AJ26" s="177">
        <f t="shared" si="60"/>
        <v>8161.6</v>
      </c>
      <c r="AK26" s="177">
        <f t="shared" si="60"/>
        <v>97860.62000000001</v>
      </c>
      <c r="AL26" s="97"/>
      <c r="AM26" s="97"/>
      <c r="AN26" s="177"/>
      <c r="AO26" s="177"/>
      <c r="AP26" s="177"/>
      <c r="AQ26" s="177">
        <f t="shared" si="60"/>
        <v>24748.93</v>
      </c>
      <c r="AR26" s="177">
        <f t="shared" si="60"/>
        <v>24564.2</v>
      </c>
      <c r="AS26" s="177">
        <f t="shared" si="60"/>
        <v>24356.61</v>
      </c>
      <c r="AT26" s="177">
        <f t="shared" si="60"/>
        <v>24190.880000000001</v>
      </c>
      <c r="AU26" s="181"/>
      <c r="AV26" s="177">
        <f t="shared" ref="AV26:BE26" si="61">SUM(AV19:AV25)</f>
        <v>8395</v>
      </c>
      <c r="AW26" s="177">
        <f t="shared" si="61"/>
        <v>8424</v>
      </c>
      <c r="AX26" s="177">
        <f t="shared" si="61"/>
        <v>8441</v>
      </c>
      <c r="AY26" s="177">
        <f t="shared" si="61"/>
        <v>8474</v>
      </c>
      <c r="AZ26" s="177">
        <f t="shared" si="61"/>
        <v>8383</v>
      </c>
      <c r="BA26" s="177">
        <f t="shared" si="61"/>
        <v>8370</v>
      </c>
      <c r="BB26" s="177">
        <f t="shared" si="61"/>
        <v>8330</v>
      </c>
      <c r="BC26" s="177">
        <f t="shared" si="61"/>
        <v>8388</v>
      </c>
      <c r="BD26" s="177">
        <f t="shared" si="61"/>
        <v>8342</v>
      </c>
      <c r="BE26" s="177">
        <f t="shared" si="61"/>
        <v>8323</v>
      </c>
      <c r="BF26" s="177">
        <f>SUM(BF19:BF25)</f>
        <v>8394</v>
      </c>
      <c r="BG26" s="177">
        <f t="shared" ref="BG26:BL26" si="62">SUM(BG19:BG25)</f>
        <v>8434</v>
      </c>
      <c r="BH26" s="177">
        <f t="shared" ca="1" si="62"/>
        <v>100698</v>
      </c>
      <c r="BI26" s="177">
        <f t="shared" si="62"/>
        <v>25260</v>
      </c>
      <c r="BJ26" s="177">
        <f t="shared" si="62"/>
        <v>25227</v>
      </c>
      <c r="BK26" s="177">
        <f t="shared" si="62"/>
        <v>25060</v>
      </c>
      <c r="BL26" s="177">
        <f t="shared" si="62"/>
        <v>25151</v>
      </c>
      <c r="BM26" s="386"/>
      <c r="BN26" s="177">
        <f t="shared" ref="BN26:BW26" si="63">SUM(BN19:BN25)</f>
        <v>0</v>
      </c>
      <c r="BO26" s="177">
        <f t="shared" si="63"/>
        <v>0</v>
      </c>
      <c r="BP26" s="177">
        <f t="shared" si="63"/>
        <v>8394</v>
      </c>
      <c r="BQ26" s="177">
        <f t="shared" si="63"/>
        <v>8278</v>
      </c>
      <c r="BR26" s="177">
        <f t="shared" si="63"/>
        <v>8324</v>
      </c>
      <c r="BS26" s="177">
        <f t="shared" si="63"/>
        <v>8295</v>
      </c>
      <c r="BT26" s="177">
        <f t="shared" si="63"/>
        <v>8295</v>
      </c>
      <c r="BU26" s="177">
        <f t="shared" si="63"/>
        <v>8295</v>
      </c>
      <c r="BV26" s="177">
        <f t="shared" si="63"/>
        <v>8196</v>
      </c>
      <c r="BW26" s="177">
        <f t="shared" si="63"/>
        <v>8196</v>
      </c>
      <c r="BX26" s="177">
        <f>SUM(BX19:BX25)</f>
        <v>8127</v>
      </c>
      <c r="BY26" s="177">
        <f t="shared" ref="BY26:CD26" si="64">SUM(BY19:BY25)</f>
        <v>8093</v>
      </c>
      <c r="BZ26" s="177">
        <f t="shared" ca="1" si="64"/>
        <v>82493</v>
      </c>
      <c r="CA26" s="177">
        <f t="shared" si="64"/>
        <v>8394</v>
      </c>
      <c r="CB26" s="177">
        <f t="shared" si="64"/>
        <v>24897</v>
      </c>
      <c r="CC26" s="177">
        <f t="shared" si="64"/>
        <v>24786</v>
      </c>
      <c r="CD26" s="177">
        <f t="shared" si="64"/>
        <v>24416</v>
      </c>
      <c r="CE26" s="386"/>
      <c r="CF26" s="97"/>
      <c r="CH26" s="177"/>
      <c r="CI26" s="177"/>
      <c r="CJ26" s="177">
        <f t="shared" ref="CJ26:CS26" si="65">SUM(CJ19:CJ25)</f>
        <v>-176.89999999999998</v>
      </c>
      <c r="CK26" s="177">
        <f t="shared" si="65"/>
        <v>-34.10000000000025</v>
      </c>
      <c r="CL26" s="177">
        <f t="shared" si="65"/>
        <v>-161.57000000000039</v>
      </c>
      <c r="CM26" s="177">
        <f t="shared" si="65"/>
        <v>-137.12999999999994</v>
      </c>
      <c r="CN26" s="177">
        <f t="shared" si="65"/>
        <v>-200.82999999999998</v>
      </c>
      <c r="CO26" s="177">
        <f t="shared" si="65"/>
        <v>-128.98999999999961</v>
      </c>
      <c r="CP26" s="177">
        <f t="shared" si="65"/>
        <v>-99.570000000000391</v>
      </c>
      <c r="CQ26" s="177">
        <f t="shared" si="65"/>
        <v>-211.32000000000005</v>
      </c>
      <c r="CR26" s="177">
        <f t="shared" si="65"/>
        <v>0</v>
      </c>
      <c r="CS26" s="177">
        <f t="shared" si="65"/>
        <v>0</v>
      </c>
      <c r="CU26" s="177">
        <f>SUM(CU19:CU25)</f>
        <v>98652.26</v>
      </c>
      <c r="CV26" s="177" t="e">
        <f>SUM(CV19:CV25)</f>
        <v>#VALUE!</v>
      </c>
      <c r="CW26" s="177">
        <f>SUM(CW19:CW25)</f>
        <v>100698</v>
      </c>
    </row>
    <row r="27" spans="2:101">
      <c r="B27" s="97"/>
      <c r="C27" s="97"/>
      <c r="D27" s="97" t="s">
        <v>532</v>
      </c>
      <c r="F27" s="284" t="s">
        <v>135</v>
      </c>
      <c r="S27" s="387"/>
      <c r="T27" s="97"/>
      <c r="U27" s="97"/>
      <c r="V27" s="97"/>
      <c r="W27" s="97"/>
      <c r="X27" s="367"/>
      <c r="AK27" s="387"/>
      <c r="AL27" s="97"/>
      <c r="AM27" s="97"/>
      <c r="AN27" s="387"/>
      <c r="AO27" s="387"/>
      <c r="AP27" s="387"/>
      <c r="AQ27" s="97"/>
      <c r="AR27" s="97"/>
      <c r="AS27" s="97"/>
      <c r="AT27" s="97"/>
      <c r="AU27" s="181"/>
      <c r="BH27" s="387"/>
      <c r="BI27" s="97"/>
      <c r="BJ27" s="97"/>
      <c r="BK27" s="97"/>
      <c r="BL27" s="97"/>
      <c r="BM27" s="367"/>
      <c r="BZ27" s="387"/>
      <c r="CA27" s="97"/>
      <c r="CB27" s="97"/>
      <c r="CC27" s="97"/>
      <c r="CD27" s="97"/>
      <c r="CE27" s="367"/>
      <c r="CF27" s="97"/>
    </row>
    <row r="28" spans="2:101" outlineLevel="1">
      <c r="B28" s="97" t="s">
        <v>541</v>
      </c>
      <c r="C28" s="97" t="s">
        <v>542</v>
      </c>
      <c r="D28" s="97" t="s">
        <v>8</v>
      </c>
      <c r="E28" s="97" t="s">
        <v>136</v>
      </c>
      <c r="F28" s="174" t="s">
        <v>100</v>
      </c>
      <c r="G28" s="175">
        <v>145.44</v>
      </c>
      <c r="H28" s="175">
        <v>147.91</v>
      </c>
      <c r="I28" s="175">
        <v>145.94</v>
      </c>
      <c r="J28" s="175">
        <v>141.22999999999999</v>
      </c>
      <c r="K28" s="176">
        <v>139.69999999999999</v>
      </c>
      <c r="L28" s="175">
        <v>138.72999999999999</v>
      </c>
      <c r="M28" s="175">
        <v>140.75</v>
      </c>
      <c r="N28" s="175">
        <v>137.88</v>
      </c>
      <c r="O28" s="175">
        <v>140.19</v>
      </c>
      <c r="P28" s="175">
        <v>140.16</v>
      </c>
      <c r="Q28" s="175">
        <v>139.78</v>
      </c>
      <c r="R28" s="175">
        <v>151.78</v>
      </c>
      <c r="S28" s="177">
        <f ca="1">SUM(G28:OFFSET(G28,0,$F$2-1))</f>
        <v>1709.49</v>
      </c>
      <c r="T28" s="175">
        <f t="shared" ref="T28:T66" si="66">SUM(G28:I28)</f>
        <v>439.29</v>
      </c>
      <c r="U28" s="175">
        <f t="shared" ref="U28:U66" si="67">SUM(J28:L28)</f>
        <v>419.65999999999997</v>
      </c>
      <c r="V28" s="175">
        <f t="shared" ref="V28:V66" si="68">SUM(M28:O28)</f>
        <v>418.82</v>
      </c>
      <c r="W28" s="175">
        <f t="shared" ref="W28:W66" si="69">SUM(P28:R28)</f>
        <v>431.72</v>
      </c>
      <c r="X28" s="178"/>
      <c r="Y28" s="179">
        <v>202.5</v>
      </c>
      <c r="Z28" s="179">
        <v>165.89</v>
      </c>
      <c r="AA28" s="179">
        <v>154.24</v>
      </c>
      <c r="AB28" s="179">
        <v>156.09</v>
      </c>
      <c r="AC28" s="179">
        <v>153.22</v>
      </c>
      <c r="AD28" s="179">
        <v>152.69999999999999</v>
      </c>
      <c r="AE28" s="179">
        <v>153.63</v>
      </c>
      <c r="AF28" s="179">
        <v>152.18</v>
      </c>
      <c r="AG28" s="179">
        <v>155.6</v>
      </c>
      <c r="AH28" s="179">
        <v>152.18</v>
      </c>
      <c r="AI28" s="179">
        <v>154.59</v>
      </c>
      <c r="AJ28" s="179">
        <v>157.99</v>
      </c>
      <c r="AK28" s="177">
        <f t="shared" ref="AK28:AK66" si="70">SUM(Y28:AJ28)</f>
        <v>1910.81</v>
      </c>
      <c r="AL28" s="97" t="s">
        <v>8</v>
      </c>
      <c r="AM28" s="97" t="s">
        <v>8</v>
      </c>
      <c r="AN28" s="180" t="str">
        <f t="shared" ref="AN28:AN34" si="71">CONCATENATE(AL28," - ",F28," NR")</f>
        <v>CFG - FTS-A NR</v>
      </c>
      <c r="AP28" s="177"/>
      <c r="AQ28" s="175">
        <f t="shared" ref="AQ28:AQ66" si="72">SUM(Y28:AA28)</f>
        <v>522.63</v>
      </c>
      <c r="AR28" s="175">
        <f t="shared" ref="AR28:AR66" si="73">SUM(AB28:AD28)</f>
        <v>462.01</v>
      </c>
      <c r="AS28" s="175">
        <f t="shared" ref="AS28:AS66" si="74">SUM(AE28:AG28)</f>
        <v>461.40999999999997</v>
      </c>
      <c r="AT28" s="175">
        <f t="shared" ref="AT28:AT66" si="75">SUM(AH28:AJ28)</f>
        <v>464.76</v>
      </c>
      <c r="AU28" s="181"/>
      <c r="AV28" s="175">
        <v>167.03393759695501</v>
      </c>
      <c r="AW28" s="175">
        <v>159.61904132531501</v>
      </c>
      <c r="AX28" s="175">
        <v>159.93346399673499</v>
      </c>
      <c r="AY28" s="175">
        <v>157.184237807025</v>
      </c>
      <c r="AZ28" s="176">
        <v>141.64495038418636</v>
      </c>
      <c r="BA28" s="175">
        <v>152.08724033696819</v>
      </c>
      <c r="BB28" s="175">
        <v>140.87458378145453</v>
      </c>
      <c r="BC28" s="175">
        <v>141.04951499206061</v>
      </c>
      <c r="BD28" s="175">
        <v>144.30383254418183</v>
      </c>
      <c r="BE28" s="175">
        <v>140.24238358039395</v>
      </c>
      <c r="BF28" s="175">
        <v>143.35495482460172</v>
      </c>
      <c r="BG28" s="175">
        <v>145.61747399246667</v>
      </c>
      <c r="BH28" s="177">
        <f ca="1">SUM(AV28:OFFSET(AV28,0,$F$2-1))</f>
        <v>1792.945615162344</v>
      </c>
      <c r="BI28" s="175">
        <f t="shared" ref="BI28:BI66" si="76">SUM(AV28:AX28)</f>
        <v>486.58644291900498</v>
      </c>
      <c r="BJ28" s="175">
        <f t="shared" ref="BJ28:BJ66" si="77">SUM(AY28:BA28)</f>
        <v>450.91642852817955</v>
      </c>
      <c r="BK28" s="175">
        <f t="shared" ref="BK28:BK66" si="78">SUM(BB28:BD28)</f>
        <v>426.22793131769697</v>
      </c>
      <c r="BL28" s="175">
        <f t="shared" ref="BL28:BL66" si="79">SUM(BE28:BG28)</f>
        <v>429.21481239746231</v>
      </c>
      <c r="BM28" s="178"/>
      <c r="BN28" s="178"/>
      <c r="BO28" s="178"/>
      <c r="BP28" s="178">
        <v>145.12480164325001</v>
      </c>
      <c r="BQ28" s="178">
        <v>143.72630826775</v>
      </c>
      <c r="BR28" s="178">
        <v>142.60612029873181</v>
      </c>
      <c r="BS28" s="178">
        <v>158.34381238541667</v>
      </c>
      <c r="BT28" s="178">
        <v>140.646786891</v>
      </c>
      <c r="BU28" s="178">
        <v>141.23283120591665</v>
      </c>
      <c r="BV28" s="178">
        <v>156.30400601042498</v>
      </c>
      <c r="BW28" s="178">
        <v>153.52550412560834</v>
      </c>
      <c r="BX28" s="178">
        <v>157.18834840951666</v>
      </c>
      <c r="BY28" s="178">
        <v>159.75329355247166</v>
      </c>
      <c r="BZ28" s="177">
        <f ca="1">SUM(BN28:OFFSET(BN28,0,$F$2-1))</f>
        <v>1498.4518127900869</v>
      </c>
      <c r="CA28" s="175">
        <f t="shared" ref="CA28:CA66" si="80">SUM(BN28:BP28)</f>
        <v>145.12480164325001</v>
      </c>
      <c r="CB28" s="175">
        <f t="shared" ref="CB28:CB66" si="81">SUM(BQ28:BS28)</f>
        <v>444.67624095189842</v>
      </c>
      <c r="CC28" s="175">
        <f t="shared" ref="CC28:CC66" si="82">SUM(BT28:BV28)</f>
        <v>438.18362410734164</v>
      </c>
      <c r="CD28" s="175">
        <f t="shared" ref="CD28:CD66" si="83">SUM(BW28:BY28)</f>
        <v>470.46714608759669</v>
      </c>
      <c r="CE28" s="178"/>
      <c r="CF28" s="97" t="s">
        <v>541</v>
      </c>
      <c r="CH28" s="178"/>
      <c r="CI28" s="178"/>
      <c r="CJ28" s="178">
        <f t="shared" ref="CJ28:CJ66" si="84">AA28-BP28</f>
        <v>9.1151983567499997</v>
      </c>
      <c r="CK28" s="178">
        <f t="shared" ref="CK28:CK66" si="85">AB28-BQ28</f>
        <v>12.363691732250004</v>
      </c>
      <c r="CL28" s="178">
        <f t="shared" ref="CL28:CL66" si="86">AC28-BR28</f>
        <v>10.613879701268189</v>
      </c>
      <c r="CM28" s="178">
        <f t="shared" ref="CM28:CM66" si="87">AD28-BS28</f>
        <v>-5.6438123854166804</v>
      </c>
      <c r="CN28" s="178">
        <f t="shared" ref="CN28:CN66" si="88">AE28-BT28</f>
        <v>12.98321310899999</v>
      </c>
      <c r="CO28" s="178">
        <f t="shared" ref="CO28:CO66" si="89">AF28-BU28</f>
        <v>10.947168794083353</v>
      </c>
      <c r="CP28" s="178">
        <f t="shared" ref="CP28:CP66" si="90">AG28-BV28</f>
        <v>-0.70400601042499034</v>
      </c>
      <c r="CQ28" s="178">
        <f t="shared" ref="CQ28:CQ66" si="91">AH28-BW28</f>
        <v>-1.3455041256083291</v>
      </c>
      <c r="CR28" s="178"/>
      <c r="CS28" s="178"/>
      <c r="CU28" s="178">
        <f t="shared" ref="CU28:CU66" si="92">SUM(Y28:AC28)+SUM(BS28:BY28)</f>
        <v>1898.934582580355</v>
      </c>
      <c r="CV28" s="178" t="e">
        <v>#VALUE!</v>
      </c>
      <c r="CW28" s="178">
        <f t="shared" ref="CW28:CW66" si="93">SUM(AV28:BG28)</f>
        <v>1792.945615162344</v>
      </c>
    </row>
    <row r="29" spans="2:101" outlineLevel="1">
      <c r="B29" s="97" t="s">
        <v>543</v>
      </c>
      <c r="C29" s="97" t="s">
        <v>542</v>
      </c>
      <c r="D29" s="97" t="s">
        <v>8</v>
      </c>
      <c r="E29" s="97" t="s">
        <v>136</v>
      </c>
      <c r="F29" s="174" t="s">
        <v>101</v>
      </c>
      <c r="G29" s="175">
        <v>156.97</v>
      </c>
      <c r="H29" s="175">
        <v>146.22</v>
      </c>
      <c r="I29" s="175">
        <v>140.85</v>
      </c>
      <c r="J29" s="175">
        <v>123.4</v>
      </c>
      <c r="K29" s="176">
        <v>120.2</v>
      </c>
      <c r="L29" s="175">
        <v>119.13</v>
      </c>
      <c r="M29" s="175">
        <v>122.23</v>
      </c>
      <c r="N29" s="175">
        <v>119.22</v>
      </c>
      <c r="O29" s="175">
        <v>120.25</v>
      </c>
      <c r="P29" s="175">
        <v>122.3</v>
      </c>
      <c r="Q29" s="175">
        <v>124.94</v>
      </c>
      <c r="R29" s="175">
        <v>168.79</v>
      </c>
      <c r="S29" s="177">
        <f ca="1">SUM(G29:OFFSET(G29,0,$F$2-1))</f>
        <v>1584.5</v>
      </c>
      <c r="T29" s="175">
        <f t="shared" si="66"/>
        <v>444.03999999999996</v>
      </c>
      <c r="U29" s="175">
        <f t="shared" si="67"/>
        <v>362.73</v>
      </c>
      <c r="V29" s="175">
        <f t="shared" si="68"/>
        <v>361.7</v>
      </c>
      <c r="W29" s="175">
        <f t="shared" si="69"/>
        <v>416.03</v>
      </c>
      <c r="X29" s="178"/>
      <c r="Y29" s="179">
        <v>169.83</v>
      </c>
      <c r="Z29" s="179">
        <v>159.41999999999999</v>
      </c>
      <c r="AA29" s="179">
        <v>135.69999999999999</v>
      </c>
      <c r="AB29" s="179">
        <v>138.91</v>
      </c>
      <c r="AC29" s="179">
        <v>123.24</v>
      </c>
      <c r="AD29" s="179">
        <v>115.62</v>
      </c>
      <c r="AE29" s="179">
        <v>117.13</v>
      </c>
      <c r="AF29" s="179">
        <v>116.76</v>
      </c>
      <c r="AG29" s="179">
        <v>118.66</v>
      </c>
      <c r="AH29" s="179">
        <v>116.09</v>
      </c>
      <c r="AI29" s="179">
        <v>116.55</v>
      </c>
      <c r="AJ29" s="179">
        <v>121.91</v>
      </c>
      <c r="AK29" s="177">
        <f t="shared" si="70"/>
        <v>1549.8200000000002</v>
      </c>
      <c r="AL29" s="97" t="s">
        <v>8</v>
      </c>
      <c r="AM29" s="97" t="s">
        <v>8</v>
      </c>
      <c r="AN29" s="180" t="str">
        <f t="shared" si="71"/>
        <v>CFG - FTS-B NR</v>
      </c>
      <c r="AP29" s="177"/>
      <c r="AQ29" s="175">
        <f t="shared" si="72"/>
        <v>464.95</v>
      </c>
      <c r="AR29" s="175">
        <f t="shared" si="73"/>
        <v>377.77</v>
      </c>
      <c r="AS29" s="175">
        <f t="shared" si="74"/>
        <v>352.54999999999995</v>
      </c>
      <c r="AT29" s="175">
        <f t="shared" si="75"/>
        <v>354.54999999999995</v>
      </c>
      <c r="AU29" s="181"/>
      <c r="AV29" s="175">
        <v>165.3350543739875</v>
      </c>
      <c r="AW29" s="175">
        <v>158.03959094776252</v>
      </c>
      <c r="AX29" s="175">
        <v>138.167509939925</v>
      </c>
      <c r="AY29" s="175">
        <v>142.09449058436249</v>
      </c>
      <c r="AZ29" s="176">
        <v>115.44947842813929</v>
      </c>
      <c r="BA29" s="175">
        <v>118.52837440808571</v>
      </c>
      <c r="BB29" s="175">
        <v>118.29364736878571</v>
      </c>
      <c r="BC29" s="175">
        <v>114.67204722488928</v>
      </c>
      <c r="BD29" s="175">
        <v>117.08733555428572</v>
      </c>
      <c r="BE29" s="175">
        <v>115.18400035725715</v>
      </c>
      <c r="BF29" s="175">
        <v>118.88116518027857</v>
      </c>
      <c r="BG29" s="175">
        <v>126.93688513493572</v>
      </c>
      <c r="BH29" s="177">
        <f ca="1">SUM(AV29:OFFSET(AV29,0,$F$2-1))</f>
        <v>1548.6695795026947</v>
      </c>
      <c r="BI29" s="175">
        <f t="shared" si="76"/>
        <v>461.54215526167502</v>
      </c>
      <c r="BJ29" s="175">
        <f t="shared" si="77"/>
        <v>376.07234342058746</v>
      </c>
      <c r="BK29" s="175">
        <f t="shared" si="78"/>
        <v>350.05303014796073</v>
      </c>
      <c r="BL29" s="175">
        <f t="shared" si="79"/>
        <v>361.00205067247146</v>
      </c>
      <c r="BM29" s="178"/>
      <c r="BN29" s="178"/>
      <c r="BO29" s="178"/>
      <c r="BP29" s="178">
        <v>136.84719862170499</v>
      </c>
      <c r="BQ29" s="178">
        <v>141.17293725991249</v>
      </c>
      <c r="BR29" s="178">
        <v>131.9428210273025</v>
      </c>
      <c r="BS29" s="178">
        <v>117.90199335344286</v>
      </c>
      <c r="BT29" s="178">
        <v>119.15720849735715</v>
      </c>
      <c r="BU29" s="178">
        <v>115.16133689424285</v>
      </c>
      <c r="BV29" s="178">
        <v>115.83928307434286</v>
      </c>
      <c r="BW29" s="178">
        <v>114.69825831178572</v>
      </c>
      <c r="BX29" s="178">
        <v>118.24708089985714</v>
      </c>
      <c r="BY29" s="178">
        <v>148.1793774169</v>
      </c>
      <c r="BZ29" s="177">
        <f ca="1">SUM(BN29:OFFSET(BN29,0,$F$2-1))</f>
        <v>1259.1474953568486</v>
      </c>
      <c r="CA29" s="175">
        <f t="shared" si="80"/>
        <v>136.84719862170499</v>
      </c>
      <c r="CB29" s="175">
        <f t="shared" si="81"/>
        <v>391.01775164065782</v>
      </c>
      <c r="CC29" s="175">
        <f t="shared" si="82"/>
        <v>350.15782846594288</v>
      </c>
      <c r="CD29" s="175">
        <f t="shared" si="83"/>
        <v>381.12471662854284</v>
      </c>
      <c r="CE29" s="178"/>
      <c r="CF29" s="97" t="s">
        <v>543</v>
      </c>
      <c r="CH29" s="178"/>
      <c r="CI29" s="178"/>
      <c r="CJ29" s="178">
        <f t="shared" si="84"/>
        <v>-1.1471986217050016</v>
      </c>
      <c r="CK29" s="178">
        <f t="shared" si="85"/>
        <v>-2.2629372599124906</v>
      </c>
      <c r="CL29" s="178">
        <f t="shared" si="86"/>
        <v>-8.7028210273025053</v>
      </c>
      <c r="CM29" s="178">
        <f t="shared" si="87"/>
        <v>-2.2819933534428571</v>
      </c>
      <c r="CN29" s="178">
        <f t="shared" si="88"/>
        <v>-2.0272084973571509</v>
      </c>
      <c r="CO29" s="178">
        <f t="shared" si="89"/>
        <v>1.5986631057571543</v>
      </c>
      <c r="CP29" s="178">
        <f t="shared" si="90"/>
        <v>2.8207169256571376</v>
      </c>
      <c r="CQ29" s="178">
        <f t="shared" si="91"/>
        <v>1.3917416882142817</v>
      </c>
      <c r="CR29" s="178"/>
      <c r="CS29" s="178"/>
      <c r="CU29" s="178">
        <f t="shared" si="92"/>
        <v>1576.2845384479288</v>
      </c>
      <c r="CV29" s="178">
        <v>1573.8476623301431</v>
      </c>
      <c r="CW29" s="178">
        <f t="shared" si="93"/>
        <v>1548.6695795026947</v>
      </c>
    </row>
    <row r="30" spans="2:101" outlineLevel="1">
      <c r="B30" s="97" t="s">
        <v>544</v>
      </c>
      <c r="C30" s="97" t="s">
        <v>542</v>
      </c>
      <c r="D30" s="97" t="s">
        <v>8</v>
      </c>
      <c r="E30" s="97" t="s">
        <v>136</v>
      </c>
      <c r="F30" s="174" t="s">
        <v>102</v>
      </c>
      <c r="G30" s="175">
        <v>7222.3</v>
      </c>
      <c r="H30" s="175">
        <v>6495.94</v>
      </c>
      <c r="I30" s="175">
        <v>6968.55</v>
      </c>
      <c r="J30" s="175">
        <v>5861.8</v>
      </c>
      <c r="K30" s="176">
        <v>6504.29</v>
      </c>
      <c r="L30" s="175">
        <v>5574.25</v>
      </c>
      <c r="M30" s="175">
        <v>6031.8099999999904</v>
      </c>
      <c r="N30" s="175">
        <v>5674.6</v>
      </c>
      <c r="O30" s="175">
        <v>5761.15</v>
      </c>
      <c r="P30" s="175">
        <v>5706.98</v>
      </c>
      <c r="Q30" s="175">
        <v>5873.26</v>
      </c>
      <c r="R30" s="175">
        <v>7353.5699999999897</v>
      </c>
      <c r="S30" s="177">
        <f ca="1">SUM(G30:OFFSET(G30,0,$F$2-1))</f>
        <v>75028.499999999971</v>
      </c>
      <c r="T30" s="175">
        <f t="shared" si="66"/>
        <v>20686.79</v>
      </c>
      <c r="U30" s="175">
        <f t="shared" si="67"/>
        <v>17940.34</v>
      </c>
      <c r="V30" s="175">
        <f t="shared" si="68"/>
        <v>17467.55999999999</v>
      </c>
      <c r="W30" s="175">
        <f t="shared" si="69"/>
        <v>18933.80999999999</v>
      </c>
      <c r="X30" s="178"/>
      <c r="Y30" s="179">
        <v>7710.61</v>
      </c>
      <c r="Z30" s="179">
        <v>7366.77</v>
      </c>
      <c r="AA30" s="179">
        <v>6813.17</v>
      </c>
      <c r="AB30" s="179">
        <v>6826.52</v>
      </c>
      <c r="AC30" s="179">
        <v>6117.55</v>
      </c>
      <c r="AD30" s="179">
        <v>6077.44</v>
      </c>
      <c r="AE30" s="179">
        <v>6041.35</v>
      </c>
      <c r="AF30" s="179">
        <v>5929.48</v>
      </c>
      <c r="AG30" s="179">
        <v>5866.42</v>
      </c>
      <c r="AH30" s="179">
        <v>6411.9</v>
      </c>
      <c r="AI30" s="179">
        <v>6119.98</v>
      </c>
      <c r="AJ30" s="179">
        <v>7175.39</v>
      </c>
      <c r="AK30" s="177">
        <f t="shared" si="70"/>
        <v>78456.58</v>
      </c>
      <c r="AL30" s="97" t="s">
        <v>8</v>
      </c>
      <c r="AM30" s="97" t="s">
        <v>8</v>
      </c>
      <c r="AN30" s="180" t="str">
        <f t="shared" si="71"/>
        <v>CFG - FTS-1 NR</v>
      </c>
      <c r="AP30" s="177"/>
      <c r="AQ30" s="175">
        <f t="shared" si="72"/>
        <v>21890.550000000003</v>
      </c>
      <c r="AR30" s="175">
        <f t="shared" si="73"/>
        <v>19021.509999999998</v>
      </c>
      <c r="AS30" s="175">
        <f t="shared" si="74"/>
        <v>17837.25</v>
      </c>
      <c r="AT30" s="175">
        <f t="shared" si="75"/>
        <v>19707.27</v>
      </c>
      <c r="AU30" s="181"/>
      <c r="AV30" s="175">
        <v>7431.1340614311466</v>
      </c>
      <c r="AW30" s="175">
        <v>6967.4428642911771</v>
      </c>
      <c r="AX30" s="175">
        <v>7470.8788491260002</v>
      </c>
      <c r="AY30" s="175">
        <v>6440.2709790928648</v>
      </c>
      <c r="AZ30" s="176">
        <v>7027.8982199154761</v>
      </c>
      <c r="BA30" s="175">
        <v>6116.2328388447077</v>
      </c>
      <c r="BB30" s="175">
        <v>6281.606767852707</v>
      </c>
      <c r="BC30" s="175">
        <v>5977.8417955149016</v>
      </c>
      <c r="BD30" s="175">
        <v>6893.3988741010398</v>
      </c>
      <c r="BE30" s="175">
        <v>6146.641258773252</v>
      </c>
      <c r="BF30" s="175">
        <v>6667.2240253713971</v>
      </c>
      <c r="BG30" s="175">
        <v>7104.7335793878501</v>
      </c>
      <c r="BH30" s="177">
        <f ca="1">SUM(AV30:OFFSET(AV30,0,$F$2-1))</f>
        <v>80525.304113702514</v>
      </c>
      <c r="BI30" s="175">
        <f t="shared" si="76"/>
        <v>21869.455774848324</v>
      </c>
      <c r="BJ30" s="175">
        <f t="shared" si="77"/>
        <v>19584.402037853048</v>
      </c>
      <c r="BK30" s="175">
        <f t="shared" si="78"/>
        <v>19152.847437468648</v>
      </c>
      <c r="BL30" s="175">
        <f t="shared" si="79"/>
        <v>19918.598863532497</v>
      </c>
      <c r="BM30" s="178"/>
      <c r="BN30" s="178"/>
      <c r="BO30" s="178"/>
      <c r="BP30" s="178">
        <v>7578.6394409865125</v>
      </c>
      <c r="BQ30" s="178">
        <v>6566.0880614184334</v>
      </c>
      <c r="BR30" s="178">
        <v>6923.6573629403974</v>
      </c>
      <c r="BS30" s="178">
        <v>6040.9606706666191</v>
      </c>
      <c r="BT30" s="178">
        <v>6043.2632970648401</v>
      </c>
      <c r="BU30" s="178">
        <v>5723.2520856293722</v>
      </c>
      <c r="BV30" s="178">
        <v>6027.1897881716977</v>
      </c>
      <c r="BW30" s="178">
        <v>5846.5722999379659</v>
      </c>
      <c r="BX30" s="178">
        <v>6167.3624140305374</v>
      </c>
      <c r="BY30" s="178">
        <v>6606.7172463223778</v>
      </c>
      <c r="BZ30" s="177">
        <f ca="1">SUM(BN30:OFFSET(BN30,0,$F$2-1))</f>
        <v>63523.702667168749</v>
      </c>
      <c r="CA30" s="175">
        <f t="shared" si="80"/>
        <v>7578.6394409865125</v>
      </c>
      <c r="CB30" s="175">
        <f t="shared" si="81"/>
        <v>19530.706095025449</v>
      </c>
      <c r="CC30" s="175">
        <f t="shared" si="82"/>
        <v>17793.705170865909</v>
      </c>
      <c r="CD30" s="175">
        <f t="shared" si="83"/>
        <v>18620.651960290881</v>
      </c>
      <c r="CE30" s="178"/>
      <c r="CF30" s="97" t="s">
        <v>544</v>
      </c>
      <c r="CH30" s="178"/>
      <c r="CI30" s="178"/>
      <c r="CJ30" s="178">
        <f t="shared" si="84"/>
        <v>-765.46944098651238</v>
      </c>
      <c r="CK30" s="178">
        <f t="shared" si="85"/>
        <v>260.43193858156701</v>
      </c>
      <c r="CL30" s="178">
        <f t="shared" si="86"/>
        <v>-806.10736294039725</v>
      </c>
      <c r="CM30" s="178">
        <f t="shared" si="87"/>
        <v>36.47932933338052</v>
      </c>
      <c r="CN30" s="178">
        <f t="shared" si="88"/>
        <v>-1.9132970648397531</v>
      </c>
      <c r="CO30" s="178">
        <f t="shared" si="89"/>
        <v>206.22791437062733</v>
      </c>
      <c r="CP30" s="178">
        <f t="shared" si="90"/>
        <v>-160.76978817169766</v>
      </c>
      <c r="CQ30" s="178">
        <f t="shared" si="91"/>
        <v>565.32770006203373</v>
      </c>
      <c r="CR30" s="178"/>
      <c r="CS30" s="178"/>
      <c r="CU30" s="178">
        <f t="shared" si="92"/>
        <v>77289.937801823413</v>
      </c>
      <c r="CV30" s="178" t="e">
        <v>#VALUE!</v>
      </c>
      <c r="CW30" s="178">
        <f t="shared" si="93"/>
        <v>80525.304113702514</v>
      </c>
    </row>
    <row r="31" spans="2:101" outlineLevel="1">
      <c r="B31" s="97" t="s">
        <v>545</v>
      </c>
      <c r="C31" s="97" t="s">
        <v>542</v>
      </c>
      <c r="D31" s="97" t="s">
        <v>8</v>
      </c>
      <c r="E31" s="97" t="s">
        <v>136</v>
      </c>
      <c r="F31" s="174" t="s">
        <v>103</v>
      </c>
      <c r="G31" s="175">
        <v>5714.78999999999</v>
      </c>
      <c r="H31" s="175">
        <v>5847.95</v>
      </c>
      <c r="I31" s="175">
        <v>5596.52</v>
      </c>
      <c r="J31" s="175">
        <v>4838.66</v>
      </c>
      <c r="K31" s="176">
        <v>4742.37</v>
      </c>
      <c r="L31" s="175">
        <v>4757.25</v>
      </c>
      <c r="M31" s="175">
        <v>4805.32</v>
      </c>
      <c r="N31" s="175">
        <v>4788.42</v>
      </c>
      <c r="O31" s="175">
        <v>4876.03</v>
      </c>
      <c r="P31" s="175">
        <v>4827.78</v>
      </c>
      <c r="Q31" s="175">
        <v>4930.26</v>
      </c>
      <c r="R31" s="175">
        <v>5585.39</v>
      </c>
      <c r="S31" s="177">
        <f ca="1">SUM(G31:OFFSET(G31,0,$F$2-1))</f>
        <v>61310.739999999983</v>
      </c>
      <c r="T31" s="175">
        <f t="shared" si="66"/>
        <v>17159.259999999991</v>
      </c>
      <c r="U31" s="175">
        <f t="shared" si="67"/>
        <v>14338.279999999999</v>
      </c>
      <c r="V31" s="175">
        <f t="shared" si="68"/>
        <v>14469.77</v>
      </c>
      <c r="W31" s="175">
        <f t="shared" si="69"/>
        <v>15343.43</v>
      </c>
      <c r="X31" s="178"/>
      <c r="Y31" s="179">
        <v>6129.78</v>
      </c>
      <c r="Z31" s="179">
        <v>5678.34</v>
      </c>
      <c r="AA31" s="179">
        <v>5646.92</v>
      </c>
      <c r="AB31" s="179">
        <v>5306.12</v>
      </c>
      <c r="AC31" s="179">
        <v>4889.6499999999996</v>
      </c>
      <c r="AD31" s="179">
        <v>4975.34</v>
      </c>
      <c r="AE31" s="179">
        <v>4279.74</v>
      </c>
      <c r="AF31" s="179">
        <v>5313.67</v>
      </c>
      <c r="AG31" s="179">
        <v>4890.9799999999996</v>
      </c>
      <c r="AH31" s="179">
        <v>4910.96</v>
      </c>
      <c r="AI31" s="179">
        <v>4310.76</v>
      </c>
      <c r="AJ31" s="179">
        <v>5187.3500000000004</v>
      </c>
      <c r="AK31" s="177">
        <f t="shared" si="70"/>
        <v>61519.609999999993</v>
      </c>
      <c r="AL31" s="97" t="s">
        <v>8</v>
      </c>
      <c r="AM31" s="97" t="s">
        <v>8</v>
      </c>
      <c r="AN31" s="180" t="str">
        <f t="shared" si="71"/>
        <v>CFG - FTS-2 NR</v>
      </c>
      <c r="AP31" s="177"/>
      <c r="AQ31" s="175">
        <f t="shared" si="72"/>
        <v>17455.04</v>
      </c>
      <c r="AR31" s="175">
        <f t="shared" si="73"/>
        <v>15171.11</v>
      </c>
      <c r="AS31" s="175">
        <f t="shared" si="74"/>
        <v>14484.39</v>
      </c>
      <c r="AT31" s="175">
        <f t="shared" si="75"/>
        <v>14409.070000000002</v>
      </c>
      <c r="AU31" s="181"/>
      <c r="AV31" s="175">
        <v>6427.3098064327405</v>
      </c>
      <c r="AW31" s="175">
        <v>5993.7481805956741</v>
      </c>
      <c r="AX31" s="175">
        <v>5789.180319668767</v>
      </c>
      <c r="AY31" s="175">
        <v>5381.3693253885422</v>
      </c>
      <c r="AZ31" s="176">
        <v>5220.6032930764804</v>
      </c>
      <c r="BA31" s="175">
        <v>5144.4202423259321</v>
      </c>
      <c r="BB31" s="175">
        <v>4565.9293836322295</v>
      </c>
      <c r="BC31" s="175">
        <v>5226.8634931213637</v>
      </c>
      <c r="BD31" s="175">
        <v>5209.7854981481742</v>
      </c>
      <c r="BE31" s="175">
        <v>5179.7643684880404</v>
      </c>
      <c r="BF31" s="175">
        <v>6248.7625038726437</v>
      </c>
      <c r="BG31" s="175">
        <v>6469.3836310179495</v>
      </c>
      <c r="BH31" s="177">
        <f ca="1">SUM(AV31:OFFSET(AV31,0,$F$2-1))</f>
        <v>66857.120045768534</v>
      </c>
      <c r="BI31" s="175">
        <f t="shared" si="76"/>
        <v>18210.238306697182</v>
      </c>
      <c r="BJ31" s="175">
        <f t="shared" si="77"/>
        <v>15746.392860790955</v>
      </c>
      <c r="BK31" s="175">
        <f t="shared" si="78"/>
        <v>15002.578374901766</v>
      </c>
      <c r="BL31" s="175">
        <f t="shared" si="79"/>
        <v>17897.910503378633</v>
      </c>
      <c r="BM31" s="178"/>
      <c r="BN31" s="178"/>
      <c r="BO31" s="178"/>
      <c r="BP31" s="178">
        <v>5984.7090703058911</v>
      </c>
      <c r="BQ31" s="178">
        <v>5699.6956065803151</v>
      </c>
      <c r="BR31" s="178">
        <v>5357.1491036744001</v>
      </c>
      <c r="BS31" s="178">
        <v>5152.7631204635163</v>
      </c>
      <c r="BT31" s="178">
        <v>4821.197965261068</v>
      </c>
      <c r="BU31" s="178">
        <v>5088.454282881069</v>
      </c>
      <c r="BV31" s="178">
        <v>4969.4014381327825</v>
      </c>
      <c r="BW31" s="178">
        <v>4935.4214926635414</v>
      </c>
      <c r="BX31" s="178">
        <v>5983.1205462068756</v>
      </c>
      <c r="BY31" s="178">
        <v>6065.1878811756342</v>
      </c>
      <c r="BZ31" s="177">
        <f ca="1">SUM(BN31:OFFSET(BN31,0,$F$2-1))</f>
        <v>54057.100507345094</v>
      </c>
      <c r="CA31" s="175">
        <f t="shared" si="80"/>
        <v>5984.7090703058911</v>
      </c>
      <c r="CB31" s="175">
        <f t="shared" si="81"/>
        <v>16209.607830718231</v>
      </c>
      <c r="CC31" s="175">
        <f t="shared" si="82"/>
        <v>14879.053686274921</v>
      </c>
      <c r="CD31" s="175">
        <f t="shared" si="83"/>
        <v>16983.729920046051</v>
      </c>
      <c r="CE31" s="178"/>
      <c r="CF31" s="97" t="s">
        <v>545</v>
      </c>
      <c r="CH31" s="178"/>
      <c r="CI31" s="178"/>
      <c r="CJ31" s="178">
        <f t="shared" si="84"/>
        <v>-337.78907030589107</v>
      </c>
      <c r="CK31" s="178">
        <f t="shared" si="85"/>
        <v>-393.57560658031525</v>
      </c>
      <c r="CL31" s="178">
        <f t="shared" si="86"/>
        <v>-467.49910367440043</v>
      </c>
      <c r="CM31" s="178">
        <f t="shared" si="87"/>
        <v>-177.42312046351617</v>
      </c>
      <c r="CN31" s="178">
        <f t="shared" si="88"/>
        <v>-541.45796526106824</v>
      </c>
      <c r="CO31" s="178">
        <f t="shared" si="89"/>
        <v>225.21571711893102</v>
      </c>
      <c r="CP31" s="178">
        <f t="shared" si="90"/>
        <v>-78.421438132782896</v>
      </c>
      <c r="CQ31" s="178">
        <f t="shared" si="91"/>
        <v>-24.461492663541321</v>
      </c>
      <c r="CR31" s="178"/>
      <c r="CS31" s="178"/>
      <c r="CU31" s="178">
        <f t="shared" si="92"/>
        <v>64666.356726784485</v>
      </c>
      <c r="CV31" s="178" t="e">
        <v>#VALUE!</v>
      </c>
      <c r="CW31" s="178">
        <f t="shared" si="93"/>
        <v>66857.120045768534</v>
      </c>
    </row>
    <row r="32" spans="2:101" outlineLevel="1">
      <c r="B32" s="97" t="s">
        <v>546</v>
      </c>
      <c r="C32" s="97" t="s">
        <v>542</v>
      </c>
      <c r="D32" s="97" t="s">
        <v>8</v>
      </c>
      <c r="E32" s="97" t="s">
        <v>136</v>
      </c>
      <c r="F32" s="174" t="s">
        <v>104</v>
      </c>
      <c r="G32" s="175">
        <v>19756.68</v>
      </c>
      <c r="H32" s="175">
        <v>19612.810000000001</v>
      </c>
      <c r="I32" s="175">
        <v>18479.57</v>
      </c>
      <c r="J32" s="175">
        <v>16169.48</v>
      </c>
      <c r="K32" s="176">
        <v>16966.93</v>
      </c>
      <c r="L32" s="175">
        <v>16823.23</v>
      </c>
      <c r="M32" s="175">
        <v>17083.099999999999</v>
      </c>
      <c r="N32" s="175">
        <v>16245.25</v>
      </c>
      <c r="O32" s="175">
        <v>18871.810000000001</v>
      </c>
      <c r="P32" s="175">
        <v>18303.97</v>
      </c>
      <c r="Q32" s="175">
        <v>17998.97</v>
      </c>
      <c r="R32" s="175">
        <v>20701.52</v>
      </c>
      <c r="S32" s="177">
        <f ca="1">SUM(G32:OFFSET(G32,0,$F$2-1))</f>
        <v>217013.31999999998</v>
      </c>
      <c r="T32" s="175">
        <f t="shared" si="66"/>
        <v>57849.060000000005</v>
      </c>
      <c r="U32" s="175">
        <f t="shared" si="67"/>
        <v>49959.64</v>
      </c>
      <c r="V32" s="175">
        <f t="shared" si="68"/>
        <v>52200.160000000003</v>
      </c>
      <c r="W32" s="175">
        <f t="shared" si="69"/>
        <v>57004.460000000006</v>
      </c>
      <c r="X32" s="178"/>
      <c r="Y32" s="179">
        <v>21515.37</v>
      </c>
      <c r="Z32" s="179">
        <v>19788.349999999999</v>
      </c>
      <c r="AA32" s="179">
        <v>19209.25</v>
      </c>
      <c r="AB32" s="179">
        <v>20492.990000000002</v>
      </c>
      <c r="AC32" s="179">
        <v>18108.87</v>
      </c>
      <c r="AD32" s="179">
        <v>17554.57</v>
      </c>
      <c r="AE32" s="179">
        <v>17695.61</v>
      </c>
      <c r="AF32" s="179">
        <v>18262.849999999999</v>
      </c>
      <c r="AG32" s="179">
        <v>18216.37</v>
      </c>
      <c r="AH32" s="179">
        <v>18070.650000000001</v>
      </c>
      <c r="AI32" s="179">
        <v>18105.060000000001</v>
      </c>
      <c r="AJ32" s="179">
        <v>21351.84</v>
      </c>
      <c r="AK32" s="177">
        <f t="shared" si="70"/>
        <v>228371.78</v>
      </c>
      <c r="AL32" s="97" t="s">
        <v>8</v>
      </c>
      <c r="AM32" s="97" t="s">
        <v>8</v>
      </c>
      <c r="AN32" s="180" t="str">
        <f t="shared" si="71"/>
        <v>CFG - FTS-2.1 NR</v>
      </c>
      <c r="AP32" s="177"/>
      <c r="AQ32" s="175">
        <f t="shared" si="72"/>
        <v>60512.97</v>
      </c>
      <c r="AR32" s="175">
        <f t="shared" si="73"/>
        <v>56156.43</v>
      </c>
      <c r="AS32" s="175">
        <f t="shared" si="74"/>
        <v>54174.83</v>
      </c>
      <c r="AT32" s="175">
        <f t="shared" si="75"/>
        <v>57527.55</v>
      </c>
      <c r="AU32" s="181"/>
      <c r="AV32" s="175">
        <v>21571.243278823618</v>
      </c>
      <c r="AW32" s="175">
        <v>20895.207305566757</v>
      </c>
      <c r="AX32" s="175">
        <v>20361.694315855537</v>
      </c>
      <c r="AY32" s="175">
        <v>17278.371021852719</v>
      </c>
      <c r="AZ32" s="176">
        <v>17736.556018574309</v>
      </c>
      <c r="BA32" s="175">
        <v>16884.053883191715</v>
      </c>
      <c r="BB32" s="175">
        <v>15783.865706554601</v>
      </c>
      <c r="BC32" s="175">
        <v>16812.071390851121</v>
      </c>
      <c r="BD32" s="175">
        <v>17663.111605446724</v>
      </c>
      <c r="BE32" s="175">
        <v>17450.251396700813</v>
      </c>
      <c r="BF32" s="175">
        <v>18896.588968534292</v>
      </c>
      <c r="BG32" s="175">
        <v>21059.541224345383</v>
      </c>
      <c r="BH32" s="177">
        <f ca="1">SUM(AV32:OFFSET(AV32,0,$F$2-1))</f>
        <v>222392.55611629758</v>
      </c>
      <c r="BI32" s="175">
        <f t="shared" si="76"/>
        <v>62828.144900245912</v>
      </c>
      <c r="BJ32" s="175">
        <f t="shared" si="77"/>
        <v>51898.980923618743</v>
      </c>
      <c r="BK32" s="175">
        <f t="shared" si="78"/>
        <v>50259.048702852451</v>
      </c>
      <c r="BL32" s="175">
        <f t="shared" si="79"/>
        <v>57406.381589580487</v>
      </c>
      <c r="BM32" s="178"/>
      <c r="BN32" s="178"/>
      <c r="BO32" s="178"/>
      <c r="BP32" s="178">
        <v>21357.546597124958</v>
      </c>
      <c r="BQ32" s="178">
        <v>18133.422813736433</v>
      </c>
      <c r="BR32" s="178">
        <v>18374.402044757</v>
      </c>
      <c r="BS32" s="178">
        <v>16981.052870147381</v>
      </c>
      <c r="BT32" s="178">
        <v>15742.722851310395</v>
      </c>
      <c r="BU32" s="178">
        <v>16745.137744433276</v>
      </c>
      <c r="BV32" s="178">
        <v>17902.96394674918</v>
      </c>
      <c r="BW32" s="178">
        <v>17804.726329577952</v>
      </c>
      <c r="BX32" s="178">
        <v>19020.425675468454</v>
      </c>
      <c r="BY32" s="178">
        <v>20950.852119831456</v>
      </c>
      <c r="BZ32" s="177">
        <f ca="1">SUM(BN32:OFFSET(BN32,0,$F$2-1))</f>
        <v>183013.2529931365</v>
      </c>
      <c r="CA32" s="175">
        <f t="shared" si="80"/>
        <v>21357.546597124958</v>
      </c>
      <c r="CB32" s="175">
        <f t="shared" si="81"/>
        <v>53488.877728640815</v>
      </c>
      <c r="CC32" s="175">
        <f t="shared" si="82"/>
        <v>50390.824542492846</v>
      </c>
      <c r="CD32" s="175">
        <f t="shared" si="83"/>
        <v>57776.004124877858</v>
      </c>
      <c r="CE32" s="178"/>
      <c r="CF32" s="97" t="s">
        <v>546</v>
      </c>
      <c r="CH32" s="178"/>
      <c r="CI32" s="178"/>
      <c r="CJ32" s="178">
        <f t="shared" si="84"/>
        <v>-2148.2965971249578</v>
      </c>
      <c r="CK32" s="178">
        <f t="shared" si="85"/>
        <v>2359.5671862635681</v>
      </c>
      <c r="CL32" s="178">
        <f t="shared" si="86"/>
        <v>-265.53204475700113</v>
      </c>
      <c r="CM32" s="178">
        <f t="shared" si="87"/>
        <v>573.51712985261838</v>
      </c>
      <c r="CN32" s="178">
        <f t="shared" si="88"/>
        <v>1952.887148689606</v>
      </c>
      <c r="CO32" s="178">
        <f t="shared" si="89"/>
        <v>1517.7122555667229</v>
      </c>
      <c r="CP32" s="178">
        <f t="shared" si="90"/>
        <v>313.40605325081924</v>
      </c>
      <c r="CQ32" s="178">
        <f t="shared" si="91"/>
        <v>265.92367042204933</v>
      </c>
      <c r="CR32" s="178"/>
      <c r="CS32" s="178"/>
      <c r="CU32" s="178">
        <f t="shared" si="92"/>
        <v>224262.71153751807</v>
      </c>
      <c r="CV32" s="178" t="e">
        <v>#VALUE!</v>
      </c>
      <c r="CW32" s="178">
        <f t="shared" si="93"/>
        <v>222392.55611629758</v>
      </c>
    </row>
    <row r="33" spans="2:101" outlineLevel="1">
      <c r="B33" s="97" t="s">
        <v>547</v>
      </c>
      <c r="C33" s="97" t="s">
        <v>542</v>
      </c>
      <c r="D33" s="97" t="s">
        <v>8</v>
      </c>
      <c r="E33" s="97" t="s">
        <v>136</v>
      </c>
      <c r="F33" s="329" t="s">
        <v>105</v>
      </c>
      <c r="G33" s="175">
        <v>53279.19</v>
      </c>
      <c r="H33" s="175">
        <v>53147.040000000001</v>
      </c>
      <c r="I33" s="175">
        <v>52439.4</v>
      </c>
      <c r="J33" s="175">
        <v>46809.19</v>
      </c>
      <c r="K33" s="176">
        <v>47637.71</v>
      </c>
      <c r="L33" s="175">
        <v>47166.12</v>
      </c>
      <c r="M33" s="175">
        <v>49180.95</v>
      </c>
      <c r="N33" s="175">
        <v>47866.06</v>
      </c>
      <c r="O33" s="175">
        <v>49179.74</v>
      </c>
      <c r="P33" s="175">
        <v>49099.96</v>
      </c>
      <c r="Q33" s="175">
        <v>51484.5600000001</v>
      </c>
      <c r="R33" s="175">
        <v>53789.02</v>
      </c>
      <c r="S33" s="177">
        <f ca="1">SUM(G33:OFFSET(G33,0,$F$2-1))</f>
        <v>601078.94000000018</v>
      </c>
      <c r="T33" s="175">
        <f t="shared" si="66"/>
        <v>158865.63</v>
      </c>
      <c r="U33" s="175">
        <f t="shared" si="67"/>
        <v>141613.01999999999</v>
      </c>
      <c r="V33" s="175">
        <f t="shared" si="68"/>
        <v>146226.75</v>
      </c>
      <c r="W33" s="175">
        <f t="shared" si="69"/>
        <v>154373.5400000001</v>
      </c>
      <c r="X33" s="178"/>
      <c r="Y33" s="179">
        <v>54862.46</v>
      </c>
      <c r="Z33" s="179">
        <v>52256.93</v>
      </c>
      <c r="AA33" s="179">
        <v>52617.1</v>
      </c>
      <c r="AB33" s="179">
        <v>55747.01</v>
      </c>
      <c r="AC33" s="179">
        <v>51992.66</v>
      </c>
      <c r="AD33" s="179">
        <v>51143.17</v>
      </c>
      <c r="AE33" s="179">
        <v>51282.33</v>
      </c>
      <c r="AF33" s="179">
        <v>50680.7</v>
      </c>
      <c r="AG33" s="179">
        <v>53344.06</v>
      </c>
      <c r="AH33" s="179">
        <v>52468.39</v>
      </c>
      <c r="AI33" s="179">
        <v>52398.5</v>
      </c>
      <c r="AJ33" s="179">
        <v>58883.48</v>
      </c>
      <c r="AK33" s="177">
        <f t="shared" si="70"/>
        <v>637676.79</v>
      </c>
      <c r="AL33" s="97" t="s">
        <v>8</v>
      </c>
      <c r="AM33" s="97" t="s">
        <v>8</v>
      </c>
      <c r="AN33" s="180" t="str">
        <f t="shared" si="71"/>
        <v>CFG - FTS-3 NR</v>
      </c>
      <c r="AP33" s="177"/>
      <c r="AQ33" s="175">
        <f t="shared" si="72"/>
        <v>159736.49</v>
      </c>
      <c r="AR33" s="175">
        <f t="shared" si="73"/>
        <v>158882.84000000003</v>
      </c>
      <c r="AS33" s="175">
        <f t="shared" si="74"/>
        <v>155307.09</v>
      </c>
      <c r="AT33" s="175">
        <f t="shared" si="75"/>
        <v>163750.37</v>
      </c>
      <c r="AU33" s="181"/>
      <c r="AV33" s="175">
        <v>55393.771314306687</v>
      </c>
      <c r="AW33" s="175">
        <v>54983.166896979368</v>
      </c>
      <c r="AX33" s="175">
        <v>53936.712072551716</v>
      </c>
      <c r="AY33" s="175">
        <v>52628.940780428056</v>
      </c>
      <c r="AZ33" s="176">
        <v>51686.140127193343</v>
      </c>
      <c r="BA33" s="175">
        <v>51185.438026884294</v>
      </c>
      <c r="BB33" s="175">
        <v>50189.387711707896</v>
      </c>
      <c r="BC33" s="175">
        <v>50900.43572087428</v>
      </c>
      <c r="BD33" s="175">
        <v>52850.048048056633</v>
      </c>
      <c r="BE33" s="175">
        <v>52576.693245376315</v>
      </c>
      <c r="BF33" s="175">
        <v>56323.194898567046</v>
      </c>
      <c r="BG33" s="175">
        <v>58627.925841953904</v>
      </c>
      <c r="BH33" s="177">
        <f ca="1">SUM(AV33:OFFSET(AV33,0,$F$2-1))</f>
        <v>641281.85468487965</v>
      </c>
      <c r="BI33" s="175">
        <f t="shared" si="76"/>
        <v>164313.65028383778</v>
      </c>
      <c r="BJ33" s="175">
        <f t="shared" si="77"/>
        <v>155500.5189345057</v>
      </c>
      <c r="BK33" s="175">
        <f t="shared" si="78"/>
        <v>153939.8714806388</v>
      </c>
      <c r="BL33" s="175">
        <f t="shared" si="79"/>
        <v>167527.81398589726</v>
      </c>
      <c r="BM33" s="178"/>
      <c r="BN33" s="178"/>
      <c r="BO33" s="178"/>
      <c r="BP33" s="178">
        <v>54029.397157105661</v>
      </c>
      <c r="BQ33" s="178">
        <v>54340.132798097438</v>
      </c>
      <c r="BR33" s="178">
        <v>52808.403340152268</v>
      </c>
      <c r="BS33" s="178">
        <v>50679.059011186822</v>
      </c>
      <c r="BT33" s="178">
        <v>48369.338995507271</v>
      </c>
      <c r="BU33" s="178">
        <v>49473.706840218787</v>
      </c>
      <c r="BV33" s="178">
        <v>51786.615201283246</v>
      </c>
      <c r="BW33" s="178">
        <v>51395.328944829387</v>
      </c>
      <c r="BX33" s="178">
        <v>54572.757649135121</v>
      </c>
      <c r="BY33" s="178">
        <v>56461.607611786116</v>
      </c>
      <c r="BZ33" s="177">
        <f ca="1">SUM(BN33:OFFSET(BN33,0,$F$2-1))</f>
        <v>523916.34754930215</v>
      </c>
      <c r="CA33" s="175">
        <f t="shared" si="80"/>
        <v>54029.397157105661</v>
      </c>
      <c r="CB33" s="175">
        <f t="shared" si="81"/>
        <v>157827.59514943653</v>
      </c>
      <c r="CC33" s="175">
        <f t="shared" si="82"/>
        <v>149629.6610370093</v>
      </c>
      <c r="CD33" s="175">
        <f t="shared" si="83"/>
        <v>162429.69420575062</v>
      </c>
      <c r="CE33" s="178"/>
      <c r="CF33" s="97" t="s">
        <v>547</v>
      </c>
      <c r="CH33" s="178"/>
      <c r="CI33" s="178"/>
      <c r="CJ33" s="178">
        <f t="shared" si="84"/>
        <v>-1412.2971571056623</v>
      </c>
      <c r="CK33" s="178">
        <f t="shared" si="85"/>
        <v>1406.8772019025637</v>
      </c>
      <c r="CL33" s="178">
        <f t="shared" si="86"/>
        <v>-815.74334015226486</v>
      </c>
      <c r="CM33" s="178">
        <f t="shared" si="87"/>
        <v>464.11098881317594</v>
      </c>
      <c r="CN33" s="178">
        <f t="shared" si="88"/>
        <v>2912.991004492731</v>
      </c>
      <c r="CO33" s="178">
        <f t="shared" si="89"/>
        <v>1206.9931597812101</v>
      </c>
      <c r="CP33" s="178">
        <f t="shared" si="90"/>
        <v>1557.4447987167514</v>
      </c>
      <c r="CQ33" s="178">
        <f t="shared" si="91"/>
        <v>1073.0610551706122</v>
      </c>
      <c r="CR33" s="178"/>
      <c r="CS33" s="178"/>
      <c r="CU33" s="178">
        <f t="shared" si="92"/>
        <v>630214.57425394678</v>
      </c>
      <c r="CV33" s="178" t="e">
        <v>#VALUE!</v>
      </c>
      <c r="CW33" s="178">
        <f t="shared" si="93"/>
        <v>641281.85468487965</v>
      </c>
    </row>
    <row r="34" spans="2:101" ht="10.5" customHeight="1" outlineLevel="1">
      <c r="B34" s="97" t="s">
        <v>548</v>
      </c>
      <c r="C34" s="97" t="s">
        <v>542</v>
      </c>
      <c r="D34" s="97" t="s">
        <v>8</v>
      </c>
      <c r="E34" s="97" t="s">
        <v>136</v>
      </c>
      <c r="F34" s="329" t="s">
        <v>106</v>
      </c>
      <c r="G34" s="175">
        <v>96398.399999999994</v>
      </c>
      <c r="H34" s="175">
        <v>85534.36</v>
      </c>
      <c r="I34" s="175">
        <v>86130.5600000001</v>
      </c>
      <c r="J34" s="175">
        <v>74294.66</v>
      </c>
      <c r="K34" s="176">
        <v>75966.240000000005</v>
      </c>
      <c r="L34" s="175">
        <v>78264.570000000094</v>
      </c>
      <c r="M34" s="175">
        <v>80293.919999999998</v>
      </c>
      <c r="N34" s="175">
        <v>78853.640000000101</v>
      </c>
      <c r="O34" s="175">
        <v>79057.460000000006</v>
      </c>
      <c r="P34" s="175">
        <v>78828.5799999999</v>
      </c>
      <c r="Q34" s="175">
        <v>82750.78</v>
      </c>
      <c r="R34" s="175">
        <v>88175.98</v>
      </c>
      <c r="S34" s="177">
        <f ca="1">SUM(G34:OFFSET(G34,0,$F$2-1))</f>
        <v>984549.15000000014</v>
      </c>
      <c r="T34" s="175">
        <f t="shared" si="66"/>
        <v>268063.32000000012</v>
      </c>
      <c r="U34" s="175">
        <f t="shared" si="67"/>
        <v>228525.47000000012</v>
      </c>
      <c r="V34" s="175">
        <f t="shared" si="68"/>
        <v>238205.02000000014</v>
      </c>
      <c r="W34" s="175">
        <f t="shared" si="69"/>
        <v>249755.33999999991</v>
      </c>
      <c r="X34" s="178"/>
      <c r="Y34" s="179">
        <v>92189.330000000104</v>
      </c>
      <c r="Z34" s="179">
        <v>83775.25</v>
      </c>
      <c r="AA34" s="179">
        <v>86460.45</v>
      </c>
      <c r="AB34" s="179">
        <v>90296.869999999893</v>
      </c>
      <c r="AC34" s="179">
        <v>82099.630000000107</v>
      </c>
      <c r="AD34" s="179">
        <v>81290.58</v>
      </c>
      <c r="AE34" s="179">
        <v>82330.399999999994</v>
      </c>
      <c r="AF34" s="179">
        <v>80442.42</v>
      </c>
      <c r="AG34" s="179">
        <v>82542.34</v>
      </c>
      <c r="AH34" s="179">
        <v>81012.66</v>
      </c>
      <c r="AI34" s="179">
        <v>81549.260000000097</v>
      </c>
      <c r="AJ34" s="179">
        <v>95889.27</v>
      </c>
      <c r="AK34" s="177">
        <f t="shared" si="70"/>
        <v>1019878.4600000003</v>
      </c>
      <c r="AL34" s="97" t="s">
        <v>8</v>
      </c>
      <c r="AM34" s="97" t="s">
        <v>8</v>
      </c>
      <c r="AN34" s="180" t="str">
        <f t="shared" si="71"/>
        <v>CFG - FTS-3.1 NR</v>
      </c>
      <c r="AP34" s="177"/>
      <c r="AQ34" s="175">
        <f t="shared" si="72"/>
        <v>262425.03000000009</v>
      </c>
      <c r="AR34" s="175">
        <f t="shared" si="73"/>
        <v>253687.08000000002</v>
      </c>
      <c r="AS34" s="175">
        <f t="shared" si="74"/>
        <v>245315.16</v>
      </c>
      <c r="AT34" s="175">
        <f t="shared" si="75"/>
        <v>258451.19000000012</v>
      </c>
      <c r="AU34" s="181"/>
      <c r="AV34" s="175">
        <v>93609.748900645383</v>
      </c>
      <c r="AW34" s="175">
        <v>89701.445473694213</v>
      </c>
      <c r="AX34" s="175">
        <v>87620.037560755911</v>
      </c>
      <c r="AY34" s="175">
        <v>85260.669047274132</v>
      </c>
      <c r="AZ34" s="176">
        <v>83483.945666970336</v>
      </c>
      <c r="BA34" s="175">
        <v>84336.158703039982</v>
      </c>
      <c r="BB34" s="175">
        <v>81773.294114562508</v>
      </c>
      <c r="BC34" s="175">
        <v>81732.895809820067</v>
      </c>
      <c r="BD34" s="175">
        <v>83261.182750230597</v>
      </c>
      <c r="BE34" s="175">
        <v>81564.462148226085</v>
      </c>
      <c r="BF34" s="175">
        <v>86888.938736826793</v>
      </c>
      <c r="BG34" s="175">
        <v>90910.913827786237</v>
      </c>
      <c r="BH34" s="177">
        <f ca="1">SUM(AV34:OFFSET(AV34,0,$F$2-1))</f>
        <v>1030143.6927398321</v>
      </c>
      <c r="BI34" s="175">
        <f t="shared" si="76"/>
        <v>270931.23193509551</v>
      </c>
      <c r="BJ34" s="175">
        <f t="shared" si="77"/>
        <v>253080.77341728445</v>
      </c>
      <c r="BK34" s="175">
        <f t="shared" si="78"/>
        <v>246767.37267461317</v>
      </c>
      <c r="BL34" s="175">
        <f t="shared" si="79"/>
        <v>259364.31471283908</v>
      </c>
      <c r="BM34" s="178"/>
      <c r="BN34" s="178"/>
      <c r="BO34" s="178"/>
      <c r="BP34" s="178">
        <v>88139.316058122407</v>
      </c>
      <c r="BQ34" s="178">
        <v>89534.416598694428</v>
      </c>
      <c r="BR34" s="178">
        <v>85677.638066231637</v>
      </c>
      <c r="BS34" s="178">
        <v>85072.386333343675</v>
      </c>
      <c r="BT34" s="178">
        <v>79503.914819812184</v>
      </c>
      <c r="BU34" s="178">
        <v>80564.401062466233</v>
      </c>
      <c r="BV34" s="178">
        <v>80141.939552308628</v>
      </c>
      <c r="BW34" s="178">
        <v>78435.291887423693</v>
      </c>
      <c r="BX34" s="178">
        <v>82848.34434669395</v>
      </c>
      <c r="BY34" s="178">
        <v>86764.190097353974</v>
      </c>
      <c r="BZ34" s="177">
        <f ca="1">SUM(BN34:OFFSET(BN34,0,$F$2-1))</f>
        <v>836681.83882245084</v>
      </c>
      <c r="CA34" s="175">
        <f t="shared" si="80"/>
        <v>88139.316058122407</v>
      </c>
      <c r="CB34" s="175">
        <f t="shared" si="81"/>
        <v>260284.44099826977</v>
      </c>
      <c r="CC34" s="175">
        <f t="shared" si="82"/>
        <v>240210.25543458707</v>
      </c>
      <c r="CD34" s="175">
        <f t="shared" si="83"/>
        <v>248047.82633147162</v>
      </c>
      <c r="CE34" s="178"/>
      <c r="CF34" s="97" t="s">
        <v>548</v>
      </c>
      <c r="CH34" s="178"/>
      <c r="CI34" s="178"/>
      <c r="CJ34" s="178">
        <f t="shared" si="84"/>
        <v>-1678.8660581224103</v>
      </c>
      <c r="CK34" s="178">
        <f t="shared" si="85"/>
        <v>762.45340130546538</v>
      </c>
      <c r="CL34" s="178">
        <f t="shared" si="86"/>
        <v>-3578.0080662315304</v>
      </c>
      <c r="CM34" s="178">
        <f t="shared" si="87"/>
        <v>-3781.806333343673</v>
      </c>
      <c r="CN34" s="178">
        <f t="shared" si="88"/>
        <v>2826.4851801878103</v>
      </c>
      <c r="CO34" s="178">
        <f t="shared" si="89"/>
        <v>-121.98106246623502</v>
      </c>
      <c r="CP34" s="178">
        <f t="shared" si="90"/>
        <v>2400.4004476913688</v>
      </c>
      <c r="CQ34" s="178">
        <f t="shared" si="91"/>
        <v>2577.3681125763105</v>
      </c>
      <c r="CR34" s="178"/>
      <c r="CS34" s="178"/>
      <c r="CU34" s="178">
        <f t="shared" si="92"/>
        <v>1008151.9980994025</v>
      </c>
      <c r="CV34" s="178" t="e">
        <v>#VALUE!</v>
      </c>
      <c r="CW34" s="178">
        <f t="shared" si="93"/>
        <v>1030143.6927398321</v>
      </c>
    </row>
    <row r="35" spans="2:101" outlineLevel="1">
      <c r="B35" s="97" t="s">
        <v>549</v>
      </c>
      <c r="C35" s="97" t="s">
        <v>542</v>
      </c>
      <c r="D35" s="97" t="s">
        <v>8</v>
      </c>
      <c r="E35" s="97" t="s">
        <v>136</v>
      </c>
      <c r="F35" s="329" t="s">
        <v>107</v>
      </c>
      <c r="G35" s="175">
        <v>103843.63</v>
      </c>
      <c r="H35" s="175">
        <v>95898.460000000094</v>
      </c>
      <c r="I35" s="175">
        <v>92932.53</v>
      </c>
      <c r="J35" s="175">
        <v>75886.58</v>
      </c>
      <c r="K35" s="176">
        <v>77885.509999999995</v>
      </c>
      <c r="L35" s="175">
        <v>82651.97</v>
      </c>
      <c r="M35" s="175">
        <v>82178.23</v>
      </c>
      <c r="N35" s="175">
        <v>80651.88</v>
      </c>
      <c r="O35" s="175">
        <v>84016.17</v>
      </c>
      <c r="P35" s="175">
        <v>81989</v>
      </c>
      <c r="Q35" s="175">
        <v>89523.199999999997</v>
      </c>
      <c r="R35" s="175">
        <v>101426.06</v>
      </c>
      <c r="S35" s="177">
        <f ca="1">SUM(G35:OFFSET(G35,0,$F$2-1))</f>
        <v>1048883.2200000002</v>
      </c>
      <c r="T35" s="175">
        <f t="shared" si="66"/>
        <v>292674.62000000011</v>
      </c>
      <c r="U35" s="175">
        <f t="shared" si="67"/>
        <v>236424.06</v>
      </c>
      <c r="V35" s="175">
        <f t="shared" si="68"/>
        <v>246846.27999999997</v>
      </c>
      <c r="W35" s="175">
        <f t="shared" si="69"/>
        <v>272938.26</v>
      </c>
      <c r="X35" s="178"/>
      <c r="Y35" s="179">
        <v>104067.44</v>
      </c>
      <c r="Z35" s="179">
        <v>95103.06</v>
      </c>
      <c r="AA35" s="179">
        <v>94268.81</v>
      </c>
      <c r="AB35" s="179">
        <v>99013.16</v>
      </c>
      <c r="AC35" s="179">
        <v>86990.75</v>
      </c>
      <c r="AD35" s="179">
        <v>87514.72</v>
      </c>
      <c r="AE35" s="179">
        <v>86744.37</v>
      </c>
      <c r="AF35" s="179">
        <v>83281.78</v>
      </c>
      <c r="AG35" s="179">
        <v>87383.83</v>
      </c>
      <c r="AH35" s="179">
        <v>87778.08</v>
      </c>
      <c r="AI35" s="179">
        <v>92611.639999999898</v>
      </c>
      <c r="AJ35" s="179">
        <v>106063.93</v>
      </c>
      <c r="AK35" s="177">
        <f t="shared" si="70"/>
        <v>1110821.5699999998</v>
      </c>
      <c r="AL35" s="97" t="s">
        <v>8</v>
      </c>
      <c r="AM35" s="97" t="s">
        <v>8</v>
      </c>
      <c r="AN35" s="180" t="str">
        <f t="shared" ref="AN35:AN66" si="94">CONCATENATE(AL35," - ",F35)</f>
        <v>CFG - FTS-4</v>
      </c>
      <c r="AP35" s="177"/>
      <c r="AQ35" s="175">
        <f t="shared" si="72"/>
        <v>293439.31</v>
      </c>
      <c r="AR35" s="175">
        <f t="shared" si="73"/>
        <v>273518.63</v>
      </c>
      <c r="AS35" s="175">
        <f t="shared" si="74"/>
        <v>257409.97999999998</v>
      </c>
      <c r="AT35" s="175">
        <f t="shared" si="75"/>
        <v>286453.64999999991</v>
      </c>
      <c r="AU35" s="181"/>
      <c r="AV35" s="175">
        <v>107636.49085630832</v>
      </c>
      <c r="AW35" s="175">
        <v>102595.43792510878</v>
      </c>
      <c r="AX35" s="175">
        <v>98149.389857195289</v>
      </c>
      <c r="AY35" s="175">
        <v>96746.967243150531</v>
      </c>
      <c r="AZ35" s="176">
        <v>89042.449095357559</v>
      </c>
      <c r="BA35" s="175">
        <v>91348.630846238782</v>
      </c>
      <c r="BB35" s="175">
        <v>89712.713013769098</v>
      </c>
      <c r="BC35" s="175">
        <v>87891.87871866877</v>
      </c>
      <c r="BD35" s="175">
        <v>91085.459514326547</v>
      </c>
      <c r="BE35" s="175">
        <v>91750.288325009897</v>
      </c>
      <c r="BF35" s="175">
        <v>101975.65990798446</v>
      </c>
      <c r="BG35" s="175">
        <v>111393.80827308753</v>
      </c>
      <c r="BH35" s="177">
        <f ca="1">SUM(AV35:OFFSET(AV35,0,$F$2-1))</f>
        <v>1159329.1735762055</v>
      </c>
      <c r="BI35" s="175">
        <f t="shared" si="76"/>
        <v>308381.3186386124</v>
      </c>
      <c r="BJ35" s="175">
        <f t="shared" si="77"/>
        <v>277138.04718474683</v>
      </c>
      <c r="BK35" s="175">
        <f t="shared" si="78"/>
        <v>268690.05124676443</v>
      </c>
      <c r="BL35" s="175">
        <f t="shared" si="79"/>
        <v>305119.7565060819</v>
      </c>
      <c r="BM35" s="178"/>
      <c r="BN35" s="178"/>
      <c r="BO35" s="178"/>
      <c r="BP35" s="178">
        <v>97357.433652907217</v>
      </c>
      <c r="BQ35" s="178">
        <v>102558.29551316146</v>
      </c>
      <c r="BR35" s="178">
        <v>90781.907179744681</v>
      </c>
      <c r="BS35" s="178">
        <v>89699.710305555083</v>
      </c>
      <c r="BT35" s="178">
        <v>85656.463039702576</v>
      </c>
      <c r="BU35" s="178">
        <v>83390.94121859697</v>
      </c>
      <c r="BV35" s="178">
        <v>86016.637310229649</v>
      </c>
      <c r="BW35" s="178">
        <v>87946.745362897957</v>
      </c>
      <c r="BX35" s="178">
        <v>95526.820835622435</v>
      </c>
      <c r="BY35" s="178">
        <v>106100.20453525968</v>
      </c>
      <c r="BZ35" s="177">
        <f ca="1">SUM(BN35:OFFSET(BN35,0,$F$2-1))</f>
        <v>925035.15895367763</v>
      </c>
      <c r="CA35" s="175">
        <f t="shared" si="80"/>
        <v>97357.433652907217</v>
      </c>
      <c r="CB35" s="175">
        <f t="shared" si="81"/>
        <v>283039.91299846122</v>
      </c>
      <c r="CC35" s="175">
        <f t="shared" si="82"/>
        <v>255064.04156852921</v>
      </c>
      <c r="CD35" s="175">
        <f t="shared" si="83"/>
        <v>289573.77073378005</v>
      </c>
      <c r="CE35" s="178"/>
      <c r="CF35" s="97" t="s">
        <v>549</v>
      </c>
      <c r="CH35" s="178"/>
      <c r="CI35" s="178"/>
      <c r="CJ35" s="178">
        <f t="shared" si="84"/>
        <v>-3088.6236529072194</v>
      </c>
      <c r="CK35" s="178">
        <f t="shared" si="85"/>
        <v>-3545.1355131614546</v>
      </c>
      <c r="CL35" s="178">
        <f t="shared" si="86"/>
        <v>-3791.1571797446813</v>
      </c>
      <c r="CM35" s="178">
        <f t="shared" si="87"/>
        <v>-2184.9903055550822</v>
      </c>
      <c r="CN35" s="178">
        <f t="shared" si="88"/>
        <v>1087.9069602974196</v>
      </c>
      <c r="CO35" s="178">
        <f t="shared" si="89"/>
        <v>-109.16121859697159</v>
      </c>
      <c r="CP35" s="178">
        <f t="shared" si="90"/>
        <v>1367.1926897703524</v>
      </c>
      <c r="CQ35" s="178">
        <f t="shared" si="91"/>
        <v>-168.66536289795476</v>
      </c>
      <c r="CR35" s="178"/>
      <c r="CS35" s="178"/>
      <c r="CU35" s="178">
        <f t="shared" si="92"/>
        <v>1113780.7426078643</v>
      </c>
      <c r="CV35" s="178" t="e">
        <v>#VALUE!</v>
      </c>
      <c r="CW35" s="178">
        <f t="shared" si="93"/>
        <v>1159329.1735762055</v>
      </c>
    </row>
    <row r="36" spans="2:101" outlineLevel="1">
      <c r="B36" s="97" t="s">
        <v>550</v>
      </c>
      <c r="C36" s="97" t="s">
        <v>542</v>
      </c>
      <c r="D36" s="97" t="s">
        <v>8</v>
      </c>
      <c r="E36" s="97" t="s">
        <v>136</v>
      </c>
      <c r="F36" s="329" t="s">
        <v>111</v>
      </c>
      <c r="G36" s="175">
        <v>29670.42</v>
      </c>
      <c r="H36" s="175">
        <v>29415.08</v>
      </c>
      <c r="I36" s="175">
        <v>29677.759999999998</v>
      </c>
      <c r="J36" s="175">
        <v>30671.77</v>
      </c>
      <c r="K36" s="176">
        <v>26871.29</v>
      </c>
      <c r="L36" s="175">
        <v>25573</v>
      </c>
      <c r="M36" s="175">
        <v>25910.43</v>
      </c>
      <c r="N36" s="175">
        <v>26679.08</v>
      </c>
      <c r="O36" s="175">
        <v>26516.22</v>
      </c>
      <c r="P36" s="175">
        <v>26113.23</v>
      </c>
      <c r="Q36" s="175">
        <v>27253.11</v>
      </c>
      <c r="R36" s="175">
        <v>30385.26</v>
      </c>
      <c r="S36" s="177">
        <f ca="1">SUM(G36:OFFSET(G36,0,$F$2-1))</f>
        <v>334736.65000000002</v>
      </c>
      <c r="T36" s="175">
        <f t="shared" si="66"/>
        <v>88763.26</v>
      </c>
      <c r="U36" s="175">
        <f t="shared" si="67"/>
        <v>83116.06</v>
      </c>
      <c r="V36" s="175">
        <f t="shared" si="68"/>
        <v>79105.73000000001</v>
      </c>
      <c r="W36" s="175">
        <f t="shared" si="69"/>
        <v>83751.599999999991</v>
      </c>
      <c r="X36" s="178"/>
      <c r="Y36" s="179">
        <v>31215.29</v>
      </c>
      <c r="Z36" s="179">
        <v>30087.33</v>
      </c>
      <c r="AA36" s="179">
        <v>34301.21</v>
      </c>
      <c r="AB36" s="179">
        <v>28877.21</v>
      </c>
      <c r="AC36" s="179">
        <v>25706.13</v>
      </c>
      <c r="AD36" s="179">
        <v>24754.87</v>
      </c>
      <c r="AE36" s="179">
        <v>24874.62</v>
      </c>
      <c r="AF36" s="179">
        <v>24521.58</v>
      </c>
      <c r="AG36" s="179">
        <v>26689.85</v>
      </c>
      <c r="AH36" s="179">
        <v>29070.6</v>
      </c>
      <c r="AI36" s="179">
        <v>26987.95</v>
      </c>
      <c r="AJ36" s="179">
        <v>32185.200000000001</v>
      </c>
      <c r="AK36" s="177">
        <f t="shared" si="70"/>
        <v>339271.84</v>
      </c>
      <c r="AL36" s="97" t="s">
        <v>8</v>
      </c>
      <c r="AM36" s="97" t="s">
        <v>8</v>
      </c>
      <c r="AN36" s="180" t="str">
        <f t="shared" si="94"/>
        <v>CFG - FTS-5</v>
      </c>
      <c r="AP36" s="177"/>
      <c r="AQ36" s="175">
        <f t="shared" si="72"/>
        <v>95603.83</v>
      </c>
      <c r="AR36" s="175">
        <f t="shared" si="73"/>
        <v>79338.209999999992</v>
      </c>
      <c r="AS36" s="175">
        <f t="shared" si="74"/>
        <v>76086.049999999988</v>
      </c>
      <c r="AT36" s="175">
        <f t="shared" si="75"/>
        <v>88243.75</v>
      </c>
      <c r="AU36" s="181"/>
      <c r="AV36" s="175">
        <v>33315.815645233539</v>
      </c>
      <c r="AW36" s="175">
        <v>32558.289289777917</v>
      </c>
      <c r="AX36" s="175">
        <v>33103.329189051918</v>
      </c>
      <c r="AY36" s="175">
        <v>30012.353101438486</v>
      </c>
      <c r="AZ36" s="176">
        <v>27438.082452505718</v>
      </c>
      <c r="BA36" s="175">
        <v>26298.893375615531</v>
      </c>
      <c r="BB36" s="175">
        <v>26650.284619315637</v>
      </c>
      <c r="BC36" s="175">
        <v>26356.405256317026</v>
      </c>
      <c r="BD36" s="175">
        <v>26654.795929323336</v>
      </c>
      <c r="BE36" s="175">
        <v>26267.026226346003</v>
      </c>
      <c r="BF36" s="175">
        <v>29518.194446648602</v>
      </c>
      <c r="BG36" s="175">
        <v>30133.590765165081</v>
      </c>
      <c r="BH36" s="177">
        <f ca="1">SUM(AV36:OFFSET(AV36,0,$F$2-1))</f>
        <v>348307.06029673881</v>
      </c>
      <c r="BI36" s="175">
        <f t="shared" si="76"/>
        <v>98977.434124063366</v>
      </c>
      <c r="BJ36" s="175">
        <f t="shared" si="77"/>
        <v>83749.328929559735</v>
      </c>
      <c r="BK36" s="175">
        <f t="shared" si="78"/>
        <v>79661.485804955999</v>
      </c>
      <c r="BL36" s="175">
        <f t="shared" si="79"/>
        <v>85918.811438159682</v>
      </c>
      <c r="BM36" s="178"/>
      <c r="BN36" s="178"/>
      <c r="BO36" s="178"/>
      <c r="BP36" s="178">
        <v>34380.8702910883</v>
      </c>
      <c r="BQ36" s="178">
        <v>30114.426265181533</v>
      </c>
      <c r="BR36" s="178">
        <v>28089.693056517535</v>
      </c>
      <c r="BS36" s="178">
        <v>26840.565777049706</v>
      </c>
      <c r="BT36" s="178">
        <v>26364.481314261997</v>
      </c>
      <c r="BU36" s="178">
        <v>26836.669141878709</v>
      </c>
      <c r="BV36" s="178">
        <v>26947.312551360003</v>
      </c>
      <c r="BW36" s="178">
        <v>25552.641646154119</v>
      </c>
      <c r="BX36" s="178">
        <v>28297.807318485953</v>
      </c>
      <c r="BY36" s="178">
        <v>29287.385429745354</v>
      </c>
      <c r="BZ36" s="177">
        <f ca="1">SUM(BN36:OFFSET(BN36,0,$F$2-1))</f>
        <v>282711.85279172321</v>
      </c>
      <c r="CA36" s="175">
        <f t="shared" si="80"/>
        <v>34380.8702910883</v>
      </c>
      <c r="CB36" s="175">
        <f t="shared" si="81"/>
        <v>85044.685098748771</v>
      </c>
      <c r="CC36" s="175">
        <f t="shared" si="82"/>
        <v>80148.463007500715</v>
      </c>
      <c r="CD36" s="175">
        <f t="shared" si="83"/>
        <v>83137.834394385427</v>
      </c>
      <c r="CE36" s="178"/>
      <c r="CF36" s="97" t="s">
        <v>550</v>
      </c>
      <c r="CH36" s="178"/>
      <c r="CI36" s="178"/>
      <c r="CJ36" s="178">
        <f t="shared" si="84"/>
        <v>-79.660291088301165</v>
      </c>
      <c r="CK36" s="178">
        <f t="shared" si="85"/>
        <v>-1237.2162651815343</v>
      </c>
      <c r="CL36" s="178">
        <f t="shared" si="86"/>
        <v>-2383.5630565175343</v>
      </c>
      <c r="CM36" s="178">
        <f t="shared" si="87"/>
        <v>-2085.6957770497065</v>
      </c>
      <c r="CN36" s="178">
        <f t="shared" si="88"/>
        <v>-1489.8613142619979</v>
      </c>
      <c r="CO36" s="178">
        <f t="shared" si="89"/>
        <v>-2315.0891418787069</v>
      </c>
      <c r="CP36" s="178">
        <f t="shared" si="90"/>
        <v>-257.462551360004</v>
      </c>
      <c r="CQ36" s="178">
        <f t="shared" si="91"/>
        <v>3517.9583538458792</v>
      </c>
      <c r="CR36" s="178"/>
      <c r="CS36" s="178"/>
      <c r="CU36" s="178">
        <f t="shared" si="92"/>
        <v>340314.03317893588</v>
      </c>
      <c r="CV36" s="178" t="e">
        <v>#VALUE!</v>
      </c>
      <c r="CW36" s="178">
        <f t="shared" si="93"/>
        <v>348307.06029673881</v>
      </c>
    </row>
    <row r="37" spans="2:101" outlineLevel="1">
      <c r="B37" s="97" t="s">
        <v>551</v>
      </c>
      <c r="C37" s="97" t="s">
        <v>542</v>
      </c>
      <c r="D37" s="97" t="s">
        <v>8</v>
      </c>
      <c r="E37" s="97" t="s">
        <v>136</v>
      </c>
      <c r="F37" s="329" t="s">
        <v>112</v>
      </c>
      <c r="G37" s="175">
        <v>43069.18</v>
      </c>
      <c r="H37" s="175">
        <v>43563.66</v>
      </c>
      <c r="I37" s="175">
        <v>38785.08</v>
      </c>
      <c r="J37" s="175">
        <v>36214.339999999997</v>
      </c>
      <c r="K37" s="176">
        <v>40043.78</v>
      </c>
      <c r="L37" s="175">
        <v>37452.11</v>
      </c>
      <c r="M37" s="175">
        <v>33697.129999999997</v>
      </c>
      <c r="N37" s="175">
        <v>40490.239999999998</v>
      </c>
      <c r="O37" s="175">
        <v>43712.47</v>
      </c>
      <c r="P37" s="175">
        <v>45337.42</v>
      </c>
      <c r="Q37" s="175">
        <v>42123.66</v>
      </c>
      <c r="R37" s="175">
        <v>47980.58</v>
      </c>
      <c r="S37" s="177">
        <f ca="1">SUM(G37:OFFSET(G37,0,$F$2-1))</f>
        <v>492469.64999999997</v>
      </c>
      <c r="T37" s="175">
        <f t="shared" si="66"/>
        <v>125417.92</v>
      </c>
      <c r="U37" s="175">
        <f t="shared" si="67"/>
        <v>113710.23</v>
      </c>
      <c r="V37" s="175">
        <f t="shared" si="68"/>
        <v>117899.84</v>
      </c>
      <c r="W37" s="175">
        <f t="shared" si="69"/>
        <v>135441.66</v>
      </c>
      <c r="X37" s="178"/>
      <c r="Y37" s="179">
        <v>50782.1</v>
      </c>
      <c r="Z37" s="179">
        <v>50523.69</v>
      </c>
      <c r="AA37" s="179">
        <v>47184.52</v>
      </c>
      <c r="AB37" s="179">
        <v>50750.27</v>
      </c>
      <c r="AC37" s="179">
        <v>41852.639999999999</v>
      </c>
      <c r="AD37" s="179">
        <v>44283.88</v>
      </c>
      <c r="AE37" s="179">
        <v>45957.81</v>
      </c>
      <c r="AF37" s="179">
        <v>50220.28</v>
      </c>
      <c r="AG37" s="388">
        <f>55447.38+3628</f>
        <v>59075.38</v>
      </c>
      <c r="AH37" s="388">
        <f>62221.54-3628</f>
        <v>58593.54</v>
      </c>
      <c r="AI37" s="179">
        <v>55056.959999999999</v>
      </c>
      <c r="AJ37" s="179">
        <v>54509.61</v>
      </c>
      <c r="AK37" s="177">
        <f t="shared" si="70"/>
        <v>608790.67999999993</v>
      </c>
      <c r="AL37" s="97" t="s">
        <v>8</v>
      </c>
      <c r="AM37" s="97" t="s">
        <v>8</v>
      </c>
      <c r="AN37" s="180" t="str">
        <f t="shared" si="94"/>
        <v>CFG - FTS-6</v>
      </c>
      <c r="AP37" s="177"/>
      <c r="AQ37" s="175">
        <f t="shared" si="72"/>
        <v>148490.31</v>
      </c>
      <c r="AR37" s="175">
        <f t="shared" si="73"/>
        <v>136886.79</v>
      </c>
      <c r="AS37" s="175">
        <f t="shared" si="74"/>
        <v>155253.47</v>
      </c>
      <c r="AT37" s="175">
        <f t="shared" si="75"/>
        <v>168160.11</v>
      </c>
      <c r="AU37" s="181"/>
      <c r="AV37" s="175">
        <v>42195.520243485676</v>
      </c>
      <c r="AW37" s="175">
        <v>39467.539210633593</v>
      </c>
      <c r="AX37" s="175">
        <v>38177.185786895861</v>
      </c>
      <c r="AY37" s="175">
        <v>37676.245853582921</v>
      </c>
      <c r="AZ37" s="176">
        <v>37569.959590507657</v>
      </c>
      <c r="BA37" s="175">
        <v>36180.480897758927</v>
      </c>
      <c r="BB37" s="175">
        <v>36054.085078649048</v>
      </c>
      <c r="BC37" s="175">
        <v>37955.058696048749</v>
      </c>
      <c r="BD37" s="175">
        <v>38778.345935437275</v>
      </c>
      <c r="BE37" s="175">
        <v>37955.887349163277</v>
      </c>
      <c r="BF37" s="175">
        <v>38072.911893775105</v>
      </c>
      <c r="BG37" s="175">
        <v>40687.237038164218</v>
      </c>
      <c r="BH37" s="177">
        <f ca="1">SUM(AV37:OFFSET(AV37,0,$F$2-1))</f>
        <v>460770.45757410227</v>
      </c>
      <c r="BI37" s="175">
        <f t="shared" si="76"/>
        <v>119840.24524101513</v>
      </c>
      <c r="BJ37" s="175">
        <f t="shared" si="77"/>
        <v>111426.6863418495</v>
      </c>
      <c r="BK37" s="175">
        <f t="shared" si="78"/>
        <v>112787.48971013507</v>
      </c>
      <c r="BL37" s="175">
        <f t="shared" si="79"/>
        <v>116716.0362811026</v>
      </c>
      <c r="BM37" s="178"/>
      <c r="BN37" s="178"/>
      <c r="BO37" s="178"/>
      <c r="BP37" s="178">
        <v>39385.313658149142</v>
      </c>
      <c r="BQ37" s="178">
        <v>40120.008080590749</v>
      </c>
      <c r="BR37" s="178">
        <v>38983.446131802804</v>
      </c>
      <c r="BS37" s="178">
        <v>37220.381585891271</v>
      </c>
      <c r="BT37" s="178">
        <v>36895.574908044728</v>
      </c>
      <c r="BU37" s="178">
        <v>37521.773078344166</v>
      </c>
      <c r="BV37" s="178">
        <v>42206.756576100641</v>
      </c>
      <c r="BW37" s="178">
        <v>40735.95726303196</v>
      </c>
      <c r="BX37" s="178">
        <v>40820.167505628822</v>
      </c>
      <c r="BY37" s="178">
        <v>45610.873814582577</v>
      </c>
      <c r="BZ37" s="177">
        <f ca="1">SUM(BN37:OFFSET(BN37,0,$F$2-1))</f>
        <v>399500.2526021669</v>
      </c>
      <c r="CA37" s="175">
        <f t="shared" si="80"/>
        <v>39385.313658149142</v>
      </c>
      <c r="CB37" s="175">
        <f t="shared" si="81"/>
        <v>116323.83579828482</v>
      </c>
      <c r="CC37" s="175">
        <f t="shared" si="82"/>
        <v>116624.10456248953</v>
      </c>
      <c r="CD37" s="175">
        <f t="shared" si="83"/>
        <v>127166.99858324336</v>
      </c>
      <c r="CE37" s="178"/>
      <c r="CF37" s="97" t="s">
        <v>551</v>
      </c>
      <c r="CH37" s="178"/>
      <c r="CI37" s="178"/>
      <c r="CJ37" s="178">
        <f t="shared" si="84"/>
        <v>7799.2063418508551</v>
      </c>
      <c r="CK37" s="178">
        <f t="shared" si="85"/>
        <v>10630.261919409248</v>
      </c>
      <c r="CL37" s="178">
        <f t="shared" si="86"/>
        <v>2869.1938681971951</v>
      </c>
      <c r="CM37" s="178">
        <f t="shared" si="87"/>
        <v>7063.4984141087261</v>
      </c>
      <c r="CN37" s="178">
        <f t="shared" si="88"/>
        <v>9062.23509195527</v>
      </c>
      <c r="CO37" s="178">
        <f t="shared" si="89"/>
        <v>12698.506921655833</v>
      </c>
      <c r="CP37" s="178">
        <f t="shared" si="90"/>
        <v>16868.623423899357</v>
      </c>
      <c r="CQ37" s="178">
        <f t="shared" si="91"/>
        <v>17857.582736968041</v>
      </c>
      <c r="CR37" s="178"/>
      <c r="CS37" s="178"/>
      <c r="CU37" s="178">
        <f t="shared" si="92"/>
        <v>522104.70473162417</v>
      </c>
      <c r="CV37" s="178" t="e">
        <v>#VALUE!</v>
      </c>
      <c r="CW37" s="178">
        <f t="shared" si="93"/>
        <v>460770.45757410227</v>
      </c>
    </row>
    <row r="38" spans="2:101" outlineLevel="1">
      <c r="B38" s="97" t="s">
        <v>552</v>
      </c>
      <c r="C38" s="97" t="s">
        <v>542</v>
      </c>
      <c r="D38" s="97" t="s">
        <v>8</v>
      </c>
      <c r="E38" s="97" t="s">
        <v>136</v>
      </c>
      <c r="F38" s="329" t="s">
        <v>113</v>
      </c>
      <c r="G38" s="175">
        <v>60088.97</v>
      </c>
      <c r="H38" s="175">
        <v>55518.05</v>
      </c>
      <c r="I38" s="175">
        <v>59929.279999999999</v>
      </c>
      <c r="J38" s="175">
        <v>48969.32</v>
      </c>
      <c r="K38" s="176">
        <v>58760.82</v>
      </c>
      <c r="L38" s="175">
        <v>55533.94</v>
      </c>
      <c r="M38" s="175">
        <v>52570.98</v>
      </c>
      <c r="N38" s="175">
        <v>52556.160000000003</v>
      </c>
      <c r="O38" s="175">
        <v>54003.14</v>
      </c>
      <c r="P38" s="175">
        <v>56926.16</v>
      </c>
      <c r="Q38" s="175">
        <v>58581.69</v>
      </c>
      <c r="R38" s="175">
        <v>63934.26</v>
      </c>
      <c r="S38" s="177">
        <f ca="1">SUM(G38:OFFSET(G38,0,$F$2-1))</f>
        <v>677372.77</v>
      </c>
      <c r="T38" s="175">
        <f t="shared" si="66"/>
        <v>175536.3</v>
      </c>
      <c r="U38" s="175">
        <f t="shared" si="67"/>
        <v>163264.08000000002</v>
      </c>
      <c r="V38" s="175">
        <f t="shared" si="68"/>
        <v>159130.28000000003</v>
      </c>
      <c r="W38" s="175">
        <f t="shared" si="69"/>
        <v>179442.11000000002</v>
      </c>
      <c r="X38" s="178"/>
      <c r="Y38" s="179">
        <v>66240.58</v>
      </c>
      <c r="Z38" s="179">
        <v>62203.82</v>
      </c>
      <c r="AA38" s="179">
        <v>64916.480000000003</v>
      </c>
      <c r="AB38" s="179">
        <v>60242.97</v>
      </c>
      <c r="AC38" s="179">
        <v>57647.59</v>
      </c>
      <c r="AD38" s="179">
        <v>59904.46</v>
      </c>
      <c r="AE38" s="179">
        <v>59219.81</v>
      </c>
      <c r="AF38" s="179">
        <v>62345.19</v>
      </c>
      <c r="AG38" s="179">
        <v>60480.97</v>
      </c>
      <c r="AH38" s="179">
        <v>60521.07</v>
      </c>
      <c r="AI38" s="179">
        <v>68726.05</v>
      </c>
      <c r="AJ38" s="179">
        <v>64377.13</v>
      </c>
      <c r="AK38" s="177">
        <f t="shared" si="70"/>
        <v>746826.12</v>
      </c>
      <c r="AL38" s="97" t="s">
        <v>8</v>
      </c>
      <c r="AM38" s="97" t="s">
        <v>8</v>
      </c>
      <c r="AN38" s="180" t="str">
        <f t="shared" si="94"/>
        <v>CFG - FTS-7</v>
      </c>
      <c r="AP38" s="177"/>
      <c r="AQ38" s="175">
        <f t="shared" si="72"/>
        <v>193360.88</v>
      </c>
      <c r="AR38" s="175">
        <f t="shared" si="73"/>
        <v>177795.02</v>
      </c>
      <c r="AS38" s="175">
        <f t="shared" si="74"/>
        <v>182045.97</v>
      </c>
      <c r="AT38" s="175">
        <f t="shared" si="75"/>
        <v>193624.25</v>
      </c>
      <c r="AU38" s="181"/>
      <c r="AV38" s="175">
        <v>66424.512150365932</v>
      </c>
      <c r="AW38" s="175">
        <v>58635.262119028419</v>
      </c>
      <c r="AX38" s="175">
        <v>60560.506625783637</v>
      </c>
      <c r="AY38" s="175">
        <v>53489.821422504545</v>
      </c>
      <c r="AZ38" s="176">
        <v>56137.988064021825</v>
      </c>
      <c r="BA38" s="175">
        <v>54104.843334597943</v>
      </c>
      <c r="BB38" s="175">
        <v>55706.403077805335</v>
      </c>
      <c r="BC38" s="175">
        <v>56576.662581194578</v>
      </c>
      <c r="BD38" s="175">
        <v>51760.794415160075</v>
      </c>
      <c r="BE38" s="175">
        <v>57813.035375209496</v>
      </c>
      <c r="BF38" s="175">
        <v>57837.661185519763</v>
      </c>
      <c r="BG38" s="175">
        <v>59599.798495718132</v>
      </c>
      <c r="BH38" s="177">
        <f ca="1">SUM(AV38:OFFSET(AV38,0,$F$2-1))</f>
        <v>688647.28884690977</v>
      </c>
      <c r="BI38" s="175">
        <f t="shared" si="76"/>
        <v>185620.28089517797</v>
      </c>
      <c r="BJ38" s="175">
        <f t="shared" si="77"/>
        <v>163732.6528211243</v>
      </c>
      <c r="BK38" s="175">
        <f t="shared" si="78"/>
        <v>164043.86007415998</v>
      </c>
      <c r="BL38" s="175">
        <f t="shared" si="79"/>
        <v>175250.4950564474</v>
      </c>
      <c r="BM38" s="178"/>
      <c r="BN38" s="178"/>
      <c r="BO38" s="178"/>
      <c r="BP38" s="178">
        <v>63670.726316904904</v>
      </c>
      <c r="BQ38" s="178">
        <v>58054.735760646588</v>
      </c>
      <c r="BR38" s="178">
        <v>61249.969397138637</v>
      </c>
      <c r="BS38" s="178">
        <v>55051.242598574128</v>
      </c>
      <c r="BT38" s="178">
        <v>57850.278829654999</v>
      </c>
      <c r="BU38" s="178">
        <v>58365.917523593998</v>
      </c>
      <c r="BV38" s="178">
        <v>53229.030207320473</v>
      </c>
      <c r="BW38" s="178">
        <v>58794.176189022997</v>
      </c>
      <c r="BX38" s="178">
        <v>58591.313419380844</v>
      </c>
      <c r="BY38" s="178">
        <v>60901.099569714381</v>
      </c>
      <c r="BZ38" s="177">
        <f ca="1">SUM(BN38:OFFSET(BN38,0,$F$2-1))</f>
        <v>585758.48981195199</v>
      </c>
      <c r="CA38" s="175">
        <f t="shared" si="80"/>
        <v>63670.726316904904</v>
      </c>
      <c r="CB38" s="175">
        <f t="shared" si="81"/>
        <v>174355.94775635935</v>
      </c>
      <c r="CC38" s="175">
        <f t="shared" si="82"/>
        <v>169445.22656056946</v>
      </c>
      <c r="CD38" s="175">
        <f t="shared" si="83"/>
        <v>178286.58917811821</v>
      </c>
      <c r="CE38" s="178"/>
      <c r="CF38" s="97" t="s">
        <v>552</v>
      </c>
      <c r="CH38" s="178"/>
      <c r="CI38" s="178"/>
      <c r="CJ38" s="178">
        <f t="shared" si="84"/>
        <v>1245.7536830950994</v>
      </c>
      <c r="CK38" s="178">
        <f t="shared" si="85"/>
        <v>2188.2342393534127</v>
      </c>
      <c r="CL38" s="178">
        <f t="shared" si="86"/>
        <v>-3602.3793971386403</v>
      </c>
      <c r="CM38" s="178">
        <f t="shared" si="87"/>
        <v>4853.2174014258708</v>
      </c>
      <c r="CN38" s="178">
        <f t="shared" si="88"/>
        <v>1369.5311703449988</v>
      </c>
      <c r="CO38" s="178">
        <f t="shared" si="89"/>
        <v>3979.272476406004</v>
      </c>
      <c r="CP38" s="178">
        <f t="shared" si="90"/>
        <v>7251.9397926795282</v>
      </c>
      <c r="CQ38" s="178">
        <f t="shared" si="91"/>
        <v>1726.8938109770024</v>
      </c>
      <c r="CR38" s="178"/>
      <c r="CS38" s="178"/>
      <c r="CU38" s="178">
        <f t="shared" si="92"/>
        <v>714034.49833726184</v>
      </c>
      <c r="CV38" s="178" t="e">
        <v>#VALUE!</v>
      </c>
      <c r="CW38" s="178">
        <f t="shared" si="93"/>
        <v>688647.28884690977</v>
      </c>
    </row>
    <row r="39" spans="2:101" outlineLevel="1">
      <c r="B39" s="97" t="s">
        <v>553</v>
      </c>
      <c r="C39" s="97" t="s">
        <v>542</v>
      </c>
      <c r="D39" s="97" t="s">
        <v>8</v>
      </c>
      <c r="E39" s="97" t="s">
        <v>136</v>
      </c>
      <c r="F39" s="329" t="s">
        <v>114</v>
      </c>
      <c r="G39" s="175">
        <v>89365.16</v>
      </c>
      <c r="H39" s="175">
        <v>71328.34</v>
      </c>
      <c r="I39" s="175">
        <v>74887.05</v>
      </c>
      <c r="J39" s="175">
        <v>58846.57</v>
      </c>
      <c r="K39" s="176">
        <v>60247.88</v>
      </c>
      <c r="L39" s="175">
        <v>61850.58</v>
      </c>
      <c r="M39" s="175">
        <v>65497.63</v>
      </c>
      <c r="N39" s="175">
        <v>65183.19</v>
      </c>
      <c r="O39" s="175">
        <v>64369.19</v>
      </c>
      <c r="P39" s="175">
        <v>68033.899999999994</v>
      </c>
      <c r="Q39" s="175">
        <v>68864.5</v>
      </c>
      <c r="R39" s="175">
        <v>74086.880000000005</v>
      </c>
      <c r="S39" s="177">
        <f ca="1">SUM(G39:OFFSET(G39,0,$F$2-1))</f>
        <v>822560.87000000011</v>
      </c>
      <c r="T39" s="175">
        <f t="shared" si="66"/>
        <v>235580.55</v>
      </c>
      <c r="U39" s="175">
        <f t="shared" si="67"/>
        <v>180945.03</v>
      </c>
      <c r="V39" s="175">
        <f t="shared" si="68"/>
        <v>195050.01</v>
      </c>
      <c r="W39" s="175">
        <f t="shared" si="69"/>
        <v>210985.28</v>
      </c>
      <c r="X39" s="178"/>
      <c r="Y39" s="179">
        <v>73808.81</v>
      </c>
      <c r="Z39" s="179">
        <v>69900.11</v>
      </c>
      <c r="AA39" s="179">
        <v>72589.490000000005</v>
      </c>
      <c r="AB39" s="179">
        <v>67356.02</v>
      </c>
      <c r="AC39" s="179">
        <v>67111.92</v>
      </c>
      <c r="AD39" s="179">
        <v>63207.41</v>
      </c>
      <c r="AE39" s="179">
        <v>59090.720000000001</v>
      </c>
      <c r="AF39" s="179">
        <v>56943.86</v>
      </c>
      <c r="AG39" s="179">
        <v>55584.93</v>
      </c>
      <c r="AH39" s="179">
        <v>65971.95</v>
      </c>
      <c r="AI39" s="179">
        <v>75312.91</v>
      </c>
      <c r="AJ39" s="179">
        <v>67136.460000000006</v>
      </c>
      <c r="AK39" s="177">
        <f t="shared" si="70"/>
        <v>794014.59</v>
      </c>
      <c r="AL39" s="97" t="s">
        <v>8</v>
      </c>
      <c r="AM39" s="97" t="s">
        <v>8</v>
      </c>
      <c r="AN39" s="180" t="str">
        <f t="shared" si="94"/>
        <v>CFG - FTS-8</v>
      </c>
      <c r="AP39" s="177"/>
      <c r="AQ39" s="175">
        <f t="shared" si="72"/>
        <v>216298.40999999997</v>
      </c>
      <c r="AR39" s="175">
        <f t="shared" si="73"/>
        <v>197675.35</v>
      </c>
      <c r="AS39" s="175">
        <f t="shared" si="74"/>
        <v>171619.51</v>
      </c>
      <c r="AT39" s="175">
        <f t="shared" si="75"/>
        <v>208421.32</v>
      </c>
      <c r="AU39" s="181"/>
      <c r="AV39" s="175">
        <v>78537.838076963017</v>
      </c>
      <c r="AW39" s="175">
        <v>71766.988152224556</v>
      </c>
      <c r="AX39" s="175">
        <v>74200.27003892776</v>
      </c>
      <c r="AY39" s="175">
        <v>63937.652964859204</v>
      </c>
      <c r="AZ39" s="176">
        <v>63729.862359436811</v>
      </c>
      <c r="BA39" s="175">
        <v>63856.309503595206</v>
      </c>
      <c r="BB39" s="175">
        <v>63342.746741993768</v>
      </c>
      <c r="BC39" s="175">
        <v>64266.39472252821</v>
      </c>
      <c r="BD39" s="175">
        <v>61125.861708882898</v>
      </c>
      <c r="BE39" s="175">
        <v>68965.840796302597</v>
      </c>
      <c r="BF39" s="175">
        <v>68223.513268219016</v>
      </c>
      <c r="BG39" s="175">
        <v>72323.708994570305</v>
      </c>
      <c r="BH39" s="177">
        <f ca="1">SUM(AV39:OFFSET(AV39,0,$F$2-1))</f>
        <v>814276.9873285034</v>
      </c>
      <c r="BI39" s="175">
        <f t="shared" si="76"/>
        <v>224505.09626811533</v>
      </c>
      <c r="BJ39" s="175">
        <f t="shared" si="77"/>
        <v>191523.82482789122</v>
      </c>
      <c r="BK39" s="175">
        <f t="shared" si="78"/>
        <v>188735.00317340487</v>
      </c>
      <c r="BL39" s="175">
        <f t="shared" si="79"/>
        <v>209513.06305909192</v>
      </c>
      <c r="BM39" s="178"/>
      <c r="BN39" s="178"/>
      <c r="BO39" s="178"/>
      <c r="BP39" s="178">
        <v>70076.482081253678</v>
      </c>
      <c r="BQ39" s="178">
        <v>61149.845388774083</v>
      </c>
      <c r="BR39" s="178">
        <v>60161.367540479529</v>
      </c>
      <c r="BS39" s="178">
        <v>59040.044317630309</v>
      </c>
      <c r="BT39" s="178">
        <v>61731.184980105769</v>
      </c>
      <c r="BU39" s="178">
        <v>59355.868725576984</v>
      </c>
      <c r="BV39" s="178">
        <v>55792.817198855992</v>
      </c>
      <c r="BW39" s="178">
        <v>63067.621076583251</v>
      </c>
      <c r="BX39" s="178">
        <v>66233.545011682349</v>
      </c>
      <c r="BY39" s="178">
        <v>65915.435957489331</v>
      </c>
      <c r="BZ39" s="177">
        <f ca="1">SUM(BN39:OFFSET(BN39,0,$F$2-1))</f>
        <v>622524.21227843117</v>
      </c>
      <c r="CA39" s="175">
        <f t="shared" si="80"/>
        <v>70076.482081253678</v>
      </c>
      <c r="CB39" s="175">
        <f t="shared" si="81"/>
        <v>180351.25724688394</v>
      </c>
      <c r="CC39" s="175">
        <f t="shared" si="82"/>
        <v>176879.87090453872</v>
      </c>
      <c r="CD39" s="175">
        <f t="shared" si="83"/>
        <v>195216.60204575493</v>
      </c>
      <c r="CE39" s="178"/>
      <c r="CF39" s="97" t="s">
        <v>553</v>
      </c>
      <c r="CH39" s="178"/>
      <c r="CI39" s="178"/>
      <c r="CJ39" s="178">
        <f t="shared" si="84"/>
        <v>2513.0079187463271</v>
      </c>
      <c r="CK39" s="178">
        <f t="shared" si="85"/>
        <v>6206.1746112259207</v>
      </c>
      <c r="CL39" s="178">
        <f t="shared" si="86"/>
        <v>6950.5524595204697</v>
      </c>
      <c r="CM39" s="178">
        <f t="shared" si="87"/>
        <v>4167.3656823696947</v>
      </c>
      <c r="CN39" s="178">
        <f t="shared" si="88"/>
        <v>-2640.4649801057676</v>
      </c>
      <c r="CO39" s="178">
        <f t="shared" si="89"/>
        <v>-2412.0087255769831</v>
      </c>
      <c r="CP39" s="178">
        <f t="shared" si="90"/>
        <v>-207.8871988559913</v>
      </c>
      <c r="CQ39" s="178">
        <f t="shared" si="91"/>
        <v>2904.328923416746</v>
      </c>
      <c r="CR39" s="178"/>
      <c r="CS39" s="178"/>
      <c r="CU39" s="178">
        <f t="shared" si="92"/>
        <v>781902.8672679239</v>
      </c>
      <c r="CV39" s="178" t="e">
        <v>#VALUE!</v>
      </c>
      <c r="CW39" s="178">
        <f t="shared" si="93"/>
        <v>814276.9873285034</v>
      </c>
    </row>
    <row r="40" spans="2:101" outlineLevel="1">
      <c r="B40" s="97" t="s">
        <v>554</v>
      </c>
      <c r="C40" s="97" t="s">
        <v>542</v>
      </c>
      <c r="D40" s="97" t="s">
        <v>8</v>
      </c>
      <c r="E40" s="97" t="s">
        <v>136</v>
      </c>
      <c r="F40" s="329" t="s">
        <v>115</v>
      </c>
      <c r="G40" s="175">
        <v>41093.67</v>
      </c>
      <c r="H40" s="175">
        <v>40447.57</v>
      </c>
      <c r="I40" s="175">
        <v>40461.599999999999</v>
      </c>
      <c r="J40" s="175">
        <v>34579.96</v>
      </c>
      <c r="K40" s="176">
        <v>35814.959999999999</v>
      </c>
      <c r="L40" s="175">
        <v>35630.239999999998</v>
      </c>
      <c r="M40" s="175">
        <v>37661.01</v>
      </c>
      <c r="N40" s="175">
        <v>36380.74</v>
      </c>
      <c r="O40" s="175">
        <v>36205.379999999997</v>
      </c>
      <c r="P40" s="175">
        <v>36583.949999999997</v>
      </c>
      <c r="Q40" s="175">
        <v>37301.19</v>
      </c>
      <c r="R40" s="175">
        <v>39983.47</v>
      </c>
      <c r="S40" s="177">
        <f ca="1">SUM(G40:OFFSET(G40,0,$F$2-1))</f>
        <v>452143.74</v>
      </c>
      <c r="T40" s="175">
        <f t="shared" si="66"/>
        <v>122002.84</v>
      </c>
      <c r="U40" s="175">
        <f t="shared" si="67"/>
        <v>106025.16</v>
      </c>
      <c r="V40" s="175">
        <f t="shared" si="68"/>
        <v>110247.13</v>
      </c>
      <c r="W40" s="175">
        <f t="shared" si="69"/>
        <v>113868.61</v>
      </c>
      <c r="X40" s="178"/>
      <c r="Y40" s="179">
        <v>40390.76</v>
      </c>
      <c r="Z40" s="179">
        <v>38305.35</v>
      </c>
      <c r="AA40" s="179">
        <v>41423.46</v>
      </c>
      <c r="AB40" s="179">
        <v>39053.449999999997</v>
      </c>
      <c r="AC40" s="179">
        <v>38978.94</v>
      </c>
      <c r="AD40" s="179">
        <v>45647.9</v>
      </c>
      <c r="AE40" s="179">
        <v>45452.19</v>
      </c>
      <c r="AF40" s="179">
        <v>43647.71</v>
      </c>
      <c r="AG40" s="179">
        <v>40972.050000000003</v>
      </c>
      <c r="AH40" s="179">
        <v>43764.59</v>
      </c>
      <c r="AI40" s="179">
        <v>45902.84</v>
      </c>
      <c r="AJ40" s="179">
        <v>46485.27</v>
      </c>
      <c r="AK40" s="177">
        <f t="shared" si="70"/>
        <v>510024.51</v>
      </c>
      <c r="AL40" s="97" t="s">
        <v>8</v>
      </c>
      <c r="AM40" s="97" t="s">
        <v>8</v>
      </c>
      <c r="AN40" s="180" t="str">
        <f t="shared" si="94"/>
        <v>CFG - FTS-9</v>
      </c>
      <c r="AP40" s="177"/>
      <c r="AQ40" s="175">
        <f t="shared" si="72"/>
        <v>120119.57</v>
      </c>
      <c r="AR40" s="175">
        <f t="shared" si="73"/>
        <v>123680.29000000001</v>
      </c>
      <c r="AS40" s="175">
        <f t="shared" si="74"/>
        <v>130071.95</v>
      </c>
      <c r="AT40" s="175">
        <f t="shared" si="75"/>
        <v>136152.69999999998</v>
      </c>
      <c r="AU40" s="181"/>
      <c r="AV40" s="175">
        <v>40897.098649251304</v>
      </c>
      <c r="AW40" s="175">
        <v>38675.858565626404</v>
      </c>
      <c r="AX40" s="175">
        <v>38650.787129415359</v>
      </c>
      <c r="AY40" s="175">
        <v>36470.55056622735</v>
      </c>
      <c r="AZ40" s="176">
        <v>36670.009460025714</v>
      </c>
      <c r="BA40" s="175">
        <v>35919.405362314239</v>
      </c>
      <c r="BB40" s="389">
        <v>52846.448229334477</v>
      </c>
      <c r="BC40" s="389">
        <v>54611.689809056043</v>
      </c>
      <c r="BD40" s="389">
        <v>53105.156595509412</v>
      </c>
      <c r="BE40" s="389">
        <v>55724.303756436275</v>
      </c>
      <c r="BF40" s="389">
        <v>54111.776858331214</v>
      </c>
      <c r="BG40" s="389">
        <v>55294.845195801041</v>
      </c>
      <c r="BH40" s="177">
        <f ca="1">SUM(AV40:OFFSET(AV40,0,$F$2-1))</f>
        <v>552977.93017732888</v>
      </c>
      <c r="BI40" s="175">
        <f t="shared" si="76"/>
        <v>118223.74434429307</v>
      </c>
      <c r="BJ40" s="175">
        <f t="shared" si="77"/>
        <v>109059.9653885673</v>
      </c>
      <c r="BK40" s="175">
        <f t="shared" si="78"/>
        <v>160563.29463389993</v>
      </c>
      <c r="BL40" s="175">
        <f t="shared" si="79"/>
        <v>165130.92581056853</v>
      </c>
      <c r="BM40" s="178"/>
      <c r="BN40" s="178"/>
      <c r="BO40" s="178"/>
      <c r="BP40" s="178">
        <v>37753.541596767558</v>
      </c>
      <c r="BQ40" s="178">
        <v>37408.774052786517</v>
      </c>
      <c r="BR40" s="178">
        <v>37094.711413071287</v>
      </c>
      <c r="BS40" s="178">
        <v>35752.901916826959</v>
      </c>
      <c r="BT40" s="178">
        <v>41988.760413618409</v>
      </c>
      <c r="BU40" s="178">
        <v>44190.191455811291</v>
      </c>
      <c r="BV40" s="178">
        <v>47853.251464712339</v>
      </c>
      <c r="BW40" s="178">
        <v>50745.444258848147</v>
      </c>
      <c r="BX40" s="178">
        <v>48104.537054689419</v>
      </c>
      <c r="BY40" s="178">
        <v>55895.486203436682</v>
      </c>
      <c r="BZ40" s="177">
        <f ca="1">SUM(BN40:OFFSET(BN40,0,$F$2-1))</f>
        <v>436787.59983056859</v>
      </c>
      <c r="CA40" s="175">
        <f t="shared" si="80"/>
        <v>37753.541596767558</v>
      </c>
      <c r="CB40" s="175">
        <f t="shared" si="81"/>
        <v>110256.38738268477</v>
      </c>
      <c r="CC40" s="175">
        <f t="shared" si="82"/>
        <v>134032.20333414205</v>
      </c>
      <c r="CD40" s="175">
        <f t="shared" si="83"/>
        <v>154745.46751697425</v>
      </c>
      <c r="CE40" s="178"/>
      <c r="CF40" s="97" t="s">
        <v>554</v>
      </c>
      <c r="CH40" s="178"/>
      <c r="CI40" s="178"/>
      <c r="CJ40" s="178">
        <f t="shared" si="84"/>
        <v>3669.9184032324411</v>
      </c>
      <c r="CK40" s="178">
        <f t="shared" si="85"/>
        <v>1644.67594721348</v>
      </c>
      <c r="CL40" s="178">
        <f t="shared" si="86"/>
        <v>1884.2285869287152</v>
      </c>
      <c r="CM40" s="178">
        <f t="shared" si="87"/>
        <v>9894.9980831730427</v>
      </c>
      <c r="CN40" s="178">
        <f t="shared" si="88"/>
        <v>3463.4295863815933</v>
      </c>
      <c r="CO40" s="178">
        <f t="shared" si="89"/>
        <v>-542.48145581129211</v>
      </c>
      <c r="CP40" s="178">
        <f t="shared" si="90"/>
        <v>-6881.201464712336</v>
      </c>
      <c r="CQ40" s="178">
        <f t="shared" si="91"/>
        <v>-6980.8542588481505</v>
      </c>
      <c r="CR40" s="178"/>
      <c r="CS40" s="178"/>
      <c r="CU40" s="178">
        <f t="shared" si="92"/>
        <v>522682.53276794328</v>
      </c>
      <c r="CV40" s="178" t="e">
        <v>#VALUE!</v>
      </c>
      <c r="CW40" s="178">
        <f t="shared" si="93"/>
        <v>552977.93017732888</v>
      </c>
    </row>
    <row r="41" spans="2:101" outlineLevel="1">
      <c r="B41" s="97" t="s">
        <v>555</v>
      </c>
      <c r="C41" s="97" t="s">
        <v>542</v>
      </c>
      <c r="D41" s="97" t="s">
        <v>8</v>
      </c>
      <c r="E41" s="97" t="s">
        <v>136</v>
      </c>
      <c r="F41" s="329" t="s">
        <v>116</v>
      </c>
      <c r="G41" s="175">
        <v>27389.67</v>
      </c>
      <c r="H41" s="175">
        <v>26524.25</v>
      </c>
      <c r="I41" s="175">
        <v>28818.880000000001</v>
      </c>
      <c r="J41" s="175">
        <v>27813.95</v>
      </c>
      <c r="K41" s="176">
        <v>26534.94</v>
      </c>
      <c r="L41" s="175">
        <v>28174.89</v>
      </c>
      <c r="M41" s="175">
        <v>28275.05</v>
      </c>
      <c r="N41" s="175">
        <v>29812.59</v>
      </c>
      <c r="O41" s="175">
        <v>27793.64</v>
      </c>
      <c r="P41" s="175">
        <v>28982.78</v>
      </c>
      <c r="Q41" s="175">
        <v>30452.98</v>
      </c>
      <c r="R41" s="175">
        <v>29394.73</v>
      </c>
      <c r="S41" s="177">
        <f ca="1">SUM(G41:OFFSET(G41,0,$F$2-1))</f>
        <v>339968.35</v>
      </c>
      <c r="T41" s="175">
        <f t="shared" si="66"/>
        <v>82732.800000000003</v>
      </c>
      <c r="U41" s="175">
        <f t="shared" si="67"/>
        <v>82523.78</v>
      </c>
      <c r="V41" s="175">
        <f t="shared" si="68"/>
        <v>85881.279999999999</v>
      </c>
      <c r="W41" s="175">
        <f t="shared" si="69"/>
        <v>88830.489999999991</v>
      </c>
      <c r="X41" s="178"/>
      <c r="Y41" s="179">
        <v>40050.89</v>
      </c>
      <c r="Z41" s="179">
        <v>32765.32</v>
      </c>
      <c r="AA41" s="179">
        <v>33942.15</v>
      </c>
      <c r="AB41" s="179">
        <v>34894.410000000003</v>
      </c>
      <c r="AC41" s="179">
        <v>33675.06</v>
      </c>
      <c r="AD41" s="179">
        <v>33204.29</v>
      </c>
      <c r="AE41" s="179">
        <v>32852.559999999998</v>
      </c>
      <c r="AF41" s="179">
        <v>31046.35</v>
      </c>
      <c r="AG41" s="179">
        <v>33852.53</v>
      </c>
      <c r="AH41" s="179">
        <v>36165.08</v>
      </c>
      <c r="AI41" s="179">
        <v>33578.33</v>
      </c>
      <c r="AJ41" s="179">
        <v>33990.370000000003</v>
      </c>
      <c r="AK41" s="177">
        <f t="shared" si="70"/>
        <v>410017.33999999997</v>
      </c>
      <c r="AL41" s="97" t="s">
        <v>8</v>
      </c>
      <c r="AM41" s="97" t="s">
        <v>8</v>
      </c>
      <c r="AN41" s="180" t="str">
        <f t="shared" si="94"/>
        <v>CFG - FTS-10</v>
      </c>
      <c r="AP41" s="177"/>
      <c r="AQ41" s="175">
        <f t="shared" si="72"/>
        <v>106758.35999999999</v>
      </c>
      <c r="AR41" s="175">
        <f t="shared" si="73"/>
        <v>101773.76000000001</v>
      </c>
      <c r="AS41" s="175">
        <f t="shared" si="74"/>
        <v>97751.44</v>
      </c>
      <c r="AT41" s="175">
        <f t="shared" si="75"/>
        <v>103733.78</v>
      </c>
      <c r="AU41" s="181"/>
      <c r="AV41" s="175">
        <v>27825.525993356547</v>
      </c>
      <c r="AW41" s="175">
        <v>25610.339191258801</v>
      </c>
      <c r="AX41" s="175">
        <v>27287.599985520454</v>
      </c>
      <c r="AY41" s="175">
        <v>27040.0163385702</v>
      </c>
      <c r="AZ41" s="176">
        <v>26252.272762401302</v>
      </c>
      <c r="BA41" s="175">
        <v>25609.064713121399</v>
      </c>
      <c r="BB41" s="175">
        <v>22633.703311719401</v>
      </c>
      <c r="BC41" s="175">
        <v>24466.5401007533</v>
      </c>
      <c r="BD41" s="175">
        <v>24886.790442826554</v>
      </c>
      <c r="BE41" s="175">
        <v>26940.616878640307</v>
      </c>
      <c r="BF41" s="175">
        <v>25936.523101707953</v>
      </c>
      <c r="BG41" s="175">
        <v>25405.281118636805</v>
      </c>
      <c r="BH41" s="177">
        <f ca="1">SUM(AV41:OFFSET(AV41,0,$F$2-1))</f>
        <v>309894.27393851301</v>
      </c>
      <c r="BI41" s="175">
        <f t="shared" si="76"/>
        <v>80723.465170135809</v>
      </c>
      <c r="BJ41" s="175">
        <f t="shared" si="77"/>
        <v>78901.353814092901</v>
      </c>
      <c r="BK41" s="175">
        <f t="shared" si="78"/>
        <v>71987.033855299262</v>
      </c>
      <c r="BL41" s="175">
        <f t="shared" si="79"/>
        <v>78282.421098985069</v>
      </c>
      <c r="BM41" s="178"/>
      <c r="BN41" s="178"/>
      <c r="BO41" s="178"/>
      <c r="BP41" s="178">
        <v>26528.739595821273</v>
      </c>
      <c r="BQ41" s="178">
        <v>26656.721306505002</v>
      </c>
      <c r="BR41" s="178">
        <v>26112.579849427319</v>
      </c>
      <c r="BS41" s="178">
        <v>24139.190483949402</v>
      </c>
      <c r="BT41" s="178">
        <v>22467.1405001639</v>
      </c>
      <c r="BU41" s="178">
        <v>24662.237277507702</v>
      </c>
      <c r="BV41" s="178">
        <v>24546.8351729723</v>
      </c>
      <c r="BW41" s="178">
        <v>26119.965380915502</v>
      </c>
      <c r="BX41" s="178">
        <v>25471.493113153003</v>
      </c>
      <c r="BY41" s="178">
        <v>24946.783951074602</v>
      </c>
      <c r="BZ41" s="177">
        <f ca="1">SUM(BN41:OFFSET(BN41,0,$F$2-1))</f>
        <v>251651.68663148998</v>
      </c>
      <c r="CA41" s="175">
        <f t="shared" si="80"/>
        <v>26528.739595821273</v>
      </c>
      <c r="CB41" s="175">
        <f t="shared" si="81"/>
        <v>76908.491639881715</v>
      </c>
      <c r="CC41" s="175">
        <f t="shared" si="82"/>
        <v>71676.212950643909</v>
      </c>
      <c r="CD41" s="175">
        <f t="shared" si="83"/>
        <v>76538.2424451431</v>
      </c>
      <c r="CE41" s="178"/>
      <c r="CF41" s="97" t="s">
        <v>555</v>
      </c>
      <c r="CH41" s="178"/>
      <c r="CI41" s="178"/>
      <c r="CJ41" s="178">
        <f t="shared" si="84"/>
        <v>7413.4104041787286</v>
      </c>
      <c r="CK41" s="178">
        <f t="shared" si="85"/>
        <v>8237.6886934950016</v>
      </c>
      <c r="CL41" s="178">
        <f t="shared" si="86"/>
        <v>7562.4801505726791</v>
      </c>
      <c r="CM41" s="178">
        <f t="shared" si="87"/>
        <v>9065.099516050599</v>
      </c>
      <c r="CN41" s="178">
        <f t="shared" si="88"/>
        <v>10385.419499836098</v>
      </c>
      <c r="CO41" s="178">
        <f t="shared" si="89"/>
        <v>6384.1127224922966</v>
      </c>
      <c r="CP41" s="178">
        <f t="shared" si="90"/>
        <v>9305.6948270276989</v>
      </c>
      <c r="CQ41" s="178">
        <f t="shared" si="91"/>
        <v>10045.114619084499</v>
      </c>
      <c r="CR41" s="178"/>
      <c r="CS41" s="178"/>
      <c r="CU41" s="178">
        <f t="shared" si="92"/>
        <v>347681.47587973636</v>
      </c>
      <c r="CV41" s="178" t="e">
        <v>#VALUE!</v>
      </c>
      <c r="CW41" s="178">
        <f t="shared" si="93"/>
        <v>309894.27393851301</v>
      </c>
    </row>
    <row r="42" spans="2:101" outlineLevel="1">
      <c r="B42" s="97" t="s">
        <v>556</v>
      </c>
      <c r="C42" s="97" t="s">
        <v>542</v>
      </c>
      <c r="D42" s="97" t="s">
        <v>8</v>
      </c>
      <c r="E42" s="97" t="s">
        <v>136</v>
      </c>
      <c r="F42" s="329" t="s">
        <v>117</v>
      </c>
      <c r="G42" s="175">
        <v>22135.94</v>
      </c>
      <c r="H42" s="175">
        <v>20823.88</v>
      </c>
      <c r="I42" s="175">
        <v>20781.45</v>
      </c>
      <c r="J42" s="175">
        <v>19717.259999999998</v>
      </c>
      <c r="K42" s="176">
        <v>19839.689999999999</v>
      </c>
      <c r="L42" s="175">
        <v>17234.25</v>
      </c>
      <c r="M42" s="175">
        <v>16735.5</v>
      </c>
      <c r="N42" s="175">
        <v>16315.67</v>
      </c>
      <c r="O42" s="175">
        <v>16115.15</v>
      </c>
      <c r="P42" s="175">
        <v>16849</v>
      </c>
      <c r="Q42" s="175">
        <v>16088.1</v>
      </c>
      <c r="R42" s="175">
        <v>13401.64</v>
      </c>
      <c r="S42" s="375">
        <f ca="1">SUM(G42:OFFSET(G42,0,$F$2-1))</f>
        <v>216037.53000000003</v>
      </c>
      <c r="T42" s="175">
        <f t="shared" si="66"/>
        <v>63741.270000000004</v>
      </c>
      <c r="U42" s="175">
        <f t="shared" si="67"/>
        <v>56791.199999999997</v>
      </c>
      <c r="V42" s="175">
        <f t="shared" si="68"/>
        <v>49166.32</v>
      </c>
      <c r="W42" s="175">
        <f t="shared" si="69"/>
        <v>46338.74</v>
      </c>
      <c r="X42" s="178"/>
      <c r="Y42" s="179">
        <v>15742.73</v>
      </c>
      <c r="Z42" s="179">
        <v>15855.9</v>
      </c>
      <c r="AA42" s="179">
        <v>17207.73</v>
      </c>
      <c r="AB42" s="179">
        <v>17325.689999999999</v>
      </c>
      <c r="AC42" s="179">
        <v>9437.33</v>
      </c>
      <c r="AD42" s="179">
        <v>5500</v>
      </c>
      <c r="AE42" s="179">
        <v>13932.7</v>
      </c>
      <c r="AF42" s="179">
        <v>13996.78</v>
      </c>
      <c r="AG42" s="179">
        <v>7159.14</v>
      </c>
      <c r="AH42" s="179">
        <v>10393.15</v>
      </c>
      <c r="AI42" s="179">
        <v>11257.77</v>
      </c>
      <c r="AJ42" s="179">
        <v>13816.22</v>
      </c>
      <c r="AK42" s="177">
        <f t="shared" si="70"/>
        <v>151625.13999999998</v>
      </c>
      <c r="AL42" s="97" t="s">
        <v>8</v>
      </c>
      <c r="AM42" s="97" t="s">
        <v>8</v>
      </c>
      <c r="AN42" s="180" t="str">
        <f t="shared" si="94"/>
        <v>CFG - FTS-11</v>
      </c>
      <c r="AP42" s="375"/>
      <c r="AQ42" s="175">
        <f t="shared" si="72"/>
        <v>48806.36</v>
      </c>
      <c r="AR42" s="175">
        <f t="shared" si="73"/>
        <v>32263.019999999997</v>
      </c>
      <c r="AS42" s="175">
        <f t="shared" si="74"/>
        <v>35088.620000000003</v>
      </c>
      <c r="AT42" s="175">
        <f t="shared" si="75"/>
        <v>35467.14</v>
      </c>
      <c r="AU42" s="181"/>
      <c r="AV42" s="175">
        <v>19177.583730166527</v>
      </c>
      <c r="AW42" s="175">
        <v>16268.679866885201</v>
      </c>
      <c r="AX42" s="175">
        <v>16726.478763333926</v>
      </c>
      <c r="AY42" s="175">
        <v>17886.154654677703</v>
      </c>
      <c r="AZ42" s="176">
        <v>18958.742919669778</v>
      </c>
      <c r="BA42" s="175">
        <v>17994.070996988426</v>
      </c>
      <c r="BB42" s="389">
        <v>23161.280856111269</v>
      </c>
      <c r="BC42" s="389">
        <v>25732.46307189397</v>
      </c>
      <c r="BD42" s="389">
        <v>26296.553130135417</v>
      </c>
      <c r="BE42" s="389">
        <v>24442.530157018169</v>
      </c>
      <c r="BF42" s="389">
        <v>24837.260986114019</v>
      </c>
      <c r="BG42" s="389">
        <v>24477.174102365869</v>
      </c>
      <c r="BH42" s="375">
        <f ca="1">SUM(AV42:OFFSET(AV42,0,$F$2-1))</f>
        <v>255958.97323536023</v>
      </c>
      <c r="BI42" s="175">
        <f t="shared" si="76"/>
        <v>52172.742360385659</v>
      </c>
      <c r="BJ42" s="175">
        <f t="shared" si="77"/>
        <v>54838.968571335907</v>
      </c>
      <c r="BK42" s="175">
        <f t="shared" si="78"/>
        <v>75190.297058140655</v>
      </c>
      <c r="BL42" s="175">
        <f t="shared" si="79"/>
        <v>73756.965245498053</v>
      </c>
      <c r="BM42" s="178"/>
      <c r="BN42" s="178"/>
      <c r="BO42" s="178"/>
      <c r="BP42" s="178">
        <v>14715.930671707645</v>
      </c>
      <c r="BQ42" s="178">
        <v>16978.451912533899</v>
      </c>
      <c r="BR42" s="178">
        <v>18522.251386357733</v>
      </c>
      <c r="BS42" s="178">
        <v>18205.095401824372</v>
      </c>
      <c r="BT42" s="178">
        <v>35351.6582167452</v>
      </c>
      <c r="BU42" s="178">
        <v>39030.867830570001</v>
      </c>
      <c r="BV42" s="178">
        <v>19343.648449564374</v>
      </c>
      <c r="BW42" s="178">
        <v>36826.600784478149</v>
      </c>
      <c r="BX42" s="178">
        <v>38458.859224434302</v>
      </c>
      <c r="BY42" s="178">
        <v>36015.691411410698</v>
      </c>
      <c r="BZ42" s="375">
        <f ca="1">SUM(BN42:OFFSET(BN42,0,$F$2-1))</f>
        <v>273449.05528962641</v>
      </c>
      <c r="CA42" s="175">
        <f t="shared" si="80"/>
        <v>14715.930671707645</v>
      </c>
      <c r="CB42" s="175">
        <f t="shared" si="81"/>
        <v>53705.798700716005</v>
      </c>
      <c r="CC42" s="175">
        <f t="shared" si="82"/>
        <v>93726.174496879568</v>
      </c>
      <c r="CD42" s="175">
        <f t="shared" si="83"/>
        <v>111301.15142032315</v>
      </c>
      <c r="CE42" s="178"/>
      <c r="CF42" s="97" t="s">
        <v>556</v>
      </c>
      <c r="CH42" s="178"/>
      <c r="CI42" s="178"/>
      <c r="CJ42" s="178">
        <f t="shared" si="84"/>
        <v>2491.7993282923544</v>
      </c>
      <c r="CK42" s="178">
        <f t="shared" si="85"/>
        <v>347.23808746609939</v>
      </c>
      <c r="CL42" s="178">
        <f t="shared" si="86"/>
        <v>-9084.9213863577334</v>
      </c>
      <c r="CM42" s="178">
        <f t="shared" si="87"/>
        <v>-12705.095401824372</v>
      </c>
      <c r="CN42" s="178">
        <f t="shared" si="88"/>
        <v>-21418.958216745199</v>
      </c>
      <c r="CO42" s="178">
        <f t="shared" si="89"/>
        <v>-25034.087830570003</v>
      </c>
      <c r="CP42" s="178">
        <f t="shared" si="90"/>
        <v>-12184.508449564375</v>
      </c>
      <c r="CQ42" s="178">
        <f t="shared" si="91"/>
        <v>-26433.450784478147</v>
      </c>
      <c r="CR42" s="178"/>
      <c r="CS42" s="178"/>
      <c r="CU42" s="178">
        <f t="shared" si="92"/>
        <v>298801.80131902709</v>
      </c>
      <c r="CV42" s="178" t="e">
        <v>#VALUE!</v>
      </c>
      <c r="CW42" s="178">
        <f t="shared" si="93"/>
        <v>255958.97323536023</v>
      </c>
    </row>
    <row r="43" spans="2:101" ht="9.9499999999999993" customHeight="1" outlineLevel="1">
      <c r="B43" s="97" t="s">
        <v>557</v>
      </c>
      <c r="C43" s="97" t="s">
        <v>542</v>
      </c>
      <c r="D43" s="97" t="s">
        <v>8</v>
      </c>
      <c r="E43" s="97" t="s">
        <v>136</v>
      </c>
      <c r="F43" s="329" t="s">
        <v>118</v>
      </c>
      <c r="G43" s="175">
        <v>114289.88</v>
      </c>
      <c r="H43" s="175">
        <v>127202.17</v>
      </c>
      <c r="I43" s="175">
        <v>132316.41</v>
      </c>
      <c r="J43" s="175">
        <v>122386.31</v>
      </c>
      <c r="K43" s="175">
        <v>129547.15</v>
      </c>
      <c r="L43" s="175">
        <v>117084</v>
      </c>
      <c r="M43" s="175">
        <v>108464.67</v>
      </c>
      <c r="N43" s="175">
        <v>136238.85</v>
      </c>
      <c r="O43" s="175">
        <v>128432.23</v>
      </c>
      <c r="P43" s="175">
        <v>137341.09</v>
      </c>
      <c r="Q43" s="175">
        <v>118376.67</v>
      </c>
      <c r="R43" s="175">
        <v>141880.01</v>
      </c>
      <c r="S43" s="375">
        <f ca="1">SUM(G43:OFFSET(G43,0,$F$2-1))</f>
        <v>1513559.44</v>
      </c>
      <c r="T43" s="175">
        <f t="shared" si="66"/>
        <v>373808.45999999996</v>
      </c>
      <c r="U43" s="175">
        <f t="shared" si="67"/>
        <v>369017.45999999996</v>
      </c>
      <c r="V43" s="175">
        <f t="shared" si="68"/>
        <v>373135.75</v>
      </c>
      <c r="W43" s="175">
        <f t="shared" si="69"/>
        <v>397597.77</v>
      </c>
      <c r="X43" s="178"/>
      <c r="Y43" s="179">
        <v>137058.22</v>
      </c>
      <c r="Z43" s="179">
        <v>131728.5</v>
      </c>
      <c r="AA43" s="179">
        <v>147634.54999999999</v>
      </c>
      <c r="AB43" s="179">
        <v>134597.32999999999</v>
      </c>
      <c r="AC43" s="179">
        <v>137952.56</v>
      </c>
      <c r="AD43" s="179">
        <v>108521.73</v>
      </c>
      <c r="AE43" s="179">
        <v>126832.36</v>
      </c>
      <c r="AF43" s="179">
        <v>135970.54999999999</v>
      </c>
      <c r="AG43" s="179">
        <v>120000.86</v>
      </c>
      <c r="AH43" s="179">
        <v>133150.93</v>
      </c>
      <c r="AI43" s="179">
        <v>132915.01</v>
      </c>
      <c r="AJ43" s="179">
        <v>136202.65</v>
      </c>
      <c r="AK43" s="177">
        <f t="shared" si="70"/>
        <v>1582565.2499999998</v>
      </c>
      <c r="AL43" s="97" t="s">
        <v>8</v>
      </c>
      <c r="AM43" s="97" t="s">
        <v>8</v>
      </c>
      <c r="AN43" s="180" t="str">
        <f t="shared" si="94"/>
        <v>CFG - FTS-12</v>
      </c>
      <c r="AP43" s="375"/>
      <c r="AQ43" s="175">
        <f t="shared" si="72"/>
        <v>416421.26999999996</v>
      </c>
      <c r="AR43" s="175">
        <f t="shared" si="73"/>
        <v>381071.62</v>
      </c>
      <c r="AS43" s="175">
        <f t="shared" si="74"/>
        <v>382803.76999999996</v>
      </c>
      <c r="AT43" s="175">
        <f t="shared" si="75"/>
        <v>402268.58999999997</v>
      </c>
      <c r="AU43" s="181"/>
      <c r="AV43" s="175">
        <v>140723.82553425999</v>
      </c>
      <c r="AW43" s="175">
        <v>139801.9643211815</v>
      </c>
      <c r="AX43" s="175">
        <v>149918.19317576269</v>
      </c>
      <c r="AY43" s="175">
        <v>148602.15010999475</v>
      </c>
      <c r="AZ43" s="175">
        <v>143113.35077136158</v>
      </c>
      <c r="BA43" s="175">
        <v>138941.65835405618</v>
      </c>
      <c r="BB43" s="175">
        <v>153463.60102224853</v>
      </c>
      <c r="BC43" s="175">
        <v>152718.43413203926</v>
      </c>
      <c r="BD43" s="175">
        <v>136895.16077875768</v>
      </c>
      <c r="BE43" s="175">
        <v>145296.22253535496</v>
      </c>
      <c r="BF43" s="175">
        <v>147910.14583870996</v>
      </c>
      <c r="BG43" s="175">
        <v>143353.72218187229</v>
      </c>
      <c r="BH43" s="375">
        <f ca="1">SUM(AV43:OFFSET(AV43,0,$F$2-1))</f>
        <v>1740738.4287555993</v>
      </c>
      <c r="BI43" s="175">
        <f t="shared" si="76"/>
        <v>430443.9830312042</v>
      </c>
      <c r="BJ43" s="175">
        <f t="shared" si="77"/>
        <v>430657.15923541249</v>
      </c>
      <c r="BK43" s="175">
        <f t="shared" si="78"/>
        <v>443077.19593304547</v>
      </c>
      <c r="BL43" s="175">
        <f t="shared" si="79"/>
        <v>436560.0905559372</v>
      </c>
      <c r="BM43" s="178"/>
      <c r="BN43" s="178"/>
      <c r="BO43" s="178"/>
      <c r="BP43" s="178">
        <v>158649.80993616363</v>
      </c>
      <c r="BQ43" s="178">
        <v>161605.44813792862</v>
      </c>
      <c r="BR43" s="178">
        <v>149843.54057899586</v>
      </c>
      <c r="BS43" s="178">
        <v>148431.14812944125</v>
      </c>
      <c r="BT43" s="178">
        <v>152216.72969007533</v>
      </c>
      <c r="BU43" s="178">
        <v>153790.47942707589</v>
      </c>
      <c r="BV43" s="178">
        <v>137202.11547543405</v>
      </c>
      <c r="BW43" s="178">
        <v>139797.86778933802</v>
      </c>
      <c r="BX43" s="178">
        <v>143191.00617969385</v>
      </c>
      <c r="BY43" s="178">
        <v>136701.22709053115</v>
      </c>
      <c r="BZ43" s="375">
        <f ca="1">SUM(BN43:OFFSET(BN43,0,$F$2-1))</f>
        <v>1481429.372434678</v>
      </c>
      <c r="CA43" s="175">
        <f t="shared" si="80"/>
        <v>158649.80993616363</v>
      </c>
      <c r="CB43" s="175">
        <f t="shared" si="81"/>
        <v>459880.1368463657</v>
      </c>
      <c r="CC43" s="175">
        <f t="shared" si="82"/>
        <v>443209.32459258527</v>
      </c>
      <c r="CD43" s="175">
        <f t="shared" si="83"/>
        <v>419690.10105956299</v>
      </c>
      <c r="CE43" s="178"/>
      <c r="CF43" s="97" t="s">
        <v>557</v>
      </c>
      <c r="CH43" s="178"/>
      <c r="CI43" s="178"/>
      <c r="CJ43" s="178">
        <f t="shared" si="84"/>
        <v>-11015.259936163638</v>
      </c>
      <c r="CK43" s="178">
        <f t="shared" si="85"/>
        <v>-27008.118137928628</v>
      </c>
      <c r="CL43" s="178">
        <f t="shared" si="86"/>
        <v>-11890.980578995863</v>
      </c>
      <c r="CM43" s="178">
        <f t="shared" si="87"/>
        <v>-39909.418129441256</v>
      </c>
      <c r="CN43" s="178">
        <f t="shared" si="88"/>
        <v>-25384.369690075328</v>
      </c>
      <c r="CO43" s="178">
        <f t="shared" si="89"/>
        <v>-17819.929427075898</v>
      </c>
      <c r="CP43" s="178">
        <f t="shared" si="90"/>
        <v>-17201.255475434053</v>
      </c>
      <c r="CQ43" s="178">
        <f t="shared" si="91"/>
        <v>-6646.9377893380297</v>
      </c>
      <c r="CR43" s="178"/>
      <c r="CS43" s="178"/>
      <c r="CU43" s="178">
        <f t="shared" si="92"/>
        <v>1700301.7337815894</v>
      </c>
      <c r="CV43" s="178" t="e">
        <v>#VALUE!</v>
      </c>
      <c r="CW43" s="178">
        <f t="shared" si="93"/>
        <v>1740738.4287555993</v>
      </c>
    </row>
    <row r="44" spans="2:101" outlineLevel="1">
      <c r="B44" s="97" t="s">
        <v>558</v>
      </c>
      <c r="C44" s="97" t="s">
        <v>542</v>
      </c>
      <c r="D44" s="97" t="s">
        <v>8</v>
      </c>
      <c r="E44" s="97" t="s">
        <v>136</v>
      </c>
      <c r="F44" s="329" t="s">
        <v>119</v>
      </c>
      <c r="G44" s="175">
        <v>26281.64</v>
      </c>
      <c r="H44" s="175">
        <v>26963.32</v>
      </c>
      <c r="I44" s="175">
        <v>29923.599999999999</v>
      </c>
      <c r="J44" s="175">
        <v>27613.200000000001</v>
      </c>
      <c r="K44" s="176">
        <v>28037.77</v>
      </c>
      <c r="L44" s="175">
        <v>19581</v>
      </c>
      <c r="M44" s="175">
        <v>22347.279999999999</v>
      </c>
      <c r="N44" s="175">
        <v>23603.64</v>
      </c>
      <c r="O44" s="175">
        <v>19560.2</v>
      </c>
      <c r="P44" s="175">
        <v>20216.259999999998</v>
      </c>
      <c r="Q44" s="175">
        <v>17499.650000000001</v>
      </c>
      <c r="R44" s="175">
        <v>17769.93</v>
      </c>
      <c r="S44" s="375">
        <f ca="1">SUM(G44:OFFSET(G44,0,$F$2-1))</f>
        <v>279397.49000000005</v>
      </c>
      <c r="T44" s="175">
        <f t="shared" si="66"/>
        <v>83168.56</v>
      </c>
      <c r="U44" s="175">
        <f t="shared" si="67"/>
        <v>75231.97</v>
      </c>
      <c r="V44" s="175">
        <f t="shared" si="68"/>
        <v>65511.119999999995</v>
      </c>
      <c r="W44" s="175">
        <f t="shared" si="69"/>
        <v>55485.840000000004</v>
      </c>
      <c r="X44" s="178"/>
      <c r="Y44" s="179">
        <v>18814.78</v>
      </c>
      <c r="Z44" s="179">
        <v>14843.91</v>
      </c>
      <c r="AA44" s="179">
        <v>18455.18</v>
      </c>
      <c r="AB44" s="179">
        <v>18400.02</v>
      </c>
      <c r="AC44" s="179">
        <v>19387.47</v>
      </c>
      <c r="AD44" s="179">
        <v>18426.11</v>
      </c>
      <c r="AE44" s="179">
        <v>17141</v>
      </c>
      <c r="AF44" s="179">
        <f>15722+100</f>
        <v>15822</v>
      </c>
      <c r="AG44" s="388">
        <f>1909.18+100</f>
        <v>2009.18</v>
      </c>
      <c r="AH44" s="388">
        <v>2698.89</v>
      </c>
      <c r="AI44" s="179">
        <f>3001.56+100</f>
        <v>3101.56</v>
      </c>
      <c r="AJ44" s="179">
        <f>3912.7+100</f>
        <v>4012.7</v>
      </c>
      <c r="AK44" s="177">
        <f t="shared" si="70"/>
        <v>153112.80000000002</v>
      </c>
      <c r="AL44" s="97" t="s">
        <v>8</v>
      </c>
      <c r="AM44" s="97" t="s">
        <v>8</v>
      </c>
      <c r="AN44" s="180" t="str">
        <f t="shared" si="94"/>
        <v>CFG - FTS-NGV</v>
      </c>
      <c r="AP44" s="375"/>
      <c r="AQ44" s="175">
        <f t="shared" si="72"/>
        <v>52113.87</v>
      </c>
      <c r="AR44" s="175">
        <f t="shared" si="73"/>
        <v>56213.600000000006</v>
      </c>
      <c r="AS44" s="175">
        <f t="shared" si="74"/>
        <v>34972.18</v>
      </c>
      <c r="AT44" s="175">
        <f t="shared" si="75"/>
        <v>9813.15</v>
      </c>
      <c r="AU44" s="181"/>
      <c r="AV44" s="175">
        <v>26281.642054899999</v>
      </c>
      <c r="AW44" s="175">
        <v>26963.3220506</v>
      </c>
      <c r="AX44" s="175">
        <v>29923.602050100002</v>
      </c>
      <c r="AY44" s="175">
        <v>27613.196119500004</v>
      </c>
      <c r="AZ44" s="176">
        <v>28037.766229200002</v>
      </c>
      <c r="BA44" s="175">
        <v>19581.210586700003</v>
      </c>
      <c r="BB44" s="175">
        <v>23146.994463220002</v>
      </c>
      <c r="BC44" s="175">
        <v>22431.037198990001</v>
      </c>
      <c r="BD44" s="175">
        <v>21885.135383830006</v>
      </c>
      <c r="BE44" s="175">
        <v>20058.360951412003</v>
      </c>
      <c r="BF44" s="175">
        <v>17272.890132802302</v>
      </c>
      <c r="BG44" s="175">
        <v>15953.483336501204</v>
      </c>
      <c r="BH44" s="375">
        <f ca="1">SUM(AV44:OFFSET(AV44,0,$F$2-1))</f>
        <v>279148.64055775554</v>
      </c>
      <c r="BI44" s="175">
        <f t="shared" si="76"/>
        <v>83168.566155599998</v>
      </c>
      <c r="BJ44" s="175">
        <f t="shared" si="77"/>
        <v>75232.172935400013</v>
      </c>
      <c r="BK44" s="175">
        <f t="shared" si="78"/>
        <v>67463.167046040006</v>
      </c>
      <c r="BL44" s="175">
        <f t="shared" si="79"/>
        <v>53284.734420715511</v>
      </c>
      <c r="BM44" s="178"/>
      <c r="BN44" s="178"/>
      <c r="BO44" s="178"/>
      <c r="BP44" s="178">
        <v>100</v>
      </c>
      <c r="BQ44" s="178">
        <v>16291.650284731</v>
      </c>
      <c r="BR44" s="178">
        <v>17272.301594824003</v>
      </c>
      <c r="BS44" s="178">
        <v>25849.155423839649</v>
      </c>
      <c r="BT44" s="178">
        <v>28005.884227749553</v>
      </c>
      <c r="BU44" s="178">
        <v>28092.277610283247</v>
      </c>
      <c r="BV44" s="178">
        <v>25029.826157183001</v>
      </c>
      <c r="BW44" s="178">
        <v>24029.528136344648</v>
      </c>
      <c r="BX44" s="178">
        <v>2354.0371633000004</v>
      </c>
      <c r="BY44" s="178">
        <v>3101.5585759000001</v>
      </c>
      <c r="BZ44" s="375">
        <f ca="1">SUM(BN44:OFFSET(BN44,0,$F$2-1))</f>
        <v>170126.21917415512</v>
      </c>
      <c r="CA44" s="175">
        <f t="shared" si="80"/>
        <v>100</v>
      </c>
      <c r="CB44" s="175">
        <f t="shared" si="81"/>
        <v>59413.107303394652</v>
      </c>
      <c r="CC44" s="175">
        <f t="shared" si="82"/>
        <v>81127.987995215808</v>
      </c>
      <c r="CD44" s="175">
        <f t="shared" si="83"/>
        <v>29485.123875544647</v>
      </c>
      <c r="CE44" s="178"/>
      <c r="CF44" s="97" t="s">
        <v>558</v>
      </c>
      <c r="CH44" s="178"/>
      <c r="CI44" s="178"/>
      <c r="CJ44" s="178">
        <f t="shared" si="84"/>
        <v>18355.18</v>
      </c>
      <c r="CK44" s="178">
        <f t="shared" si="85"/>
        <v>2108.3697152690002</v>
      </c>
      <c r="CL44" s="178">
        <f t="shared" si="86"/>
        <v>2115.1684051759985</v>
      </c>
      <c r="CM44" s="178">
        <f t="shared" si="87"/>
        <v>-7423.0454238396487</v>
      </c>
      <c r="CN44" s="178">
        <f t="shared" si="88"/>
        <v>-10864.884227749553</v>
      </c>
      <c r="CO44" s="178">
        <f t="shared" si="89"/>
        <v>-12270.277610283247</v>
      </c>
      <c r="CP44" s="178">
        <f t="shared" si="90"/>
        <v>-23020.646157183</v>
      </c>
      <c r="CQ44" s="178">
        <f t="shared" si="91"/>
        <v>-21330.638136344649</v>
      </c>
      <c r="CR44" s="178"/>
      <c r="CS44" s="178"/>
      <c r="CU44" s="178">
        <f t="shared" si="92"/>
        <v>226363.62729460013</v>
      </c>
      <c r="CV44" s="178" t="e">
        <v>#VALUE!</v>
      </c>
      <c r="CW44" s="178">
        <f t="shared" si="93"/>
        <v>279148.64055775554</v>
      </c>
    </row>
    <row r="45" spans="2:101" outlineLevel="1">
      <c r="B45" s="97" t="s">
        <v>559</v>
      </c>
      <c r="C45" s="97" t="s">
        <v>542</v>
      </c>
      <c r="D45" s="97" t="s">
        <v>7</v>
      </c>
      <c r="E45" s="97" t="s">
        <v>137</v>
      </c>
      <c r="F45" s="329" t="s">
        <v>99</v>
      </c>
      <c r="G45" s="175">
        <v>61671.69</v>
      </c>
      <c r="H45" s="175">
        <v>58762.08999999996</v>
      </c>
      <c r="I45" s="175">
        <v>55138.019999999982</v>
      </c>
      <c r="J45" s="175">
        <v>39477.719999999928</v>
      </c>
      <c r="K45" s="176">
        <v>38766.880000000012</v>
      </c>
      <c r="L45" s="175">
        <v>40171.129999999976</v>
      </c>
      <c r="M45" s="175">
        <v>38857.289999999921</v>
      </c>
      <c r="N45" s="175">
        <v>39662.019999999939</v>
      </c>
      <c r="O45" s="175">
        <v>39607.629999999968</v>
      </c>
      <c r="P45" s="175">
        <v>43835.109999999921</v>
      </c>
      <c r="Q45" s="175">
        <v>47946.149999999972</v>
      </c>
      <c r="R45" s="175">
        <v>52056.799999999959</v>
      </c>
      <c r="S45" s="375">
        <f ca="1">SUM(G45:OFFSET(G45,0,$F$2-1))</f>
        <v>555952.52999999956</v>
      </c>
      <c r="T45" s="175">
        <f t="shared" si="66"/>
        <v>175571.79999999996</v>
      </c>
      <c r="U45" s="175">
        <f t="shared" si="67"/>
        <v>118415.72999999992</v>
      </c>
      <c r="V45" s="175">
        <f t="shared" si="68"/>
        <v>118126.93999999983</v>
      </c>
      <c r="W45" s="175">
        <f t="shared" si="69"/>
        <v>143838.05999999985</v>
      </c>
      <c r="X45" s="178"/>
      <c r="Y45" s="179">
        <v>64166.259999999958</v>
      </c>
      <c r="Z45" s="179">
        <v>52346.469999999943</v>
      </c>
      <c r="AA45" s="179">
        <v>57491.379999999946</v>
      </c>
      <c r="AB45" s="179">
        <v>51613.050000000025</v>
      </c>
      <c r="AC45" s="179">
        <v>46164.929999999993</v>
      </c>
      <c r="AD45" s="179">
        <v>43233.59</v>
      </c>
      <c r="AE45" s="179">
        <v>45011.020000000019</v>
      </c>
      <c r="AF45" s="179">
        <v>41311.34000000004</v>
      </c>
      <c r="AG45" s="179">
        <v>44252.710000000028</v>
      </c>
      <c r="AH45" s="179">
        <v>43642.889999999963</v>
      </c>
      <c r="AI45" s="179">
        <v>48516.890000000014</v>
      </c>
      <c r="AJ45" s="179">
        <v>54511.630000000005</v>
      </c>
      <c r="AK45" s="177">
        <f t="shared" si="70"/>
        <v>592262.1599999998</v>
      </c>
      <c r="AL45" s="97" t="s">
        <v>7</v>
      </c>
      <c r="AM45" s="97" t="s">
        <v>7</v>
      </c>
      <c r="AN45" s="180" t="str">
        <f t="shared" si="94"/>
        <v>FPU - FPU - GS - 1</v>
      </c>
      <c r="AP45" s="375"/>
      <c r="AQ45" s="175">
        <f t="shared" si="72"/>
        <v>174004.10999999984</v>
      </c>
      <c r="AR45" s="175">
        <f t="shared" si="73"/>
        <v>141011.57</v>
      </c>
      <c r="AS45" s="175">
        <f t="shared" si="74"/>
        <v>130575.07000000009</v>
      </c>
      <c r="AT45" s="175">
        <f t="shared" si="75"/>
        <v>146671.40999999997</v>
      </c>
      <c r="AU45" s="181"/>
      <c r="AV45" s="175">
        <v>63692.785418004627</v>
      </c>
      <c r="AW45" s="175">
        <v>59972.577523291613</v>
      </c>
      <c r="AX45" s="175">
        <v>54073.864971319606</v>
      </c>
      <c r="AY45" s="175">
        <v>49689.591558021653</v>
      </c>
      <c r="AZ45" s="176">
        <v>45221.943835659782</v>
      </c>
      <c r="BA45" s="175">
        <v>43984.902226751277</v>
      </c>
      <c r="BB45" s="175">
        <v>41022.018096611268</v>
      </c>
      <c r="BC45" s="175">
        <v>42729.21479232741</v>
      </c>
      <c r="BD45" s="175">
        <v>44105.868669493939</v>
      </c>
      <c r="BE45" s="175">
        <v>45295.769641062492</v>
      </c>
      <c r="BF45" s="175">
        <v>51196.623385666673</v>
      </c>
      <c r="BG45" s="175">
        <v>58531.296389687173</v>
      </c>
      <c r="BH45" s="375">
        <f ca="1">SUM(AV45:OFFSET(AV45,0,$F$2-1))</f>
        <v>599516.45650789759</v>
      </c>
      <c r="BI45" s="175">
        <f t="shared" si="76"/>
        <v>177739.22791261587</v>
      </c>
      <c r="BJ45" s="175">
        <f t="shared" si="77"/>
        <v>138896.4376204327</v>
      </c>
      <c r="BK45" s="175">
        <f t="shared" si="78"/>
        <v>127857.10155843262</v>
      </c>
      <c r="BL45" s="175">
        <f t="shared" si="79"/>
        <v>155023.68941641634</v>
      </c>
      <c r="BM45" s="178"/>
      <c r="BN45" s="178"/>
      <c r="BO45" s="178"/>
      <c r="BP45" s="178">
        <v>51050.020774300014</v>
      </c>
      <c r="BQ45" s="178">
        <v>52378.112362411368</v>
      </c>
      <c r="BR45" s="178">
        <v>46427.539498773083</v>
      </c>
      <c r="BS45" s="178">
        <v>44922.599102582484</v>
      </c>
      <c r="BT45" s="178">
        <v>39533.128639695147</v>
      </c>
      <c r="BU45" s="178">
        <v>41312.900406986781</v>
      </c>
      <c r="BV45" s="178">
        <v>42510.083444094482</v>
      </c>
      <c r="BW45" s="178">
        <v>43180.119016874094</v>
      </c>
      <c r="BX45" s="178">
        <v>50908.290698265126</v>
      </c>
      <c r="BY45" s="178">
        <v>57789.448935488392</v>
      </c>
      <c r="BZ45" s="375">
        <f ca="1">SUM(BN45:OFFSET(BN45,0,$F$2-1))</f>
        <v>470012.24287947098</v>
      </c>
      <c r="CA45" s="175">
        <f t="shared" si="80"/>
        <v>51050.020774300014</v>
      </c>
      <c r="CB45" s="175">
        <f t="shared" si="81"/>
        <v>143728.25096376694</v>
      </c>
      <c r="CC45" s="175">
        <f t="shared" si="82"/>
        <v>123356.1124907764</v>
      </c>
      <c r="CD45" s="175">
        <f t="shared" si="83"/>
        <v>151877.8586506276</v>
      </c>
      <c r="CE45" s="178"/>
      <c r="CF45" s="97" t="s">
        <v>559</v>
      </c>
      <c r="CH45" s="178"/>
      <c r="CI45" s="178"/>
      <c r="CJ45" s="178">
        <f t="shared" si="84"/>
        <v>6441.3592256999327</v>
      </c>
      <c r="CK45" s="178">
        <f t="shared" si="85"/>
        <v>-765.0623624113432</v>
      </c>
      <c r="CL45" s="178">
        <f t="shared" si="86"/>
        <v>-262.60949877309031</v>
      </c>
      <c r="CM45" s="178">
        <f t="shared" si="87"/>
        <v>-1689.0091025824877</v>
      </c>
      <c r="CN45" s="178">
        <f t="shared" si="88"/>
        <v>5477.8913603048713</v>
      </c>
      <c r="CO45" s="178">
        <f t="shared" si="89"/>
        <v>-1.5604069867404178</v>
      </c>
      <c r="CP45" s="178">
        <f t="shared" si="90"/>
        <v>1742.6265559055464</v>
      </c>
      <c r="CQ45" s="178">
        <f t="shared" si="91"/>
        <v>462.77098312586895</v>
      </c>
      <c r="CR45" s="178"/>
      <c r="CS45" s="178"/>
      <c r="CU45" s="178">
        <f t="shared" si="92"/>
        <v>591938.66024398641</v>
      </c>
      <c r="CV45" s="178" t="e">
        <v>#VALUE!</v>
      </c>
      <c r="CW45" s="178">
        <f t="shared" si="93"/>
        <v>599516.45650789759</v>
      </c>
    </row>
    <row r="46" spans="2:101" outlineLevel="1">
      <c r="B46" s="97" t="s">
        <v>560</v>
      </c>
      <c r="C46" s="97" t="s">
        <v>542</v>
      </c>
      <c r="D46" s="97" t="s">
        <v>7</v>
      </c>
      <c r="E46" s="97" t="s">
        <v>139</v>
      </c>
      <c r="F46" s="329" t="s">
        <v>138</v>
      </c>
      <c r="G46" s="175">
        <v>36728.19</v>
      </c>
      <c r="H46" s="175">
        <v>33900</v>
      </c>
      <c r="I46" s="175">
        <v>31834.86000000003</v>
      </c>
      <c r="J46" s="175">
        <v>22004.150000000009</v>
      </c>
      <c r="K46" s="176">
        <v>19487.960000000006</v>
      </c>
      <c r="L46" s="175">
        <v>21089.440000000006</v>
      </c>
      <c r="M46" s="175">
        <v>21516.69</v>
      </c>
      <c r="N46" s="175">
        <v>20531.920000000006</v>
      </c>
      <c r="O46" s="175">
        <v>21243.30999999999</v>
      </c>
      <c r="P46" s="175">
        <v>23166.450000000004</v>
      </c>
      <c r="Q46" s="175">
        <v>26520.299999999996</v>
      </c>
      <c r="R46" s="175">
        <v>30444.710000000021</v>
      </c>
      <c r="S46" s="375">
        <f ca="1">SUM(G46:OFFSET(G46,0,$F$2-1))</f>
        <v>308467.9800000001</v>
      </c>
      <c r="T46" s="175">
        <f t="shared" si="66"/>
        <v>102463.05000000003</v>
      </c>
      <c r="U46" s="175">
        <f t="shared" si="67"/>
        <v>62581.550000000017</v>
      </c>
      <c r="V46" s="175">
        <f t="shared" si="68"/>
        <v>63291.919999999991</v>
      </c>
      <c r="W46" s="175">
        <f t="shared" si="69"/>
        <v>80131.460000000021</v>
      </c>
      <c r="X46" s="178"/>
      <c r="Y46" s="179">
        <v>35511.450000000012</v>
      </c>
      <c r="Z46" s="179">
        <v>34142.020000000011</v>
      </c>
      <c r="AA46" s="179">
        <v>27972.240000000013</v>
      </c>
      <c r="AB46" s="179">
        <v>29968.27</v>
      </c>
      <c r="AC46" s="179">
        <v>26632.270000000015</v>
      </c>
      <c r="AD46" s="179">
        <v>28431.26000000002</v>
      </c>
      <c r="AE46" s="179">
        <v>16712.789999999994</v>
      </c>
      <c r="AF46" s="179">
        <v>20135.71</v>
      </c>
      <c r="AG46" s="179">
        <v>23252.790000000012</v>
      </c>
      <c r="AH46" s="179">
        <v>25338.209999999992</v>
      </c>
      <c r="AI46" s="179">
        <v>30666.400000000012</v>
      </c>
      <c r="AJ46" s="179">
        <v>36227.000000000015</v>
      </c>
      <c r="AK46" s="177">
        <f t="shared" si="70"/>
        <v>334990.41000000003</v>
      </c>
      <c r="AL46" s="97" t="s">
        <v>7</v>
      </c>
      <c r="AM46" s="97" t="s">
        <v>7</v>
      </c>
      <c r="AN46" s="180" t="str">
        <f t="shared" si="94"/>
        <v>FPU - FPU - GSTS - 1</v>
      </c>
      <c r="AP46" s="375"/>
      <c r="AQ46" s="175">
        <f t="shared" si="72"/>
        <v>97625.71000000005</v>
      </c>
      <c r="AR46" s="175">
        <f t="shared" si="73"/>
        <v>85031.800000000032</v>
      </c>
      <c r="AS46" s="175">
        <f t="shared" si="74"/>
        <v>60101.290000000008</v>
      </c>
      <c r="AT46" s="175">
        <f t="shared" si="75"/>
        <v>92231.610000000015</v>
      </c>
      <c r="AU46" s="181"/>
      <c r="AV46" s="175">
        <v>38425.541851821938</v>
      </c>
      <c r="AW46" s="175">
        <v>37581.828876204163</v>
      </c>
      <c r="AX46" s="175">
        <v>34105.312434285479</v>
      </c>
      <c r="AY46" s="175">
        <v>30992.003425977709</v>
      </c>
      <c r="AZ46" s="175">
        <v>27781.09866528372</v>
      </c>
      <c r="BA46" s="175">
        <v>28020.720411056958</v>
      </c>
      <c r="BB46" s="175">
        <v>27229.965220359292</v>
      </c>
      <c r="BC46" s="175">
        <v>27955.76146754064</v>
      </c>
      <c r="BD46" s="175">
        <v>28426.868425858804</v>
      </c>
      <c r="BE46" s="175">
        <v>27533.342714321872</v>
      </c>
      <c r="BF46" s="175">
        <v>31277.288637976377</v>
      </c>
      <c r="BG46" s="175">
        <v>35192.807928886636</v>
      </c>
      <c r="BH46" s="375">
        <f ca="1">SUM(AV46:OFFSET(AV46,0,$F$2-1))</f>
        <v>374522.5400595736</v>
      </c>
      <c r="BI46" s="175">
        <f t="shared" si="76"/>
        <v>110112.68316231159</v>
      </c>
      <c r="BJ46" s="175">
        <f t="shared" si="77"/>
        <v>86793.822502318391</v>
      </c>
      <c r="BK46" s="175">
        <f t="shared" si="78"/>
        <v>83612.59511375874</v>
      </c>
      <c r="BL46" s="175">
        <f t="shared" si="79"/>
        <v>94003.439281184896</v>
      </c>
      <c r="BM46" s="178"/>
      <c r="BN46" s="178"/>
      <c r="BO46" s="178"/>
      <c r="BP46" s="178">
        <v>32531.16337059408</v>
      </c>
      <c r="BQ46" s="178">
        <v>32694.930014084017</v>
      </c>
      <c r="BR46" s="178">
        <v>29507.274555634776</v>
      </c>
      <c r="BS46" s="178">
        <v>28384.593345724748</v>
      </c>
      <c r="BT46" s="178">
        <v>26039.085165802007</v>
      </c>
      <c r="BU46" s="178">
        <v>27264.91660547649</v>
      </c>
      <c r="BV46" s="178">
        <v>27277.933619957785</v>
      </c>
      <c r="BW46" s="178">
        <v>26256.322423146135</v>
      </c>
      <c r="BX46" s="178">
        <v>30735.742598927649</v>
      </c>
      <c r="BY46" s="178">
        <v>34682.057840639114</v>
      </c>
      <c r="BZ46" s="375">
        <f ca="1">SUM(BN46:OFFSET(BN46,0,$F$2-1))</f>
        <v>295374.0195399868</v>
      </c>
      <c r="CA46" s="175">
        <f t="shared" si="80"/>
        <v>32531.16337059408</v>
      </c>
      <c r="CB46" s="175">
        <f t="shared" si="81"/>
        <v>90586.797915443545</v>
      </c>
      <c r="CC46" s="175">
        <f t="shared" si="82"/>
        <v>80581.935391236286</v>
      </c>
      <c r="CD46" s="175">
        <f t="shared" si="83"/>
        <v>91674.122862712902</v>
      </c>
      <c r="CE46" s="178"/>
      <c r="CF46" s="97" t="s">
        <v>560</v>
      </c>
      <c r="CH46" s="178"/>
      <c r="CI46" s="178"/>
      <c r="CJ46" s="178">
        <f t="shared" si="84"/>
        <v>-4558.9233705940678</v>
      </c>
      <c r="CK46" s="178">
        <f t="shared" si="85"/>
        <v>-2726.6600140840164</v>
      </c>
      <c r="CL46" s="178">
        <f t="shared" si="86"/>
        <v>-2875.0045556347613</v>
      </c>
      <c r="CM46" s="178">
        <f t="shared" si="87"/>
        <v>46.666654275271867</v>
      </c>
      <c r="CN46" s="178">
        <f t="shared" si="88"/>
        <v>-9326.2951658020138</v>
      </c>
      <c r="CO46" s="178">
        <f t="shared" si="89"/>
        <v>-7129.2066054764909</v>
      </c>
      <c r="CP46" s="178">
        <f t="shared" si="90"/>
        <v>-4025.1436199577729</v>
      </c>
      <c r="CQ46" s="178">
        <f t="shared" si="91"/>
        <v>-918.11242314614356</v>
      </c>
      <c r="CR46" s="178"/>
      <c r="CS46" s="178"/>
      <c r="CU46" s="178">
        <f t="shared" si="92"/>
        <v>354866.90159967402</v>
      </c>
      <c r="CV46" s="178" t="e">
        <v>#VALUE!</v>
      </c>
      <c r="CW46" s="178">
        <f t="shared" si="93"/>
        <v>374522.5400595736</v>
      </c>
    </row>
    <row r="47" spans="2:101" ht="10.5" customHeight="1" outlineLevel="1">
      <c r="B47" s="97" t="s">
        <v>561</v>
      </c>
      <c r="C47" s="97" t="s">
        <v>542</v>
      </c>
      <c r="D47" s="97" t="s">
        <v>7</v>
      </c>
      <c r="E47" s="97" t="s">
        <v>137</v>
      </c>
      <c r="F47" s="329" t="s">
        <v>140</v>
      </c>
      <c r="G47" s="175">
        <v>364811.20000000071</v>
      </c>
      <c r="H47" s="175">
        <v>348013.42000000039</v>
      </c>
      <c r="I47" s="175">
        <v>315887.68000000023</v>
      </c>
      <c r="J47" s="175">
        <v>232087.80999999976</v>
      </c>
      <c r="K47" s="176">
        <v>214139.52999999968</v>
      </c>
      <c r="L47" s="175">
        <v>214921.00000000023</v>
      </c>
      <c r="M47" s="175">
        <v>227073.59000000005</v>
      </c>
      <c r="N47" s="175">
        <v>220609.98000000051</v>
      </c>
      <c r="O47" s="175">
        <v>222223.56999999983</v>
      </c>
      <c r="P47" s="175">
        <v>233825.16000000032</v>
      </c>
      <c r="Q47" s="175">
        <v>263512.8699999993</v>
      </c>
      <c r="R47" s="175">
        <v>316394.86999999924</v>
      </c>
      <c r="S47" s="375">
        <f ca="1">SUM(G47:OFFSET(G47,0,$F$2-1))</f>
        <v>3173500.6799999997</v>
      </c>
      <c r="T47" s="175">
        <f t="shared" si="66"/>
        <v>1028712.3000000012</v>
      </c>
      <c r="U47" s="175">
        <f t="shared" si="67"/>
        <v>661148.33999999962</v>
      </c>
      <c r="V47" s="175">
        <f t="shared" si="68"/>
        <v>669907.14000000036</v>
      </c>
      <c r="W47" s="175">
        <f t="shared" si="69"/>
        <v>813732.89999999886</v>
      </c>
      <c r="X47" s="178"/>
      <c r="Y47" s="179">
        <v>369352.26999999949</v>
      </c>
      <c r="Z47" s="179">
        <v>326887.27000000037</v>
      </c>
      <c r="AA47" s="179">
        <v>307907.01000000047</v>
      </c>
      <c r="AB47" s="179">
        <v>307629.46999999863</v>
      </c>
      <c r="AC47" s="179">
        <v>280200.95999999985</v>
      </c>
      <c r="AD47" s="179">
        <v>256153.66999999995</v>
      </c>
      <c r="AE47" s="179">
        <v>259836.79999999996</v>
      </c>
      <c r="AF47" s="179">
        <v>240657.54000000094</v>
      </c>
      <c r="AG47" s="179">
        <v>249146.32000000012</v>
      </c>
      <c r="AH47" s="179">
        <v>253211.03999999914</v>
      </c>
      <c r="AI47" s="179">
        <v>278370.39999999874</v>
      </c>
      <c r="AJ47" s="179">
        <v>324026.1399999999</v>
      </c>
      <c r="AK47" s="177">
        <f t="shared" si="70"/>
        <v>3453378.8899999969</v>
      </c>
      <c r="AL47" s="97" t="s">
        <v>7</v>
      </c>
      <c r="AM47" s="97" t="s">
        <v>7</v>
      </c>
      <c r="AN47" s="180" t="str">
        <f t="shared" si="94"/>
        <v>FPU - FPU - GS - 2</v>
      </c>
      <c r="AP47" s="375"/>
      <c r="AQ47" s="175">
        <f t="shared" si="72"/>
        <v>1004146.5500000003</v>
      </c>
      <c r="AR47" s="175">
        <f t="shared" si="73"/>
        <v>843984.09999999846</v>
      </c>
      <c r="AS47" s="175">
        <f t="shared" si="74"/>
        <v>749640.66000000108</v>
      </c>
      <c r="AT47" s="175">
        <f t="shared" si="75"/>
        <v>855607.57999999775</v>
      </c>
      <c r="AU47" s="181"/>
      <c r="AV47" s="175">
        <v>373154.40606008103</v>
      </c>
      <c r="AW47" s="175">
        <v>363645.9550828975</v>
      </c>
      <c r="AX47" s="175">
        <v>321968.87670663581</v>
      </c>
      <c r="AY47" s="175">
        <v>292394.72198151494</v>
      </c>
      <c r="AZ47" s="176">
        <v>262933.10773412423</v>
      </c>
      <c r="BA47" s="175">
        <v>256437.45049076731</v>
      </c>
      <c r="BB47" s="175">
        <v>238406.16212755261</v>
      </c>
      <c r="BC47" s="175">
        <v>251880.97997221208</v>
      </c>
      <c r="BD47" s="175">
        <v>256105.45124871956</v>
      </c>
      <c r="BE47" s="175">
        <v>248317.16964579673</v>
      </c>
      <c r="BF47" s="175">
        <v>289782.99836153601</v>
      </c>
      <c r="BG47" s="175">
        <v>345159.94638331118</v>
      </c>
      <c r="BH47" s="375">
        <f ca="1">SUM(AV47:OFFSET(AV47,0,$F$2-1))</f>
        <v>3500187.2257951489</v>
      </c>
      <c r="BI47" s="175">
        <f t="shared" si="76"/>
        <v>1058769.2378496144</v>
      </c>
      <c r="BJ47" s="175">
        <f t="shared" si="77"/>
        <v>811765.28020640649</v>
      </c>
      <c r="BK47" s="175">
        <f t="shared" si="78"/>
        <v>746392.59334848425</v>
      </c>
      <c r="BL47" s="175">
        <f t="shared" si="79"/>
        <v>883260.1143906439</v>
      </c>
      <c r="BM47" s="178"/>
      <c r="BN47" s="178"/>
      <c r="BO47" s="178"/>
      <c r="BP47" s="178">
        <v>316291.77000547759</v>
      </c>
      <c r="BQ47" s="178">
        <v>314405.01635971735</v>
      </c>
      <c r="BR47" s="178">
        <v>280556.58068568638</v>
      </c>
      <c r="BS47" s="178">
        <v>268974.21222286188</v>
      </c>
      <c r="BT47" s="178">
        <v>231224.36351021557</v>
      </c>
      <c r="BU47" s="178">
        <v>247989.96107996564</v>
      </c>
      <c r="BV47" s="178">
        <v>255717.4920834369</v>
      </c>
      <c r="BW47" s="178">
        <v>251343.9520756347</v>
      </c>
      <c r="BX47" s="178">
        <v>294016.05339999567</v>
      </c>
      <c r="BY47" s="178">
        <v>351113.96264626499</v>
      </c>
      <c r="BZ47" s="375">
        <f ca="1">SUM(BN47:OFFSET(BN47,0,$F$2-1))</f>
        <v>2811633.3640692565</v>
      </c>
      <c r="CA47" s="175">
        <f t="shared" si="80"/>
        <v>316291.77000547759</v>
      </c>
      <c r="CB47" s="175">
        <f t="shared" si="81"/>
        <v>863935.8092682655</v>
      </c>
      <c r="CC47" s="175">
        <f t="shared" si="82"/>
        <v>734931.81667361816</v>
      </c>
      <c r="CD47" s="175">
        <f t="shared" si="83"/>
        <v>896473.96812189533</v>
      </c>
      <c r="CE47" s="178"/>
      <c r="CF47" s="97" t="s">
        <v>561</v>
      </c>
      <c r="CH47" s="178"/>
      <c r="CI47" s="178"/>
      <c r="CJ47" s="178">
        <f t="shared" si="84"/>
        <v>-8384.7600054771174</v>
      </c>
      <c r="CK47" s="178">
        <f t="shared" si="85"/>
        <v>-6775.546359718719</v>
      </c>
      <c r="CL47" s="178">
        <f t="shared" si="86"/>
        <v>-355.62068568653194</v>
      </c>
      <c r="CM47" s="178">
        <f t="shared" si="87"/>
        <v>-12820.542222861928</v>
      </c>
      <c r="CN47" s="178">
        <f t="shared" si="88"/>
        <v>28612.436489784392</v>
      </c>
      <c r="CO47" s="178">
        <f t="shared" si="89"/>
        <v>-7332.4210799646971</v>
      </c>
      <c r="CP47" s="178">
        <f t="shared" si="90"/>
        <v>-6571.1720834367734</v>
      </c>
      <c r="CQ47" s="178">
        <f t="shared" si="91"/>
        <v>1867.0879243644304</v>
      </c>
      <c r="CR47" s="178"/>
      <c r="CS47" s="178"/>
      <c r="CU47" s="178">
        <f t="shared" si="92"/>
        <v>3492356.977018374</v>
      </c>
      <c r="CV47" s="178" t="e">
        <v>#VALUE!</v>
      </c>
      <c r="CW47" s="178">
        <f t="shared" si="93"/>
        <v>3500187.2257951489</v>
      </c>
    </row>
    <row r="48" spans="2:101" outlineLevel="1">
      <c r="B48" s="97" t="s">
        <v>562</v>
      </c>
      <c r="C48" s="97" t="s">
        <v>542</v>
      </c>
      <c r="D48" s="97" t="s">
        <v>7</v>
      </c>
      <c r="E48" s="97" t="s">
        <v>139</v>
      </c>
      <c r="F48" s="329" t="s">
        <v>141</v>
      </c>
      <c r="G48" s="175">
        <v>255853.31000000035</v>
      </c>
      <c r="H48" s="175">
        <v>245416.07999999996</v>
      </c>
      <c r="I48" s="175">
        <v>228675.03999999975</v>
      </c>
      <c r="J48" s="175">
        <v>169853.15000000014</v>
      </c>
      <c r="K48" s="176">
        <v>162156.06999999983</v>
      </c>
      <c r="L48" s="175">
        <v>168477.31000000011</v>
      </c>
      <c r="M48" s="175">
        <v>184885.37999999998</v>
      </c>
      <c r="N48" s="175">
        <v>176356.78999999969</v>
      </c>
      <c r="O48" s="175">
        <v>179824.51000000021</v>
      </c>
      <c r="P48" s="175">
        <v>186559.67000000016</v>
      </c>
      <c r="Q48" s="175">
        <v>208145.28000000006</v>
      </c>
      <c r="R48" s="175">
        <v>236289.05999999982</v>
      </c>
      <c r="S48" s="375">
        <f ca="1">SUM(G48:OFFSET(G48,0,$F$2-1))</f>
        <v>2402491.6499999994</v>
      </c>
      <c r="T48" s="175">
        <f t="shared" si="66"/>
        <v>729944.43</v>
      </c>
      <c r="U48" s="175">
        <f t="shared" si="67"/>
        <v>500486.53000000009</v>
      </c>
      <c r="V48" s="175">
        <f t="shared" si="68"/>
        <v>541066.67999999993</v>
      </c>
      <c r="W48" s="175">
        <f t="shared" si="69"/>
        <v>630994.01</v>
      </c>
      <c r="X48" s="178"/>
      <c r="Y48" s="179">
        <v>263681.8600000001</v>
      </c>
      <c r="Z48" s="179">
        <v>235853.91999999987</v>
      </c>
      <c r="AA48" s="179">
        <v>224414.97000000003</v>
      </c>
      <c r="AB48" s="179">
        <v>241841.68999999997</v>
      </c>
      <c r="AC48" s="179">
        <v>224053.17999999961</v>
      </c>
      <c r="AD48" s="179">
        <v>200562.98</v>
      </c>
      <c r="AE48" s="179">
        <v>209934.82999999984</v>
      </c>
      <c r="AF48" s="179">
        <v>197465.0100000001</v>
      </c>
      <c r="AG48" s="179">
        <v>208577.2200000002</v>
      </c>
      <c r="AH48" s="179">
        <v>205732.15999999983</v>
      </c>
      <c r="AI48" s="179">
        <v>223084.48000000004</v>
      </c>
      <c r="AJ48" s="179">
        <v>257684.16999999993</v>
      </c>
      <c r="AK48" s="177">
        <f t="shared" si="70"/>
        <v>2692886.4699999993</v>
      </c>
      <c r="AL48" s="97" t="s">
        <v>7</v>
      </c>
      <c r="AM48" s="97" t="s">
        <v>7</v>
      </c>
      <c r="AN48" s="180" t="str">
        <f t="shared" si="94"/>
        <v>FPU - FPU - GSTS - 2</v>
      </c>
      <c r="AP48" s="375"/>
      <c r="AQ48" s="175">
        <f t="shared" si="72"/>
        <v>723950.75</v>
      </c>
      <c r="AR48" s="175">
        <f t="shared" si="73"/>
        <v>666457.84999999963</v>
      </c>
      <c r="AS48" s="175">
        <f t="shared" si="74"/>
        <v>615977.06000000017</v>
      </c>
      <c r="AT48" s="175">
        <f t="shared" si="75"/>
        <v>686500.80999999982</v>
      </c>
      <c r="AU48" s="181"/>
      <c r="AV48" s="175">
        <v>263404.45569664537</v>
      </c>
      <c r="AW48" s="175">
        <v>249902.51541553132</v>
      </c>
      <c r="AX48" s="175">
        <v>233665.02700746525</v>
      </c>
      <c r="AY48" s="175">
        <v>216830.52471470449</v>
      </c>
      <c r="AZ48" s="175">
        <v>201668.68647390913</v>
      </c>
      <c r="BA48" s="175">
        <v>203579.27722971857</v>
      </c>
      <c r="BB48" s="175">
        <v>197861.55505035751</v>
      </c>
      <c r="BC48" s="175">
        <v>202555.87598865727</v>
      </c>
      <c r="BD48" s="175">
        <v>207788.2740371179</v>
      </c>
      <c r="BE48" s="175">
        <v>202629.47975023079</v>
      </c>
      <c r="BF48" s="175">
        <v>238274.91087589215</v>
      </c>
      <c r="BG48" s="175">
        <v>267699.40502539533</v>
      </c>
      <c r="BH48" s="375">
        <f ca="1">SUM(AV48:OFFSET(AV48,0,$F$2-1))</f>
        <v>2685859.987265625</v>
      </c>
      <c r="BI48" s="175">
        <f t="shared" si="76"/>
        <v>746971.99811964191</v>
      </c>
      <c r="BJ48" s="175">
        <f t="shared" si="77"/>
        <v>622078.48841833218</v>
      </c>
      <c r="BK48" s="175">
        <f t="shared" si="78"/>
        <v>608205.70507613267</v>
      </c>
      <c r="BL48" s="175">
        <f t="shared" si="79"/>
        <v>708603.79565151827</v>
      </c>
      <c r="BM48" s="178"/>
      <c r="BN48" s="178"/>
      <c r="BO48" s="178"/>
      <c r="BP48" s="178">
        <v>228597.85842523535</v>
      </c>
      <c r="BQ48" s="178">
        <v>234013.50738251983</v>
      </c>
      <c r="BR48" s="178">
        <v>214839.95703794993</v>
      </c>
      <c r="BS48" s="178">
        <v>206928.94190297383</v>
      </c>
      <c r="BT48" s="178">
        <v>184736.47970721699</v>
      </c>
      <c r="BU48" s="178">
        <v>189617.5424311161</v>
      </c>
      <c r="BV48" s="178">
        <v>194084.45942270241</v>
      </c>
      <c r="BW48" s="178">
        <v>188733.81914384829</v>
      </c>
      <c r="BX48" s="178">
        <v>222798.33298268856</v>
      </c>
      <c r="BY48" s="178">
        <v>246869.33301063738</v>
      </c>
      <c r="BZ48" s="375">
        <f ca="1">SUM(BN48:OFFSET(BN48,0,$F$2-1))</f>
        <v>2111220.2314468883</v>
      </c>
      <c r="CA48" s="175">
        <f t="shared" si="80"/>
        <v>228597.85842523535</v>
      </c>
      <c r="CB48" s="175">
        <f t="shared" si="81"/>
        <v>655782.40632344363</v>
      </c>
      <c r="CC48" s="175">
        <f t="shared" si="82"/>
        <v>568438.4815610355</v>
      </c>
      <c r="CD48" s="175">
        <f t="shared" si="83"/>
        <v>658401.48513717414</v>
      </c>
      <c r="CE48" s="178"/>
      <c r="CF48" s="97" t="s">
        <v>562</v>
      </c>
      <c r="CH48" s="178"/>
      <c r="CI48" s="178"/>
      <c r="CJ48" s="178">
        <f t="shared" si="84"/>
        <v>-4182.8884252353164</v>
      </c>
      <c r="CK48" s="178">
        <f t="shared" si="85"/>
        <v>7828.182617480139</v>
      </c>
      <c r="CL48" s="178">
        <f t="shared" si="86"/>
        <v>9213.2229620496801</v>
      </c>
      <c r="CM48" s="178">
        <f t="shared" si="87"/>
        <v>-6365.9619029738242</v>
      </c>
      <c r="CN48" s="178">
        <f t="shared" si="88"/>
        <v>25198.350292782852</v>
      </c>
      <c r="CO48" s="178">
        <f t="shared" si="89"/>
        <v>7847.4675688839925</v>
      </c>
      <c r="CP48" s="178">
        <f t="shared" si="90"/>
        <v>14492.760577297799</v>
      </c>
      <c r="CQ48" s="178">
        <f t="shared" si="91"/>
        <v>16998.340856151539</v>
      </c>
      <c r="CR48" s="178"/>
      <c r="CS48" s="178"/>
      <c r="CU48" s="178">
        <f t="shared" si="92"/>
        <v>2623614.5286011836</v>
      </c>
      <c r="CV48" s="178" t="e">
        <v>#VALUE!</v>
      </c>
      <c r="CW48" s="178">
        <f t="shared" si="93"/>
        <v>2685859.987265625</v>
      </c>
    </row>
    <row r="49" spans="2:101" outlineLevel="1">
      <c r="B49" s="97" t="s">
        <v>563</v>
      </c>
      <c r="C49" s="97" t="s">
        <v>542</v>
      </c>
      <c r="D49" s="97" t="s">
        <v>7</v>
      </c>
      <c r="E49" s="97" t="s">
        <v>137</v>
      </c>
      <c r="F49" s="329" t="s">
        <v>142</v>
      </c>
      <c r="G49" s="175">
        <v>12005.619999999999</v>
      </c>
      <c r="H49" s="175">
        <v>11558.570000000012</v>
      </c>
      <c r="I49" s="175">
        <v>10291.850000000013</v>
      </c>
      <c r="J49" s="175">
        <v>10573.630000000019</v>
      </c>
      <c r="K49" s="176">
        <v>10344.970000000016</v>
      </c>
      <c r="L49" s="175">
        <v>9763.8000000000266</v>
      </c>
      <c r="M49" s="175">
        <v>9710.9200000000092</v>
      </c>
      <c r="N49" s="175">
        <v>9594.2500000000164</v>
      </c>
      <c r="O49" s="175">
        <v>9509.6300000000429</v>
      </c>
      <c r="P49" s="175">
        <v>9698.0800000000145</v>
      </c>
      <c r="Q49" s="175">
        <v>10219.080000000007</v>
      </c>
      <c r="R49" s="175">
        <v>11538.529999999981</v>
      </c>
      <c r="S49" s="375">
        <f ca="1">SUM(G49:OFFSET(G49,0,$F$2-1))</f>
        <v>124808.93000000015</v>
      </c>
      <c r="T49" s="175">
        <f t="shared" si="66"/>
        <v>33856.040000000023</v>
      </c>
      <c r="U49" s="175">
        <f t="shared" si="67"/>
        <v>30682.40000000006</v>
      </c>
      <c r="V49" s="175">
        <f t="shared" si="68"/>
        <v>28814.800000000068</v>
      </c>
      <c r="W49" s="175">
        <f t="shared" si="69"/>
        <v>31455.690000000002</v>
      </c>
      <c r="X49" s="178"/>
      <c r="Y49" s="179">
        <v>11149.999999999995</v>
      </c>
      <c r="Z49" s="179">
        <v>10266.599999999999</v>
      </c>
      <c r="AA49" s="179">
        <v>10324.949999999999</v>
      </c>
      <c r="AB49" s="179">
        <v>10283.65</v>
      </c>
      <c r="AC49" s="179">
        <v>12852.139999999967</v>
      </c>
      <c r="AD49" s="179">
        <v>10853.009999999989</v>
      </c>
      <c r="AE49" s="179">
        <v>10127.550000000005</v>
      </c>
      <c r="AF49" s="179">
        <v>9942.3700000000117</v>
      </c>
      <c r="AG49" s="179">
        <v>9993.7500000000091</v>
      </c>
      <c r="AH49" s="179">
        <v>10111.050000000005</v>
      </c>
      <c r="AI49" s="179">
        <v>10654.999999999998</v>
      </c>
      <c r="AJ49" s="179">
        <v>10896.01999999999</v>
      </c>
      <c r="AK49" s="177">
        <f t="shared" si="70"/>
        <v>127456.08999999997</v>
      </c>
      <c r="AL49" s="97" t="s">
        <v>7</v>
      </c>
      <c r="AM49" s="97" t="s">
        <v>7</v>
      </c>
      <c r="AN49" s="180" t="str">
        <f t="shared" si="94"/>
        <v>FPU - FPU - CS - GS</v>
      </c>
      <c r="AP49" s="375"/>
      <c r="AQ49" s="175">
        <f t="shared" si="72"/>
        <v>31741.549999999988</v>
      </c>
      <c r="AR49" s="175">
        <f t="shared" si="73"/>
        <v>33988.799999999952</v>
      </c>
      <c r="AS49" s="175">
        <f t="shared" si="74"/>
        <v>30063.670000000027</v>
      </c>
      <c r="AT49" s="175">
        <f t="shared" si="75"/>
        <v>31662.069999999992</v>
      </c>
      <c r="AU49" s="181"/>
      <c r="AV49" s="175">
        <v>12142.471477324856</v>
      </c>
      <c r="AW49" s="175">
        <v>11632.548576927476</v>
      </c>
      <c r="AX49" s="175">
        <v>11550.865148155484</v>
      </c>
      <c r="AY49" s="175">
        <v>11280.482363467218</v>
      </c>
      <c r="AZ49" s="176">
        <v>11131.509589599655</v>
      </c>
      <c r="BA49" s="175">
        <v>10995.135438163899</v>
      </c>
      <c r="BB49" s="175">
        <v>10871.639770011176</v>
      </c>
      <c r="BC49" s="175">
        <v>11151.272176297116</v>
      </c>
      <c r="BD49" s="175">
        <v>12571.142359480946</v>
      </c>
      <c r="BE49" s="175">
        <v>12562.74433940123</v>
      </c>
      <c r="BF49" s="175">
        <v>11917.847358252448</v>
      </c>
      <c r="BG49" s="175">
        <v>12316.598300447495</v>
      </c>
      <c r="BH49" s="375">
        <f ca="1">SUM(AV49:OFFSET(AV49,0,$F$2-1))</f>
        <v>140124.25689752898</v>
      </c>
      <c r="BI49" s="175">
        <f t="shared" si="76"/>
        <v>35325.885202407815</v>
      </c>
      <c r="BJ49" s="175">
        <f t="shared" si="77"/>
        <v>33407.127391230766</v>
      </c>
      <c r="BK49" s="175">
        <f t="shared" si="78"/>
        <v>34594.054305789236</v>
      </c>
      <c r="BL49" s="175">
        <f t="shared" si="79"/>
        <v>36797.189998101167</v>
      </c>
      <c r="BM49" s="178"/>
      <c r="BN49" s="178"/>
      <c r="BO49" s="178"/>
      <c r="BP49" s="178">
        <v>10853.251933598169</v>
      </c>
      <c r="BQ49" s="178">
        <v>10917.591080938766</v>
      </c>
      <c r="BR49" s="178">
        <v>10826.259307028788</v>
      </c>
      <c r="BS49" s="178">
        <v>10566.073787524057</v>
      </c>
      <c r="BT49" s="178">
        <v>10333.847831847945</v>
      </c>
      <c r="BU49" s="178">
        <v>10638.389197985876</v>
      </c>
      <c r="BV49" s="178">
        <v>10858.469011940135</v>
      </c>
      <c r="BW49" s="178">
        <v>11480.482653761905</v>
      </c>
      <c r="BX49" s="178">
        <v>11360.612750758182</v>
      </c>
      <c r="BY49" s="178">
        <v>11929.053996813789</v>
      </c>
      <c r="BZ49" s="375">
        <f ca="1">SUM(BN49:OFFSET(BN49,0,$F$2-1))</f>
        <v>109764.03155219762</v>
      </c>
      <c r="CA49" s="175">
        <f t="shared" si="80"/>
        <v>10853.251933598169</v>
      </c>
      <c r="CB49" s="175">
        <f t="shared" si="81"/>
        <v>32309.924175491615</v>
      </c>
      <c r="CC49" s="175">
        <f t="shared" si="82"/>
        <v>31830.706041773956</v>
      </c>
      <c r="CD49" s="175">
        <f t="shared" si="83"/>
        <v>34770.149401333874</v>
      </c>
      <c r="CE49" s="178"/>
      <c r="CF49" s="97" t="s">
        <v>563</v>
      </c>
      <c r="CH49" s="178"/>
      <c r="CI49" s="178"/>
      <c r="CJ49" s="178">
        <f t="shared" si="84"/>
        <v>-528.30193359816985</v>
      </c>
      <c r="CK49" s="178">
        <f t="shared" si="85"/>
        <v>-633.94108093876639</v>
      </c>
      <c r="CL49" s="178">
        <f t="shared" si="86"/>
        <v>2025.8806929711791</v>
      </c>
      <c r="CM49" s="178">
        <f t="shared" si="87"/>
        <v>286.93621247593182</v>
      </c>
      <c r="CN49" s="178">
        <f t="shared" si="88"/>
        <v>-206.29783184793996</v>
      </c>
      <c r="CO49" s="178">
        <f t="shared" si="89"/>
        <v>-696.01919798586459</v>
      </c>
      <c r="CP49" s="178">
        <f t="shared" si="90"/>
        <v>-864.71901194012571</v>
      </c>
      <c r="CQ49" s="178">
        <f t="shared" si="91"/>
        <v>-1369.4326537618999</v>
      </c>
      <c r="CR49" s="178"/>
      <c r="CS49" s="178"/>
      <c r="CU49" s="178">
        <f t="shared" si="92"/>
        <v>132044.26923063185</v>
      </c>
      <c r="CV49" s="178" t="e">
        <v>#VALUE!</v>
      </c>
      <c r="CW49" s="178">
        <f t="shared" si="93"/>
        <v>140124.25689752898</v>
      </c>
    </row>
    <row r="50" spans="2:101" outlineLevel="1">
      <c r="B50" s="97" t="s">
        <v>564</v>
      </c>
      <c r="C50" s="97" t="s">
        <v>542</v>
      </c>
      <c r="D50" s="97" t="s">
        <v>7</v>
      </c>
      <c r="E50" s="97" t="s">
        <v>144</v>
      </c>
      <c r="F50" s="329" t="s">
        <v>143</v>
      </c>
      <c r="G50" s="175">
        <v>415973.89999999892</v>
      </c>
      <c r="H50" s="175">
        <v>389261.94999999995</v>
      </c>
      <c r="I50" s="390">
        <v>346834.89999999967</v>
      </c>
      <c r="J50" s="390">
        <v>277769.61000000185</v>
      </c>
      <c r="K50" s="175">
        <v>281560.45000000141</v>
      </c>
      <c r="L50" s="175">
        <v>268826.88000000163</v>
      </c>
      <c r="M50" s="175">
        <v>287550.91000000114</v>
      </c>
      <c r="N50" s="175">
        <v>287170.17000000144</v>
      </c>
      <c r="O50" s="175">
        <v>269131.65000000159</v>
      </c>
      <c r="P50" s="175">
        <v>281126.36000000138</v>
      </c>
      <c r="Q50" s="175">
        <v>306201.41000000085</v>
      </c>
      <c r="R50" s="175">
        <v>339910.18000000034</v>
      </c>
      <c r="S50" s="375">
        <f ca="1">SUM(G50:OFFSET(G50,0,$F$2-1))</f>
        <v>3751318.3700000099</v>
      </c>
      <c r="T50" s="175">
        <f t="shared" si="66"/>
        <v>1152070.7499999986</v>
      </c>
      <c r="U50" s="175">
        <f t="shared" si="67"/>
        <v>828156.94000000495</v>
      </c>
      <c r="V50" s="175">
        <f t="shared" si="68"/>
        <v>843852.73000000417</v>
      </c>
      <c r="W50" s="175">
        <f t="shared" si="69"/>
        <v>927237.95000000251</v>
      </c>
      <c r="X50" s="178"/>
      <c r="Y50" s="179">
        <v>400013.62999999977</v>
      </c>
      <c r="Z50" s="179">
        <v>378892.30000000022</v>
      </c>
      <c r="AA50" s="179">
        <v>340158.13000000035</v>
      </c>
      <c r="AB50" s="179">
        <v>384970.1999999996</v>
      </c>
      <c r="AC50" s="179">
        <v>320287.50000000023</v>
      </c>
      <c r="AD50" s="179">
        <v>296880.81000000081</v>
      </c>
      <c r="AE50" s="179">
        <v>310441.36000000022</v>
      </c>
      <c r="AF50" s="179">
        <v>276000.56000000157</v>
      </c>
      <c r="AG50" s="179">
        <v>278860.74000000104</v>
      </c>
      <c r="AH50" s="179">
        <v>286216.38000000117</v>
      </c>
      <c r="AI50" s="179">
        <v>300641.99000000057</v>
      </c>
      <c r="AJ50" s="179">
        <v>333284.52000000025</v>
      </c>
      <c r="AK50" s="177">
        <f t="shared" si="70"/>
        <v>3906648.1200000057</v>
      </c>
      <c r="AL50" s="97" t="s">
        <v>7</v>
      </c>
      <c r="AM50" s="97" t="s">
        <v>7</v>
      </c>
      <c r="AN50" s="180" t="str">
        <f t="shared" si="94"/>
        <v>FPU - FPU - LVS</v>
      </c>
      <c r="AP50" s="375"/>
      <c r="AQ50" s="175">
        <f t="shared" si="72"/>
        <v>1119064.0600000003</v>
      </c>
      <c r="AR50" s="175">
        <f t="shared" si="73"/>
        <v>1002138.5100000007</v>
      </c>
      <c r="AS50" s="175">
        <f t="shared" si="74"/>
        <v>865302.66000000283</v>
      </c>
      <c r="AT50" s="175">
        <f t="shared" si="75"/>
        <v>920142.89000000199</v>
      </c>
      <c r="AU50" s="181"/>
      <c r="AV50" s="175">
        <v>408084.2537014471</v>
      </c>
      <c r="AW50" s="175">
        <v>369907.84939321893</v>
      </c>
      <c r="AX50" s="175">
        <v>337776.54179208033</v>
      </c>
      <c r="AY50" s="175">
        <v>318883.24961451674</v>
      </c>
      <c r="AZ50" s="175">
        <v>295844.98027597263</v>
      </c>
      <c r="BA50" s="175">
        <v>285193.87602456962</v>
      </c>
      <c r="BB50" s="175">
        <v>271104.01490926754</v>
      </c>
      <c r="BC50" s="175">
        <v>277455.78875679884</v>
      </c>
      <c r="BD50" s="175">
        <v>261844.53995141399</v>
      </c>
      <c r="BE50" s="175">
        <v>266209.04060665733</v>
      </c>
      <c r="BF50" s="175">
        <v>326964.78125134367</v>
      </c>
      <c r="BG50" s="175">
        <v>364157.5914629703</v>
      </c>
      <c r="BH50" s="375">
        <f ca="1">SUM(AV50:OFFSET(AV50,0,$F$2-1))</f>
        <v>3783426.5077402568</v>
      </c>
      <c r="BI50" s="175">
        <f t="shared" si="76"/>
        <v>1115768.6448867463</v>
      </c>
      <c r="BJ50" s="175">
        <f t="shared" si="77"/>
        <v>899922.10591505899</v>
      </c>
      <c r="BK50" s="175">
        <f t="shared" si="78"/>
        <v>810404.34361748036</v>
      </c>
      <c r="BL50" s="175">
        <f t="shared" si="79"/>
        <v>957331.41332097119</v>
      </c>
      <c r="BM50" s="178"/>
      <c r="BN50" s="178"/>
      <c r="BO50" s="178"/>
      <c r="BP50" s="178">
        <v>342443.15043064597</v>
      </c>
      <c r="BQ50" s="178">
        <v>336302.59672225715</v>
      </c>
      <c r="BR50" s="178">
        <v>310642.88848048577</v>
      </c>
      <c r="BS50" s="178">
        <v>307150.2913794145</v>
      </c>
      <c r="BT50" s="178">
        <v>266683.59508724243</v>
      </c>
      <c r="BU50" s="178">
        <v>275607.48648581852</v>
      </c>
      <c r="BV50" s="178">
        <v>260705.07922424458</v>
      </c>
      <c r="BW50" s="178">
        <v>264295.81723605131</v>
      </c>
      <c r="BX50" s="178">
        <v>326640.00922578998</v>
      </c>
      <c r="BY50" s="178">
        <v>363841.40973227337</v>
      </c>
      <c r="BZ50" s="375">
        <f ca="1">SUM(BN50:OFFSET(BN50,0,$F$2-1))</f>
        <v>3054312.3240042236</v>
      </c>
      <c r="CA50" s="175">
        <f t="shared" si="80"/>
        <v>342443.15043064597</v>
      </c>
      <c r="CB50" s="175">
        <f t="shared" si="81"/>
        <v>954095.77658215747</v>
      </c>
      <c r="CC50" s="175">
        <f t="shared" si="82"/>
        <v>802996.16079730552</v>
      </c>
      <c r="CD50" s="175">
        <f t="shared" si="83"/>
        <v>954777.23619411467</v>
      </c>
      <c r="CE50" s="178"/>
      <c r="CF50" s="97" t="s">
        <v>564</v>
      </c>
      <c r="CH50" s="178"/>
      <c r="CI50" s="178"/>
      <c r="CJ50" s="178">
        <f t="shared" si="84"/>
        <v>-2285.0204306456144</v>
      </c>
      <c r="CK50" s="178">
        <f t="shared" si="85"/>
        <v>48667.603277742455</v>
      </c>
      <c r="CL50" s="178">
        <f t="shared" si="86"/>
        <v>9644.6115195144666</v>
      </c>
      <c r="CM50" s="178">
        <f t="shared" si="87"/>
        <v>-10269.481379413686</v>
      </c>
      <c r="CN50" s="178">
        <f t="shared" si="88"/>
        <v>43757.76491275779</v>
      </c>
      <c r="CO50" s="178">
        <f t="shared" si="89"/>
        <v>393.07351418305188</v>
      </c>
      <c r="CP50" s="178">
        <f t="shared" si="90"/>
        <v>18155.660775756463</v>
      </c>
      <c r="CQ50" s="178">
        <f t="shared" si="91"/>
        <v>21920.562763949856</v>
      </c>
      <c r="CR50" s="178"/>
      <c r="CS50" s="178"/>
      <c r="CU50" s="178">
        <f t="shared" si="92"/>
        <v>3889245.4483708348</v>
      </c>
      <c r="CV50" s="178" t="e">
        <v>#VALUE!</v>
      </c>
      <c r="CW50" s="178">
        <f t="shared" si="93"/>
        <v>3783426.5077402568</v>
      </c>
    </row>
    <row r="51" spans="2:101" outlineLevel="1">
      <c r="B51" s="97" t="s">
        <v>317</v>
      </c>
      <c r="C51" s="97" t="s">
        <v>542</v>
      </c>
      <c r="D51" s="97" t="s">
        <v>7</v>
      </c>
      <c r="F51" s="391" t="s">
        <v>317</v>
      </c>
      <c r="G51" s="392"/>
      <c r="H51" s="392"/>
      <c r="I51" s="393"/>
      <c r="J51" s="393"/>
      <c r="K51" s="392"/>
      <c r="L51" s="392"/>
      <c r="M51" s="392"/>
      <c r="N51" s="392"/>
      <c r="O51" s="392"/>
      <c r="P51" s="392"/>
      <c r="Q51" s="392"/>
      <c r="R51" s="392"/>
      <c r="S51" s="375">
        <f ca="1">SUM(G51:OFFSET(G51,0,$F$2-1))</f>
        <v>0</v>
      </c>
      <c r="T51" s="175">
        <f t="shared" si="66"/>
        <v>0</v>
      </c>
      <c r="U51" s="175">
        <f t="shared" si="67"/>
        <v>0</v>
      </c>
      <c r="V51" s="175">
        <f t="shared" si="68"/>
        <v>0</v>
      </c>
      <c r="W51" s="175">
        <f t="shared" si="69"/>
        <v>0</v>
      </c>
      <c r="X51" s="178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>
        <v>0</v>
      </c>
      <c r="AK51" s="177">
        <f t="shared" si="70"/>
        <v>0</v>
      </c>
      <c r="AL51" s="97" t="s">
        <v>7</v>
      </c>
      <c r="AM51" s="97" t="s">
        <v>7</v>
      </c>
      <c r="AN51" s="180" t="str">
        <f t="shared" si="94"/>
        <v>FPU - FPU - LVS Large Customers Non-Residential</v>
      </c>
      <c r="AP51" s="375"/>
      <c r="AQ51" s="175">
        <f t="shared" si="72"/>
        <v>0</v>
      </c>
      <c r="AR51" s="175">
        <f t="shared" si="73"/>
        <v>0</v>
      </c>
      <c r="AS51" s="175">
        <f t="shared" si="74"/>
        <v>0</v>
      </c>
      <c r="AT51" s="175">
        <f t="shared" si="75"/>
        <v>0</v>
      </c>
      <c r="AU51" s="181"/>
      <c r="AV51" s="392"/>
      <c r="AW51" s="392"/>
      <c r="AX51" s="393"/>
      <c r="AY51" s="393"/>
      <c r="AZ51" s="392"/>
      <c r="BA51" s="392"/>
      <c r="BB51" s="392"/>
      <c r="BC51" s="392"/>
      <c r="BD51" s="392"/>
      <c r="BE51" s="392"/>
      <c r="BF51" s="392"/>
      <c r="BG51" s="392"/>
      <c r="BH51" s="375">
        <f ca="1">SUM(AV51:OFFSET(AV51,0,$F$2-1))</f>
        <v>0</v>
      </c>
      <c r="BI51" s="175">
        <f t="shared" si="76"/>
        <v>0</v>
      </c>
      <c r="BJ51" s="175">
        <f t="shared" si="77"/>
        <v>0</v>
      </c>
      <c r="BK51" s="175">
        <f t="shared" si="78"/>
        <v>0</v>
      </c>
      <c r="BL51" s="175">
        <f t="shared" si="79"/>
        <v>0</v>
      </c>
      <c r="BM51" s="178"/>
      <c r="BN51" s="179"/>
      <c r="BO51" s="179"/>
      <c r="BP51" s="388">
        <v>0</v>
      </c>
      <c r="BQ51" s="388">
        <v>0</v>
      </c>
      <c r="BR51" s="388">
        <v>0</v>
      </c>
      <c r="BS51" s="388">
        <v>0</v>
      </c>
      <c r="BT51" s="388">
        <v>0</v>
      </c>
      <c r="BU51" s="388">
        <v>0</v>
      </c>
      <c r="BV51" s="388">
        <v>0</v>
      </c>
      <c r="BW51" s="388">
        <v>0</v>
      </c>
      <c r="BX51" s="388">
        <v>0</v>
      </c>
      <c r="BY51" s="388">
        <v>0</v>
      </c>
      <c r="BZ51" s="375">
        <f ca="1">SUM(BN51:OFFSET(BN51,0,$F$2-1))</f>
        <v>0</v>
      </c>
      <c r="CA51" s="175">
        <f t="shared" si="80"/>
        <v>0</v>
      </c>
      <c r="CB51" s="175">
        <f t="shared" si="81"/>
        <v>0</v>
      </c>
      <c r="CC51" s="175">
        <f t="shared" si="82"/>
        <v>0</v>
      </c>
      <c r="CD51" s="175">
        <f t="shared" si="83"/>
        <v>0</v>
      </c>
      <c r="CE51" s="178"/>
      <c r="CF51" s="97"/>
      <c r="CH51" s="388"/>
      <c r="CI51" s="388"/>
      <c r="CJ51" s="388">
        <f t="shared" si="84"/>
        <v>0</v>
      </c>
      <c r="CK51" s="388">
        <f t="shared" si="85"/>
        <v>0</v>
      </c>
      <c r="CL51" s="388">
        <f t="shared" si="86"/>
        <v>0</v>
      </c>
      <c r="CM51" s="388">
        <f t="shared" si="87"/>
        <v>0</v>
      </c>
      <c r="CN51" s="388">
        <f t="shared" si="88"/>
        <v>0</v>
      </c>
      <c r="CO51" s="388">
        <f t="shared" si="89"/>
        <v>0</v>
      </c>
      <c r="CP51" s="388">
        <f t="shared" si="90"/>
        <v>0</v>
      </c>
      <c r="CQ51" s="388">
        <f t="shared" si="91"/>
        <v>0</v>
      </c>
      <c r="CR51" s="388"/>
      <c r="CS51" s="388"/>
      <c r="CU51" s="388">
        <f t="shared" si="92"/>
        <v>0</v>
      </c>
      <c r="CV51" s="388" t="e">
        <v>#VALUE!</v>
      </c>
      <c r="CW51" s="388">
        <f t="shared" si="93"/>
        <v>0</v>
      </c>
    </row>
    <row r="52" spans="2:101" outlineLevel="1">
      <c r="B52" s="97" t="s">
        <v>565</v>
      </c>
      <c r="C52" s="97" t="s">
        <v>542</v>
      </c>
      <c r="D52" s="97" t="s">
        <v>7</v>
      </c>
      <c r="F52" s="329" t="s">
        <v>145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375">
        <f ca="1">SUM(G52:OFFSET(G52,0,$F$2-1))</f>
        <v>0</v>
      </c>
      <c r="T52" s="175">
        <f t="shared" si="66"/>
        <v>0</v>
      </c>
      <c r="U52" s="175">
        <f t="shared" si="67"/>
        <v>0</v>
      </c>
      <c r="V52" s="175">
        <f t="shared" si="68"/>
        <v>0</v>
      </c>
      <c r="W52" s="175">
        <f t="shared" si="69"/>
        <v>0</v>
      </c>
      <c r="X52" s="178"/>
      <c r="Y52" s="179">
        <v>0</v>
      </c>
      <c r="Z52" s="179">
        <v>0</v>
      </c>
      <c r="AA52" s="179">
        <v>0</v>
      </c>
      <c r="AB52" s="179">
        <v>0</v>
      </c>
      <c r="AC52" s="179">
        <v>0</v>
      </c>
      <c r="AD52" s="179">
        <v>0</v>
      </c>
      <c r="AE52" s="179">
        <v>0</v>
      </c>
      <c r="AF52" s="179">
        <v>0</v>
      </c>
      <c r="AG52" s="179">
        <v>0</v>
      </c>
      <c r="AH52" s="179">
        <v>0</v>
      </c>
      <c r="AI52" s="179">
        <v>0</v>
      </c>
      <c r="AJ52" s="179">
        <v>0</v>
      </c>
      <c r="AK52" s="177">
        <f t="shared" si="70"/>
        <v>0</v>
      </c>
      <c r="AL52" s="97" t="s">
        <v>7</v>
      </c>
      <c r="AM52" s="97" t="s">
        <v>7</v>
      </c>
      <c r="AN52" s="180" t="str">
        <f t="shared" si="94"/>
        <v>FPU - FPU - LVTS &lt;50k</v>
      </c>
      <c r="AP52" s="375"/>
      <c r="AQ52" s="175">
        <f t="shared" si="72"/>
        <v>0</v>
      </c>
      <c r="AR52" s="175">
        <f t="shared" si="73"/>
        <v>0</v>
      </c>
      <c r="AS52" s="175">
        <f t="shared" si="74"/>
        <v>0</v>
      </c>
      <c r="AT52" s="175">
        <f t="shared" si="75"/>
        <v>0</v>
      </c>
      <c r="AU52" s="181"/>
      <c r="AV52" s="175">
        <v>0</v>
      </c>
      <c r="AW52" s="175">
        <v>0</v>
      </c>
      <c r="AX52" s="175">
        <v>0</v>
      </c>
      <c r="AY52" s="175">
        <v>0</v>
      </c>
      <c r="AZ52" s="175">
        <v>0</v>
      </c>
      <c r="BA52" s="175">
        <v>0</v>
      </c>
      <c r="BB52" s="175">
        <v>0</v>
      </c>
      <c r="BC52" s="175">
        <v>0</v>
      </c>
      <c r="BD52" s="175">
        <v>0</v>
      </c>
      <c r="BE52" s="175">
        <v>0</v>
      </c>
      <c r="BF52" s="175">
        <v>0</v>
      </c>
      <c r="BG52" s="175">
        <v>0</v>
      </c>
      <c r="BH52" s="375">
        <f ca="1">SUM(AV52:OFFSET(AV52,0,$F$2-1))</f>
        <v>0</v>
      </c>
      <c r="BI52" s="175">
        <f t="shared" si="76"/>
        <v>0</v>
      </c>
      <c r="BJ52" s="175">
        <f t="shared" si="77"/>
        <v>0</v>
      </c>
      <c r="BK52" s="175">
        <f t="shared" si="78"/>
        <v>0</v>
      </c>
      <c r="BL52" s="175">
        <f t="shared" si="79"/>
        <v>0</v>
      </c>
      <c r="BM52" s="178"/>
      <c r="BN52" s="178"/>
      <c r="BO52" s="178"/>
      <c r="BP52" s="178">
        <v>0</v>
      </c>
      <c r="BQ52" s="178">
        <v>0</v>
      </c>
      <c r="BR52" s="178">
        <v>0</v>
      </c>
      <c r="BS52" s="178">
        <v>0</v>
      </c>
      <c r="BT52" s="178">
        <v>0</v>
      </c>
      <c r="BU52" s="178">
        <v>0</v>
      </c>
      <c r="BV52" s="178">
        <v>0</v>
      </c>
      <c r="BW52" s="178">
        <v>0</v>
      </c>
      <c r="BX52" s="178">
        <v>0</v>
      </c>
      <c r="BY52" s="178">
        <v>0</v>
      </c>
      <c r="BZ52" s="375">
        <f ca="1">SUM(BN52:OFFSET(BN52,0,$F$2-1))</f>
        <v>0</v>
      </c>
      <c r="CA52" s="175">
        <f t="shared" si="80"/>
        <v>0</v>
      </c>
      <c r="CB52" s="175">
        <f t="shared" si="81"/>
        <v>0</v>
      </c>
      <c r="CC52" s="175">
        <f t="shared" si="82"/>
        <v>0</v>
      </c>
      <c r="CD52" s="175">
        <f t="shared" si="83"/>
        <v>0</v>
      </c>
      <c r="CE52" s="178"/>
      <c r="CF52" s="97" t="s">
        <v>565</v>
      </c>
      <c r="CH52" s="178"/>
      <c r="CI52" s="178"/>
      <c r="CJ52" s="178">
        <f t="shared" si="84"/>
        <v>0</v>
      </c>
      <c r="CK52" s="178">
        <f t="shared" si="85"/>
        <v>0</v>
      </c>
      <c r="CL52" s="178">
        <f t="shared" si="86"/>
        <v>0</v>
      </c>
      <c r="CM52" s="178">
        <f t="shared" si="87"/>
        <v>0</v>
      </c>
      <c r="CN52" s="178">
        <f t="shared" si="88"/>
        <v>0</v>
      </c>
      <c r="CO52" s="178">
        <f t="shared" si="89"/>
        <v>0</v>
      </c>
      <c r="CP52" s="178">
        <f t="shared" si="90"/>
        <v>0</v>
      </c>
      <c r="CQ52" s="178">
        <f t="shared" si="91"/>
        <v>0</v>
      </c>
      <c r="CR52" s="178"/>
      <c r="CS52" s="178"/>
      <c r="CU52" s="178">
        <f t="shared" si="92"/>
        <v>0</v>
      </c>
      <c r="CV52" s="178" t="e">
        <v>#VALUE!</v>
      </c>
      <c r="CW52" s="178">
        <f t="shared" si="93"/>
        <v>0</v>
      </c>
    </row>
    <row r="53" spans="2:101" outlineLevel="1">
      <c r="B53" s="97" t="s">
        <v>566</v>
      </c>
      <c r="C53" s="97" t="s">
        <v>542</v>
      </c>
      <c r="D53" s="97" t="s">
        <v>7</v>
      </c>
      <c r="E53" s="97" t="s">
        <v>147</v>
      </c>
      <c r="F53" s="329" t="s">
        <v>146</v>
      </c>
      <c r="G53" s="175">
        <v>1274126.1199999999</v>
      </c>
      <c r="H53" s="175">
        <v>1199211.3199999984</v>
      </c>
      <c r="I53" s="175">
        <v>1147941.2299999984</v>
      </c>
      <c r="J53" s="175">
        <v>945109.99999999476</v>
      </c>
      <c r="K53" s="176">
        <v>923213.2199999966</v>
      </c>
      <c r="L53" s="175">
        <v>956223.88999999699</v>
      </c>
      <c r="M53" s="175">
        <v>1002362.92</v>
      </c>
      <c r="N53" s="175">
        <v>972881.40999999701</v>
      </c>
      <c r="O53" s="175">
        <v>985434.26999999594</v>
      </c>
      <c r="P53" s="175">
        <v>990273.20999999798</v>
      </c>
      <c r="Q53" s="175">
        <v>1029692.28</v>
      </c>
      <c r="R53" s="175">
        <v>1120504.98</v>
      </c>
      <c r="S53" s="375">
        <f ca="1">SUM(G53:OFFSET(G53,0,$F$2-1))</f>
        <v>12546974.849999975</v>
      </c>
      <c r="T53" s="175">
        <f t="shared" si="66"/>
        <v>3621278.6699999971</v>
      </c>
      <c r="U53" s="175">
        <f t="shared" si="67"/>
        <v>2824547.1099999882</v>
      </c>
      <c r="V53" s="175">
        <f t="shared" si="68"/>
        <v>2960678.5999999931</v>
      </c>
      <c r="W53" s="175">
        <f t="shared" si="69"/>
        <v>3140470.4699999979</v>
      </c>
      <c r="X53" s="178"/>
      <c r="Y53" s="179">
        <v>1182652.45</v>
      </c>
      <c r="Z53" s="179">
        <v>1105333.4799999977</v>
      </c>
      <c r="AA53" s="179">
        <v>1161331.2499999979</v>
      </c>
      <c r="AB53" s="179">
        <v>1138883.0999999968</v>
      </c>
      <c r="AC53" s="179">
        <v>1105140.029999997</v>
      </c>
      <c r="AD53" s="179">
        <v>1038314.0199999979</v>
      </c>
      <c r="AE53" s="179">
        <v>1100091.2499999974</v>
      </c>
      <c r="AF53" s="179">
        <v>1036810.4499999969</v>
      </c>
      <c r="AG53" s="179">
        <v>1103363.5499999966</v>
      </c>
      <c r="AH53" s="179">
        <v>1094899.8799999973</v>
      </c>
      <c r="AI53" s="179">
        <v>1143636.3499999973</v>
      </c>
      <c r="AJ53" s="179">
        <v>1183637.1199999994</v>
      </c>
      <c r="AK53" s="177">
        <f t="shared" si="70"/>
        <v>13394092.929999972</v>
      </c>
      <c r="AL53" s="97" t="s">
        <v>7</v>
      </c>
      <c r="AM53" s="97" t="s">
        <v>7</v>
      </c>
      <c r="AN53" s="180" t="str">
        <f t="shared" si="94"/>
        <v>FPU - FPU - LVTS &gt;50k</v>
      </c>
      <c r="AP53" s="375"/>
      <c r="AQ53" s="175">
        <f t="shared" si="72"/>
        <v>3449317.179999996</v>
      </c>
      <c r="AR53" s="175">
        <f t="shared" si="73"/>
        <v>3282337.149999992</v>
      </c>
      <c r="AS53" s="175">
        <f t="shared" si="74"/>
        <v>3240265.2499999912</v>
      </c>
      <c r="AT53" s="175">
        <f t="shared" si="75"/>
        <v>3422173.349999994</v>
      </c>
      <c r="AU53" s="181"/>
      <c r="AV53" s="175">
        <v>1295859.2168509315</v>
      </c>
      <c r="AW53" s="175">
        <v>1196735.5976029425</v>
      </c>
      <c r="AX53" s="175">
        <v>1164454.290485872</v>
      </c>
      <c r="AY53" s="175">
        <v>1089822.162019209</v>
      </c>
      <c r="AZ53" s="175">
        <v>1043527.0737004635</v>
      </c>
      <c r="BA53" s="175">
        <v>1031967.5379106459</v>
      </c>
      <c r="BB53" s="175">
        <v>1034119.7917716212</v>
      </c>
      <c r="BC53" s="175">
        <v>1055347.3719912975</v>
      </c>
      <c r="BD53" s="175">
        <v>1028377.450786464</v>
      </c>
      <c r="BE53" s="175">
        <v>1057773.4741105284</v>
      </c>
      <c r="BF53" s="175">
        <v>1156201.9908436234</v>
      </c>
      <c r="BG53" s="175">
        <v>1257543.0829673638</v>
      </c>
      <c r="BH53" s="375">
        <f ca="1">SUM(AV53:OFFSET(AV53,0,$F$2-1))</f>
        <v>13411729.041040963</v>
      </c>
      <c r="BI53" s="175">
        <f t="shared" si="76"/>
        <v>3657049.1049397457</v>
      </c>
      <c r="BJ53" s="175">
        <f t="shared" si="77"/>
        <v>3165316.7736303182</v>
      </c>
      <c r="BK53" s="175">
        <f t="shared" si="78"/>
        <v>3117844.6145493826</v>
      </c>
      <c r="BL53" s="175">
        <f t="shared" si="79"/>
        <v>3471518.5479215155</v>
      </c>
      <c r="BM53" s="178"/>
      <c r="BN53" s="178"/>
      <c r="BO53" s="178"/>
      <c r="BP53" s="178">
        <v>1143995.3738548416</v>
      </c>
      <c r="BQ53" s="178">
        <v>1104124.8630938365</v>
      </c>
      <c r="BR53" s="178">
        <v>1044913.2703222601</v>
      </c>
      <c r="BS53" s="178">
        <v>1027985.3183861689</v>
      </c>
      <c r="BT53" s="178">
        <v>981807.55796327931</v>
      </c>
      <c r="BU53" s="178">
        <v>1022953.0384305484</v>
      </c>
      <c r="BV53" s="178">
        <v>996937.68105031084</v>
      </c>
      <c r="BW53" s="178">
        <v>1010157.6723073496</v>
      </c>
      <c r="BX53" s="178">
        <v>1122831.2700799957</v>
      </c>
      <c r="BY53" s="178">
        <v>1215098.7075620776</v>
      </c>
      <c r="BZ53" s="375">
        <f ca="1">SUM(BN53:OFFSET(BN53,0,$F$2-1))</f>
        <v>10670804.753050668</v>
      </c>
      <c r="CA53" s="175">
        <f t="shared" si="80"/>
        <v>1143995.3738548416</v>
      </c>
      <c r="CB53" s="175">
        <f t="shared" si="81"/>
        <v>3177023.4518022658</v>
      </c>
      <c r="CC53" s="175">
        <f t="shared" si="82"/>
        <v>3001698.2774441387</v>
      </c>
      <c r="CD53" s="175">
        <f t="shared" si="83"/>
        <v>3348087.649949423</v>
      </c>
      <c r="CE53" s="178"/>
      <c r="CF53" s="97" t="s">
        <v>566</v>
      </c>
      <c r="CH53" s="178"/>
      <c r="CI53" s="178"/>
      <c r="CJ53" s="178">
        <f t="shared" si="84"/>
        <v>17335.876145156333</v>
      </c>
      <c r="CK53" s="178">
        <f t="shared" si="85"/>
        <v>34758.236906160368</v>
      </c>
      <c r="CL53" s="178">
        <f t="shared" si="86"/>
        <v>60226.759677736904</v>
      </c>
      <c r="CM53" s="178">
        <f t="shared" si="87"/>
        <v>10328.701613829006</v>
      </c>
      <c r="CN53" s="178">
        <f t="shared" si="88"/>
        <v>118283.69203671813</v>
      </c>
      <c r="CO53" s="178">
        <f t="shared" si="89"/>
        <v>13857.411569448537</v>
      </c>
      <c r="CP53" s="178">
        <f t="shared" si="90"/>
        <v>106425.86894968571</v>
      </c>
      <c r="CQ53" s="178">
        <f t="shared" si="91"/>
        <v>84742.207692647702</v>
      </c>
      <c r="CR53" s="178"/>
      <c r="CS53" s="178"/>
      <c r="CU53" s="178">
        <f t="shared" si="92"/>
        <v>13071111.55577972</v>
      </c>
      <c r="CV53" s="178" t="e">
        <v>#VALUE!</v>
      </c>
      <c r="CW53" s="178">
        <f t="shared" si="93"/>
        <v>13411729.041040963</v>
      </c>
    </row>
    <row r="54" spans="2:101" ht="11.1" customHeight="1" outlineLevel="1">
      <c r="B54" s="97" t="s">
        <v>318</v>
      </c>
      <c r="C54" s="97" t="s">
        <v>542</v>
      </c>
      <c r="D54" s="97" t="s">
        <v>7</v>
      </c>
      <c r="F54" s="391" t="s">
        <v>318</v>
      </c>
      <c r="G54" s="392"/>
      <c r="H54" s="392"/>
      <c r="I54" s="392"/>
      <c r="J54" s="392"/>
      <c r="K54" s="394"/>
      <c r="L54" s="392"/>
      <c r="M54" s="392"/>
      <c r="N54" s="392"/>
      <c r="O54" s="392"/>
      <c r="P54" s="392"/>
      <c r="Q54" s="392"/>
      <c r="R54" s="392"/>
      <c r="S54" s="375">
        <f ca="1">SUM(G54:OFFSET(G54,0,$F$2-1))</f>
        <v>0</v>
      </c>
      <c r="T54" s="175">
        <f t="shared" si="66"/>
        <v>0</v>
      </c>
      <c r="U54" s="175">
        <f t="shared" si="67"/>
        <v>0</v>
      </c>
      <c r="V54" s="175">
        <f t="shared" si="68"/>
        <v>0</v>
      </c>
      <c r="W54" s="175">
        <f t="shared" si="69"/>
        <v>0</v>
      </c>
      <c r="X54" s="178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>
        <v>0</v>
      </c>
      <c r="AK54" s="177">
        <f t="shared" si="70"/>
        <v>0</v>
      </c>
      <c r="AL54" s="97" t="s">
        <v>7</v>
      </c>
      <c r="AM54" s="97" t="s">
        <v>7</v>
      </c>
      <c r="AN54" s="180" t="str">
        <f t="shared" si="94"/>
        <v>FPU - FPU - LVTS &gt;50k Large Customers Non-Residential</v>
      </c>
      <c r="AP54" s="375"/>
      <c r="AQ54" s="175">
        <f t="shared" si="72"/>
        <v>0</v>
      </c>
      <c r="AR54" s="175">
        <f t="shared" si="73"/>
        <v>0</v>
      </c>
      <c r="AS54" s="175">
        <f t="shared" si="74"/>
        <v>0</v>
      </c>
      <c r="AT54" s="175">
        <f t="shared" si="75"/>
        <v>0</v>
      </c>
      <c r="AU54" s="181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75">
        <f ca="1">SUM(AV54:OFFSET(AV54,0,$F$2-1))</f>
        <v>0</v>
      </c>
      <c r="BI54" s="175">
        <f t="shared" si="76"/>
        <v>0</v>
      </c>
      <c r="BJ54" s="175">
        <f t="shared" si="77"/>
        <v>0</v>
      </c>
      <c r="BK54" s="175">
        <f t="shared" si="78"/>
        <v>0</v>
      </c>
      <c r="BL54" s="175">
        <f t="shared" si="79"/>
        <v>0</v>
      </c>
      <c r="BM54" s="178"/>
      <c r="BN54" s="179"/>
      <c r="BO54" s="179"/>
      <c r="BP54" s="388">
        <v>0</v>
      </c>
      <c r="BQ54" s="388">
        <v>0</v>
      </c>
      <c r="BR54" s="388">
        <v>0</v>
      </c>
      <c r="BS54" s="388">
        <v>0</v>
      </c>
      <c r="BT54" s="388">
        <v>0</v>
      </c>
      <c r="BU54" s="388">
        <v>0</v>
      </c>
      <c r="BV54" s="388">
        <v>0</v>
      </c>
      <c r="BW54" s="388">
        <v>0</v>
      </c>
      <c r="BX54" s="388">
        <v>0</v>
      </c>
      <c r="BY54" s="388">
        <v>0</v>
      </c>
      <c r="BZ54" s="375">
        <f ca="1">SUM(BN54:OFFSET(BN54,0,$F$2-1))</f>
        <v>0</v>
      </c>
      <c r="CA54" s="175">
        <f t="shared" si="80"/>
        <v>0</v>
      </c>
      <c r="CB54" s="175">
        <f t="shared" si="81"/>
        <v>0</v>
      </c>
      <c r="CC54" s="175">
        <f t="shared" si="82"/>
        <v>0</v>
      </c>
      <c r="CD54" s="175">
        <f t="shared" si="83"/>
        <v>0</v>
      </c>
      <c r="CE54" s="178"/>
      <c r="CF54" s="97"/>
      <c r="CH54" s="388"/>
      <c r="CI54" s="388"/>
      <c r="CJ54" s="388">
        <f t="shared" si="84"/>
        <v>0</v>
      </c>
      <c r="CK54" s="388">
        <f t="shared" si="85"/>
        <v>0</v>
      </c>
      <c r="CL54" s="388">
        <f t="shared" si="86"/>
        <v>0</v>
      </c>
      <c r="CM54" s="388">
        <f t="shared" si="87"/>
        <v>0</v>
      </c>
      <c r="CN54" s="388">
        <f t="shared" si="88"/>
        <v>0</v>
      </c>
      <c r="CO54" s="388">
        <f t="shared" si="89"/>
        <v>0</v>
      </c>
      <c r="CP54" s="388">
        <f t="shared" si="90"/>
        <v>0</v>
      </c>
      <c r="CQ54" s="388">
        <f t="shared" si="91"/>
        <v>0</v>
      </c>
      <c r="CR54" s="388"/>
      <c r="CS54" s="388"/>
      <c r="CU54" s="388">
        <f t="shared" si="92"/>
        <v>0</v>
      </c>
      <c r="CV54" s="388" t="e">
        <v>#VALUE!</v>
      </c>
      <c r="CW54" s="388">
        <f t="shared" si="93"/>
        <v>0</v>
      </c>
    </row>
    <row r="55" spans="2:101" outlineLevel="1">
      <c r="B55" s="97" t="s">
        <v>567</v>
      </c>
      <c r="C55" s="97" t="s">
        <v>542</v>
      </c>
      <c r="D55" s="97" t="s">
        <v>7</v>
      </c>
      <c r="F55" s="329" t="s">
        <v>148</v>
      </c>
      <c r="G55" s="175">
        <v>0</v>
      </c>
      <c r="H55" s="175">
        <v>0</v>
      </c>
      <c r="I55" s="175">
        <v>0</v>
      </c>
      <c r="J55" s="175">
        <v>0</v>
      </c>
      <c r="K55" s="176">
        <v>0</v>
      </c>
      <c r="L55" s="175">
        <v>0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  <c r="S55" s="375">
        <f ca="1">SUM(G55:OFFSET(G55,0,$F$2-1))</f>
        <v>0</v>
      </c>
      <c r="T55" s="175">
        <f t="shared" si="66"/>
        <v>0</v>
      </c>
      <c r="U55" s="175">
        <f t="shared" si="67"/>
        <v>0</v>
      </c>
      <c r="V55" s="175">
        <f t="shared" si="68"/>
        <v>0</v>
      </c>
      <c r="W55" s="175">
        <f t="shared" si="69"/>
        <v>0</v>
      </c>
      <c r="X55" s="178"/>
      <c r="Y55" s="179">
        <v>0</v>
      </c>
      <c r="Z55" s="179">
        <v>0</v>
      </c>
      <c r="AA55" s="179">
        <v>0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0</v>
      </c>
      <c r="AK55" s="177">
        <f t="shared" si="70"/>
        <v>0</v>
      </c>
      <c r="AL55" s="97" t="s">
        <v>7</v>
      </c>
      <c r="AM55" s="97" t="s">
        <v>7</v>
      </c>
      <c r="AN55" s="180" t="str">
        <f t="shared" si="94"/>
        <v>FPU - FPU - IS</v>
      </c>
      <c r="AP55" s="375"/>
      <c r="AQ55" s="175">
        <f t="shared" si="72"/>
        <v>0</v>
      </c>
      <c r="AR55" s="175">
        <f t="shared" si="73"/>
        <v>0</v>
      </c>
      <c r="AS55" s="175">
        <f t="shared" si="74"/>
        <v>0</v>
      </c>
      <c r="AT55" s="175">
        <f t="shared" si="75"/>
        <v>0</v>
      </c>
      <c r="AU55" s="181"/>
      <c r="AV55" s="175">
        <v>0</v>
      </c>
      <c r="AW55" s="175">
        <v>0</v>
      </c>
      <c r="AX55" s="175">
        <v>0</v>
      </c>
      <c r="AY55" s="175">
        <v>0</v>
      </c>
      <c r="AZ55" s="176">
        <v>0</v>
      </c>
      <c r="BA55" s="175">
        <v>0</v>
      </c>
      <c r="BB55" s="175">
        <v>0</v>
      </c>
      <c r="BC55" s="175">
        <v>0</v>
      </c>
      <c r="BD55" s="175">
        <v>0</v>
      </c>
      <c r="BE55" s="175">
        <v>0</v>
      </c>
      <c r="BF55" s="175">
        <v>0</v>
      </c>
      <c r="BG55" s="175">
        <v>0</v>
      </c>
      <c r="BH55" s="375">
        <f ca="1">SUM(AV55:OFFSET(AV55,0,$F$2-1))</f>
        <v>0</v>
      </c>
      <c r="BI55" s="175">
        <f t="shared" si="76"/>
        <v>0</v>
      </c>
      <c r="BJ55" s="175">
        <f t="shared" si="77"/>
        <v>0</v>
      </c>
      <c r="BK55" s="175">
        <f t="shared" si="78"/>
        <v>0</v>
      </c>
      <c r="BL55" s="175">
        <f t="shared" si="79"/>
        <v>0</v>
      </c>
      <c r="BM55" s="178"/>
      <c r="BN55" s="178"/>
      <c r="BO55" s="178"/>
      <c r="BP55" s="178">
        <v>0</v>
      </c>
      <c r="BQ55" s="178">
        <v>0</v>
      </c>
      <c r="BR55" s="178">
        <v>0</v>
      </c>
      <c r="BS55" s="178">
        <v>0</v>
      </c>
      <c r="BT55" s="178">
        <v>0</v>
      </c>
      <c r="BU55" s="178">
        <v>0</v>
      </c>
      <c r="BV55" s="178">
        <v>0</v>
      </c>
      <c r="BW55" s="178">
        <v>0</v>
      </c>
      <c r="BX55" s="178">
        <v>0</v>
      </c>
      <c r="BY55" s="178">
        <v>0</v>
      </c>
      <c r="BZ55" s="375">
        <f ca="1">SUM(BN55:OFFSET(BN55,0,$F$2-1))</f>
        <v>0</v>
      </c>
      <c r="CA55" s="175">
        <f t="shared" si="80"/>
        <v>0</v>
      </c>
      <c r="CB55" s="175">
        <f t="shared" si="81"/>
        <v>0</v>
      </c>
      <c r="CC55" s="175">
        <f t="shared" si="82"/>
        <v>0</v>
      </c>
      <c r="CD55" s="175">
        <f t="shared" si="83"/>
        <v>0</v>
      </c>
      <c r="CE55" s="178"/>
      <c r="CF55" s="97" t="s">
        <v>567</v>
      </c>
      <c r="CH55" s="178"/>
      <c r="CI55" s="178"/>
      <c r="CJ55" s="178">
        <f t="shared" si="84"/>
        <v>0</v>
      </c>
      <c r="CK55" s="178">
        <f t="shared" si="85"/>
        <v>0</v>
      </c>
      <c r="CL55" s="178">
        <f t="shared" si="86"/>
        <v>0</v>
      </c>
      <c r="CM55" s="178">
        <f t="shared" si="87"/>
        <v>0</v>
      </c>
      <c r="CN55" s="178">
        <f t="shared" si="88"/>
        <v>0</v>
      </c>
      <c r="CO55" s="178">
        <f t="shared" si="89"/>
        <v>0</v>
      </c>
      <c r="CP55" s="178">
        <f t="shared" si="90"/>
        <v>0</v>
      </c>
      <c r="CQ55" s="178">
        <f t="shared" si="91"/>
        <v>0</v>
      </c>
      <c r="CR55" s="178"/>
      <c r="CS55" s="178"/>
      <c r="CU55" s="178">
        <f t="shared" si="92"/>
        <v>0</v>
      </c>
      <c r="CV55" s="178" t="e">
        <v>#VALUE!</v>
      </c>
      <c r="CW55" s="178">
        <f t="shared" si="93"/>
        <v>0</v>
      </c>
    </row>
    <row r="56" spans="2:101" outlineLevel="1">
      <c r="B56" s="97" t="s">
        <v>568</v>
      </c>
      <c r="C56" s="97" t="s">
        <v>542</v>
      </c>
      <c r="D56" s="97" t="s">
        <v>7</v>
      </c>
      <c r="E56" s="97" t="s">
        <v>150</v>
      </c>
      <c r="F56" s="329" t="s">
        <v>149</v>
      </c>
      <c r="G56" s="175">
        <v>205853.4</v>
      </c>
      <c r="H56" s="175">
        <v>191894.57</v>
      </c>
      <c r="I56" s="175">
        <v>219778.35</v>
      </c>
      <c r="J56" s="175">
        <v>196506.05000000002</v>
      </c>
      <c r="K56" s="176">
        <v>211135.58</v>
      </c>
      <c r="L56" s="175">
        <v>191742.55000000002</v>
      </c>
      <c r="M56" s="175">
        <v>203988.59000000005</v>
      </c>
      <c r="N56" s="175">
        <v>205455.11000000007</v>
      </c>
      <c r="O56" s="175">
        <v>196715.88999999998</v>
      </c>
      <c r="P56" s="175">
        <v>207883.27000000002</v>
      </c>
      <c r="Q56" s="175">
        <v>208528.92</v>
      </c>
      <c r="R56" s="175">
        <v>215468.58999999994</v>
      </c>
      <c r="S56" s="375">
        <f ca="1">SUM(G56:OFFSET(G56,0,$F$2-1))</f>
        <v>2454950.87</v>
      </c>
      <c r="T56" s="175">
        <f t="shared" si="66"/>
        <v>617526.31999999995</v>
      </c>
      <c r="U56" s="175">
        <f t="shared" si="67"/>
        <v>599384.18000000005</v>
      </c>
      <c r="V56" s="175">
        <f t="shared" si="68"/>
        <v>606159.59000000008</v>
      </c>
      <c r="W56" s="175">
        <f t="shared" si="69"/>
        <v>631880.78</v>
      </c>
      <c r="X56" s="178"/>
      <c r="Y56" s="179">
        <v>223917.83</v>
      </c>
      <c r="Z56" s="179">
        <v>186827.77000000002</v>
      </c>
      <c r="AA56" s="179">
        <v>201606.64</v>
      </c>
      <c r="AB56" s="179">
        <v>176129.91999999998</v>
      </c>
      <c r="AC56" s="179">
        <v>190273.21999999997</v>
      </c>
      <c r="AD56" s="179">
        <v>170758.54000000004</v>
      </c>
      <c r="AE56" s="179">
        <v>182775.33</v>
      </c>
      <c r="AF56" s="179">
        <v>194033.48</v>
      </c>
      <c r="AG56" s="179">
        <v>189954.26</v>
      </c>
      <c r="AH56" s="179">
        <v>211735.54000000004</v>
      </c>
      <c r="AI56" s="179">
        <v>203360.02</v>
      </c>
      <c r="AJ56" s="179">
        <v>202751.17</v>
      </c>
      <c r="AK56" s="177">
        <f t="shared" si="70"/>
        <v>2334123.7199999997</v>
      </c>
      <c r="AL56" s="97" t="s">
        <v>7</v>
      </c>
      <c r="AM56" s="97" t="s">
        <v>7</v>
      </c>
      <c r="AN56" s="180" t="str">
        <f t="shared" si="94"/>
        <v>FPU - FPU - ITS</v>
      </c>
      <c r="AP56" s="375"/>
      <c r="AQ56" s="175">
        <f t="shared" si="72"/>
        <v>612352.24</v>
      </c>
      <c r="AR56" s="175">
        <f t="shared" si="73"/>
        <v>537161.67999999993</v>
      </c>
      <c r="AS56" s="175">
        <f t="shared" si="74"/>
        <v>566763.07000000007</v>
      </c>
      <c r="AT56" s="175">
        <f t="shared" si="75"/>
        <v>617846.7300000001</v>
      </c>
      <c r="AU56" s="181"/>
      <c r="AV56" s="175">
        <v>212979.42737332272</v>
      </c>
      <c r="AW56" s="175">
        <v>198920.73970769584</v>
      </c>
      <c r="AX56" s="175">
        <v>219132.60201724252</v>
      </c>
      <c r="AY56" s="175">
        <v>204635.86420636089</v>
      </c>
      <c r="AZ56" s="175">
        <v>202968.35046198033</v>
      </c>
      <c r="BA56" s="175">
        <v>201551.98857520323</v>
      </c>
      <c r="BB56" s="175">
        <v>206192.00310062338</v>
      </c>
      <c r="BC56" s="175">
        <v>197861.14074890391</v>
      </c>
      <c r="BD56" s="175">
        <v>190978.82303818251</v>
      </c>
      <c r="BE56" s="175">
        <v>214688.16538594334</v>
      </c>
      <c r="BF56" s="175">
        <v>204679.11359765832</v>
      </c>
      <c r="BG56" s="175">
        <v>202397.87424987584</v>
      </c>
      <c r="BH56" s="375">
        <f ca="1">SUM(AV56:OFFSET(AV56,0,$F$2-1))</f>
        <v>2456986.0924629932</v>
      </c>
      <c r="BI56" s="175">
        <f t="shared" si="76"/>
        <v>631032.76909826114</v>
      </c>
      <c r="BJ56" s="175">
        <f t="shared" si="77"/>
        <v>609156.20324354444</v>
      </c>
      <c r="BK56" s="175">
        <f t="shared" si="78"/>
        <v>595031.9668877098</v>
      </c>
      <c r="BL56" s="175">
        <f t="shared" si="79"/>
        <v>621765.1532334775</v>
      </c>
      <c r="BM56" s="178"/>
      <c r="BN56" s="178"/>
      <c r="BO56" s="178"/>
      <c r="BP56" s="178">
        <v>220392.77599015416</v>
      </c>
      <c r="BQ56" s="178">
        <v>204205.17213002921</v>
      </c>
      <c r="BR56" s="178">
        <v>211323.78442875698</v>
      </c>
      <c r="BS56" s="178">
        <v>202455.83593129605</v>
      </c>
      <c r="BT56" s="178">
        <v>202300.55728499632</v>
      </c>
      <c r="BU56" s="178">
        <v>195378.31161575092</v>
      </c>
      <c r="BV56" s="178">
        <v>190371.58388321337</v>
      </c>
      <c r="BW56" s="178">
        <v>206674.21083856001</v>
      </c>
      <c r="BX56" s="178">
        <v>198712.1924853333</v>
      </c>
      <c r="BY56" s="178">
        <v>203595.65960882365</v>
      </c>
      <c r="BZ56" s="375">
        <f ca="1">SUM(BN56:OFFSET(BN56,0,$F$2-1))</f>
        <v>2035410.084196914</v>
      </c>
      <c r="CA56" s="175">
        <f t="shared" si="80"/>
        <v>220392.77599015416</v>
      </c>
      <c r="CB56" s="175">
        <f t="shared" si="81"/>
        <v>617984.79249008233</v>
      </c>
      <c r="CC56" s="175">
        <f t="shared" si="82"/>
        <v>588050.45278396062</v>
      </c>
      <c r="CD56" s="175">
        <f t="shared" si="83"/>
        <v>608982.06293271692</v>
      </c>
      <c r="CE56" s="178"/>
      <c r="CF56" s="97" t="s">
        <v>568</v>
      </c>
      <c r="CH56" s="178"/>
      <c r="CI56" s="178"/>
      <c r="CJ56" s="178">
        <f t="shared" si="84"/>
        <v>-18786.135990154144</v>
      </c>
      <c r="CK56" s="178">
        <f t="shared" si="85"/>
        <v>-28075.252130029228</v>
      </c>
      <c r="CL56" s="178">
        <f t="shared" si="86"/>
        <v>-21050.564428757003</v>
      </c>
      <c r="CM56" s="178">
        <f t="shared" si="87"/>
        <v>-31697.295931296016</v>
      </c>
      <c r="CN56" s="178">
        <f t="shared" si="88"/>
        <v>-19525.227284996334</v>
      </c>
      <c r="CO56" s="178">
        <f t="shared" si="89"/>
        <v>-1344.8316157509107</v>
      </c>
      <c r="CP56" s="178">
        <f t="shared" si="90"/>
        <v>-417.32388321336475</v>
      </c>
      <c r="CQ56" s="178">
        <f t="shared" si="91"/>
        <v>5061.3291614400223</v>
      </c>
      <c r="CR56" s="178"/>
      <c r="CS56" s="178"/>
      <c r="CU56" s="178">
        <f t="shared" si="92"/>
        <v>2378243.7316479734</v>
      </c>
      <c r="CV56" s="178" t="e">
        <v>#VALUE!</v>
      </c>
      <c r="CW56" s="178">
        <f t="shared" si="93"/>
        <v>2456986.0924629932</v>
      </c>
    </row>
    <row r="57" spans="2:101" hidden="1" outlineLevel="1">
      <c r="B57" s="97" t="s">
        <v>319</v>
      </c>
      <c r="C57" s="97" t="s">
        <v>542</v>
      </c>
      <c r="D57" s="97" t="s">
        <v>7</v>
      </c>
      <c r="F57" s="391" t="s">
        <v>319</v>
      </c>
      <c r="G57" s="392"/>
      <c r="H57" s="392"/>
      <c r="I57" s="392"/>
      <c r="J57" s="392"/>
      <c r="K57" s="394"/>
      <c r="L57" s="392"/>
      <c r="M57" s="392"/>
      <c r="N57" s="392"/>
      <c r="O57" s="392"/>
      <c r="P57" s="392"/>
      <c r="Q57" s="392"/>
      <c r="R57" s="392"/>
      <c r="S57" s="375">
        <f ca="1">SUM(G57:OFFSET(G57,0,$F$2-1))</f>
        <v>0</v>
      </c>
      <c r="T57" s="175">
        <f t="shared" si="66"/>
        <v>0</v>
      </c>
      <c r="U57" s="175">
        <f t="shared" si="67"/>
        <v>0</v>
      </c>
      <c r="V57" s="175">
        <f t="shared" si="68"/>
        <v>0</v>
      </c>
      <c r="W57" s="175">
        <f t="shared" si="69"/>
        <v>0</v>
      </c>
      <c r="X57" s="178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>
        <v>0</v>
      </c>
      <c r="AK57" s="177">
        <f t="shared" si="70"/>
        <v>0</v>
      </c>
      <c r="AL57" s="97" t="s">
        <v>7</v>
      </c>
      <c r="AM57" s="97" t="s">
        <v>7</v>
      </c>
      <c r="AN57" s="180" t="str">
        <f t="shared" si="94"/>
        <v>FPU - FPU - ITS Large Customers Non-Residential</v>
      </c>
      <c r="AP57" s="375"/>
      <c r="AQ57" s="175">
        <f t="shared" si="72"/>
        <v>0</v>
      </c>
      <c r="AR57" s="175">
        <f t="shared" si="73"/>
        <v>0</v>
      </c>
      <c r="AS57" s="175">
        <f t="shared" si="74"/>
        <v>0</v>
      </c>
      <c r="AT57" s="175">
        <f t="shared" si="75"/>
        <v>0</v>
      </c>
      <c r="AU57" s="181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2"/>
      <c r="BH57" s="375">
        <f ca="1">SUM(AV57:OFFSET(AV57,0,$F$2-1))</f>
        <v>0</v>
      </c>
      <c r="BI57" s="175">
        <f t="shared" si="76"/>
        <v>0</v>
      </c>
      <c r="BJ57" s="175">
        <f t="shared" si="77"/>
        <v>0</v>
      </c>
      <c r="BK57" s="175">
        <f t="shared" si="78"/>
        <v>0</v>
      </c>
      <c r="BL57" s="175">
        <f t="shared" si="79"/>
        <v>0</v>
      </c>
      <c r="BM57" s="178"/>
      <c r="BN57" s="179"/>
      <c r="BO57" s="179"/>
      <c r="BP57" s="388">
        <v>0</v>
      </c>
      <c r="BQ57" s="388">
        <v>0</v>
      </c>
      <c r="BR57" s="388">
        <v>0</v>
      </c>
      <c r="BS57" s="388">
        <v>0</v>
      </c>
      <c r="BT57" s="388">
        <v>0</v>
      </c>
      <c r="BU57" s="388">
        <v>0</v>
      </c>
      <c r="BV57" s="388">
        <v>0</v>
      </c>
      <c r="BW57" s="388">
        <v>0</v>
      </c>
      <c r="BX57" s="388">
        <v>0</v>
      </c>
      <c r="BY57" s="388">
        <v>0</v>
      </c>
      <c r="BZ57" s="375">
        <f ca="1">SUM(BN57:OFFSET(BN57,0,$F$2-1))</f>
        <v>0</v>
      </c>
      <c r="CA57" s="175">
        <f t="shared" si="80"/>
        <v>0</v>
      </c>
      <c r="CB57" s="175">
        <f t="shared" si="81"/>
        <v>0</v>
      </c>
      <c r="CC57" s="175">
        <f t="shared" si="82"/>
        <v>0</v>
      </c>
      <c r="CD57" s="175">
        <f t="shared" si="83"/>
        <v>0</v>
      </c>
      <c r="CE57" s="178"/>
      <c r="CF57" s="97"/>
      <c r="CH57" s="388"/>
      <c r="CI57" s="388"/>
      <c r="CJ57" s="388">
        <f t="shared" si="84"/>
        <v>0</v>
      </c>
      <c r="CK57" s="388">
        <f t="shared" si="85"/>
        <v>0</v>
      </c>
      <c r="CL57" s="388">
        <f t="shared" si="86"/>
        <v>0</v>
      </c>
      <c r="CM57" s="388">
        <f t="shared" si="87"/>
        <v>0</v>
      </c>
      <c r="CN57" s="388">
        <f t="shared" si="88"/>
        <v>0</v>
      </c>
      <c r="CO57" s="388">
        <f t="shared" si="89"/>
        <v>0</v>
      </c>
      <c r="CP57" s="388">
        <f t="shared" si="90"/>
        <v>0</v>
      </c>
      <c r="CQ57" s="388">
        <f t="shared" si="91"/>
        <v>0</v>
      </c>
      <c r="CR57" s="388"/>
      <c r="CS57" s="388"/>
      <c r="CU57" s="388">
        <f t="shared" si="92"/>
        <v>0</v>
      </c>
      <c r="CV57" s="388" t="e">
        <v>#VALUE!</v>
      </c>
      <c r="CW57" s="388">
        <f t="shared" si="93"/>
        <v>0</v>
      </c>
    </row>
    <row r="58" spans="2:101" outlineLevel="1">
      <c r="B58" s="97" t="s">
        <v>569</v>
      </c>
      <c r="C58" s="97" t="s">
        <v>542</v>
      </c>
      <c r="D58" s="97" t="s">
        <v>7</v>
      </c>
      <c r="E58" s="97" t="s">
        <v>152</v>
      </c>
      <c r="F58" s="329" t="s">
        <v>151</v>
      </c>
      <c r="G58" s="175">
        <v>2520.3100000000004</v>
      </c>
      <c r="H58" s="175">
        <v>3043.13</v>
      </c>
      <c r="I58" s="175">
        <v>2781.7200000000003</v>
      </c>
      <c r="J58" s="175">
        <v>2781.7200000000003</v>
      </c>
      <c r="K58" s="176">
        <v>2781.7200000000003</v>
      </c>
      <c r="L58" s="175">
        <v>2781.7200000000003</v>
      </c>
      <c r="M58" s="175">
        <v>2781.7200000000003</v>
      </c>
      <c r="N58" s="175">
        <v>2781.7200000000003</v>
      </c>
      <c r="O58" s="175">
        <v>2781.7200000000003</v>
      </c>
      <c r="P58" s="175">
        <v>2691.7200000000003</v>
      </c>
      <c r="Q58" s="175">
        <v>2871.7200000000003</v>
      </c>
      <c r="R58" s="175">
        <v>2691.7200000000003</v>
      </c>
      <c r="S58" s="375">
        <f ca="1">SUM(G58:OFFSET(G58,0,$F$2-1))</f>
        <v>33290.640000000007</v>
      </c>
      <c r="T58" s="175">
        <f t="shared" si="66"/>
        <v>8345.16</v>
      </c>
      <c r="U58" s="175">
        <f t="shared" si="67"/>
        <v>8345.16</v>
      </c>
      <c r="V58" s="175">
        <f t="shared" si="68"/>
        <v>8345.16</v>
      </c>
      <c r="W58" s="175">
        <f t="shared" si="69"/>
        <v>8255.16</v>
      </c>
      <c r="X58" s="178"/>
      <c r="Y58" s="179">
        <v>2691.7200000000003</v>
      </c>
      <c r="Z58" s="179">
        <v>2592.94</v>
      </c>
      <c r="AA58" s="179">
        <v>2592.94</v>
      </c>
      <c r="AB58" s="179">
        <v>2592.94</v>
      </c>
      <c r="AC58" s="179">
        <v>2558.4099999999994</v>
      </c>
      <c r="AD58" s="179">
        <v>2558.4099999999994</v>
      </c>
      <c r="AE58" s="179">
        <v>2558.4099999999994</v>
      </c>
      <c r="AF58" s="179">
        <v>2358.29</v>
      </c>
      <c r="AG58" s="179">
        <v>2358.29</v>
      </c>
      <c r="AH58" s="179">
        <v>2358.29</v>
      </c>
      <c r="AI58" s="179">
        <v>2166.6099999999997</v>
      </c>
      <c r="AJ58" s="179">
        <v>2195.66</v>
      </c>
      <c r="AK58" s="177">
        <f t="shared" si="70"/>
        <v>29582.910000000003</v>
      </c>
      <c r="AL58" s="97" t="s">
        <v>7</v>
      </c>
      <c r="AM58" s="97" t="s">
        <v>7</v>
      </c>
      <c r="AN58" s="180" t="str">
        <f t="shared" si="94"/>
        <v>FPU - FPU - GLS</v>
      </c>
      <c r="AQ58" s="175">
        <f t="shared" si="72"/>
        <v>7877.6</v>
      </c>
      <c r="AR58" s="175">
        <f>SUM(AB58:AD58)</f>
        <v>7709.7599999999984</v>
      </c>
      <c r="AS58" s="175">
        <f t="shared" si="74"/>
        <v>7274.9899999999989</v>
      </c>
      <c r="AT58" s="175">
        <f t="shared" si="75"/>
        <v>6720.5599999999995</v>
      </c>
      <c r="AU58" s="181"/>
      <c r="AV58" s="175">
        <v>2113.6985813806646</v>
      </c>
      <c r="AW58" s="175">
        <v>2151.6432975735747</v>
      </c>
      <c r="AX58" s="175">
        <v>2141.4272827479194</v>
      </c>
      <c r="AY58" s="175">
        <v>2075.638284703286</v>
      </c>
      <c r="AZ58" s="176">
        <v>2032.1459571515213</v>
      </c>
      <c r="BA58" s="175">
        <v>2032.1459571515213</v>
      </c>
      <c r="BB58" s="175">
        <v>2012.3196552397419</v>
      </c>
      <c r="BC58" s="175">
        <v>1919.6529846545707</v>
      </c>
      <c r="BD58" s="175">
        <v>1927.2266806840719</v>
      </c>
      <c r="BE58" s="175">
        <v>1865.4771192036578</v>
      </c>
      <c r="BF58" s="175">
        <v>1825.3283530072501</v>
      </c>
      <c r="BG58" s="175">
        <v>1783.7494474556252</v>
      </c>
      <c r="BH58" s="375">
        <f ca="1">SUM(AV58:OFFSET(AV58,0,$F$2-1))</f>
        <v>23880.453600953402</v>
      </c>
      <c r="BI58" s="175">
        <f t="shared" si="76"/>
        <v>6406.7691617021592</v>
      </c>
      <c r="BJ58" s="175">
        <f t="shared" si="77"/>
        <v>6139.9301990063286</v>
      </c>
      <c r="BK58" s="175">
        <f t="shared" si="78"/>
        <v>5859.1993205783847</v>
      </c>
      <c r="BL58" s="175">
        <f t="shared" si="79"/>
        <v>5474.5549196665334</v>
      </c>
      <c r="BM58" s="178"/>
      <c r="BN58" s="178"/>
      <c r="BO58" s="178"/>
      <c r="BP58" s="178">
        <v>2087.7309888689779</v>
      </c>
      <c r="BQ58" s="178">
        <v>1958.7770863371431</v>
      </c>
      <c r="BR58" s="178">
        <v>1869.0250406922896</v>
      </c>
      <c r="BS58" s="178">
        <v>2089.5267934046992</v>
      </c>
      <c r="BT58" s="178">
        <v>2038.278877892486</v>
      </c>
      <c r="BU58" s="178">
        <v>1932.3317677797002</v>
      </c>
      <c r="BV58" s="178">
        <v>1890.8272496925001</v>
      </c>
      <c r="BW58" s="178">
        <v>1977.8196359906249</v>
      </c>
      <c r="BX58" s="178">
        <v>1908.55093978125</v>
      </c>
      <c r="BY58" s="178">
        <v>1864.05538538115</v>
      </c>
      <c r="BZ58" s="375">
        <f ca="1">SUM(BN58:OFFSET(BN58,0,$F$2-1))</f>
        <v>19616.923765820822</v>
      </c>
      <c r="CA58" s="175">
        <f t="shared" si="80"/>
        <v>2087.7309888689779</v>
      </c>
      <c r="CB58" s="175">
        <f t="shared" si="81"/>
        <v>5917.3289204341327</v>
      </c>
      <c r="CC58" s="175">
        <f t="shared" si="82"/>
        <v>5861.4378953646865</v>
      </c>
      <c r="CD58" s="175">
        <f t="shared" si="83"/>
        <v>5750.4259611530251</v>
      </c>
      <c r="CE58" s="178"/>
      <c r="CF58" s="97" t="s">
        <v>569</v>
      </c>
      <c r="CH58" s="178"/>
      <c r="CI58" s="178"/>
      <c r="CJ58" s="178">
        <f t="shared" si="84"/>
        <v>505.20901113102218</v>
      </c>
      <c r="CK58" s="178">
        <f t="shared" si="85"/>
        <v>634.16291366285691</v>
      </c>
      <c r="CL58" s="178">
        <f t="shared" si="86"/>
        <v>689.38495930770978</v>
      </c>
      <c r="CM58" s="178">
        <f t="shared" si="87"/>
        <v>468.88320659530018</v>
      </c>
      <c r="CN58" s="178">
        <f t="shared" si="88"/>
        <v>520.13112210751342</v>
      </c>
      <c r="CO58" s="178">
        <f t="shared" si="89"/>
        <v>425.95823222029981</v>
      </c>
      <c r="CP58" s="178">
        <f t="shared" si="90"/>
        <v>467.46275030749985</v>
      </c>
      <c r="CQ58" s="178">
        <f t="shared" si="91"/>
        <v>380.47036400937509</v>
      </c>
      <c r="CR58" s="178"/>
      <c r="CS58" s="178"/>
      <c r="CU58" s="178">
        <f t="shared" si="92"/>
        <v>26730.340649922411</v>
      </c>
      <c r="CV58" s="178" t="e">
        <v>#VALUE!</v>
      </c>
      <c r="CW58" s="178">
        <f t="shared" si="93"/>
        <v>23880.453600953402</v>
      </c>
    </row>
    <row r="59" spans="2:101" outlineLevel="1">
      <c r="B59" s="97" t="s">
        <v>570</v>
      </c>
      <c r="C59" s="97" t="s">
        <v>542</v>
      </c>
      <c r="D59" s="97" t="s">
        <v>7</v>
      </c>
      <c r="F59" s="329" t="s">
        <v>153</v>
      </c>
      <c r="G59" s="175">
        <v>0</v>
      </c>
      <c r="H59" s="175">
        <v>0</v>
      </c>
      <c r="I59" s="175">
        <v>0</v>
      </c>
      <c r="J59" s="175">
        <v>0</v>
      </c>
      <c r="K59" s="176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375">
        <f ca="1">SUM(G59:OFFSET(G59,0,$F$2-1))</f>
        <v>0</v>
      </c>
      <c r="T59" s="175">
        <f t="shared" si="66"/>
        <v>0</v>
      </c>
      <c r="U59" s="175">
        <f t="shared" si="67"/>
        <v>0</v>
      </c>
      <c r="V59" s="175">
        <f t="shared" si="68"/>
        <v>0</v>
      </c>
      <c r="W59" s="175">
        <f t="shared" si="69"/>
        <v>0</v>
      </c>
      <c r="X59" s="178"/>
      <c r="Y59" s="179">
        <v>0</v>
      </c>
      <c r="Z59" s="179">
        <v>0</v>
      </c>
      <c r="AA59" s="179">
        <v>0</v>
      </c>
      <c r="AB59" s="179">
        <v>0</v>
      </c>
      <c r="AC59" s="179">
        <v>0</v>
      </c>
      <c r="AD59" s="179">
        <v>0</v>
      </c>
      <c r="AE59" s="179">
        <v>0</v>
      </c>
      <c r="AF59" s="179">
        <v>0</v>
      </c>
      <c r="AG59" s="179">
        <v>0</v>
      </c>
      <c r="AH59" s="179">
        <v>0</v>
      </c>
      <c r="AI59" s="179">
        <v>0</v>
      </c>
      <c r="AJ59" s="179">
        <v>0</v>
      </c>
      <c r="AK59" s="177">
        <f t="shared" si="70"/>
        <v>0</v>
      </c>
      <c r="AL59" s="97" t="s">
        <v>7</v>
      </c>
      <c r="AM59" s="97" t="s">
        <v>7</v>
      </c>
      <c r="AN59" s="180" t="str">
        <f t="shared" si="94"/>
        <v>FPU - FPU-NGVS</v>
      </c>
      <c r="AQ59" s="175">
        <f t="shared" si="72"/>
        <v>0</v>
      </c>
      <c r="AR59" s="175">
        <f t="shared" si="73"/>
        <v>0</v>
      </c>
      <c r="AS59" s="175">
        <f t="shared" si="74"/>
        <v>0</v>
      </c>
      <c r="AT59" s="175">
        <f t="shared" si="75"/>
        <v>0</v>
      </c>
      <c r="AU59" s="181"/>
      <c r="AV59" s="175">
        <v>0</v>
      </c>
      <c r="AW59" s="175">
        <v>0</v>
      </c>
      <c r="AX59" s="175">
        <v>0</v>
      </c>
      <c r="AY59" s="175">
        <v>0</v>
      </c>
      <c r="AZ59" s="176">
        <v>0</v>
      </c>
      <c r="BA59" s="175">
        <v>0</v>
      </c>
      <c r="BB59" s="175">
        <v>0</v>
      </c>
      <c r="BC59" s="175">
        <v>0</v>
      </c>
      <c r="BD59" s="175">
        <v>0</v>
      </c>
      <c r="BE59" s="175">
        <v>0</v>
      </c>
      <c r="BF59" s="175">
        <v>0</v>
      </c>
      <c r="BG59" s="175">
        <v>0</v>
      </c>
      <c r="BH59" s="375">
        <f ca="1">SUM(AV59:OFFSET(AV59,0,$F$2-1))</f>
        <v>0</v>
      </c>
      <c r="BI59" s="175">
        <f t="shared" si="76"/>
        <v>0</v>
      </c>
      <c r="BJ59" s="175">
        <f t="shared" si="77"/>
        <v>0</v>
      </c>
      <c r="BK59" s="175">
        <f t="shared" si="78"/>
        <v>0</v>
      </c>
      <c r="BL59" s="175">
        <f t="shared" si="79"/>
        <v>0</v>
      </c>
      <c r="BM59" s="178"/>
      <c r="BN59" s="178"/>
      <c r="BO59" s="178"/>
      <c r="BP59" s="178">
        <v>0</v>
      </c>
      <c r="BQ59" s="178">
        <v>0</v>
      </c>
      <c r="BR59" s="178">
        <v>0</v>
      </c>
      <c r="BS59" s="178">
        <v>0</v>
      </c>
      <c r="BT59" s="178">
        <v>0</v>
      </c>
      <c r="BU59" s="178">
        <v>0</v>
      </c>
      <c r="BV59" s="178">
        <v>0</v>
      </c>
      <c r="BW59" s="178">
        <v>0</v>
      </c>
      <c r="BX59" s="178">
        <v>0</v>
      </c>
      <c r="BY59" s="178">
        <v>0</v>
      </c>
      <c r="BZ59" s="375">
        <f ca="1">SUM(BN59:OFFSET(BN59,0,$F$2-1))</f>
        <v>0</v>
      </c>
      <c r="CA59" s="175">
        <f t="shared" si="80"/>
        <v>0</v>
      </c>
      <c r="CB59" s="175">
        <f t="shared" si="81"/>
        <v>0</v>
      </c>
      <c r="CC59" s="175">
        <f t="shared" si="82"/>
        <v>0</v>
      </c>
      <c r="CD59" s="175">
        <f t="shared" si="83"/>
        <v>0</v>
      </c>
      <c r="CE59" s="178"/>
      <c r="CF59" s="97" t="s">
        <v>570</v>
      </c>
      <c r="CH59" s="178"/>
      <c r="CI59" s="178"/>
      <c r="CJ59" s="178">
        <f t="shared" si="84"/>
        <v>0</v>
      </c>
      <c r="CK59" s="178">
        <f t="shared" si="85"/>
        <v>0</v>
      </c>
      <c r="CL59" s="178">
        <f t="shared" si="86"/>
        <v>0</v>
      </c>
      <c r="CM59" s="178">
        <f t="shared" si="87"/>
        <v>0</v>
      </c>
      <c r="CN59" s="178">
        <f t="shared" si="88"/>
        <v>0</v>
      </c>
      <c r="CO59" s="178">
        <f t="shared" si="89"/>
        <v>0</v>
      </c>
      <c r="CP59" s="178">
        <f t="shared" si="90"/>
        <v>0</v>
      </c>
      <c r="CQ59" s="178">
        <f t="shared" si="91"/>
        <v>0</v>
      </c>
      <c r="CR59" s="178"/>
      <c r="CS59" s="178"/>
      <c r="CU59" s="178">
        <f t="shared" si="92"/>
        <v>0</v>
      </c>
      <c r="CV59" s="178" t="e">
        <v>#VALUE!</v>
      </c>
      <c r="CW59" s="178">
        <f t="shared" si="93"/>
        <v>0</v>
      </c>
    </row>
    <row r="60" spans="2:101" outlineLevel="1">
      <c r="B60" s="97" t="s">
        <v>571</v>
      </c>
      <c r="C60" s="97" t="s">
        <v>542</v>
      </c>
      <c r="D60" s="97" t="s">
        <v>7</v>
      </c>
      <c r="E60" s="97" t="s">
        <v>139</v>
      </c>
      <c r="F60" s="329" t="s">
        <v>154</v>
      </c>
      <c r="G60" s="175">
        <v>12731.42</v>
      </c>
      <c r="H60" s="175">
        <v>11526.3</v>
      </c>
      <c r="I60" s="175">
        <v>13009.220000000001</v>
      </c>
      <c r="J60" s="175">
        <v>13756.46</v>
      </c>
      <c r="K60" s="176">
        <v>13309.5</v>
      </c>
      <c r="L60" s="175">
        <v>14086.86</v>
      </c>
      <c r="M60" s="175">
        <v>15112</v>
      </c>
      <c r="N60" s="175">
        <v>14337.509999999998</v>
      </c>
      <c r="O60" s="175">
        <v>14511.880000000001</v>
      </c>
      <c r="P60" s="175">
        <v>14530.89</v>
      </c>
      <c r="Q60" s="175">
        <v>13602.95</v>
      </c>
      <c r="R60" s="175">
        <v>13873.91</v>
      </c>
      <c r="S60" s="375">
        <f ca="1">SUM(G60:OFFSET(G60,0,$F$2-1))</f>
        <v>164388.90000000002</v>
      </c>
      <c r="T60" s="175">
        <f t="shared" si="66"/>
        <v>37266.94</v>
      </c>
      <c r="U60" s="175">
        <f t="shared" si="67"/>
        <v>41152.82</v>
      </c>
      <c r="V60" s="175">
        <f t="shared" si="68"/>
        <v>43961.39</v>
      </c>
      <c r="W60" s="175">
        <f t="shared" si="69"/>
        <v>42007.75</v>
      </c>
      <c r="X60" s="178"/>
      <c r="Y60" s="179">
        <v>14076.59</v>
      </c>
      <c r="Z60" s="179">
        <v>14017.779999999999</v>
      </c>
      <c r="AA60" s="179">
        <v>16384.990000000002</v>
      </c>
      <c r="AB60" s="179">
        <v>16076.61</v>
      </c>
      <c r="AC60" s="179">
        <v>15657.84</v>
      </c>
      <c r="AD60" s="179">
        <v>15992.69</v>
      </c>
      <c r="AE60" s="179">
        <v>16208.28</v>
      </c>
      <c r="AF60" s="179">
        <v>16690.11</v>
      </c>
      <c r="AG60" s="179">
        <v>16497.189999999999</v>
      </c>
      <c r="AH60" s="179">
        <v>15640.140000000001</v>
      </c>
      <c r="AI60" s="179">
        <v>15641.76</v>
      </c>
      <c r="AJ60" s="179">
        <v>16893.41</v>
      </c>
      <c r="AK60" s="177">
        <f t="shared" si="70"/>
        <v>189777.39</v>
      </c>
      <c r="AL60" s="97" t="s">
        <v>7</v>
      </c>
      <c r="AM60" s="97" t="s">
        <v>7</v>
      </c>
      <c r="AN60" s="180" t="str">
        <f t="shared" si="94"/>
        <v>FPU - FPU- NGVTS</v>
      </c>
      <c r="AQ60" s="175">
        <f t="shared" si="72"/>
        <v>44479.360000000001</v>
      </c>
      <c r="AR60" s="175">
        <f t="shared" si="73"/>
        <v>47727.14</v>
      </c>
      <c r="AS60" s="175">
        <f t="shared" si="74"/>
        <v>49395.58</v>
      </c>
      <c r="AT60" s="175">
        <f t="shared" si="75"/>
        <v>48175.31</v>
      </c>
      <c r="AU60" s="181"/>
      <c r="AV60" s="175">
        <v>10382.19707250785</v>
      </c>
      <c r="AW60" s="175">
        <v>9136.0814520536023</v>
      </c>
      <c r="AX60" s="175">
        <v>10152.280176784401</v>
      </c>
      <c r="AY60" s="175">
        <v>10437.580808304201</v>
      </c>
      <c r="AZ60" s="176">
        <v>10750.148736329151</v>
      </c>
      <c r="BA60" s="175">
        <v>10638.707395912254</v>
      </c>
      <c r="BB60" s="175">
        <v>10476.148642973201</v>
      </c>
      <c r="BC60" s="175">
        <v>11447.8292940065</v>
      </c>
      <c r="BD60" s="175">
        <v>10697.132238938801</v>
      </c>
      <c r="BE60" s="175">
        <v>11317.928788166199</v>
      </c>
      <c r="BF60" s="175">
        <v>10679.086962083351</v>
      </c>
      <c r="BG60" s="175">
        <v>10477.089866039103</v>
      </c>
      <c r="BH60" s="375">
        <f ca="1">SUM(AV60:OFFSET(AV60,0,$F$2-1))</f>
        <v>126592.21143409863</v>
      </c>
      <c r="BI60" s="175">
        <f t="shared" si="76"/>
        <v>29670.55870134585</v>
      </c>
      <c r="BJ60" s="175">
        <f t="shared" si="77"/>
        <v>31826.436940545605</v>
      </c>
      <c r="BK60" s="175">
        <f t="shared" si="78"/>
        <v>32621.110175918504</v>
      </c>
      <c r="BL60" s="175">
        <f t="shared" si="79"/>
        <v>32474.105616288653</v>
      </c>
      <c r="BM60" s="178"/>
      <c r="BN60" s="178"/>
      <c r="BO60" s="178"/>
      <c r="BP60" s="178">
        <v>8529.5149460005014</v>
      </c>
      <c r="BQ60" s="178">
        <v>8584.2261878414993</v>
      </c>
      <c r="BR60" s="178">
        <v>9311.1321923531013</v>
      </c>
      <c r="BS60" s="178">
        <v>8823.4693494154999</v>
      </c>
      <c r="BT60" s="178">
        <v>10234.558959280901</v>
      </c>
      <c r="BU60" s="178">
        <v>11130.456974479101</v>
      </c>
      <c r="BV60" s="178">
        <v>10439.000299219999</v>
      </c>
      <c r="BW60" s="178">
        <v>11639.026179237999</v>
      </c>
      <c r="BX60" s="178">
        <v>11099.925165250001</v>
      </c>
      <c r="BY60" s="178">
        <v>10821.496937592801</v>
      </c>
      <c r="BZ60" s="375">
        <f ca="1">SUM(BN60:OFFSET(BN60,0,$F$2-1))</f>
        <v>100612.8071906714</v>
      </c>
      <c r="CA60" s="175">
        <f t="shared" si="80"/>
        <v>8529.5149460005014</v>
      </c>
      <c r="CB60" s="175">
        <f t="shared" si="81"/>
        <v>26718.827729610101</v>
      </c>
      <c r="CC60" s="175">
        <f t="shared" si="82"/>
        <v>31804.01623298</v>
      </c>
      <c r="CD60" s="175">
        <f t="shared" si="83"/>
        <v>33560.448282080804</v>
      </c>
      <c r="CE60" s="178"/>
      <c r="CF60" s="97" t="s">
        <v>571</v>
      </c>
      <c r="CH60" s="178"/>
      <c r="CI60" s="178"/>
      <c r="CJ60" s="178">
        <f t="shared" si="84"/>
        <v>7855.4750539995002</v>
      </c>
      <c r="CK60" s="178">
        <f t="shared" si="85"/>
        <v>7492.3838121585013</v>
      </c>
      <c r="CL60" s="178">
        <f t="shared" si="86"/>
        <v>6346.7078076468988</v>
      </c>
      <c r="CM60" s="178">
        <f t="shared" si="87"/>
        <v>7169.2206505845006</v>
      </c>
      <c r="CN60" s="178">
        <f t="shared" si="88"/>
        <v>5973.7210407190996</v>
      </c>
      <c r="CO60" s="178">
        <f t="shared" si="89"/>
        <v>5559.6530255209</v>
      </c>
      <c r="CP60" s="178">
        <f t="shared" si="90"/>
        <v>6058.1897007799998</v>
      </c>
      <c r="CQ60" s="178">
        <f t="shared" si="91"/>
        <v>4001.1138207620024</v>
      </c>
      <c r="CR60" s="178"/>
      <c r="CS60" s="178"/>
      <c r="CU60" s="178">
        <f t="shared" si="92"/>
        <v>150401.7438644763</v>
      </c>
      <c r="CV60" s="178" t="e">
        <v>#VALUE!</v>
      </c>
      <c r="CW60" s="178">
        <f t="shared" si="93"/>
        <v>126592.21143409863</v>
      </c>
    </row>
    <row r="61" spans="2:101" outlineLevel="1">
      <c r="B61" s="97" t="s">
        <v>572</v>
      </c>
      <c r="C61" s="97" t="s">
        <v>542</v>
      </c>
      <c r="D61" s="97" t="s">
        <v>5</v>
      </c>
      <c r="E61" s="97" t="s">
        <v>156</v>
      </c>
      <c r="F61" s="329" t="s">
        <v>155</v>
      </c>
      <c r="G61" s="175">
        <v>95.21</v>
      </c>
      <c r="H61" s="175">
        <v>106.47999999999999</v>
      </c>
      <c r="I61" s="175">
        <v>93.52</v>
      </c>
      <c r="J61" s="175">
        <v>72.900000000000006</v>
      </c>
      <c r="K61" s="175">
        <v>74</v>
      </c>
      <c r="L61" s="175">
        <v>82.74</v>
      </c>
      <c r="M61" s="175">
        <v>74.06</v>
      </c>
      <c r="N61" s="175">
        <v>70</v>
      </c>
      <c r="O61" s="175">
        <v>77.53</v>
      </c>
      <c r="P61" s="175">
        <v>82.169999999999987</v>
      </c>
      <c r="Q61" s="175">
        <v>74.680000000000007</v>
      </c>
      <c r="R61" s="175">
        <v>92.87</v>
      </c>
      <c r="S61" s="375">
        <f ca="1">SUM(G61:OFFSET(G61,0,$F$2-1))</f>
        <v>996.16</v>
      </c>
      <c r="T61" s="175">
        <f t="shared" si="66"/>
        <v>295.20999999999998</v>
      </c>
      <c r="U61" s="175">
        <f t="shared" si="67"/>
        <v>229.64</v>
      </c>
      <c r="V61" s="175">
        <f t="shared" si="68"/>
        <v>221.59</v>
      </c>
      <c r="W61" s="175">
        <f t="shared" si="69"/>
        <v>249.72</v>
      </c>
      <c r="X61" s="178"/>
      <c r="Y61" s="179">
        <v>76.48</v>
      </c>
      <c r="Z61" s="179">
        <v>74.11</v>
      </c>
      <c r="AA61" s="179">
        <v>73.510000000000005</v>
      </c>
      <c r="AB61" s="179">
        <v>79.989999999999995</v>
      </c>
      <c r="AC61" s="179">
        <v>75.789999999999992</v>
      </c>
      <c r="AD61" s="179">
        <v>72.900000000000006</v>
      </c>
      <c r="AE61" s="179">
        <v>75.210000000000008</v>
      </c>
      <c r="AF61" s="179">
        <v>83.32</v>
      </c>
      <c r="AG61" s="179">
        <v>74.09</v>
      </c>
      <c r="AH61" s="179">
        <v>74.63</v>
      </c>
      <c r="AI61" s="179">
        <v>72.900000000000006</v>
      </c>
      <c r="AJ61" s="179">
        <v>72.319999999999993</v>
      </c>
      <c r="AK61" s="177">
        <f t="shared" si="70"/>
        <v>905.25</v>
      </c>
      <c r="AL61" s="97" t="s">
        <v>5</v>
      </c>
      <c r="AM61" s="97" t="s">
        <v>5</v>
      </c>
      <c r="AN61" s="180" t="s">
        <v>285</v>
      </c>
      <c r="AP61" s="375"/>
      <c r="AQ61" s="175">
        <f t="shared" si="72"/>
        <v>224.10000000000002</v>
      </c>
      <c r="AR61" s="175">
        <f t="shared" si="73"/>
        <v>228.67999999999998</v>
      </c>
      <c r="AS61" s="175">
        <f t="shared" si="74"/>
        <v>232.62</v>
      </c>
      <c r="AT61" s="175">
        <f t="shared" si="75"/>
        <v>219.85</v>
      </c>
      <c r="AU61" s="181"/>
      <c r="AV61" s="175">
        <v>105.56641621</v>
      </c>
      <c r="AW61" s="175">
        <v>119.01784088500001</v>
      </c>
      <c r="AX61" s="175">
        <v>88.137727464999998</v>
      </c>
      <c r="AY61" s="175">
        <v>80.476785669999998</v>
      </c>
      <c r="AZ61" s="175">
        <v>73.340237095000006</v>
      </c>
      <c r="BA61" s="175">
        <v>75.701853040000003</v>
      </c>
      <c r="BB61" s="175">
        <v>73.441792120000002</v>
      </c>
      <c r="BC61" s="175">
        <v>76.820189284999998</v>
      </c>
      <c r="BD61" s="175">
        <v>86.886446460000002</v>
      </c>
      <c r="BE61" s="175">
        <v>204.78813757500004</v>
      </c>
      <c r="BF61" s="175">
        <v>75.317790400000007</v>
      </c>
      <c r="BG61" s="175">
        <v>112.430920415</v>
      </c>
      <c r="BH61" s="375">
        <f ca="1">SUM(AV61:OFFSET(AV61,0,$F$2-1))</f>
        <v>1171.9261366200001</v>
      </c>
      <c r="BI61" s="175">
        <f t="shared" si="76"/>
        <v>312.72198456000001</v>
      </c>
      <c r="BJ61" s="175">
        <f t="shared" si="77"/>
        <v>229.51887580499999</v>
      </c>
      <c r="BK61" s="175">
        <f t="shared" si="78"/>
        <v>237.148427865</v>
      </c>
      <c r="BL61" s="175">
        <f t="shared" si="79"/>
        <v>392.53684839000005</v>
      </c>
      <c r="BM61" s="178"/>
      <c r="BN61" s="178"/>
      <c r="BO61" s="178"/>
      <c r="BP61" s="178">
        <v>85.052827524999998</v>
      </c>
      <c r="BQ61" s="178">
        <v>83.85150385</v>
      </c>
      <c r="BR61" s="178">
        <v>73.269420115000003</v>
      </c>
      <c r="BS61" s="178">
        <v>72.176755999999997</v>
      </c>
      <c r="BT61" s="178">
        <v>73.395739359999993</v>
      </c>
      <c r="BU61" s="178">
        <v>76.32347618</v>
      </c>
      <c r="BV61" s="178">
        <v>75.960791200000003</v>
      </c>
      <c r="BW61" s="178">
        <v>219.07436600000003</v>
      </c>
      <c r="BX61" s="178">
        <v>74.3446</v>
      </c>
      <c r="BY61" s="178">
        <v>110.99487694000001</v>
      </c>
      <c r="BZ61" s="375">
        <f ca="1">SUM(BN61:OFFSET(BN61,0,$F$2-1))</f>
        <v>944.4443571700001</v>
      </c>
      <c r="CA61" s="175">
        <f t="shared" si="80"/>
        <v>85.052827524999998</v>
      </c>
      <c r="CB61" s="175">
        <f t="shared" si="81"/>
        <v>229.29767996499999</v>
      </c>
      <c r="CC61" s="175">
        <f t="shared" si="82"/>
        <v>225.68000674000001</v>
      </c>
      <c r="CD61" s="175">
        <f t="shared" si="83"/>
        <v>404.41384293999999</v>
      </c>
      <c r="CE61" s="178"/>
      <c r="CF61" s="97" t="s">
        <v>572</v>
      </c>
      <c r="CH61" s="178"/>
      <c r="CI61" s="178"/>
      <c r="CJ61" s="178">
        <f t="shared" si="84"/>
        <v>-11.542827524999993</v>
      </c>
      <c r="CK61" s="178">
        <f t="shared" si="85"/>
        <v>-3.8615038500000054</v>
      </c>
      <c r="CL61" s="178">
        <f t="shared" si="86"/>
        <v>2.5205798849999894</v>
      </c>
      <c r="CM61" s="178">
        <f t="shared" si="87"/>
        <v>0.72324400000000821</v>
      </c>
      <c r="CN61" s="178">
        <f t="shared" si="88"/>
        <v>1.8142606400000147</v>
      </c>
      <c r="CO61" s="178">
        <f t="shared" si="89"/>
        <v>6.9965238199999931</v>
      </c>
      <c r="CP61" s="178">
        <f t="shared" si="90"/>
        <v>-1.8707911999999993</v>
      </c>
      <c r="CQ61" s="178">
        <f t="shared" si="91"/>
        <v>-144.44436600000003</v>
      </c>
      <c r="CR61" s="178"/>
      <c r="CS61" s="178"/>
      <c r="CU61" s="178">
        <f t="shared" si="92"/>
        <v>1082.1506056800001</v>
      </c>
      <c r="CV61" s="178" t="e">
        <v>#VALUE!</v>
      </c>
      <c r="CW61" s="178">
        <f t="shared" si="93"/>
        <v>1171.9261366200001</v>
      </c>
    </row>
    <row r="62" spans="2:101" outlineLevel="1">
      <c r="B62" s="97" t="s">
        <v>573</v>
      </c>
      <c r="C62" s="97" t="s">
        <v>542</v>
      </c>
      <c r="D62" s="97" t="s">
        <v>5</v>
      </c>
      <c r="E62" s="97" t="s">
        <v>156</v>
      </c>
      <c r="F62" s="329" t="s">
        <v>157</v>
      </c>
      <c r="G62" s="175">
        <v>8318.36</v>
      </c>
      <c r="H62" s="175">
        <v>8752.44</v>
      </c>
      <c r="I62" s="175">
        <v>8215.09</v>
      </c>
      <c r="J62" s="175">
        <v>6027</v>
      </c>
      <c r="K62" s="175">
        <v>3788</v>
      </c>
      <c r="L62" s="175">
        <v>3392.83</v>
      </c>
      <c r="M62" s="175">
        <v>3444.38</v>
      </c>
      <c r="N62" s="175">
        <v>3009.2599999999998</v>
      </c>
      <c r="O62" s="175">
        <v>3298.7300000000005</v>
      </c>
      <c r="P62" s="175">
        <v>4087.45</v>
      </c>
      <c r="Q62" s="175">
        <v>5784.7300000000005</v>
      </c>
      <c r="R62" s="175">
        <v>8623.5399999999991</v>
      </c>
      <c r="S62" s="375">
        <f ca="1">SUM(G62:OFFSET(G62,0,$F$2-1))</f>
        <v>66741.81</v>
      </c>
      <c r="T62" s="175">
        <f t="shared" si="66"/>
        <v>25285.890000000003</v>
      </c>
      <c r="U62" s="175">
        <f t="shared" si="67"/>
        <v>13207.83</v>
      </c>
      <c r="V62" s="175">
        <f t="shared" si="68"/>
        <v>9752.369999999999</v>
      </c>
      <c r="W62" s="175">
        <f t="shared" si="69"/>
        <v>18495.72</v>
      </c>
      <c r="X62" s="178"/>
      <c r="Y62" s="179">
        <v>9043.3200000000015</v>
      </c>
      <c r="Z62" s="179">
        <v>8521.98</v>
      </c>
      <c r="AA62" s="179">
        <v>6902.7100000000009</v>
      </c>
      <c r="AB62" s="179">
        <v>6891.7600000000011</v>
      </c>
      <c r="AC62" s="179">
        <v>6124.59</v>
      </c>
      <c r="AD62" s="179">
        <v>5112.82</v>
      </c>
      <c r="AE62" s="179">
        <v>3050.91</v>
      </c>
      <c r="AF62" s="179">
        <v>5096.41</v>
      </c>
      <c r="AG62" s="179">
        <v>3999.1700000000005</v>
      </c>
      <c r="AH62" s="179">
        <v>4876.2700000000004</v>
      </c>
      <c r="AI62" s="179">
        <v>6586.8900000000012</v>
      </c>
      <c r="AJ62" s="179">
        <v>8427.6500000000015</v>
      </c>
      <c r="AK62" s="177">
        <f t="shared" si="70"/>
        <v>74634.48000000001</v>
      </c>
      <c r="AL62" s="97" t="s">
        <v>5</v>
      </c>
      <c r="AM62" s="97" t="s">
        <v>5</v>
      </c>
      <c r="AN62" s="180" t="s">
        <v>285</v>
      </c>
      <c r="AP62" s="375"/>
      <c r="AQ62" s="175">
        <f t="shared" si="72"/>
        <v>24468.010000000002</v>
      </c>
      <c r="AR62" s="175">
        <f t="shared" si="73"/>
        <v>18129.170000000002</v>
      </c>
      <c r="AS62" s="175">
        <f t="shared" si="74"/>
        <v>12146.49</v>
      </c>
      <c r="AT62" s="175">
        <f t="shared" si="75"/>
        <v>19890.810000000005</v>
      </c>
      <c r="AU62" s="181"/>
      <c r="AV62" s="175">
        <v>9481.7919541486281</v>
      </c>
      <c r="AW62" s="175">
        <v>9765.2311958207156</v>
      </c>
      <c r="AX62" s="175">
        <v>7592.527085955001</v>
      </c>
      <c r="AY62" s="175">
        <v>6324.433340634002</v>
      </c>
      <c r="AZ62" s="175">
        <v>3881.3150316872857</v>
      </c>
      <c r="BA62" s="175">
        <v>3758.9326918577594</v>
      </c>
      <c r="BB62" s="175">
        <v>2128.7982285000007</v>
      </c>
      <c r="BC62" s="175">
        <v>5774.8568088281254</v>
      </c>
      <c r="BD62" s="175">
        <v>5537.8841997000018</v>
      </c>
      <c r="BE62" s="175">
        <v>6760.4960491687516</v>
      </c>
      <c r="BF62" s="175">
        <v>8697.8602800150002</v>
      </c>
      <c r="BG62" s="175">
        <v>13786.831085923337</v>
      </c>
      <c r="BH62" s="375">
        <f ca="1">SUM(AV62:OFFSET(AV62,0,$F$2-1))</f>
        <v>83490.957952238605</v>
      </c>
      <c r="BI62" s="175">
        <f t="shared" si="76"/>
        <v>26839.550235924344</v>
      </c>
      <c r="BJ62" s="175">
        <f t="shared" si="77"/>
        <v>13964.681064179047</v>
      </c>
      <c r="BK62" s="175">
        <f t="shared" si="78"/>
        <v>13441.539237028128</v>
      </c>
      <c r="BL62" s="175">
        <f t="shared" si="79"/>
        <v>29245.187415107088</v>
      </c>
      <c r="BM62" s="178"/>
      <c r="BN62" s="178"/>
      <c r="BO62" s="178"/>
      <c r="BP62" s="178">
        <v>4473.0320366112746</v>
      </c>
      <c r="BQ62" s="178">
        <v>4768.3693125856862</v>
      </c>
      <c r="BR62" s="178">
        <v>3759.7794611724271</v>
      </c>
      <c r="BS62" s="178">
        <v>3223.857246646618</v>
      </c>
      <c r="BT62" s="178">
        <v>1991.9847201642465</v>
      </c>
      <c r="BU62" s="178">
        <v>5957.4406760465445</v>
      </c>
      <c r="BV62" s="178">
        <v>5724.8145577900741</v>
      </c>
      <c r="BW62" s="178">
        <v>7287.4955813161778</v>
      </c>
      <c r="BX62" s="178">
        <v>7348.2778500000013</v>
      </c>
      <c r="BY62" s="178">
        <v>12605.627178111112</v>
      </c>
      <c r="BZ62" s="375">
        <f ca="1">SUM(BN62:OFFSET(BN62,0,$F$2-1))</f>
        <v>57140.67862044416</v>
      </c>
      <c r="CA62" s="175">
        <f t="shared" si="80"/>
        <v>4473.0320366112746</v>
      </c>
      <c r="CB62" s="175">
        <f t="shared" si="81"/>
        <v>11752.006020404731</v>
      </c>
      <c r="CC62" s="175">
        <f t="shared" si="82"/>
        <v>13674.239954000865</v>
      </c>
      <c r="CD62" s="175">
        <f t="shared" si="83"/>
        <v>27241.400609427292</v>
      </c>
      <c r="CE62" s="178"/>
      <c r="CF62" s="97" t="s">
        <v>573</v>
      </c>
      <c r="CH62" s="178"/>
      <c r="CI62" s="178"/>
      <c r="CJ62" s="178">
        <f t="shared" si="84"/>
        <v>2429.6779633887263</v>
      </c>
      <c r="CK62" s="178">
        <f t="shared" si="85"/>
        <v>2123.3906874143149</v>
      </c>
      <c r="CL62" s="178">
        <f t="shared" si="86"/>
        <v>2364.8105388275731</v>
      </c>
      <c r="CM62" s="178">
        <f t="shared" si="87"/>
        <v>1888.9627533533817</v>
      </c>
      <c r="CN62" s="178">
        <f t="shared" si="88"/>
        <v>1058.9252798357534</v>
      </c>
      <c r="CO62" s="178">
        <f t="shared" si="89"/>
        <v>-861.03067604654461</v>
      </c>
      <c r="CP62" s="178">
        <f t="shared" si="90"/>
        <v>-1725.6445577900736</v>
      </c>
      <c r="CQ62" s="178">
        <f t="shared" si="91"/>
        <v>-2411.2255813161773</v>
      </c>
      <c r="CR62" s="178"/>
      <c r="CS62" s="178"/>
      <c r="CU62" s="178">
        <f t="shared" si="92"/>
        <v>81623.857810074784</v>
      </c>
      <c r="CV62" s="178" t="e">
        <v>#VALUE!</v>
      </c>
      <c r="CW62" s="178">
        <f t="shared" si="93"/>
        <v>83490.957952238605</v>
      </c>
    </row>
    <row r="63" spans="2:101" outlineLevel="1">
      <c r="B63" s="97" t="s">
        <v>574</v>
      </c>
      <c r="C63" s="97" t="s">
        <v>542</v>
      </c>
      <c r="D63" s="97" t="s">
        <v>5</v>
      </c>
      <c r="E63" s="97" t="s">
        <v>160</v>
      </c>
      <c r="F63" s="329" t="s">
        <v>159</v>
      </c>
      <c r="G63" s="175">
        <v>1442.58</v>
      </c>
      <c r="H63" s="175">
        <v>1415.51</v>
      </c>
      <c r="I63" s="175">
        <v>1378.33</v>
      </c>
      <c r="J63" s="175">
        <v>1092</v>
      </c>
      <c r="K63" s="176">
        <v>915</v>
      </c>
      <c r="L63" s="175">
        <v>956.36</v>
      </c>
      <c r="M63" s="175">
        <v>1019.35</v>
      </c>
      <c r="N63" s="175">
        <v>925.79</v>
      </c>
      <c r="O63" s="175">
        <v>1201.96</v>
      </c>
      <c r="P63" s="175">
        <v>1218.3</v>
      </c>
      <c r="Q63" s="175">
        <v>1332.12</v>
      </c>
      <c r="R63" s="175">
        <v>1525.37</v>
      </c>
      <c r="S63" s="375">
        <f ca="1">SUM(G63:OFFSET(G63,0,$F$2-1))</f>
        <v>14422.669999999995</v>
      </c>
      <c r="T63" s="175">
        <f t="shared" si="66"/>
        <v>4236.42</v>
      </c>
      <c r="U63" s="175">
        <f t="shared" si="67"/>
        <v>2963.36</v>
      </c>
      <c r="V63" s="175">
        <f t="shared" si="68"/>
        <v>3147.1</v>
      </c>
      <c r="W63" s="175">
        <f t="shared" si="69"/>
        <v>4075.79</v>
      </c>
      <c r="X63" s="178"/>
      <c r="Y63" s="179">
        <v>1650.3300000000002</v>
      </c>
      <c r="Z63" s="179">
        <v>1739.3899999999999</v>
      </c>
      <c r="AA63" s="179">
        <v>1694.1399999999999</v>
      </c>
      <c r="AB63" s="179">
        <v>1821.09</v>
      </c>
      <c r="AC63" s="179">
        <v>1747.57</v>
      </c>
      <c r="AD63" s="179">
        <v>1568.41</v>
      </c>
      <c r="AE63" s="179">
        <v>1506.28</v>
      </c>
      <c r="AF63" s="179">
        <v>1487.3</v>
      </c>
      <c r="AG63" s="179">
        <v>2049.09</v>
      </c>
      <c r="AH63" s="179">
        <v>1869.79</v>
      </c>
      <c r="AI63" s="179">
        <v>1869.33</v>
      </c>
      <c r="AJ63" s="179">
        <v>2078.2799999999997</v>
      </c>
      <c r="AK63" s="177">
        <f t="shared" si="70"/>
        <v>21081</v>
      </c>
      <c r="AL63" s="97" t="s">
        <v>5</v>
      </c>
      <c r="AM63" s="97" t="s">
        <v>5</v>
      </c>
      <c r="AN63" s="180" t="s">
        <v>285</v>
      </c>
      <c r="AP63" s="375"/>
      <c r="AQ63" s="175">
        <f t="shared" si="72"/>
        <v>5083.8600000000006</v>
      </c>
      <c r="AR63" s="175">
        <f t="shared" si="73"/>
        <v>5137.07</v>
      </c>
      <c r="AS63" s="175">
        <f t="shared" si="74"/>
        <v>5042.67</v>
      </c>
      <c r="AT63" s="175">
        <f t="shared" si="75"/>
        <v>5817.4</v>
      </c>
      <c r="AU63" s="181"/>
      <c r="AV63" s="175">
        <v>1414.2253163663358</v>
      </c>
      <c r="AW63" s="175">
        <v>1392.4618491551357</v>
      </c>
      <c r="AX63" s="175">
        <v>1392.2749064690572</v>
      </c>
      <c r="AY63" s="175">
        <v>1348.1869008900001</v>
      </c>
      <c r="AZ63" s="175">
        <v>1339.2462271467</v>
      </c>
      <c r="BA63" s="175">
        <v>1308.587950761043</v>
      </c>
      <c r="BB63" s="175">
        <v>1284.6811658009142</v>
      </c>
      <c r="BC63" s="175">
        <v>1348.9036360691787</v>
      </c>
      <c r="BD63" s="175">
        <v>1394.3625546794785</v>
      </c>
      <c r="BE63" s="175">
        <v>1368.1813408884643</v>
      </c>
      <c r="BF63" s="175">
        <v>1428.3076027556572</v>
      </c>
      <c r="BG63" s="175">
        <v>1403.0049466596859</v>
      </c>
      <c r="BH63" s="375">
        <f ca="1">SUM(AV63:OFFSET(AV63,0,$F$2-1))</f>
        <v>16422.424397641651</v>
      </c>
      <c r="BI63" s="175">
        <f t="shared" si="76"/>
        <v>4198.9620719905288</v>
      </c>
      <c r="BJ63" s="175">
        <f t="shared" si="77"/>
        <v>3996.021078797743</v>
      </c>
      <c r="BK63" s="175">
        <f t="shared" si="78"/>
        <v>4027.9473565495709</v>
      </c>
      <c r="BL63" s="175">
        <f t="shared" si="79"/>
        <v>4199.4938903038073</v>
      </c>
      <c r="BM63" s="178"/>
      <c r="BN63" s="178"/>
      <c r="BO63" s="178"/>
      <c r="BP63" s="178">
        <v>1426.5923923144287</v>
      </c>
      <c r="BQ63" s="178">
        <v>1404.8615054249999</v>
      </c>
      <c r="BR63" s="178">
        <v>1421.1000993789</v>
      </c>
      <c r="BS63" s="178">
        <v>1372.6972104854144</v>
      </c>
      <c r="BT63" s="178">
        <v>1285.2300948573857</v>
      </c>
      <c r="BU63" s="178">
        <v>1352.7089949798642</v>
      </c>
      <c r="BV63" s="178">
        <v>1567.2061601400001</v>
      </c>
      <c r="BW63" s="178">
        <v>1686.9887690139999</v>
      </c>
      <c r="BX63" s="178">
        <v>1595.6443951428571</v>
      </c>
      <c r="BY63" s="178">
        <v>1744.8717638825428</v>
      </c>
      <c r="BZ63" s="375">
        <f ca="1">SUM(BN63:OFFSET(BN63,0,$F$2-1))</f>
        <v>14857.901385620393</v>
      </c>
      <c r="CA63" s="175">
        <f t="shared" si="80"/>
        <v>1426.5923923144287</v>
      </c>
      <c r="CB63" s="175">
        <f t="shared" si="81"/>
        <v>4198.6588152893146</v>
      </c>
      <c r="CC63" s="175">
        <f t="shared" si="82"/>
        <v>4205.1452499772495</v>
      </c>
      <c r="CD63" s="175">
        <f t="shared" si="83"/>
        <v>5027.5049280393996</v>
      </c>
      <c r="CE63" s="178"/>
      <c r="CF63" s="97" t="s">
        <v>574</v>
      </c>
      <c r="CH63" s="178"/>
      <c r="CI63" s="178"/>
      <c r="CJ63" s="178">
        <f t="shared" si="84"/>
        <v>267.54760768557117</v>
      </c>
      <c r="CK63" s="178">
        <f t="shared" si="85"/>
        <v>416.22849457500001</v>
      </c>
      <c r="CL63" s="178">
        <f t="shared" si="86"/>
        <v>326.4699006210999</v>
      </c>
      <c r="CM63" s="178">
        <f t="shared" si="87"/>
        <v>195.71278951458567</v>
      </c>
      <c r="CN63" s="178">
        <f t="shared" si="88"/>
        <v>221.04990514261431</v>
      </c>
      <c r="CO63" s="178">
        <f t="shared" si="89"/>
        <v>134.59100502013575</v>
      </c>
      <c r="CP63" s="178">
        <f t="shared" si="90"/>
        <v>481.88383986000008</v>
      </c>
      <c r="CQ63" s="178">
        <f t="shared" si="91"/>
        <v>182.80123098600006</v>
      </c>
      <c r="CR63" s="178"/>
      <c r="CS63" s="178"/>
      <c r="CU63" s="178">
        <f t="shared" si="92"/>
        <v>19257.867388502065</v>
      </c>
      <c r="CV63" s="178" t="e">
        <v>#VALUE!</v>
      </c>
      <c r="CW63" s="178">
        <f t="shared" si="93"/>
        <v>16422.424397641651</v>
      </c>
    </row>
    <row r="64" spans="2:101" outlineLevel="1">
      <c r="B64" s="97" t="s">
        <v>575</v>
      </c>
      <c r="C64" s="97" t="s">
        <v>542</v>
      </c>
      <c r="D64" s="97" t="s">
        <v>4</v>
      </c>
      <c r="E64" s="97" t="s">
        <v>161</v>
      </c>
      <c r="F64" s="174" t="s">
        <v>95</v>
      </c>
      <c r="G64" s="175">
        <v>945.56</v>
      </c>
      <c r="H64" s="175">
        <v>939.26</v>
      </c>
      <c r="I64" s="175">
        <v>927.82999999999993</v>
      </c>
      <c r="J64" s="175">
        <v>884.4899999999999</v>
      </c>
      <c r="K64" s="175">
        <v>892.82999999999993</v>
      </c>
      <c r="L64" s="175">
        <v>863.53000000000009</v>
      </c>
      <c r="M64" s="175">
        <v>905.61999999999989</v>
      </c>
      <c r="N64" s="175">
        <v>855.31000000000006</v>
      </c>
      <c r="O64" s="175">
        <v>901.98000000000013</v>
      </c>
      <c r="P64" s="175">
        <v>836.74</v>
      </c>
      <c r="Q64" s="175">
        <v>892.38999999999987</v>
      </c>
      <c r="R64" s="175">
        <v>878.45</v>
      </c>
      <c r="S64" s="375">
        <f ca="1">SUM(G64:OFFSET(G64,0,$F$2-1))</f>
        <v>10723.99</v>
      </c>
      <c r="T64" s="175">
        <f t="shared" si="66"/>
        <v>2812.6499999999996</v>
      </c>
      <c r="U64" s="175">
        <f t="shared" si="67"/>
        <v>2640.85</v>
      </c>
      <c r="V64" s="175">
        <f t="shared" si="68"/>
        <v>2662.91</v>
      </c>
      <c r="W64" s="175">
        <f t="shared" si="69"/>
        <v>2607.58</v>
      </c>
      <c r="X64" s="178"/>
      <c r="Y64" s="179">
        <v>874.86</v>
      </c>
      <c r="Z64" s="179">
        <v>854.93</v>
      </c>
      <c r="AA64" s="179">
        <v>893.21000000000015</v>
      </c>
      <c r="AB64" s="179">
        <v>928.73000000000013</v>
      </c>
      <c r="AC64" s="179">
        <v>894.42</v>
      </c>
      <c r="AD64" s="179">
        <v>914.99</v>
      </c>
      <c r="AE64" s="179">
        <v>890.92000000000007</v>
      </c>
      <c r="AF64" s="179">
        <v>875.56</v>
      </c>
      <c r="AG64" s="179">
        <v>938.18000000000006</v>
      </c>
      <c r="AH64" s="179">
        <v>836.40999999999985</v>
      </c>
      <c r="AI64" s="179">
        <v>932.37000000000012</v>
      </c>
      <c r="AJ64" s="179">
        <v>906.49000000000012</v>
      </c>
      <c r="AK64" s="177">
        <f t="shared" si="70"/>
        <v>10741.07</v>
      </c>
      <c r="AL64" s="97" t="s">
        <v>4</v>
      </c>
      <c r="AM64" s="97" t="s">
        <v>4</v>
      </c>
      <c r="AN64" s="180" t="str">
        <f t="shared" si="94"/>
        <v>IGC - IGC - TS2</v>
      </c>
      <c r="AP64" s="375"/>
      <c r="AQ64" s="175">
        <f t="shared" si="72"/>
        <v>2623</v>
      </c>
      <c r="AR64" s="175">
        <f t="shared" si="73"/>
        <v>2738.1400000000003</v>
      </c>
      <c r="AS64" s="175">
        <f t="shared" si="74"/>
        <v>2704.66</v>
      </c>
      <c r="AT64" s="175">
        <f t="shared" si="75"/>
        <v>2675.27</v>
      </c>
      <c r="AU64" s="181"/>
      <c r="AV64" s="175">
        <v>967.24743373842603</v>
      </c>
      <c r="AW64" s="175">
        <v>942.52116701301748</v>
      </c>
      <c r="AX64" s="175">
        <v>946.80275424026945</v>
      </c>
      <c r="AY64" s="175">
        <v>921.86099329314561</v>
      </c>
      <c r="AZ64" s="175">
        <v>947.29052810810435</v>
      </c>
      <c r="BA64" s="175">
        <v>907.98951941383916</v>
      </c>
      <c r="BB64" s="175">
        <v>927.3936197819055</v>
      </c>
      <c r="BC64" s="175">
        <v>901.33072780064049</v>
      </c>
      <c r="BD64" s="175">
        <v>878.17264960275179</v>
      </c>
      <c r="BE64" s="175">
        <v>910.80555365241935</v>
      </c>
      <c r="BF64" s="175">
        <v>894.73974451276604</v>
      </c>
      <c r="BG64" s="175">
        <v>938.53432562817511</v>
      </c>
      <c r="BH64" s="375">
        <f ca="1">SUM(AV64:OFFSET(AV64,0,$F$2-1))</f>
        <v>11084.689016785462</v>
      </c>
      <c r="BI64" s="175">
        <f t="shared" si="76"/>
        <v>2856.5713549917127</v>
      </c>
      <c r="BJ64" s="175">
        <f t="shared" si="77"/>
        <v>2777.1410408150891</v>
      </c>
      <c r="BK64" s="175">
        <f t="shared" si="78"/>
        <v>2706.8969971852976</v>
      </c>
      <c r="BL64" s="175">
        <f t="shared" si="79"/>
        <v>2744.0796237933605</v>
      </c>
      <c r="BM64" s="178"/>
      <c r="BN64" s="178"/>
      <c r="BO64" s="178"/>
      <c r="BP64" s="178">
        <v>927.94655735721744</v>
      </c>
      <c r="BQ64" s="178">
        <v>912.10932124475721</v>
      </c>
      <c r="BR64" s="178">
        <v>905.2426636140392</v>
      </c>
      <c r="BS64" s="178">
        <v>864.42666275663476</v>
      </c>
      <c r="BT64" s="178">
        <v>886.71144958108698</v>
      </c>
      <c r="BU64" s="178">
        <v>853.05348538638248</v>
      </c>
      <c r="BV64" s="178">
        <v>870.15038267505531</v>
      </c>
      <c r="BW64" s="178">
        <v>905.66880829024501</v>
      </c>
      <c r="BX64" s="178">
        <v>897.60975656324104</v>
      </c>
      <c r="BY64" s="178">
        <v>944.5693247459692</v>
      </c>
      <c r="BZ64" s="375">
        <f ca="1">SUM(BN64:OFFSET(BN64,0,$F$2-1))</f>
        <v>8967.4884122146286</v>
      </c>
      <c r="CA64" s="175">
        <f t="shared" si="80"/>
        <v>927.94655735721744</v>
      </c>
      <c r="CB64" s="175">
        <f t="shared" si="81"/>
        <v>2681.7786476154311</v>
      </c>
      <c r="CC64" s="175">
        <f t="shared" si="82"/>
        <v>2609.9153176425248</v>
      </c>
      <c r="CD64" s="175">
        <f t="shared" si="83"/>
        <v>2747.8478895994549</v>
      </c>
      <c r="CE64" s="178"/>
      <c r="CF64" s="97" t="s">
        <v>575</v>
      </c>
      <c r="CH64" s="178"/>
      <c r="CI64" s="178"/>
      <c r="CJ64" s="178">
        <f t="shared" si="84"/>
        <v>-34.736557357217293</v>
      </c>
      <c r="CK64" s="178">
        <f t="shared" si="85"/>
        <v>16.62067875524292</v>
      </c>
      <c r="CL64" s="178">
        <f t="shared" si="86"/>
        <v>-10.822663614039243</v>
      </c>
      <c r="CM64" s="178">
        <f t="shared" si="87"/>
        <v>50.563337243365254</v>
      </c>
      <c r="CN64" s="178">
        <f t="shared" si="88"/>
        <v>4.2085504189130916</v>
      </c>
      <c r="CO64" s="178">
        <f t="shared" si="89"/>
        <v>22.506514613617469</v>
      </c>
      <c r="CP64" s="178">
        <f t="shared" si="90"/>
        <v>68.029617324944752</v>
      </c>
      <c r="CQ64" s="178">
        <f t="shared" si="91"/>
        <v>-69.258808290245156</v>
      </c>
      <c r="CR64" s="178"/>
      <c r="CS64" s="178"/>
      <c r="CU64" s="178">
        <f t="shared" si="92"/>
        <v>10668.339869998614</v>
      </c>
      <c r="CV64" s="178" t="e">
        <v>#VALUE!</v>
      </c>
      <c r="CW64" s="178">
        <f t="shared" si="93"/>
        <v>11084.689016785462</v>
      </c>
    </row>
    <row r="65" spans="2:101" outlineLevel="1">
      <c r="B65" s="97" t="s">
        <v>576</v>
      </c>
      <c r="C65" s="97" t="s">
        <v>542</v>
      </c>
      <c r="D65" s="97" t="s">
        <v>4</v>
      </c>
      <c r="E65" s="97" t="s">
        <v>162</v>
      </c>
      <c r="F65" s="174" t="s">
        <v>96</v>
      </c>
      <c r="G65" s="175">
        <v>75.58</v>
      </c>
      <c r="H65" s="175">
        <v>74.180000000000007</v>
      </c>
      <c r="I65" s="175">
        <v>78.8</v>
      </c>
      <c r="J65" s="175">
        <v>76.7</v>
      </c>
      <c r="K65" s="175">
        <v>83.89</v>
      </c>
      <c r="L65" s="175">
        <v>76.95</v>
      </c>
      <c r="M65" s="175">
        <v>81.31</v>
      </c>
      <c r="N65" s="175">
        <v>79.47</v>
      </c>
      <c r="O65" s="175">
        <v>76.37</v>
      </c>
      <c r="P65" s="175">
        <v>72.55</v>
      </c>
      <c r="Q65" s="175">
        <v>80.150000000000006</v>
      </c>
      <c r="R65" s="175">
        <v>87.34</v>
      </c>
      <c r="S65" s="375">
        <f ca="1">SUM(G65:OFFSET(G65,0,$F$2-1))</f>
        <v>943.29</v>
      </c>
      <c r="T65" s="175">
        <f t="shared" si="66"/>
        <v>228.56</v>
      </c>
      <c r="U65" s="175">
        <f t="shared" si="67"/>
        <v>237.54000000000002</v>
      </c>
      <c r="V65" s="175">
        <f t="shared" si="68"/>
        <v>237.15</v>
      </c>
      <c r="W65" s="175">
        <f t="shared" si="69"/>
        <v>240.04</v>
      </c>
      <c r="X65" s="178"/>
      <c r="Y65" s="179">
        <v>105.19</v>
      </c>
      <c r="Z65" s="179">
        <v>96.14</v>
      </c>
      <c r="AA65" s="179">
        <v>91.71</v>
      </c>
      <c r="AB65" s="179">
        <v>100.16</v>
      </c>
      <c r="AC65" s="179">
        <v>83.65</v>
      </c>
      <c r="AD65" s="179">
        <v>102.33</v>
      </c>
      <c r="AE65" s="179">
        <v>82.98</v>
      </c>
      <c r="AF65" s="179">
        <v>83.02</v>
      </c>
      <c r="AG65" s="179">
        <v>91.77</v>
      </c>
      <c r="AH65" s="179">
        <v>86.67</v>
      </c>
      <c r="AI65" s="179">
        <v>93.22</v>
      </c>
      <c r="AJ65" s="179">
        <v>85.29</v>
      </c>
      <c r="AK65" s="177">
        <f t="shared" si="70"/>
        <v>1102.1299999999999</v>
      </c>
      <c r="AL65" s="97" t="s">
        <v>4</v>
      </c>
      <c r="AM65" s="97" t="s">
        <v>4</v>
      </c>
      <c r="AN65" s="180" t="str">
        <f t="shared" si="94"/>
        <v>IGC - IGC - TS3</v>
      </c>
      <c r="AP65" s="375"/>
      <c r="AQ65" s="175">
        <f t="shared" si="72"/>
        <v>293.03999999999996</v>
      </c>
      <c r="AR65" s="175">
        <f t="shared" si="73"/>
        <v>286.14</v>
      </c>
      <c r="AS65" s="175">
        <f t="shared" si="74"/>
        <v>257.77</v>
      </c>
      <c r="AT65" s="175">
        <f t="shared" si="75"/>
        <v>265.18</v>
      </c>
      <c r="AU65" s="181"/>
      <c r="AV65" s="175">
        <v>77.647415428499997</v>
      </c>
      <c r="AW65" s="175">
        <v>74.464649949749997</v>
      </c>
      <c r="AX65" s="175">
        <v>74.446408333500003</v>
      </c>
      <c r="AY65" s="175">
        <v>74.852641196250005</v>
      </c>
      <c r="AZ65" s="175">
        <v>78.658952705250002</v>
      </c>
      <c r="BA65" s="175">
        <v>78.069986434500009</v>
      </c>
      <c r="BB65" s="175">
        <v>75.535670757749998</v>
      </c>
      <c r="BC65" s="175">
        <v>75.273996094499992</v>
      </c>
      <c r="BD65" s="175">
        <v>76.588132704000003</v>
      </c>
      <c r="BE65" s="175">
        <v>71.27548668675</v>
      </c>
      <c r="BF65" s="175">
        <v>69.513452305499996</v>
      </c>
      <c r="BG65" s="175">
        <v>77.193014124000001</v>
      </c>
      <c r="BH65" s="375">
        <f ca="1">SUM(AV65:OFFSET(AV65,0,$F$2-1))</f>
        <v>903.51980672025013</v>
      </c>
      <c r="BI65" s="175">
        <f t="shared" si="76"/>
        <v>226.55847371175003</v>
      </c>
      <c r="BJ65" s="175">
        <f t="shared" si="77"/>
        <v>231.58158033600003</v>
      </c>
      <c r="BK65" s="175">
        <f t="shared" si="78"/>
        <v>227.39779955624999</v>
      </c>
      <c r="BL65" s="175">
        <f t="shared" si="79"/>
        <v>217.98195311625</v>
      </c>
      <c r="BM65" s="178"/>
      <c r="BN65" s="178"/>
      <c r="BO65" s="178"/>
      <c r="BP65" s="178">
        <v>71.955695730000002</v>
      </c>
      <c r="BQ65" s="178">
        <v>73.561901801250002</v>
      </c>
      <c r="BR65" s="178">
        <v>75.727040851499993</v>
      </c>
      <c r="BS65" s="178">
        <v>78.345886663499996</v>
      </c>
      <c r="BT65" s="178">
        <v>76.256186248500001</v>
      </c>
      <c r="BU65" s="178">
        <v>75.551672037000003</v>
      </c>
      <c r="BV65" s="178">
        <v>77.205510629999992</v>
      </c>
      <c r="BW65" s="178">
        <v>71.572254540000003</v>
      </c>
      <c r="BX65" s="178">
        <v>70.374836999999999</v>
      </c>
      <c r="BY65" s="178">
        <v>76.966223306999993</v>
      </c>
      <c r="BZ65" s="375">
        <f ca="1">SUM(BN65:OFFSET(BN65,0,$F$2-1))</f>
        <v>747.51720880874984</v>
      </c>
      <c r="CA65" s="175">
        <f t="shared" si="80"/>
        <v>71.955695730000002</v>
      </c>
      <c r="CB65" s="175">
        <f t="shared" si="81"/>
        <v>227.63482931624998</v>
      </c>
      <c r="CC65" s="175">
        <f t="shared" si="82"/>
        <v>229.0133689155</v>
      </c>
      <c r="CD65" s="175">
        <f t="shared" si="83"/>
        <v>218.91331484699998</v>
      </c>
      <c r="CE65" s="178"/>
      <c r="CF65" s="97" t="s">
        <v>576</v>
      </c>
      <c r="CH65" s="178"/>
      <c r="CI65" s="178"/>
      <c r="CJ65" s="178">
        <f t="shared" si="84"/>
        <v>19.754304269999992</v>
      </c>
      <c r="CK65" s="178">
        <f t="shared" si="85"/>
        <v>26.598098198749994</v>
      </c>
      <c r="CL65" s="178">
        <f t="shared" si="86"/>
        <v>7.9229591485000128</v>
      </c>
      <c r="CM65" s="178">
        <f t="shared" si="87"/>
        <v>23.984113336500002</v>
      </c>
      <c r="CN65" s="178">
        <f t="shared" si="88"/>
        <v>6.7238137515000034</v>
      </c>
      <c r="CO65" s="178">
        <f t="shared" si="89"/>
        <v>7.468327962999993</v>
      </c>
      <c r="CP65" s="178">
        <f t="shared" si="90"/>
        <v>14.564489370000004</v>
      </c>
      <c r="CQ65" s="178">
        <f t="shared" si="91"/>
        <v>15.097745459999999</v>
      </c>
      <c r="CR65" s="178"/>
      <c r="CS65" s="178"/>
      <c r="CU65" s="178">
        <f t="shared" si="92"/>
        <v>1003.1225704259999</v>
      </c>
      <c r="CV65" s="178" t="e">
        <v>#VALUE!</v>
      </c>
      <c r="CW65" s="178">
        <f t="shared" si="93"/>
        <v>903.51980672025013</v>
      </c>
    </row>
    <row r="66" spans="2:101" outlineLevel="1">
      <c r="B66" s="97" t="s">
        <v>577</v>
      </c>
      <c r="C66" s="97" t="s">
        <v>542</v>
      </c>
      <c r="D66" s="97" t="s">
        <v>4</v>
      </c>
      <c r="E66" s="97" t="s">
        <v>163</v>
      </c>
      <c r="F66" s="335" t="s">
        <v>97</v>
      </c>
      <c r="G66" s="379">
        <v>7035</v>
      </c>
      <c r="H66" s="379">
        <v>7035</v>
      </c>
      <c r="I66" s="379">
        <v>7035</v>
      </c>
      <c r="J66" s="379">
        <v>7035</v>
      </c>
      <c r="K66" s="379">
        <v>7035</v>
      </c>
      <c r="L66" s="379">
        <v>7035</v>
      </c>
      <c r="M66" s="379">
        <v>7035</v>
      </c>
      <c r="N66" s="379">
        <v>7035</v>
      </c>
      <c r="O66" s="379">
        <v>7035</v>
      </c>
      <c r="P66" s="379">
        <v>7035</v>
      </c>
      <c r="Q66" s="379">
        <v>7035</v>
      </c>
      <c r="R66" s="379">
        <v>7035</v>
      </c>
      <c r="S66" s="381">
        <f ca="1">SUM(G66:OFFSET(G66,0,$F$2-1))</f>
        <v>84420</v>
      </c>
      <c r="T66" s="379">
        <f t="shared" si="66"/>
        <v>21105</v>
      </c>
      <c r="U66" s="379">
        <f t="shared" si="67"/>
        <v>21105</v>
      </c>
      <c r="V66" s="379">
        <f t="shared" si="68"/>
        <v>21105</v>
      </c>
      <c r="W66" s="379">
        <f t="shared" si="69"/>
        <v>21105</v>
      </c>
      <c r="X66" s="178"/>
      <c r="Y66" s="382">
        <v>7035</v>
      </c>
      <c r="Z66" s="395">
        <v>-12736.67</v>
      </c>
      <c r="AA66" s="382">
        <v>0</v>
      </c>
      <c r="AB66" s="382">
        <v>0</v>
      </c>
      <c r="AC66" s="382">
        <v>0</v>
      </c>
      <c r="AD66" s="382">
        <v>0</v>
      </c>
      <c r="AE66" s="382">
        <v>0</v>
      </c>
      <c r="AF66" s="382">
        <v>0</v>
      </c>
      <c r="AG66" s="382">
        <v>0</v>
      </c>
      <c r="AH66" s="382">
        <v>0</v>
      </c>
      <c r="AI66" s="382">
        <v>0</v>
      </c>
      <c r="AJ66" s="382">
        <v>0</v>
      </c>
      <c r="AK66" s="177">
        <f t="shared" si="70"/>
        <v>-5701.67</v>
      </c>
      <c r="AL66" s="97" t="s">
        <v>4</v>
      </c>
      <c r="AM66" s="97" t="s">
        <v>4</v>
      </c>
      <c r="AN66" s="180" t="str">
        <f t="shared" si="94"/>
        <v>IGC - IGC - TS4</v>
      </c>
      <c r="AP66" s="375"/>
      <c r="AQ66" s="379">
        <f t="shared" si="72"/>
        <v>-5701.67</v>
      </c>
      <c r="AR66" s="379">
        <f t="shared" si="73"/>
        <v>0</v>
      </c>
      <c r="AS66" s="379">
        <f t="shared" si="74"/>
        <v>0</v>
      </c>
      <c r="AT66" s="379">
        <f t="shared" si="75"/>
        <v>0</v>
      </c>
      <c r="AU66" s="181"/>
      <c r="AV66" s="379">
        <v>0</v>
      </c>
      <c r="AW66" s="379">
        <v>0</v>
      </c>
      <c r="AX66" s="379">
        <v>0</v>
      </c>
      <c r="AY66" s="379">
        <v>0</v>
      </c>
      <c r="AZ66" s="379">
        <v>0</v>
      </c>
      <c r="BA66" s="379">
        <v>0</v>
      </c>
      <c r="BB66" s="379">
        <v>0</v>
      </c>
      <c r="BC66" s="379">
        <v>0</v>
      </c>
      <c r="BD66" s="379">
        <v>0</v>
      </c>
      <c r="BE66" s="379">
        <v>0</v>
      </c>
      <c r="BF66" s="379">
        <v>0</v>
      </c>
      <c r="BG66" s="379">
        <v>0</v>
      </c>
      <c r="BH66" s="381">
        <f ca="1">SUM(AV66:OFFSET(AV66,0,$F$2-1))</f>
        <v>0</v>
      </c>
      <c r="BI66" s="379">
        <f t="shared" si="76"/>
        <v>0</v>
      </c>
      <c r="BJ66" s="379">
        <f t="shared" si="77"/>
        <v>0</v>
      </c>
      <c r="BK66" s="379">
        <f t="shared" si="78"/>
        <v>0</v>
      </c>
      <c r="BL66" s="379">
        <f t="shared" si="79"/>
        <v>0</v>
      </c>
      <c r="BM66" s="178"/>
      <c r="BN66" s="383"/>
      <c r="BO66" s="383"/>
      <c r="BP66" s="383">
        <v>0</v>
      </c>
      <c r="BQ66" s="383">
        <v>0</v>
      </c>
      <c r="BR66" s="383">
        <v>0</v>
      </c>
      <c r="BS66" s="383">
        <v>0</v>
      </c>
      <c r="BT66" s="383">
        <v>0</v>
      </c>
      <c r="BU66" s="383">
        <v>0</v>
      </c>
      <c r="BV66" s="383">
        <v>0</v>
      </c>
      <c r="BW66" s="383">
        <v>0</v>
      </c>
      <c r="BX66" s="383">
        <v>0</v>
      </c>
      <c r="BY66" s="383">
        <v>0</v>
      </c>
      <c r="BZ66" s="381">
        <f ca="1">SUM(BN66:OFFSET(BN66,0,$F$2-1))</f>
        <v>0</v>
      </c>
      <c r="CA66" s="379">
        <f t="shared" si="80"/>
        <v>0</v>
      </c>
      <c r="CB66" s="379">
        <f t="shared" si="81"/>
        <v>0</v>
      </c>
      <c r="CC66" s="379">
        <f t="shared" si="82"/>
        <v>0</v>
      </c>
      <c r="CD66" s="379">
        <f t="shared" si="83"/>
        <v>0</v>
      </c>
      <c r="CE66" s="178"/>
      <c r="CF66" s="97" t="s">
        <v>577</v>
      </c>
      <c r="CH66" s="383"/>
      <c r="CI66" s="383"/>
      <c r="CJ66" s="383">
        <f t="shared" si="84"/>
        <v>0</v>
      </c>
      <c r="CK66" s="383">
        <f t="shared" si="85"/>
        <v>0</v>
      </c>
      <c r="CL66" s="383">
        <f t="shared" si="86"/>
        <v>0</v>
      </c>
      <c r="CM66" s="383">
        <f t="shared" si="87"/>
        <v>0</v>
      </c>
      <c r="CN66" s="383">
        <f t="shared" si="88"/>
        <v>0</v>
      </c>
      <c r="CO66" s="383">
        <f t="shared" si="89"/>
        <v>0</v>
      </c>
      <c r="CP66" s="383">
        <f t="shared" si="90"/>
        <v>0</v>
      </c>
      <c r="CQ66" s="383">
        <f t="shared" si="91"/>
        <v>0</v>
      </c>
      <c r="CR66" s="383"/>
      <c r="CS66" s="383"/>
      <c r="CU66" s="383">
        <f t="shared" si="92"/>
        <v>-5701.67</v>
      </c>
      <c r="CV66" s="383" t="e">
        <v>#VALUE!</v>
      </c>
      <c r="CW66" s="383">
        <f t="shared" si="93"/>
        <v>0</v>
      </c>
    </row>
    <row r="67" spans="2:101">
      <c r="B67" s="97"/>
      <c r="C67" s="97"/>
      <c r="D67" s="97" t="s">
        <v>532</v>
      </c>
      <c r="F67" s="385" t="s">
        <v>164</v>
      </c>
      <c r="G67" s="177">
        <f t="shared" ref="G67:R67" si="95">SUM(G28:G66)</f>
        <v>3400089.38</v>
      </c>
      <c r="H67" s="177">
        <f t="shared" si="95"/>
        <v>3219527.3099999982</v>
      </c>
      <c r="I67" s="177">
        <f t="shared" si="95"/>
        <v>3108316.4699999988</v>
      </c>
      <c r="J67" s="177">
        <f t="shared" si="95"/>
        <v>2556046.069999997</v>
      </c>
      <c r="K67" s="177">
        <f t="shared" si="95"/>
        <v>2545345.8299999977</v>
      </c>
      <c r="L67" s="177">
        <f t="shared" si="95"/>
        <v>2534101.2499999991</v>
      </c>
      <c r="M67" s="177">
        <f t="shared" si="95"/>
        <v>2637395.7200000011</v>
      </c>
      <c r="N67" s="177">
        <f t="shared" si="95"/>
        <v>2622952.8199999984</v>
      </c>
      <c r="O67" s="177">
        <f t="shared" si="95"/>
        <v>2612306.0499999975</v>
      </c>
      <c r="P67" s="177">
        <f t="shared" si="95"/>
        <v>2682324.65</v>
      </c>
      <c r="Q67" s="177">
        <f t="shared" si="95"/>
        <v>2801807.3300000015</v>
      </c>
      <c r="R67" s="177">
        <f t="shared" si="95"/>
        <v>3093584.79</v>
      </c>
      <c r="S67" s="177">
        <f ca="1">SUM(S28:S66)</f>
        <v>33813797.669999987</v>
      </c>
      <c r="T67" s="177">
        <f>SUM(T28:T66)</f>
        <v>9727933.1600000001</v>
      </c>
      <c r="U67" s="177">
        <f>SUM(U28:U66)</f>
        <v>7635493.1499999939</v>
      </c>
      <c r="V67" s="177">
        <f>SUM(V28:V66)</f>
        <v>7872654.5899999971</v>
      </c>
      <c r="W67" s="177">
        <f>SUM(W28:W66)</f>
        <v>8577716.7699999996</v>
      </c>
      <c r="X67" s="386"/>
      <c r="Y67" s="177">
        <f t="shared" ref="Y67:AJ67" si="96">SUM(Y28:Y66)</f>
        <v>3346950.7199999993</v>
      </c>
      <c r="Z67" s="177">
        <f t="shared" si="96"/>
        <v>3056218.3699999982</v>
      </c>
      <c r="AA67" s="177">
        <f t="shared" si="96"/>
        <v>3102800.189999999</v>
      </c>
      <c r="AB67" s="177">
        <f t="shared" si="96"/>
        <v>3099285.6699999948</v>
      </c>
      <c r="AC67" s="177">
        <f t="shared" si="96"/>
        <v>2914971.7099999962</v>
      </c>
      <c r="AD67" s="177">
        <f t="shared" si="96"/>
        <v>2723785.2199999988</v>
      </c>
      <c r="AE67" s="177">
        <f t="shared" si="96"/>
        <v>2833302.2499999977</v>
      </c>
      <c r="AF67" s="177">
        <f t="shared" si="96"/>
        <v>2721724.6099999994</v>
      </c>
      <c r="AG67" s="177">
        <f>SUM(AG28:AG66)</f>
        <v>2791752.2699999982</v>
      </c>
      <c r="AH67" s="177">
        <f t="shared" si="96"/>
        <v>2847880.0599999977</v>
      </c>
      <c r="AI67" s="177">
        <f t="shared" si="96"/>
        <v>2974500.3299999968</v>
      </c>
      <c r="AJ67" s="177">
        <f t="shared" si="96"/>
        <v>3181223.6399999992</v>
      </c>
      <c r="AK67" s="177">
        <f>SUM(AK28:AK66)</f>
        <v>35594395.039999969</v>
      </c>
      <c r="AN67" s="177"/>
      <c r="AO67" s="177"/>
      <c r="AP67" s="177"/>
      <c r="AQ67" s="177">
        <f>SUM(AQ28:AQ66)</f>
        <v>9505969.2799999937</v>
      </c>
      <c r="AR67" s="177">
        <f>SUM(AR28:AR66)</f>
        <v>8738042.5999999922</v>
      </c>
      <c r="AS67" s="177">
        <f>SUM(AS28:AS66)</f>
        <v>8346779.1299999962</v>
      </c>
      <c r="AT67" s="177">
        <f>SUM(AT28:AT66)</f>
        <v>9003604.0299999937</v>
      </c>
      <c r="AU67" s="181"/>
      <c r="AV67" s="177">
        <f t="shared" ref="AV67:BL67" si="97">SUM(AV28:AV66)</f>
        <v>3460066.3619072605</v>
      </c>
      <c r="AW67" s="177">
        <f t="shared" si="97"/>
        <v>3243083.3836768847</v>
      </c>
      <c r="AX67" s="177">
        <f t="shared" si="97"/>
        <v>3141289.2235989324</v>
      </c>
      <c r="AY67" s="177">
        <f t="shared" si="97"/>
        <v>2942555.6378953974</v>
      </c>
      <c r="AZ67" s="177">
        <f t="shared" si="97"/>
        <v>2802541.6178662456</v>
      </c>
      <c r="BA67" s="177">
        <f t="shared" si="97"/>
        <v>2754302.5109414663</v>
      </c>
      <c r="BB67" s="177">
        <f t="shared" si="97"/>
        <v>2749356.9811512036</v>
      </c>
      <c r="BC67" s="177">
        <f t="shared" si="97"/>
        <v>2802394.4675906622</v>
      </c>
      <c r="BD67" s="177">
        <f t="shared" si="97"/>
        <v>2749409.6431977721</v>
      </c>
      <c r="BE67" s="177">
        <f t="shared" si="97"/>
        <v>2815895.4898216785</v>
      </c>
      <c r="BF67" s="177">
        <f t="shared" si="97"/>
        <v>3074949.1913700183</v>
      </c>
      <c r="BG67" s="177">
        <f t="shared" si="97"/>
        <v>3334645.1382796834</v>
      </c>
      <c r="BH67" s="177">
        <f t="shared" ca="1" si="97"/>
        <v>35870489.647297196</v>
      </c>
      <c r="BI67" s="177">
        <f t="shared" si="97"/>
        <v>9844438.9691830799</v>
      </c>
      <c r="BJ67" s="177">
        <f t="shared" si="97"/>
        <v>8499399.7667031083</v>
      </c>
      <c r="BK67" s="177">
        <f t="shared" si="97"/>
        <v>8301161.0919396365</v>
      </c>
      <c r="BL67" s="177">
        <f t="shared" si="97"/>
        <v>9225489.8194713797</v>
      </c>
      <c r="BM67" s="386"/>
      <c r="BN67" s="177">
        <f t="shared" ref="BN67:CD67" si="98">SUM(BN28:BN66)</f>
        <v>0</v>
      </c>
      <c r="BO67" s="177">
        <f t="shared" si="98"/>
        <v>0</v>
      </c>
      <c r="BP67" s="177">
        <f t="shared" si="98"/>
        <v>3083747.6183539284</v>
      </c>
      <c r="BQ67" s="177">
        <f t="shared" si="98"/>
        <v>3032324.5577917732</v>
      </c>
      <c r="BR67" s="177">
        <f t="shared" si="98"/>
        <v>2863980.3972221939</v>
      </c>
      <c r="BS67" s="177">
        <f t="shared" si="98"/>
        <v>2798324.2697160477</v>
      </c>
      <c r="BT67" s="177">
        <f t="shared" si="98"/>
        <v>2662513.4292621468</v>
      </c>
      <c r="BU67" s="177">
        <f t="shared" si="98"/>
        <v>2745228.9827735056</v>
      </c>
      <c r="BV67" s="177">
        <f t="shared" si="98"/>
        <v>2678376.4304707111</v>
      </c>
      <c r="BW67" s="177">
        <f t="shared" si="98"/>
        <v>2738212.1538941003</v>
      </c>
      <c r="BX67" s="177">
        <f t="shared" si="98"/>
        <v>2996914.2646524068</v>
      </c>
      <c r="BY67" s="177">
        <f t="shared" si="98"/>
        <v>3254720.4491895619</v>
      </c>
      <c r="BZ67" s="177">
        <f t="shared" ca="1" si="98"/>
        <v>28854342.553326376</v>
      </c>
      <c r="CA67" s="177">
        <f t="shared" si="98"/>
        <v>3083747.6183539284</v>
      </c>
      <c r="CB67" s="177">
        <f t="shared" si="98"/>
        <v>8694629.2247300129</v>
      </c>
      <c r="CC67" s="177">
        <f t="shared" si="98"/>
        <v>8086118.8425063649</v>
      </c>
      <c r="CD67" s="177">
        <f t="shared" si="98"/>
        <v>8989846.8677360732</v>
      </c>
      <c r="CE67" s="386"/>
      <c r="CF67" s="97"/>
      <c r="CH67" s="177"/>
      <c r="CI67" s="177"/>
      <c r="CJ67" s="177">
        <f t="shared" ref="CJ67:CQ67" si="99">SUM(CJ28:CJ66)</f>
        <v>19052.571646070701</v>
      </c>
      <c r="CK67" s="177">
        <f t="shared" si="99"/>
        <v>66961.112208221282</v>
      </c>
      <c r="CL67" s="177">
        <f t="shared" si="99"/>
        <v>50991.312777802559</v>
      </c>
      <c r="CM67" s="177">
        <f t="shared" si="99"/>
        <v>-74539.049716049121</v>
      </c>
      <c r="CN67" s="177">
        <f t="shared" si="99"/>
        <v>170788.82073785056</v>
      </c>
      <c r="CO67" s="177">
        <f t="shared" si="99"/>
        <v>-23504.372773505576</v>
      </c>
      <c r="CP67" s="177">
        <f t="shared" si="99"/>
        <v>113375.83952928674</v>
      </c>
      <c r="CQ67" s="177">
        <f t="shared" si="99"/>
        <v>109667.90610589767</v>
      </c>
      <c r="CR67" s="177"/>
      <c r="CS67" s="177"/>
      <c r="CU67" s="177"/>
      <c r="CV67" s="177"/>
      <c r="CW67" s="177"/>
    </row>
    <row r="68" spans="2:101">
      <c r="B68" s="97"/>
      <c r="C68" s="97"/>
      <c r="D68" s="97" t="s">
        <v>532</v>
      </c>
      <c r="F68" s="284" t="s">
        <v>165</v>
      </c>
      <c r="S68" s="387"/>
      <c r="T68" s="97"/>
      <c r="U68" s="97"/>
      <c r="V68" s="97"/>
      <c r="W68" s="97"/>
      <c r="X68" s="367"/>
      <c r="AK68" s="387"/>
      <c r="AN68" s="387"/>
      <c r="AO68" s="387"/>
      <c r="AP68" s="387"/>
      <c r="AQ68" s="97"/>
      <c r="AR68" s="97"/>
      <c r="AS68" s="97"/>
      <c r="AT68" s="97"/>
      <c r="AU68" s="181"/>
      <c r="BH68" s="387"/>
      <c r="BI68" s="97"/>
      <c r="BJ68" s="97"/>
      <c r="BK68" s="97"/>
      <c r="BL68" s="97"/>
      <c r="BM68" s="367"/>
      <c r="BZ68" s="387"/>
      <c r="CA68" s="97"/>
      <c r="CB68" s="97"/>
      <c r="CC68" s="97"/>
      <c r="CD68" s="97"/>
      <c r="CE68" s="367"/>
      <c r="CF68" s="97"/>
    </row>
    <row r="69" spans="2:101" outlineLevel="1">
      <c r="B69" s="97" t="s">
        <v>578</v>
      </c>
      <c r="C69" s="97" t="s">
        <v>579</v>
      </c>
      <c r="D69" s="97" t="s">
        <v>8</v>
      </c>
      <c r="E69" s="97" t="s">
        <v>136</v>
      </c>
      <c r="F69" s="174" t="s">
        <v>100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  <c r="S69" s="177">
        <f ca="1">SUM(G69:OFFSET(G69,0,$F$2-1))</f>
        <v>0</v>
      </c>
      <c r="T69" s="175">
        <f t="shared" ref="T69:T75" si="100">SUM(G69:I69)</f>
        <v>0</v>
      </c>
      <c r="U69" s="175">
        <f t="shared" ref="U69:U75" si="101">SUM(J69:L69)</f>
        <v>0</v>
      </c>
      <c r="V69" s="175">
        <f t="shared" ref="V69:V75" si="102">SUM(M69:O69)</f>
        <v>0</v>
      </c>
      <c r="W69" s="175">
        <f t="shared" ref="W69:W75" si="103">SUM(P69:R69)</f>
        <v>0</v>
      </c>
      <c r="X69" s="178"/>
      <c r="Y69" s="179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79">
        <v>0</v>
      </c>
      <c r="AI69" s="179">
        <v>0</v>
      </c>
      <c r="AJ69" s="179">
        <v>0</v>
      </c>
      <c r="AK69" s="177">
        <f t="shared" ref="AK69:AK75" si="104">SUM(Y69:AJ69)</f>
        <v>0</v>
      </c>
      <c r="AL69" s="97" t="s">
        <v>8</v>
      </c>
      <c r="AM69" s="97" t="s">
        <v>8</v>
      </c>
      <c r="AN69" s="180" t="str">
        <f>CONCATENATE(AL69," - ",F69," - ",AO69)</f>
        <v>CFG - FTS-A - Fixed NR</v>
      </c>
      <c r="AO69" s="180" t="s">
        <v>166</v>
      </c>
      <c r="AP69" s="177"/>
      <c r="AQ69" s="175">
        <f t="shared" ref="AQ69:AQ75" si="105">SUM(Y69:AA69)</f>
        <v>0</v>
      </c>
      <c r="AR69" s="175">
        <f t="shared" ref="AR69:AR75" si="106">SUM(AB69:AD69)</f>
        <v>0</v>
      </c>
      <c r="AS69" s="175">
        <f t="shared" ref="AS69:AS75" si="107">SUM(AE69:AG69)</f>
        <v>0</v>
      </c>
      <c r="AT69" s="175">
        <f t="shared" ref="AT69:AT75" si="108">SUM(AH69:AJ69)</f>
        <v>0</v>
      </c>
      <c r="AU69" s="181"/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5">
        <v>0</v>
      </c>
      <c r="BC69" s="175">
        <v>0</v>
      </c>
      <c r="BD69" s="175">
        <v>0</v>
      </c>
      <c r="BE69" s="175">
        <v>0</v>
      </c>
      <c r="BF69" s="175">
        <v>0</v>
      </c>
      <c r="BG69" s="175">
        <v>0</v>
      </c>
      <c r="BH69" s="177">
        <f ca="1">SUM(AV69:OFFSET(AV69,0,$F$2-1))</f>
        <v>0</v>
      </c>
      <c r="BI69" s="175">
        <f t="shared" ref="BI69:BI75" si="109">SUM(AV69:AX69)</f>
        <v>0</v>
      </c>
      <c r="BJ69" s="175">
        <f t="shared" ref="BJ69:BJ75" si="110">SUM(AY69:BA69)</f>
        <v>0</v>
      </c>
      <c r="BK69" s="175">
        <f t="shared" ref="BK69:BK75" si="111">SUM(BB69:BD69)</f>
        <v>0</v>
      </c>
      <c r="BL69" s="175">
        <f t="shared" ref="BL69:BL75" si="112">SUM(BE69:BG69)</f>
        <v>0</v>
      </c>
      <c r="BM69" s="178"/>
      <c r="BN69" s="178"/>
      <c r="BO69" s="178"/>
      <c r="BP69" s="178">
        <v>0</v>
      </c>
      <c r="BQ69" s="178">
        <v>0</v>
      </c>
      <c r="BR69" s="178">
        <v>0</v>
      </c>
      <c r="BS69" s="178">
        <v>0</v>
      </c>
      <c r="BT69" s="178">
        <v>0</v>
      </c>
      <c r="BU69" s="178">
        <v>0</v>
      </c>
      <c r="BV69" s="178">
        <v>0</v>
      </c>
      <c r="BW69" s="178">
        <v>0</v>
      </c>
      <c r="BX69" s="178">
        <v>0</v>
      </c>
      <c r="BY69" s="178">
        <v>0</v>
      </c>
      <c r="BZ69" s="177">
        <f ca="1">SUM(BN69:OFFSET(BN69,0,$F$2-1))</f>
        <v>0</v>
      </c>
      <c r="CA69" s="175">
        <f t="shared" ref="CA69:CA75" si="113">SUM(BN69:BP69)</f>
        <v>0</v>
      </c>
      <c r="CB69" s="175">
        <f t="shared" ref="CB69:CB75" si="114">SUM(BQ69:BS69)</f>
        <v>0</v>
      </c>
      <c r="CC69" s="175">
        <f t="shared" ref="CC69:CC75" si="115">SUM(BT69:BV69)</f>
        <v>0</v>
      </c>
      <c r="CD69" s="175">
        <f t="shared" ref="CD69:CD75" si="116">SUM(BW69:BY69)</f>
        <v>0</v>
      </c>
      <c r="CE69" s="178"/>
      <c r="CF69" s="97" t="s">
        <v>578</v>
      </c>
      <c r="CH69" s="178"/>
      <c r="CI69" s="178"/>
      <c r="CJ69" s="178">
        <f t="shared" ref="CJ69:CQ75" si="117">AA69-BP69</f>
        <v>0</v>
      </c>
      <c r="CK69" s="178">
        <f t="shared" si="117"/>
        <v>0</v>
      </c>
      <c r="CL69" s="178">
        <f t="shared" si="117"/>
        <v>0</v>
      </c>
      <c r="CM69" s="178">
        <f t="shared" si="117"/>
        <v>0</v>
      </c>
      <c r="CN69" s="178">
        <f t="shared" si="117"/>
        <v>0</v>
      </c>
      <c r="CO69" s="178">
        <f t="shared" si="117"/>
        <v>0</v>
      </c>
      <c r="CP69" s="178">
        <f t="shared" si="117"/>
        <v>0</v>
      </c>
      <c r="CQ69" s="178">
        <f t="shared" si="117"/>
        <v>0</v>
      </c>
      <c r="CR69" s="178"/>
      <c r="CS69" s="178"/>
      <c r="CU69" s="178">
        <f t="shared" ref="CU69:CU75" si="118">SUM(Y69:AC69)+SUM(BS69:BY69)</f>
        <v>0</v>
      </c>
      <c r="CV69" s="178">
        <v>0</v>
      </c>
      <c r="CW69" s="178">
        <f t="shared" ref="CW69:CW75" si="119">SUM(AV69:BG69)</f>
        <v>0</v>
      </c>
    </row>
    <row r="70" spans="2:101" outlineLevel="1">
      <c r="B70" s="97" t="s">
        <v>580</v>
      </c>
      <c r="C70" s="97" t="s">
        <v>579</v>
      </c>
      <c r="D70" s="97" t="s">
        <v>8</v>
      </c>
      <c r="E70" s="97" t="s">
        <v>136</v>
      </c>
      <c r="F70" s="174" t="s">
        <v>101</v>
      </c>
      <c r="G70" s="175">
        <v>23</v>
      </c>
      <c r="H70" s="175">
        <v>23</v>
      </c>
      <c r="I70" s="175">
        <v>23</v>
      </c>
      <c r="J70" s="175">
        <v>23</v>
      </c>
      <c r="K70" s="175">
        <v>23</v>
      </c>
      <c r="L70" s="175">
        <v>23</v>
      </c>
      <c r="M70" s="175">
        <v>23</v>
      </c>
      <c r="N70" s="175">
        <v>23</v>
      </c>
      <c r="O70" s="175">
        <v>23</v>
      </c>
      <c r="P70" s="175">
        <v>23</v>
      </c>
      <c r="Q70" s="175">
        <v>23</v>
      </c>
      <c r="R70" s="175">
        <v>23</v>
      </c>
      <c r="S70" s="177">
        <f ca="1">SUM(G70:OFFSET(G70,0,$F$2-1))</f>
        <v>276</v>
      </c>
      <c r="T70" s="175">
        <f t="shared" si="100"/>
        <v>69</v>
      </c>
      <c r="U70" s="175">
        <f t="shared" si="101"/>
        <v>69</v>
      </c>
      <c r="V70" s="175">
        <f t="shared" si="102"/>
        <v>69</v>
      </c>
      <c r="W70" s="175">
        <f t="shared" si="103"/>
        <v>69</v>
      </c>
      <c r="X70" s="178"/>
      <c r="Y70" s="179">
        <v>23</v>
      </c>
      <c r="Z70" s="179">
        <v>23</v>
      </c>
      <c r="AA70" s="179">
        <v>23</v>
      </c>
      <c r="AB70" s="179">
        <v>23</v>
      </c>
      <c r="AC70" s="179">
        <v>23</v>
      </c>
      <c r="AD70" s="179">
        <v>23</v>
      </c>
      <c r="AE70" s="179">
        <v>23</v>
      </c>
      <c r="AF70" s="179">
        <v>23</v>
      </c>
      <c r="AG70" s="179">
        <v>23</v>
      </c>
      <c r="AH70" s="179">
        <v>23</v>
      </c>
      <c r="AI70" s="179">
        <v>23</v>
      </c>
      <c r="AJ70" s="179">
        <v>23</v>
      </c>
      <c r="AK70" s="177">
        <f t="shared" si="104"/>
        <v>276</v>
      </c>
      <c r="AL70" s="97" t="s">
        <v>8</v>
      </c>
      <c r="AM70" s="97" t="s">
        <v>8</v>
      </c>
      <c r="AN70" s="180" t="str">
        <f t="shared" ref="AN70:AN75" si="120">CONCATENATE(AL70," - ",F70," - ",AO70)</f>
        <v>CFG - FTS-B - Fixed NR</v>
      </c>
      <c r="AO70" s="180" t="s">
        <v>166</v>
      </c>
      <c r="AP70" s="177"/>
      <c r="AQ70" s="175">
        <f t="shared" si="105"/>
        <v>69</v>
      </c>
      <c r="AR70" s="175">
        <f t="shared" si="106"/>
        <v>69</v>
      </c>
      <c r="AS70" s="175">
        <f t="shared" si="107"/>
        <v>69</v>
      </c>
      <c r="AT70" s="175">
        <f t="shared" si="108"/>
        <v>69</v>
      </c>
      <c r="AU70" s="181"/>
      <c r="AV70" s="175">
        <v>23</v>
      </c>
      <c r="AW70" s="175">
        <v>23</v>
      </c>
      <c r="AX70" s="175">
        <v>23</v>
      </c>
      <c r="AY70" s="175">
        <v>23</v>
      </c>
      <c r="AZ70" s="175">
        <v>23</v>
      </c>
      <c r="BA70" s="175">
        <v>23</v>
      </c>
      <c r="BB70" s="175">
        <v>23</v>
      </c>
      <c r="BC70" s="175">
        <v>23</v>
      </c>
      <c r="BD70" s="175">
        <v>23</v>
      </c>
      <c r="BE70" s="175">
        <v>23</v>
      </c>
      <c r="BF70" s="175">
        <v>23</v>
      </c>
      <c r="BG70" s="175">
        <v>23</v>
      </c>
      <c r="BH70" s="177">
        <f ca="1">SUM(AV70:OFFSET(AV70,0,$F$2-1))</f>
        <v>276</v>
      </c>
      <c r="BI70" s="175">
        <f t="shared" si="109"/>
        <v>69</v>
      </c>
      <c r="BJ70" s="175">
        <f t="shared" si="110"/>
        <v>69</v>
      </c>
      <c r="BK70" s="175">
        <f t="shared" si="111"/>
        <v>69</v>
      </c>
      <c r="BL70" s="175">
        <f t="shared" si="112"/>
        <v>69</v>
      </c>
      <c r="BM70" s="178"/>
      <c r="BN70" s="178"/>
      <c r="BO70" s="178"/>
      <c r="BP70" s="178">
        <v>23</v>
      </c>
      <c r="BQ70" s="178">
        <v>23</v>
      </c>
      <c r="BR70" s="178">
        <v>23</v>
      </c>
      <c r="BS70" s="178">
        <v>23</v>
      </c>
      <c r="BT70" s="178">
        <v>23</v>
      </c>
      <c r="BU70" s="178">
        <v>23</v>
      </c>
      <c r="BV70" s="178">
        <v>23</v>
      </c>
      <c r="BW70" s="178">
        <v>23</v>
      </c>
      <c r="BX70" s="178">
        <v>23</v>
      </c>
      <c r="BY70" s="178">
        <v>23</v>
      </c>
      <c r="BZ70" s="177">
        <f ca="1">SUM(BN70:OFFSET(BN70,0,$F$2-1))</f>
        <v>230</v>
      </c>
      <c r="CA70" s="175">
        <f t="shared" si="113"/>
        <v>23</v>
      </c>
      <c r="CB70" s="175">
        <f t="shared" si="114"/>
        <v>69</v>
      </c>
      <c r="CC70" s="175">
        <f t="shared" si="115"/>
        <v>69</v>
      </c>
      <c r="CD70" s="175">
        <f t="shared" si="116"/>
        <v>69</v>
      </c>
      <c r="CE70" s="178"/>
      <c r="CF70" s="97" t="s">
        <v>580</v>
      </c>
      <c r="CH70" s="178"/>
      <c r="CI70" s="178"/>
      <c r="CJ70" s="178">
        <f t="shared" si="117"/>
        <v>0</v>
      </c>
      <c r="CK70" s="178">
        <f t="shared" si="117"/>
        <v>0</v>
      </c>
      <c r="CL70" s="178">
        <f t="shared" si="117"/>
        <v>0</v>
      </c>
      <c r="CM70" s="178">
        <f t="shared" si="117"/>
        <v>0</v>
      </c>
      <c r="CN70" s="178">
        <f t="shared" si="117"/>
        <v>0</v>
      </c>
      <c r="CO70" s="178">
        <f t="shared" si="117"/>
        <v>0</v>
      </c>
      <c r="CP70" s="178">
        <f t="shared" si="117"/>
        <v>0</v>
      </c>
      <c r="CQ70" s="178">
        <f t="shared" si="117"/>
        <v>0</v>
      </c>
      <c r="CR70" s="178"/>
      <c r="CS70" s="178"/>
      <c r="CU70" s="178">
        <f t="shared" si="118"/>
        <v>276</v>
      </c>
      <c r="CV70" s="178" t="e">
        <v>#VALUE!</v>
      </c>
      <c r="CW70" s="178">
        <f t="shared" si="119"/>
        <v>276</v>
      </c>
    </row>
    <row r="71" spans="2:101" outlineLevel="1">
      <c r="B71" s="97" t="s">
        <v>581</v>
      </c>
      <c r="C71" s="97" t="s">
        <v>579</v>
      </c>
      <c r="D71" s="97" t="s">
        <v>8</v>
      </c>
      <c r="E71" s="97" t="s">
        <v>136</v>
      </c>
      <c r="F71" s="174" t="s">
        <v>102</v>
      </c>
      <c r="G71" s="175">
        <v>1038.2</v>
      </c>
      <c r="H71" s="175">
        <v>1044</v>
      </c>
      <c r="I71" s="175">
        <v>1055.5999999999999</v>
      </c>
      <c r="J71" s="175">
        <v>1102</v>
      </c>
      <c r="K71" s="175">
        <v>1102</v>
      </c>
      <c r="L71" s="175">
        <v>1154.2</v>
      </c>
      <c r="M71" s="175">
        <v>1200.5999999999999</v>
      </c>
      <c r="N71" s="175">
        <v>1209.3</v>
      </c>
      <c r="O71" s="175">
        <v>1218</v>
      </c>
      <c r="P71" s="175">
        <v>1218</v>
      </c>
      <c r="Q71" s="175">
        <v>1247</v>
      </c>
      <c r="R71" s="175">
        <v>1247</v>
      </c>
      <c r="S71" s="177">
        <f ca="1">SUM(G71:OFFSET(G71,0,$F$2-1))</f>
        <v>13835.899999999998</v>
      </c>
      <c r="T71" s="175">
        <f t="shared" si="100"/>
        <v>3137.7999999999997</v>
      </c>
      <c r="U71" s="175">
        <f t="shared" si="101"/>
        <v>3358.2</v>
      </c>
      <c r="V71" s="175">
        <f t="shared" si="102"/>
        <v>3627.8999999999996</v>
      </c>
      <c r="W71" s="175">
        <f t="shared" si="103"/>
        <v>3712</v>
      </c>
      <c r="X71" s="178"/>
      <c r="Y71" s="179">
        <v>1255.7</v>
      </c>
      <c r="Z71" s="179">
        <v>1247</v>
      </c>
      <c r="AA71" s="179">
        <v>1285.67</v>
      </c>
      <c r="AB71" s="179">
        <v>1324.33</v>
      </c>
      <c r="AC71" s="179">
        <v>1305</v>
      </c>
      <c r="AD71" s="179">
        <v>1305</v>
      </c>
      <c r="AE71" s="179">
        <v>1325.3</v>
      </c>
      <c r="AF71" s="179">
        <v>1334</v>
      </c>
      <c r="AG71" s="179">
        <v>1305</v>
      </c>
      <c r="AH71" s="179">
        <v>1305</v>
      </c>
      <c r="AI71" s="179">
        <v>1334</v>
      </c>
      <c r="AJ71" s="179">
        <v>1427.77</v>
      </c>
      <c r="AK71" s="177">
        <f t="shared" si="104"/>
        <v>15753.77</v>
      </c>
      <c r="AL71" s="97" t="s">
        <v>8</v>
      </c>
      <c r="AM71" s="97" t="s">
        <v>8</v>
      </c>
      <c r="AN71" s="180" t="str">
        <f t="shared" si="120"/>
        <v>CFG - FTS-1 - Fixed NR</v>
      </c>
      <c r="AO71" s="180" t="s">
        <v>166</v>
      </c>
      <c r="AP71" s="177"/>
      <c r="AQ71" s="175">
        <f t="shared" si="105"/>
        <v>3788.37</v>
      </c>
      <c r="AR71" s="175">
        <f t="shared" si="106"/>
        <v>3934.33</v>
      </c>
      <c r="AS71" s="175">
        <f t="shared" si="107"/>
        <v>3964.3</v>
      </c>
      <c r="AT71" s="175">
        <f t="shared" si="108"/>
        <v>4066.77</v>
      </c>
      <c r="AU71" s="181"/>
      <c r="AV71" s="175">
        <v>1102</v>
      </c>
      <c r="AW71" s="175">
        <v>1102</v>
      </c>
      <c r="AX71" s="175">
        <v>1102</v>
      </c>
      <c r="AY71" s="175">
        <v>1102</v>
      </c>
      <c r="AZ71" s="175">
        <v>1131</v>
      </c>
      <c r="BA71" s="175">
        <v>1160</v>
      </c>
      <c r="BB71" s="175">
        <v>1218</v>
      </c>
      <c r="BC71" s="175">
        <v>1189</v>
      </c>
      <c r="BD71" s="175">
        <v>1218</v>
      </c>
      <c r="BE71" s="175">
        <v>1305</v>
      </c>
      <c r="BF71" s="175">
        <v>1305</v>
      </c>
      <c r="BG71" s="175">
        <v>1363</v>
      </c>
      <c r="BH71" s="177">
        <f ca="1">SUM(AV71:OFFSET(AV71,0,$F$2-1))</f>
        <v>14297</v>
      </c>
      <c r="BI71" s="175">
        <f t="shared" si="109"/>
        <v>3306</v>
      </c>
      <c r="BJ71" s="175">
        <f t="shared" si="110"/>
        <v>3393</v>
      </c>
      <c r="BK71" s="175">
        <f t="shared" si="111"/>
        <v>3625</v>
      </c>
      <c r="BL71" s="175">
        <f t="shared" si="112"/>
        <v>3973</v>
      </c>
      <c r="BM71" s="178"/>
      <c r="BN71" s="178"/>
      <c r="BO71" s="178"/>
      <c r="BP71" s="178">
        <v>1247</v>
      </c>
      <c r="BQ71" s="178">
        <v>1276</v>
      </c>
      <c r="BR71" s="178">
        <v>1305</v>
      </c>
      <c r="BS71" s="178">
        <v>1305</v>
      </c>
      <c r="BT71" s="178">
        <v>1305</v>
      </c>
      <c r="BU71" s="178">
        <v>1305</v>
      </c>
      <c r="BV71" s="178">
        <v>1334</v>
      </c>
      <c r="BW71" s="178">
        <v>1334</v>
      </c>
      <c r="BX71" s="178">
        <v>1305</v>
      </c>
      <c r="BY71" s="178">
        <v>1334</v>
      </c>
      <c r="BZ71" s="177">
        <f ca="1">SUM(BN71:OFFSET(BN71,0,$F$2-1))</f>
        <v>13050</v>
      </c>
      <c r="CA71" s="175">
        <f t="shared" si="113"/>
        <v>1247</v>
      </c>
      <c r="CB71" s="175">
        <f t="shared" si="114"/>
        <v>3886</v>
      </c>
      <c r="CC71" s="175">
        <f t="shared" si="115"/>
        <v>3944</v>
      </c>
      <c r="CD71" s="175">
        <f t="shared" si="116"/>
        <v>3973</v>
      </c>
      <c r="CE71" s="178"/>
      <c r="CF71" s="97" t="s">
        <v>581</v>
      </c>
      <c r="CH71" s="178"/>
      <c r="CI71" s="178"/>
      <c r="CJ71" s="178">
        <f t="shared" si="117"/>
        <v>38.670000000000073</v>
      </c>
      <c r="CK71" s="178">
        <f t="shared" si="117"/>
        <v>48.329999999999927</v>
      </c>
      <c r="CL71" s="178">
        <f t="shared" si="117"/>
        <v>0</v>
      </c>
      <c r="CM71" s="178">
        <f t="shared" si="117"/>
        <v>0</v>
      </c>
      <c r="CN71" s="178">
        <f t="shared" si="117"/>
        <v>20.299999999999955</v>
      </c>
      <c r="CO71" s="178">
        <f t="shared" si="117"/>
        <v>29</v>
      </c>
      <c r="CP71" s="178">
        <f t="shared" si="117"/>
        <v>-29</v>
      </c>
      <c r="CQ71" s="178">
        <f t="shared" si="117"/>
        <v>-29</v>
      </c>
      <c r="CR71" s="178"/>
      <c r="CS71" s="178"/>
      <c r="CU71" s="178">
        <f t="shared" si="118"/>
        <v>15639.7</v>
      </c>
      <c r="CV71" s="178" t="e">
        <v>#VALUE!</v>
      </c>
      <c r="CW71" s="178">
        <f t="shared" si="119"/>
        <v>14297</v>
      </c>
    </row>
    <row r="72" spans="2:101" outlineLevel="1">
      <c r="B72" s="97" t="s">
        <v>582</v>
      </c>
      <c r="C72" s="97" t="s">
        <v>579</v>
      </c>
      <c r="D72" s="97" t="s">
        <v>8</v>
      </c>
      <c r="E72" s="97" t="s">
        <v>136</v>
      </c>
      <c r="F72" s="329" t="s">
        <v>103</v>
      </c>
      <c r="G72" s="175">
        <v>240</v>
      </c>
      <c r="H72" s="175">
        <v>288</v>
      </c>
      <c r="I72" s="175">
        <v>288</v>
      </c>
      <c r="J72" s="175">
        <v>288</v>
      </c>
      <c r="K72" s="175">
        <v>288</v>
      </c>
      <c r="L72" s="175">
        <v>291.2</v>
      </c>
      <c r="M72" s="175">
        <v>288</v>
      </c>
      <c r="N72" s="175">
        <v>240</v>
      </c>
      <c r="O72" s="175">
        <v>240</v>
      </c>
      <c r="P72" s="175">
        <v>240</v>
      </c>
      <c r="Q72" s="175">
        <v>240</v>
      </c>
      <c r="R72" s="175">
        <v>268.8</v>
      </c>
      <c r="S72" s="375">
        <f ca="1">SUM(G72:OFFSET(G72,0,$F$2-1))</f>
        <v>3200</v>
      </c>
      <c r="T72" s="175">
        <f t="shared" si="100"/>
        <v>816</v>
      </c>
      <c r="U72" s="175">
        <f t="shared" si="101"/>
        <v>867.2</v>
      </c>
      <c r="V72" s="175">
        <f t="shared" si="102"/>
        <v>768</v>
      </c>
      <c r="W72" s="175">
        <f t="shared" si="103"/>
        <v>748.8</v>
      </c>
      <c r="X72" s="178"/>
      <c r="Y72" s="179">
        <v>288</v>
      </c>
      <c r="Z72" s="179">
        <v>288</v>
      </c>
      <c r="AA72" s="179">
        <v>288</v>
      </c>
      <c r="AB72" s="179">
        <v>288</v>
      </c>
      <c r="AC72" s="179">
        <v>288</v>
      </c>
      <c r="AD72" s="179">
        <v>288</v>
      </c>
      <c r="AE72" s="179">
        <v>249.6</v>
      </c>
      <c r="AF72" s="179">
        <v>240</v>
      </c>
      <c r="AG72" s="179">
        <v>240</v>
      </c>
      <c r="AH72" s="179">
        <v>240</v>
      </c>
      <c r="AI72" s="179">
        <v>240</v>
      </c>
      <c r="AJ72" s="179">
        <v>240</v>
      </c>
      <c r="AK72" s="177">
        <f t="shared" si="104"/>
        <v>3177.6</v>
      </c>
      <c r="AL72" s="97" t="s">
        <v>8</v>
      </c>
      <c r="AM72" s="97" t="s">
        <v>8</v>
      </c>
      <c r="AN72" s="180" t="str">
        <f t="shared" si="120"/>
        <v>CFG - FTS-2 - Fixed NR</v>
      </c>
      <c r="AO72" s="180" t="s">
        <v>166</v>
      </c>
      <c r="AP72" s="375"/>
      <c r="AQ72" s="175">
        <f t="shared" si="105"/>
        <v>864</v>
      </c>
      <c r="AR72" s="175">
        <f t="shared" si="106"/>
        <v>864</v>
      </c>
      <c r="AS72" s="175">
        <f t="shared" si="107"/>
        <v>729.6</v>
      </c>
      <c r="AT72" s="175">
        <f t="shared" si="108"/>
        <v>720</v>
      </c>
      <c r="AU72" s="181"/>
      <c r="AV72" s="175">
        <v>288</v>
      </c>
      <c r="AW72" s="175">
        <v>288</v>
      </c>
      <c r="AX72" s="175">
        <v>288</v>
      </c>
      <c r="AY72" s="175">
        <v>288</v>
      </c>
      <c r="AZ72" s="175">
        <v>288</v>
      </c>
      <c r="BA72" s="175">
        <v>336</v>
      </c>
      <c r="BB72" s="175">
        <v>336</v>
      </c>
      <c r="BC72" s="175">
        <v>336</v>
      </c>
      <c r="BD72" s="175">
        <v>336</v>
      </c>
      <c r="BE72" s="175">
        <v>336</v>
      </c>
      <c r="BF72" s="175">
        <v>336</v>
      </c>
      <c r="BG72" s="175">
        <v>336</v>
      </c>
      <c r="BH72" s="375">
        <f ca="1">SUM(AV72:OFFSET(AV72,0,$F$2-1))</f>
        <v>3792</v>
      </c>
      <c r="BI72" s="175">
        <f t="shared" si="109"/>
        <v>864</v>
      </c>
      <c r="BJ72" s="175">
        <f t="shared" si="110"/>
        <v>912</v>
      </c>
      <c r="BK72" s="175">
        <f t="shared" si="111"/>
        <v>1008</v>
      </c>
      <c r="BL72" s="175">
        <f t="shared" si="112"/>
        <v>1008</v>
      </c>
      <c r="BM72" s="178"/>
      <c r="BN72" s="178"/>
      <c r="BO72" s="178"/>
      <c r="BP72" s="178">
        <v>288</v>
      </c>
      <c r="BQ72" s="178">
        <v>288</v>
      </c>
      <c r="BR72" s="178">
        <v>288</v>
      </c>
      <c r="BS72" s="178">
        <v>288</v>
      </c>
      <c r="BT72" s="178">
        <v>288</v>
      </c>
      <c r="BU72" s="178">
        <v>288</v>
      </c>
      <c r="BV72" s="178">
        <v>240</v>
      </c>
      <c r="BW72" s="178">
        <v>240</v>
      </c>
      <c r="BX72" s="178">
        <v>240</v>
      </c>
      <c r="BY72" s="178">
        <v>240</v>
      </c>
      <c r="BZ72" s="375">
        <f ca="1">SUM(BN72:OFFSET(BN72,0,$F$2-1))</f>
        <v>2688</v>
      </c>
      <c r="CA72" s="175">
        <f t="shared" si="113"/>
        <v>288</v>
      </c>
      <c r="CB72" s="175">
        <f t="shared" si="114"/>
        <v>864</v>
      </c>
      <c r="CC72" s="175">
        <f t="shared" si="115"/>
        <v>816</v>
      </c>
      <c r="CD72" s="175">
        <f t="shared" si="116"/>
        <v>720</v>
      </c>
      <c r="CE72" s="178"/>
      <c r="CF72" s="97" t="s">
        <v>582</v>
      </c>
      <c r="CH72" s="178"/>
      <c r="CI72" s="178"/>
      <c r="CJ72" s="178">
        <f t="shared" si="117"/>
        <v>0</v>
      </c>
      <c r="CK72" s="178">
        <f t="shared" si="117"/>
        <v>0</v>
      </c>
      <c r="CL72" s="178">
        <f t="shared" si="117"/>
        <v>0</v>
      </c>
      <c r="CM72" s="178">
        <f t="shared" si="117"/>
        <v>0</v>
      </c>
      <c r="CN72" s="178">
        <f t="shared" si="117"/>
        <v>-38.400000000000006</v>
      </c>
      <c r="CO72" s="178">
        <f t="shared" si="117"/>
        <v>-48</v>
      </c>
      <c r="CP72" s="178">
        <f t="shared" si="117"/>
        <v>0</v>
      </c>
      <c r="CQ72" s="178">
        <f t="shared" si="117"/>
        <v>0</v>
      </c>
      <c r="CR72" s="178"/>
      <c r="CS72" s="178"/>
      <c r="CU72" s="178">
        <f t="shared" si="118"/>
        <v>3264</v>
      </c>
      <c r="CV72" s="178" t="e">
        <v>#VALUE!</v>
      </c>
      <c r="CW72" s="178">
        <f t="shared" si="119"/>
        <v>3792</v>
      </c>
    </row>
    <row r="73" spans="2:101" outlineLevel="1">
      <c r="B73" s="97" t="s">
        <v>583</v>
      </c>
      <c r="C73" s="97" t="s">
        <v>579</v>
      </c>
      <c r="D73" s="97" t="s">
        <v>8</v>
      </c>
      <c r="E73" s="97" t="s">
        <v>136</v>
      </c>
      <c r="F73" s="329" t="s">
        <v>104</v>
      </c>
      <c r="G73" s="175">
        <v>870</v>
      </c>
      <c r="H73" s="175">
        <v>870</v>
      </c>
      <c r="I73" s="175">
        <v>870</v>
      </c>
      <c r="J73" s="175">
        <v>870</v>
      </c>
      <c r="K73" s="175">
        <v>870</v>
      </c>
      <c r="L73" s="175">
        <v>870</v>
      </c>
      <c r="M73" s="175">
        <v>870</v>
      </c>
      <c r="N73" s="175">
        <v>870</v>
      </c>
      <c r="O73" s="175">
        <v>817.8</v>
      </c>
      <c r="P73" s="175">
        <v>783</v>
      </c>
      <c r="Q73" s="175">
        <v>870</v>
      </c>
      <c r="R73" s="175">
        <v>884.5</v>
      </c>
      <c r="S73" s="375">
        <f ca="1">SUM(G73:OFFSET(G73,0,$F$2-1))</f>
        <v>10315.299999999999</v>
      </c>
      <c r="T73" s="175">
        <f t="shared" si="100"/>
        <v>2610</v>
      </c>
      <c r="U73" s="175">
        <f t="shared" si="101"/>
        <v>2610</v>
      </c>
      <c r="V73" s="175">
        <f t="shared" si="102"/>
        <v>2557.8000000000002</v>
      </c>
      <c r="W73" s="175">
        <f t="shared" si="103"/>
        <v>2537.5</v>
      </c>
      <c r="X73" s="178"/>
      <c r="Y73" s="179">
        <v>870</v>
      </c>
      <c r="Z73" s="179">
        <v>870</v>
      </c>
      <c r="AA73" s="179">
        <v>864.2</v>
      </c>
      <c r="AB73" s="179">
        <v>870</v>
      </c>
      <c r="AC73" s="179">
        <v>870</v>
      </c>
      <c r="AD73" s="179">
        <v>870</v>
      </c>
      <c r="AE73" s="179">
        <v>870</v>
      </c>
      <c r="AF73" s="179">
        <v>872.9</v>
      </c>
      <c r="AG73" s="179">
        <v>870</v>
      </c>
      <c r="AH73" s="179">
        <v>870</v>
      </c>
      <c r="AI73" s="179">
        <v>870</v>
      </c>
      <c r="AJ73" s="179">
        <v>870</v>
      </c>
      <c r="AK73" s="177">
        <f t="shared" si="104"/>
        <v>10437.099999999999</v>
      </c>
      <c r="AL73" s="97" t="s">
        <v>8</v>
      </c>
      <c r="AM73" s="97" t="s">
        <v>8</v>
      </c>
      <c r="AN73" s="180" t="str">
        <f t="shared" si="120"/>
        <v>CFG - FTS-2.1 - Fixed NR</v>
      </c>
      <c r="AO73" s="180" t="s">
        <v>166</v>
      </c>
      <c r="AP73" s="375"/>
      <c r="AQ73" s="175">
        <f t="shared" si="105"/>
        <v>2604.1999999999998</v>
      </c>
      <c r="AR73" s="175">
        <f t="shared" si="106"/>
        <v>2610</v>
      </c>
      <c r="AS73" s="175">
        <f t="shared" si="107"/>
        <v>2612.9</v>
      </c>
      <c r="AT73" s="175">
        <f t="shared" si="108"/>
        <v>2610</v>
      </c>
      <c r="AU73" s="181"/>
      <c r="AV73" s="175">
        <v>870</v>
      </c>
      <c r="AW73" s="175">
        <v>870</v>
      </c>
      <c r="AX73" s="175">
        <v>870</v>
      </c>
      <c r="AY73" s="175">
        <v>957</v>
      </c>
      <c r="AZ73" s="175">
        <v>957</v>
      </c>
      <c r="BA73" s="175">
        <v>957</v>
      </c>
      <c r="BB73" s="175">
        <v>957</v>
      </c>
      <c r="BC73" s="175">
        <v>957</v>
      </c>
      <c r="BD73" s="175">
        <v>870</v>
      </c>
      <c r="BE73" s="175">
        <v>870</v>
      </c>
      <c r="BF73" s="175">
        <v>870</v>
      </c>
      <c r="BG73" s="175">
        <v>870</v>
      </c>
      <c r="BH73" s="375">
        <f ca="1">SUM(AV73:OFFSET(AV73,0,$F$2-1))</f>
        <v>10875</v>
      </c>
      <c r="BI73" s="175">
        <f t="shared" si="109"/>
        <v>2610</v>
      </c>
      <c r="BJ73" s="175">
        <f t="shared" si="110"/>
        <v>2871</v>
      </c>
      <c r="BK73" s="175">
        <f t="shared" si="111"/>
        <v>2784</v>
      </c>
      <c r="BL73" s="175">
        <f t="shared" si="112"/>
        <v>2610</v>
      </c>
      <c r="BM73" s="178"/>
      <c r="BN73" s="178"/>
      <c r="BO73" s="178"/>
      <c r="BP73" s="178">
        <v>870</v>
      </c>
      <c r="BQ73" s="178">
        <v>957</v>
      </c>
      <c r="BR73" s="178">
        <v>870</v>
      </c>
      <c r="BS73" s="178">
        <v>870</v>
      </c>
      <c r="BT73" s="178">
        <v>870</v>
      </c>
      <c r="BU73" s="178">
        <v>870</v>
      </c>
      <c r="BV73" s="178">
        <v>957</v>
      </c>
      <c r="BW73" s="178">
        <v>957</v>
      </c>
      <c r="BX73" s="178">
        <v>870</v>
      </c>
      <c r="BY73" s="178">
        <v>870</v>
      </c>
      <c r="BZ73" s="375">
        <f ca="1">SUM(BN73:OFFSET(BN73,0,$F$2-1))</f>
        <v>8961</v>
      </c>
      <c r="CA73" s="175">
        <f t="shared" si="113"/>
        <v>870</v>
      </c>
      <c r="CB73" s="175">
        <f t="shared" si="114"/>
        <v>2697</v>
      </c>
      <c r="CC73" s="175">
        <f t="shared" si="115"/>
        <v>2697</v>
      </c>
      <c r="CD73" s="175">
        <f t="shared" si="116"/>
        <v>2697</v>
      </c>
      <c r="CE73" s="178"/>
      <c r="CF73" s="97" t="s">
        <v>583</v>
      </c>
      <c r="CH73" s="178"/>
      <c r="CI73" s="178"/>
      <c r="CJ73" s="178">
        <f t="shared" si="117"/>
        <v>-5.7999999999999545</v>
      </c>
      <c r="CK73" s="178">
        <f t="shared" si="117"/>
        <v>-87</v>
      </c>
      <c r="CL73" s="178">
        <f t="shared" si="117"/>
        <v>0</v>
      </c>
      <c r="CM73" s="178">
        <f t="shared" si="117"/>
        <v>0</v>
      </c>
      <c r="CN73" s="178">
        <f t="shared" si="117"/>
        <v>0</v>
      </c>
      <c r="CO73" s="178">
        <f t="shared" si="117"/>
        <v>2.8999999999999773</v>
      </c>
      <c r="CP73" s="178">
        <f t="shared" si="117"/>
        <v>-87</v>
      </c>
      <c r="CQ73" s="178">
        <f t="shared" si="117"/>
        <v>-87</v>
      </c>
      <c r="CR73" s="178"/>
      <c r="CS73" s="178"/>
      <c r="CU73" s="178">
        <f t="shared" si="118"/>
        <v>10608.2</v>
      </c>
      <c r="CV73" s="178" t="e">
        <v>#VALUE!</v>
      </c>
      <c r="CW73" s="178">
        <f t="shared" si="119"/>
        <v>10875</v>
      </c>
    </row>
    <row r="74" spans="2:101" outlineLevel="1">
      <c r="B74" s="97" t="s">
        <v>584</v>
      </c>
      <c r="C74" s="97" t="s">
        <v>579</v>
      </c>
      <c r="D74" s="97" t="s">
        <v>8</v>
      </c>
      <c r="E74" s="97" t="s">
        <v>136</v>
      </c>
      <c r="F74" s="329" t="s">
        <v>105</v>
      </c>
      <c r="G74" s="175">
        <v>3110.4</v>
      </c>
      <c r="H74" s="175">
        <v>3078</v>
      </c>
      <c r="I74" s="175">
        <v>3078</v>
      </c>
      <c r="J74" s="175">
        <v>3078</v>
      </c>
      <c r="K74" s="175">
        <v>2813.4</v>
      </c>
      <c r="L74" s="175">
        <v>2754</v>
      </c>
      <c r="M74" s="175">
        <v>2754</v>
      </c>
      <c r="N74" s="175">
        <v>2754</v>
      </c>
      <c r="O74" s="175">
        <v>2754</v>
      </c>
      <c r="P74" s="175">
        <v>2754</v>
      </c>
      <c r="Q74" s="175">
        <v>2754</v>
      </c>
      <c r="R74" s="175">
        <v>2754</v>
      </c>
      <c r="S74" s="375">
        <f ca="1">SUM(G74:OFFSET(G74,0,$F$2-1))</f>
        <v>34435.800000000003</v>
      </c>
      <c r="T74" s="175">
        <f t="shared" si="100"/>
        <v>9266.4</v>
      </c>
      <c r="U74" s="175">
        <f t="shared" si="101"/>
        <v>8645.4</v>
      </c>
      <c r="V74" s="175">
        <f t="shared" si="102"/>
        <v>8262</v>
      </c>
      <c r="W74" s="175">
        <f t="shared" si="103"/>
        <v>8262</v>
      </c>
      <c r="X74" s="178"/>
      <c r="Y74" s="179">
        <v>2754</v>
      </c>
      <c r="Z74" s="179">
        <v>2754</v>
      </c>
      <c r="AA74" s="179">
        <v>2754</v>
      </c>
      <c r="AB74" s="179">
        <v>2754</v>
      </c>
      <c r="AC74" s="179">
        <v>2754</v>
      </c>
      <c r="AD74" s="179">
        <v>2754</v>
      </c>
      <c r="AE74" s="179">
        <v>2754</v>
      </c>
      <c r="AF74" s="179">
        <v>2754</v>
      </c>
      <c r="AG74" s="179">
        <v>2759.4</v>
      </c>
      <c r="AH74" s="179">
        <v>2754</v>
      </c>
      <c r="AI74" s="179">
        <v>2608.1999999999998</v>
      </c>
      <c r="AJ74" s="179">
        <v>2592</v>
      </c>
      <c r="AK74" s="177">
        <f t="shared" si="104"/>
        <v>32745.600000000002</v>
      </c>
      <c r="AL74" s="97" t="s">
        <v>8</v>
      </c>
      <c r="AM74" s="97" t="s">
        <v>8</v>
      </c>
      <c r="AN74" s="180" t="str">
        <f t="shared" si="120"/>
        <v>CFG - FTS-3 - Fixed NR</v>
      </c>
      <c r="AO74" s="180" t="s">
        <v>166</v>
      </c>
      <c r="AP74" s="375"/>
      <c r="AQ74" s="175">
        <f t="shared" si="105"/>
        <v>8262</v>
      </c>
      <c r="AR74" s="175">
        <f t="shared" si="106"/>
        <v>8262</v>
      </c>
      <c r="AS74" s="175">
        <f t="shared" si="107"/>
        <v>8267.4</v>
      </c>
      <c r="AT74" s="175">
        <f t="shared" si="108"/>
        <v>7954.2</v>
      </c>
      <c r="AU74" s="181"/>
      <c r="AV74" s="175">
        <v>2916</v>
      </c>
      <c r="AW74" s="175">
        <v>2916</v>
      </c>
      <c r="AX74" s="175">
        <v>2916</v>
      </c>
      <c r="AY74" s="175">
        <v>2916</v>
      </c>
      <c r="AZ74" s="175">
        <v>3078</v>
      </c>
      <c r="BA74" s="175">
        <v>2916</v>
      </c>
      <c r="BB74" s="175">
        <v>3078</v>
      </c>
      <c r="BC74" s="175">
        <v>3078</v>
      </c>
      <c r="BD74" s="175">
        <v>3078</v>
      </c>
      <c r="BE74" s="175">
        <v>3078</v>
      </c>
      <c r="BF74" s="175">
        <v>3078</v>
      </c>
      <c r="BG74" s="175">
        <v>3078</v>
      </c>
      <c r="BH74" s="375">
        <f ca="1">SUM(AV74:OFFSET(AV74,0,$F$2-1))</f>
        <v>36126</v>
      </c>
      <c r="BI74" s="175">
        <f t="shared" si="109"/>
        <v>8748</v>
      </c>
      <c r="BJ74" s="175">
        <f t="shared" si="110"/>
        <v>8910</v>
      </c>
      <c r="BK74" s="175">
        <f t="shared" si="111"/>
        <v>9234</v>
      </c>
      <c r="BL74" s="175">
        <f t="shared" si="112"/>
        <v>9234</v>
      </c>
      <c r="BM74" s="178"/>
      <c r="BN74" s="178"/>
      <c r="BO74" s="178"/>
      <c r="BP74" s="178">
        <v>2754</v>
      </c>
      <c r="BQ74" s="178">
        <v>2754</v>
      </c>
      <c r="BR74" s="178">
        <v>2754</v>
      </c>
      <c r="BS74" s="178">
        <v>2754</v>
      </c>
      <c r="BT74" s="178">
        <v>2754</v>
      </c>
      <c r="BU74" s="178">
        <v>2754</v>
      </c>
      <c r="BV74" s="178">
        <v>2754</v>
      </c>
      <c r="BW74" s="178">
        <v>2754</v>
      </c>
      <c r="BX74" s="178">
        <v>2754</v>
      </c>
      <c r="BY74" s="178">
        <v>2754</v>
      </c>
      <c r="BZ74" s="375">
        <f ca="1">SUM(BN74:OFFSET(BN74,0,$F$2-1))</f>
        <v>27540</v>
      </c>
      <c r="CA74" s="175">
        <f t="shared" si="113"/>
        <v>2754</v>
      </c>
      <c r="CB74" s="175">
        <f t="shared" si="114"/>
        <v>8262</v>
      </c>
      <c r="CC74" s="175">
        <f t="shared" si="115"/>
        <v>8262</v>
      </c>
      <c r="CD74" s="175">
        <f t="shared" si="116"/>
        <v>8262</v>
      </c>
      <c r="CE74" s="178"/>
      <c r="CF74" s="97" t="s">
        <v>584</v>
      </c>
      <c r="CH74" s="178"/>
      <c r="CI74" s="178"/>
      <c r="CJ74" s="178">
        <f t="shared" si="117"/>
        <v>0</v>
      </c>
      <c r="CK74" s="178">
        <f t="shared" si="117"/>
        <v>0</v>
      </c>
      <c r="CL74" s="178">
        <f t="shared" si="117"/>
        <v>0</v>
      </c>
      <c r="CM74" s="178">
        <f t="shared" si="117"/>
        <v>0</v>
      </c>
      <c r="CN74" s="178">
        <f t="shared" si="117"/>
        <v>0</v>
      </c>
      <c r="CO74" s="178">
        <f t="shared" si="117"/>
        <v>0</v>
      </c>
      <c r="CP74" s="178">
        <f t="shared" si="117"/>
        <v>5.4000000000000909</v>
      </c>
      <c r="CQ74" s="178">
        <f t="shared" si="117"/>
        <v>0</v>
      </c>
      <c r="CR74" s="178"/>
      <c r="CS74" s="178"/>
      <c r="CU74" s="178">
        <f t="shared" si="118"/>
        <v>33048</v>
      </c>
      <c r="CV74" s="178" t="e">
        <v>#VALUE!</v>
      </c>
      <c r="CW74" s="178">
        <f t="shared" si="119"/>
        <v>36126</v>
      </c>
    </row>
    <row r="75" spans="2:101" outlineLevel="1">
      <c r="B75" s="97" t="s">
        <v>585</v>
      </c>
      <c r="C75" s="97" t="s">
        <v>579</v>
      </c>
      <c r="D75" s="97" t="s">
        <v>8</v>
      </c>
      <c r="E75" s="97" t="s">
        <v>136</v>
      </c>
      <c r="F75" s="335" t="s">
        <v>106</v>
      </c>
      <c r="G75" s="379">
        <v>1841</v>
      </c>
      <c r="H75" s="379">
        <v>1841</v>
      </c>
      <c r="I75" s="379">
        <v>1841</v>
      </c>
      <c r="J75" s="379">
        <v>1841</v>
      </c>
      <c r="K75" s="379">
        <v>1911.13</v>
      </c>
      <c r="L75" s="379">
        <v>1841</v>
      </c>
      <c r="M75" s="379">
        <v>1841</v>
      </c>
      <c r="N75" s="379">
        <v>1841</v>
      </c>
      <c r="O75" s="379">
        <v>1841</v>
      </c>
      <c r="P75" s="379">
        <v>1753.33</v>
      </c>
      <c r="Q75" s="379">
        <v>1937.43</v>
      </c>
      <c r="R75" s="379">
        <v>1718.27</v>
      </c>
      <c r="S75" s="381">
        <f ca="1">SUM(G75:OFFSET(G75,0,$F$2-1))</f>
        <v>22048.16</v>
      </c>
      <c r="T75" s="379">
        <f t="shared" si="100"/>
        <v>5523</v>
      </c>
      <c r="U75" s="379">
        <f t="shared" si="101"/>
        <v>5593.13</v>
      </c>
      <c r="V75" s="379">
        <f t="shared" si="102"/>
        <v>5523</v>
      </c>
      <c r="W75" s="379">
        <f t="shared" si="103"/>
        <v>5409.0300000000007</v>
      </c>
      <c r="X75" s="178"/>
      <c r="Y75" s="382">
        <v>1998.8</v>
      </c>
      <c r="Z75" s="382">
        <v>1841</v>
      </c>
      <c r="AA75" s="382">
        <v>1841</v>
      </c>
      <c r="AB75" s="382">
        <v>1841</v>
      </c>
      <c r="AC75" s="382">
        <v>1841</v>
      </c>
      <c r="AD75" s="382">
        <v>1841</v>
      </c>
      <c r="AE75" s="382">
        <v>1841</v>
      </c>
      <c r="AF75" s="382">
        <v>1841</v>
      </c>
      <c r="AG75" s="382">
        <v>1788.4</v>
      </c>
      <c r="AH75" s="382">
        <v>1578</v>
      </c>
      <c r="AI75" s="382">
        <v>1578</v>
      </c>
      <c r="AJ75" s="382">
        <v>1578</v>
      </c>
      <c r="AK75" s="177">
        <f t="shared" si="104"/>
        <v>21408.2</v>
      </c>
      <c r="AL75" s="97" t="s">
        <v>8</v>
      </c>
      <c r="AM75" s="97" t="s">
        <v>8</v>
      </c>
      <c r="AN75" s="180" t="str">
        <f t="shared" si="120"/>
        <v>CFG - FTS-3.1 - Fixed NR</v>
      </c>
      <c r="AO75" s="180" t="s">
        <v>166</v>
      </c>
      <c r="AP75" s="381"/>
      <c r="AQ75" s="379">
        <f t="shared" si="105"/>
        <v>5680.8</v>
      </c>
      <c r="AR75" s="379">
        <f t="shared" si="106"/>
        <v>5523</v>
      </c>
      <c r="AS75" s="379">
        <f t="shared" si="107"/>
        <v>5470.4</v>
      </c>
      <c r="AT75" s="379">
        <f t="shared" si="108"/>
        <v>4734</v>
      </c>
      <c r="AU75" s="181"/>
      <c r="AV75" s="379">
        <v>1841</v>
      </c>
      <c r="AW75" s="379">
        <v>1841</v>
      </c>
      <c r="AX75" s="379">
        <v>1841</v>
      </c>
      <c r="AY75" s="379">
        <v>1841</v>
      </c>
      <c r="AZ75" s="379">
        <v>1841</v>
      </c>
      <c r="BA75" s="379">
        <v>1841</v>
      </c>
      <c r="BB75" s="379">
        <v>1841</v>
      </c>
      <c r="BC75" s="379">
        <v>1841</v>
      </c>
      <c r="BD75" s="379">
        <v>1841</v>
      </c>
      <c r="BE75" s="379">
        <v>1841</v>
      </c>
      <c r="BF75" s="379">
        <v>1841</v>
      </c>
      <c r="BG75" s="379">
        <v>1841</v>
      </c>
      <c r="BH75" s="381">
        <f ca="1">SUM(AV75:OFFSET(AV75,0,$F$2-1))</f>
        <v>22092</v>
      </c>
      <c r="BI75" s="379">
        <f t="shared" si="109"/>
        <v>5523</v>
      </c>
      <c r="BJ75" s="379">
        <f t="shared" si="110"/>
        <v>5523</v>
      </c>
      <c r="BK75" s="379">
        <f t="shared" si="111"/>
        <v>5523</v>
      </c>
      <c r="BL75" s="379">
        <f t="shared" si="112"/>
        <v>5523</v>
      </c>
      <c r="BM75" s="178"/>
      <c r="BN75" s="383"/>
      <c r="BO75" s="383"/>
      <c r="BP75" s="383">
        <v>1841</v>
      </c>
      <c r="BQ75" s="383">
        <v>1841</v>
      </c>
      <c r="BR75" s="383">
        <v>1841</v>
      </c>
      <c r="BS75" s="383">
        <v>1841</v>
      </c>
      <c r="BT75" s="383">
        <v>1841</v>
      </c>
      <c r="BU75" s="383">
        <v>1841</v>
      </c>
      <c r="BV75" s="383">
        <v>1841</v>
      </c>
      <c r="BW75" s="383">
        <v>1841</v>
      </c>
      <c r="BX75" s="383">
        <v>1578</v>
      </c>
      <c r="BY75" s="383">
        <v>1578</v>
      </c>
      <c r="BZ75" s="381">
        <f ca="1">SUM(BN75:OFFSET(BN75,0,$F$2-1))</f>
        <v>17884</v>
      </c>
      <c r="CA75" s="379">
        <f t="shared" si="113"/>
        <v>1841</v>
      </c>
      <c r="CB75" s="379">
        <f t="shared" si="114"/>
        <v>5523</v>
      </c>
      <c r="CC75" s="379">
        <f t="shared" si="115"/>
        <v>5523</v>
      </c>
      <c r="CD75" s="379">
        <f t="shared" si="116"/>
        <v>4997</v>
      </c>
      <c r="CE75" s="178"/>
      <c r="CF75" s="97" t="s">
        <v>585</v>
      </c>
      <c r="CH75" s="383"/>
      <c r="CI75" s="383"/>
      <c r="CJ75" s="383">
        <f t="shared" si="117"/>
        <v>0</v>
      </c>
      <c r="CK75" s="383">
        <f t="shared" si="117"/>
        <v>0</v>
      </c>
      <c r="CL75" s="383">
        <f t="shared" si="117"/>
        <v>0</v>
      </c>
      <c r="CM75" s="383">
        <f t="shared" si="117"/>
        <v>0</v>
      </c>
      <c r="CN75" s="383">
        <f t="shared" si="117"/>
        <v>0</v>
      </c>
      <c r="CO75" s="383">
        <f t="shared" si="117"/>
        <v>0</v>
      </c>
      <c r="CP75" s="383">
        <f t="shared" si="117"/>
        <v>-52.599999999999909</v>
      </c>
      <c r="CQ75" s="383">
        <f t="shared" si="117"/>
        <v>-263</v>
      </c>
      <c r="CR75" s="383"/>
      <c r="CS75" s="383"/>
      <c r="CU75" s="383">
        <f t="shared" si="118"/>
        <v>21723.8</v>
      </c>
      <c r="CV75" s="383" t="e">
        <v>#VALUE!</v>
      </c>
      <c r="CW75" s="383">
        <f t="shared" si="119"/>
        <v>22092</v>
      </c>
    </row>
    <row r="76" spans="2:101">
      <c r="B76" s="97"/>
      <c r="C76" s="97"/>
      <c r="D76" s="97" t="s">
        <v>532</v>
      </c>
      <c r="F76" s="385" t="s">
        <v>167</v>
      </c>
      <c r="G76" s="177">
        <f>SUM(G69:G75)</f>
        <v>7122.6</v>
      </c>
      <c r="H76" s="177">
        <f t="shared" ref="H76:W76" si="121">SUM(H69:H75)</f>
        <v>7144</v>
      </c>
      <c r="I76" s="177">
        <f t="shared" si="121"/>
        <v>7155.6</v>
      </c>
      <c r="J76" s="177">
        <f t="shared" si="121"/>
        <v>7202</v>
      </c>
      <c r="K76" s="177">
        <f t="shared" si="121"/>
        <v>7007.53</v>
      </c>
      <c r="L76" s="177">
        <f t="shared" si="121"/>
        <v>6933.4</v>
      </c>
      <c r="M76" s="177">
        <f t="shared" si="121"/>
        <v>6976.6</v>
      </c>
      <c r="N76" s="177">
        <f t="shared" si="121"/>
        <v>6937.3</v>
      </c>
      <c r="O76" s="177">
        <f t="shared" si="121"/>
        <v>6893.8</v>
      </c>
      <c r="P76" s="177">
        <f t="shared" si="121"/>
        <v>6771.33</v>
      </c>
      <c r="Q76" s="177">
        <f t="shared" si="121"/>
        <v>7071.43</v>
      </c>
      <c r="R76" s="177">
        <f t="shared" si="121"/>
        <v>6895.57</v>
      </c>
      <c r="S76" s="177">
        <f t="shared" ca="1" si="121"/>
        <v>84111.16</v>
      </c>
      <c r="T76" s="177">
        <f t="shared" si="121"/>
        <v>21422.199999999997</v>
      </c>
      <c r="U76" s="177">
        <f t="shared" si="121"/>
        <v>21142.93</v>
      </c>
      <c r="V76" s="177">
        <f t="shared" si="121"/>
        <v>20807.7</v>
      </c>
      <c r="W76" s="177">
        <f t="shared" si="121"/>
        <v>20738.330000000002</v>
      </c>
      <c r="X76" s="386"/>
      <c r="Y76" s="177">
        <f>SUM(Y69:Y75)</f>
        <v>7189.5</v>
      </c>
      <c r="Z76" s="177">
        <f t="shared" ref="Z76:AT76" si="122">SUM(Z69:Z75)</f>
        <v>7023</v>
      </c>
      <c r="AA76" s="177">
        <f t="shared" si="122"/>
        <v>7055.87</v>
      </c>
      <c r="AB76" s="177">
        <f t="shared" si="122"/>
        <v>7100.33</v>
      </c>
      <c r="AC76" s="177">
        <f t="shared" si="122"/>
        <v>7081</v>
      </c>
      <c r="AD76" s="177">
        <f t="shared" si="122"/>
        <v>7081</v>
      </c>
      <c r="AE76" s="177">
        <f t="shared" si="122"/>
        <v>7062.9</v>
      </c>
      <c r="AF76" s="177">
        <f t="shared" si="122"/>
        <v>7064.9</v>
      </c>
      <c r="AG76" s="177">
        <f>SUM(AG69:AG75)</f>
        <v>6985.7999999999993</v>
      </c>
      <c r="AH76" s="177">
        <f t="shared" si="122"/>
        <v>6770</v>
      </c>
      <c r="AI76" s="177">
        <f t="shared" si="122"/>
        <v>6653.2</v>
      </c>
      <c r="AJ76" s="177">
        <f t="shared" si="122"/>
        <v>6730.77</v>
      </c>
      <c r="AK76" s="177">
        <f t="shared" si="122"/>
        <v>83798.27</v>
      </c>
      <c r="AL76" s="97"/>
      <c r="AM76" s="97"/>
      <c r="AN76" s="177"/>
      <c r="AP76" s="177"/>
      <c r="AQ76" s="177">
        <f t="shared" si="122"/>
        <v>21268.37</v>
      </c>
      <c r="AR76" s="177">
        <f t="shared" si="122"/>
        <v>21262.33</v>
      </c>
      <c r="AS76" s="177">
        <f t="shared" si="122"/>
        <v>21113.599999999999</v>
      </c>
      <c r="AT76" s="177">
        <f t="shared" si="122"/>
        <v>20153.97</v>
      </c>
      <c r="AU76" s="181"/>
      <c r="AV76" s="177">
        <f>SUM(AV69:AV75)</f>
        <v>7040</v>
      </c>
      <c r="AW76" s="177">
        <f t="shared" ref="AW76:BL76" si="123">SUM(AW69:AW75)</f>
        <v>7040</v>
      </c>
      <c r="AX76" s="177">
        <f t="shared" si="123"/>
        <v>7040</v>
      </c>
      <c r="AY76" s="177">
        <f t="shared" si="123"/>
        <v>7127</v>
      </c>
      <c r="AZ76" s="177">
        <f t="shared" si="123"/>
        <v>7318</v>
      </c>
      <c r="BA76" s="177">
        <f t="shared" si="123"/>
        <v>7233</v>
      </c>
      <c r="BB76" s="177">
        <f t="shared" si="123"/>
        <v>7453</v>
      </c>
      <c r="BC76" s="177">
        <f t="shared" si="123"/>
        <v>7424</v>
      </c>
      <c r="BD76" s="177">
        <f t="shared" si="123"/>
        <v>7366</v>
      </c>
      <c r="BE76" s="177">
        <f t="shared" si="123"/>
        <v>7453</v>
      </c>
      <c r="BF76" s="177">
        <f t="shared" si="123"/>
        <v>7453</v>
      </c>
      <c r="BG76" s="177">
        <f t="shared" si="123"/>
        <v>7511</v>
      </c>
      <c r="BH76" s="177">
        <f t="shared" ca="1" si="123"/>
        <v>87458</v>
      </c>
      <c r="BI76" s="177">
        <f t="shared" si="123"/>
        <v>21120</v>
      </c>
      <c r="BJ76" s="177">
        <f t="shared" si="123"/>
        <v>21678</v>
      </c>
      <c r="BK76" s="177">
        <f t="shared" si="123"/>
        <v>22243</v>
      </c>
      <c r="BL76" s="177">
        <f t="shared" si="123"/>
        <v>22417</v>
      </c>
      <c r="BM76" s="386"/>
      <c r="BN76" s="177">
        <f>SUM(BN69:BN75)</f>
        <v>0</v>
      </c>
      <c r="BO76" s="177">
        <f t="shared" ref="BO76:CD76" si="124">SUM(BO69:BO75)</f>
        <v>0</v>
      </c>
      <c r="BP76" s="177">
        <f t="shared" si="124"/>
        <v>7023</v>
      </c>
      <c r="BQ76" s="177">
        <f t="shared" si="124"/>
        <v>7139</v>
      </c>
      <c r="BR76" s="177">
        <f t="shared" si="124"/>
        <v>7081</v>
      </c>
      <c r="BS76" s="177">
        <f t="shared" si="124"/>
        <v>7081</v>
      </c>
      <c r="BT76" s="177">
        <f t="shared" si="124"/>
        <v>7081</v>
      </c>
      <c r="BU76" s="177">
        <f t="shared" si="124"/>
        <v>7081</v>
      </c>
      <c r="BV76" s="177">
        <f t="shared" si="124"/>
        <v>7149</v>
      </c>
      <c r="BW76" s="177">
        <f t="shared" si="124"/>
        <v>7149</v>
      </c>
      <c r="BX76" s="177">
        <f t="shared" si="124"/>
        <v>6770</v>
      </c>
      <c r="BY76" s="177">
        <f t="shared" si="124"/>
        <v>6799</v>
      </c>
      <c r="BZ76" s="177">
        <f t="shared" ca="1" si="124"/>
        <v>70353</v>
      </c>
      <c r="CA76" s="177">
        <f t="shared" si="124"/>
        <v>7023</v>
      </c>
      <c r="CB76" s="177">
        <f t="shared" si="124"/>
        <v>21301</v>
      </c>
      <c r="CC76" s="177">
        <f t="shared" si="124"/>
        <v>21311</v>
      </c>
      <c r="CD76" s="177">
        <f t="shared" si="124"/>
        <v>20718</v>
      </c>
      <c r="CE76" s="386"/>
      <c r="CF76" s="97"/>
      <c r="CH76" s="177"/>
      <c r="CI76" s="177"/>
      <c r="CJ76" s="177">
        <f t="shared" ref="CJ76:CS76" si="125">SUM(CJ69:CJ75)</f>
        <v>32.870000000000118</v>
      </c>
      <c r="CK76" s="177">
        <f t="shared" si="125"/>
        <v>-38.670000000000073</v>
      </c>
      <c r="CL76" s="177">
        <f t="shared" si="125"/>
        <v>0</v>
      </c>
      <c r="CM76" s="177">
        <f t="shared" si="125"/>
        <v>0</v>
      </c>
      <c r="CN76" s="177">
        <f t="shared" si="125"/>
        <v>-18.100000000000051</v>
      </c>
      <c r="CO76" s="177">
        <f t="shared" si="125"/>
        <v>-16.100000000000023</v>
      </c>
      <c r="CP76" s="177">
        <f t="shared" si="125"/>
        <v>-163.19999999999982</v>
      </c>
      <c r="CQ76" s="177">
        <f t="shared" si="125"/>
        <v>-379</v>
      </c>
      <c r="CR76" s="177">
        <f t="shared" si="125"/>
        <v>0</v>
      </c>
      <c r="CS76" s="177">
        <f t="shared" si="125"/>
        <v>0</v>
      </c>
      <c r="CU76" s="177">
        <f>SUM(CU69:CU75)</f>
        <v>84559.7</v>
      </c>
      <c r="CV76" s="177" t="e">
        <f>SUM(CV69:CV75)</f>
        <v>#VALUE!</v>
      </c>
      <c r="CW76" s="177">
        <f>SUM(CW69:CW75)</f>
        <v>87458</v>
      </c>
    </row>
    <row r="77" spans="2:101">
      <c r="B77" s="97"/>
      <c r="C77" s="97"/>
      <c r="D77" s="97" t="s">
        <v>532</v>
      </c>
      <c r="F77" s="284" t="s">
        <v>168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284"/>
      <c r="T77" s="62"/>
      <c r="U77" s="62"/>
      <c r="V77" s="62"/>
      <c r="W77" s="62"/>
      <c r="X77" s="178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284"/>
      <c r="AN77" s="396">
        <f>AK76+AK67+AK26+AK17</f>
        <v>58097127.229999885</v>
      </c>
      <c r="AO77" s="284"/>
      <c r="AP77" s="284"/>
      <c r="AQ77" s="62"/>
      <c r="AR77" s="62"/>
      <c r="AS77" s="62"/>
      <c r="AT77" s="62"/>
      <c r="AU77" s="181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284"/>
      <c r="BI77" s="62"/>
      <c r="BJ77" s="62"/>
      <c r="BK77" s="62"/>
      <c r="BL77" s="62"/>
      <c r="BM77" s="178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284"/>
      <c r="CA77" s="62"/>
      <c r="CB77" s="62"/>
      <c r="CC77" s="62"/>
      <c r="CD77" s="62"/>
      <c r="CE77" s="178"/>
      <c r="CF77" s="97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U77" s="62"/>
      <c r="CV77" s="62"/>
      <c r="CW77" s="62"/>
    </row>
    <row r="78" spans="2:101" outlineLevel="1">
      <c r="B78" s="97" t="s">
        <v>169</v>
      </c>
      <c r="C78" s="97" t="s">
        <v>586</v>
      </c>
      <c r="D78" s="97" t="s">
        <v>8</v>
      </c>
      <c r="E78" s="97" t="s">
        <v>170</v>
      </c>
      <c r="F78" s="67" t="s">
        <v>169</v>
      </c>
      <c r="G78" s="175">
        <v>16463</v>
      </c>
      <c r="H78" s="175">
        <v>16463</v>
      </c>
      <c r="I78" s="175">
        <v>16463</v>
      </c>
      <c r="J78" s="175">
        <v>16463</v>
      </c>
      <c r="K78" s="175">
        <v>16463</v>
      </c>
      <c r="L78" s="175">
        <v>16463</v>
      </c>
      <c r="M78" s="175">
        <v>16463</v>
      </c>
      <c r="N78" s="175">
        <v>16463</v>
      </c>
      <c r="O78" s="175">
        <v>16463</v>
      </c>
      <c r="P78" s="175">
        <v>16463</v>
      </c>
      <c r="Q78" s="175">
        <v>16463</v>
      </c>
      <c r="R78" s="175">
        <v>16463</v>
      </c>
      <c r="S78" s="177">
        <f ca="1">SUM(G78:OFFSET(G78,0,$F$2-1))</f>
        <v>197556</v>
      </c>
      <c r="T78" s="175">
        <f t="shared" ref="T78:T92" si="126">SUM(G78:I78)</f>
        <v>49389</v>
      </c>
      <c r="U78" s="175">
        <f t="shared" ref="U78:U92" si="127">SUM(J78:L78)</f>
        <v>49389</v>
      </c>
      <c r="V78" s="175">
        <f t="shared" ref="V78:V92" si="128">SUM(M78:O78)</f>
        <v>49389</v>
      </c>
      <c r="W78" s="175">
        <f t="shared" ref="W78:W92" si="129">SUM(P78:R78)</f>
        <v>49389</v>
      </c>
      <c r="X78" s="178"/>
      <c r="Y78" s="179">
        <v>16463</v>
      </c>
      <c r="Z78" s="179">
        <v>16463</v>
      </c>
      <c r="AA78" s="179">
        <v>16463</v>
      </c>
      <c r="AB78" s="179">
        <v>16463</v>
      </c>
      <c r="AC78" s="179">
        <v>16463</v>
      </c>
      <c r="AD78" s="179">
        <v>16463</v>
      </c>
      <c r="AE78" s="179">
        <v>16463</v>
      </c>
      <c r="AF78" s="179">
        <v>16463</v>
      </c>
      <c r="AG78" s="179">
        <v>16463</v>
      </c>
      <c r="AH78" s="179">
        <v>16463</v>
      </c>
      <c r="AI78" s="179">
        <v>16463</v>
      </c>
      <c r="AJ78" s="179">
        <v>16463</v>
      </c>
      <c r="AK78" s="177">
        <f t="shared" ref="AK78:AK92" si="130">SUM(Y78:AJ78)</f>
        <v>197556</v>
      </c>
      <c r="AL78" s="97" t="s">
        <v>8</v>
      </c>
      <c r="AM78" s="97" t="s">
        <v>8</v>
      </c>
      <c r="AN78" s="177"/>
      <c r="AO78" s="177"/>
      <c r="AP78" s="177"/>
      <c r="AQ78" s="175">
        <f t="shared" ref="AQ78:AQ92" si="131">SUM(Y78:AA78)</f>
        <v>49389</v>
      </c>
      <c r="AR78" s="175">
        <f t="shared" ref="AR78:AR92" si="132">SUM(AB78:AD78)</f>
        <v>49389</v>
      </c>
      <c r="AS78" s="175">
        <f t="shared" ref="AS78:AS92" si="133">SUM(AE78:AG78)</f>
        <v>49389</v>
      </c>
      <c r="AT78" s="175">
        <f t="shared" ref="AT78:AT92" si="134">SUM(AH78:AJ78)</f>
        <v>49389</v>
      </c>
      <c r="AU78" s="397"/>
      <c r="AV78" s="175">
        <v>16463</v>
      </c>
      <c r="AW78" s="175">
        <v>16463</v>
      </c>
      <c r="AX78" s="175">
        <v>16463</v>
      </c>
      <c r="AY78" s="175">
        <v>16463</v>
      </c>
      <c r="AZ78" s="175">
        <v>16463</v>
      </c>
      <c r="BA78" s="175">
        <v>16463</v>
      </c>
      <c r="BB78" s="175">
        <v>16463</v>
      </c>
      <c r="BC78" s="175">
        <v>16463</v>
      </c>
      <c r="BD78" s="175">
        <v>16463</v>
      </c>
      <c r="BE78" s="175">
        <v>16463</v>
      </c>
      <c r="BF78" s="175">
        <v>16463</v>
      </c>
      <c r="BG78" s="175">
        <v>16463</v>
      </c>
      <c r="BH78" s="177">
        <f ca="1">SUM(AV78:OFFSET(AV78,0,$F$2-1))</f>
        <v>197556</v>
      </c>
      <c r="BI78" s="175">
        <f t="shared" ref="BI78:BI92" si="135">SUM(AV78:AX78)</f>
        <v>49389</v>
      </c>
      <c r="BJ78" s="175">
        <f t="shared" ref="BJ78:BJ92" si="136">SUM(AY78:BA78)</f>
        <v>49389</v>
      </c>
      <c r="BK78" s="175">
        <f t="shared" ref="BK78:BK92" si="137">SUM(BB78:BD78)</f>
        <v>49389</v>
      </c>
      <c r="BL78" s="175">
        <f t="shared" ref="BL78:BL92" si="138">SUM(BE78:BG78)</f>
        <v>49389</v>
      </c>
      <c r="BM78" s="178"/>
      <c r="BN78" s="178"/>
      <c r="BO78" s="178"/>
      <c r="BP78" s="178">
        <v>16463</v>
      </c>
      <c r="BQ78" s="178">
        <v>16463</v>
      </c>
      <c r="BR78" s="178">
        <v>16463</v>
      </c>
      <c r="BS78" s="178">
        <v>16463</v>
      </c>
      <c r="BT78" s="178">
        <v>16463</v>
      </c>
      <c r="BU78" s="178">
        <v>16463</v>
      </c>
      <c r="BV78" s="178">
        <v>16463</v>
      </c>
      <c r="BW78" s="178">
        <v>16463</v>
      </c>
      <c r="BX78" s="178">
        <v>16463</v>
      </c>
      <c r="BY78" s="178">
        <v>16463</v>
      </c>
      <c r="BZ78" s="177">
        <f ca="1">SUM(BN78:OFFSET(BN78,0,$F$2-1))</f>
        <v>164630</v>
      </c>
      <c r="CA78" s="175">
        <f t="shared" ref="CA78:CA92" si="139">SUM(BN78:BP78)</f>
        <v>16463</v>
      </c>
      <c r="CB78" s="175">
        <f t="shared" ref="CB78:CB92" si="140">SUM(BQ78:BS78)</f>
        <v>49389</v>
      </c>
      <c r="CC78" s="175">
        <f t="shared" ref="CC78:CC92" si="141">SUM(BT78:BV78)</f>
        <v>49389</v>
      </c>
      <c r="CD78" s="175">
        <f t="shared" ref="CD78:CD92" si="142">SUM(BW78:BY78)</f>
        <v>49389</v>
      </c>
      <c r="CE78" s="178"/>
      <c r="CF78" s="97" t="s">
        <v>169</v>
      </c>
      <c r="CG78" s="397"/>
      <c r="CH78" s="178"/>
      <c r="CI78" s="178"/>
      <c r="CJ78" s="178">
        <f t="shared" ref="CJ78:CJ92" si="143">AA78-BP78</f>
        <v>0</v>
      </c>
      <c r="CK78" s="178">
        <f t="shared" ref="CK78:CK92" si="144">AB78-BQ78</f>
        <v>0</v>
      </c>
      <c r="CL78" s="178">
        <f t="shared" ref="CL78:CL92" si="145">AC78-BR78</f>
        <v>0</v>
      </c>
      <c r="CM78" s="178">
        <f t="shared" ref="CM78:CM92" si="146">AD78-BS78</f>
        <v>0</v>
      </c>
      <c r="CN78" s="178">
        <f t="shared" ref="CN78:CN92" si="147">AE78-BT78</f>
        <v>0</v>
      </c>
      <c r="CO78" s="178">
        <f t="shared" ref="CO78:CO92" si="148">AF78-BU78</f>
        <v>0</v>
      </c>
      <c r="CP78" s="178">
        <f t="shared" ref="CP78:CP92" si="149">AG78-BV78</f>
        <v>0</v>
      </c>
      <c r="CQ78" s="178">
        <f t="shared" ref="CQ78:CQ92" si="150">AH78-BW78</f>
        <v>0</v>
      </c>
      <c r="CR78" s="178"/>
      <c r="CS78" s="178"/>
      <c r="CU78" s="178">
        <f t="shared" ref="CU78:CU92" si="151">SUM(Y78:AC78)+SUM(BS78:BY78)</f>
        <v>197556</v>
      </c>
      <c r="CV78" s="178">
        <v>197556</v>
      </c>
      <c r="CW78" s="178">
        <f t="shared" ref="CW78:CW92" si="152">SUM(AV78:BG78)</f>
        <v>197556</v>
      </c>
    </row>
    <row r="79" spans="2:101" outlineLevel="1">
      <c r="B79" s="97" t="s">
        <v>171</v>
      </c>
      <c r="C79" s="97" t="s">
        <v>586</v>
      </c>
      <c r="D79" s="97" t="s">
        <v>8</v>
      </c>
      <c r="E79" s="97" t="s">
        <v>170</v>
      </c>
      <c r="F79" s="67" t="s">
        <v>171</v>
      </c>
      <c r="G79" s="175">
        <v>7420</v>
      </c>
      <c r="H79" s="175">
        <v>7420</v>
      </c>
      <c r="I79" s="175">
        <v>7420</v>
      </c>
      <c r="J79" s="175">
        <v>7420</v>
      </c>
      <c r="K79" s="175">
        <v>7420</v>
      </c>
      <c r="L79" s="175">
        <v>7420</v>
      </c>
      <c r="M79" s="175">
        <v>7420</v>
      </c>
      <c r="N79" s="175">
        <v>7420</v>
      </c>
      <c r="O79" s="175">
        <v>7420</v>
      </c>
      <c r="P79" s="175">
        <v>7420</v>
      </c>
      <c r="Q79" s="175">
        <v>7420</v>
      </c>
      <c r="R79" s="175">
        <v>7420</v>
      </c>
      <c r="S79" s="177">
        <f ca="1">SUM(G79:OFFSET(G79,0,$F$2-1))</f>
        <v>89040</v>
      </c>
      <c r="T79" s="175">
        <f t="shared" si="126"/>
        <v>22260</v>
      </c>
      <c r="U79" s="175">
        <f t="shared" si="127"/>
        <v>22260</v>
      </c>
      <c r="V79" s="175">
        <f t="shared" si="128"/>
        <v>22260</v>
      </c>
      <c r="W79" s="175">
        <f t="shared" si="129"/>
        <v>22260</v>
      </c>
      <c r="X79" s="178"/>
      <c r="Y79" s="179">
        <v>7420</v>
      </c>
      <c r="Z79" s="179">
        <v>7420</v>
      </c>
      <c r="AA79" s="179">
        <v>7420</v>
      </c>
      <c r="AB79" s="179">
        <v>7420</v>
      </c>
      <c r="AC79" s="179">
        <v>7420</v>
      </c>
      <c r="AD79" s="179">
        <v>7420</v>
      </c>
      <c r="AE79" s="179">
        <v>7420</v>
      </c>
      <c r="AF79" s="179">
        <v>7420</v>
      </c>
      <c r="AG79" s="179">
        <v>7420</v>
      </c>
      <c r="AH79" s="179">
        <v>7420</v>
      </c>
      <c r="AI79" s="179">
        <v>7420</v>
      </c>
      <c r="AJ79" s="179">
        <v>7420</v>
      </c>
      <c r="AK79" s="177">
        <f t="shared" si="130"/>
        <v>89040</v>
      </c>
      <c r="AL79" s="97" t="s">
        <v>8</v>
      </c>
      <c r="AM79" s="97" t="s">
        <v>8</v>
      </c>
      <c r="AN79" s="177"/>
      <c r="AO79" s="177"/>
      <c r="AP79" s="177"/>
      <c r="AQ79" s="175">
        <f t="shared" si="131"/>
        <v>22260</v>
      </c>
      <c r="AR79" s="175">
        <f t="shared" si="132"/>
        <v>22260</v>
      </c>
      <c r="AS79" s="175">
        <f t="shared" si="133"/>
        <v>22260</v>
      </c>
      <c r="AT79" s="175">
        <f t="shared" si="134"/>
        <v>22260</v>
      </c>
      <c r="AU79" s="397"/>
      <c r="AV79" s="175">
        <v>7420</v>
      </c>
      <c r="AW79" s="175">
        <v>7420</v>
      </c>
      <c r="AX79" s="175">
        <v>7420</v>
      </c>
      <c r="AY79" s="175">
        <v>7420</v>
      </c>
      <c r="AZ79" s="175">
        <v>7420</v>
      </c>
      <c r="BA79" s="175">
        <v>7420</v>
      </c>
      <c r="BB79" s="175">
        <v>7420</v>
      </c>
      <c r="BC79" s="175">
        <v>7420</v>
      </c>
      <c r="BD79" s="175">
        <v>7420</v>
      </c>
      <c r="BE79" s="175">
        <v>7420</v>
      </c>
      <c r="BF79" s="175">
        <v>7420</v>
      </c>
      <c r="BG79" s="175">
        <v>7420</v>
      </c>
      <c r="BH79" s="177">
        <f ca="1">SUM(AV79:OFFSET(AV79,0,$F$2-1))</f>
        <v>89040</v>
      </c>
      <c r="BI79" s="175">
        <f t="shared" si="135"/>
        <v>22260</v>
      </c>
      <c r="BJ79" s="175">
        <f t="shared" si="136"/>
        <v>22260</v>
      </c>
      <c r="BK79" s="175">
        <f t="shared" si="137"/>
        <v>22260</v>
      </c>
      <c r="BL79" s="175">
        <f t="shared" si="138"/>
        <v>22260</v>
      </c>
      <c r="BM79" s="178"/>
      <c r="BN79" s="178"/>
      <c r="BO79" s="178"/>
      <c r="BP79" s="178">
        <v>7420</v>
      </c>
      <c r="BQ79" s="178">
        <v>7420</v>
      </c>
      <c r="BR79" s="178">
        <v>7420</v>
      </c>
      <c r="BS79" s="178">
        <v>7420</v>
      </c>
      <c r="BT79" s="178">
        <v>7420</v>
      </c>
      <c r="BU79" s="178">
        <v>7420</v>
      </c>
      <c r="BV79" s="178">
        <v>7420</v>
      </c>
      <c r="BW79" s="178">
        <v>7420</v>
      </c>
      <c r="BX79" s="178">
        <v>7420</v>
      </c>
      <c r="BY79" s="178">
        <v>7420</v>
      </c>
      <c r="BZ79" s="177">
        <f ca="1">SUM(BN79:OFFSET(BN79,0,$F$2-1))</f>
        <v>74200</v>
      </c>
      <c r="CA79" s="175">
        <f t="shared" si="139"/>
        <v>7420</v>
      </c>
      <c r="CB79" s="175">
        <f t="shared" si="140"/>
        <v>22260</v>
      </c>
      <c r="CC79" s="175">
        <f t="shared" si="141"/>
        <v>22260</v>
      </c>
      <c r="CD79" s="175">
        <f t="shared" si="142"/>
        <v>22260</v>
      </c>
      <c r="CE79" s="178"/>
      <c r="CF79" s="97" t="s">
        <v>171</v>
      </c>
      <c r="CG79" s="397"/>
      <c r="CH79" s="178"/>
      <c r="CI79" s="178"/>
      <c r="CJ79" s="178">
        <f t="shared" si="143"/>
        <v>0</v>
      </c>
      <c r="CK79" s="178">
        <f t="shared" si="144"/>
        <v>0</v>
      </c>
      <c r="CL79" s="178">
        <f t="shared" si="145"/>
        <v>0</v>
      </c>
      <c r="CM79" s="178">
        <f t="shared" si="146"/>
        <v>0</v>
      </c>
      <c r="CN79" s="178">
        <f t="shared" si="147"/>
        <v>0</v>
      </c>
      <c r="CO79" s="178">
        <f t="shared" si="148"/>
        <v>0</v>
      </c>
      <c r="CP79" s="178">
        <f t="shared" si="149"/>
        <v>0</v>
      </c>
      <c r="CQ79" s="178">
        <f t="shared" si="150"/>
        <v>0</v>
      </c>
      <c r="CR79" s="178"/>
      <c r="CS79" s="178"/>
      <c r="CU79" s="178">
        <f t="shared" si="151"/>
        <v>89040</v>
      </c>
      <c r="CV79" s="178" t="e">
        <v>#VALUE!</v>
      </c>
      <c r="CW79" s="178">
        <f t="shared" si="152"/>
        <v>89040</v>
      </c>
    </row>
    <row r="80" spans="2:101" outlineLevel="1">
      <c r="B80" s="97" t="s">
        <v>172</v>
      </c>
      <c r="C80" s="97" t="s">
        <v>586</v>
      </c>
      <c r="D80" s="97" t="s">
        <v>8</v>
      </c>
      <c r="E80" s="97" t="s">
        <v>170</v>
      </c>
      <c r="F80" s="67" t="s">
        <v>172</v>
      </c>
      <c r="G80" s="175">
        <v>37500</v>
      </c>
      <c r="H80" s="175">
        <v>37500</v>
      </c>
      <c r="I80" s="175">
        <v>37500</v>
      </c>
      <c r="J80" s="175">
        <v>37500</v>
      </c>
      <c r="K80" s="175">
        <v>37500</v>
      </c>
      <c r="L80" s="175">
        <v>37500</v>
      </c>
      <c r="M80" s="175">
        <v>37500</v>
      </c>
      <c r="N80" s="175">
        <v>37500</v>
      </c>
      <c r="O80" s="175">
        <v>37500</v>
      </c>
      <c r="P80" s="175">
        <v>37500</v>
      </c>
      <c r="Q80" s="175">
        <v>37500</v>
      </c>
      <c r="R80" s="175">
        <v>37500</v>
      </c>
      <c r="S80" s="177">
        <f ca="1">SUM(G80:OFFSET(G80,0,$F$2-1))</f>
        <v>450000</v>
      </c>
      <c r="T80" s="175">
        <f t="shared" si="126"/>
        <v>112500</v>
      </c>
      <c r="U80" s="175">
        <f t="shared" si="127"/>
        <v>112500</v>
      </c>
      <c r="V80" s="175">
        <f t="shared" si="128"/>
        <v>112500</v>
      </c>
      <c r="W80" s="175">
        <f t="shared" si="129"/>
        <v>112500</v>
      </c>
      <c r="X80" s="178"/>
      <c r="Y80" s="179">
        <v>37500</v>
      </c>
      <c r="Z80" s="179">
        <v>37500</v>
      </c>
      <c r="AA80" s="179">
        <v>37500</v>
      </c>
      <c r="AB80" s="179">
        <v>37500</v>
      </c>
      <c r="AC80" s="179">
        <v>37500</v>
      </c>
      <c r="AD80" s="179">
        <v>37500</v>
      </c>
      <c r="AE80" s="179">
        <v>37500</v>
      </c>
      <c r="AF80" s="179">
        <v>37500</v>
      </c>
      <c r="AG80" s="179">
        <v>37500</v>
      </c>
      <c r="AH80" s="179">
        <v>37500</v>
      </c>
      <c r="AI80" s="179">
        <v>37500</v>
      </c>
      <c r="AJ80" s="179">
        <v>37500</v>
      </c>
      <c r="AK80" s="177">
        <f t="shared" si="130"/>
        <v>450000</v>
      </c>
      <c r="AL80" s="97" t="s">
        <v>8</v>
      </c>
      <c r="AM80" s="97" t="s">
        <v>8</v>
      </c>
      <c r="AN80" s="177"/>
      <c r="AO80" s="177"/>
      <c r="AP80" s="177"/>
      <c r="AQ80" s="175">
        <f t="shared" si="131"/>
        <v>112500</v>
      </c>
      <c r="AR80" s="175">
        <f t="shared" si="132"/>
        <v>112500</v>
      </c>
      <c r="AS80" s="175">
        <f t="shared" si="133"/>
        <v>112500</v>
      </c>
      <c r="AT80" s="175">
        <f t="shared" si="134"/>
        <v>112500</v>
      </c>
      <c r="AU80" s="397"/>
      <c r="AV80" s="175">
        <v>37500</v>
      </c>
      <c r="AW80" s="175">
        <v>37500</v>
      </c>
      <c r="AX80" s="175">
        <v>37500</v>
      </c>
      <c r="AY80" s="175">
        <v>37500</v>
      </c>
      <c r="AZ80" s="175">
        <v>37500</v>
      </c>
      <c r="BA80" s="175">
        <v>37500</v>
      </c>
      <c r="BB80" s="175">
        <v>37500</v>
      </c>
      <c r="BC80" s="175">
        <v>37500</v>
      </c>
      <c r="BD80" s="175">
        <v>37500</v>
      </c>
      <c r="BE80" s="175">
        <v>37500</v>
      </c>
      <c r="BF80" s="175">
        <v>37500</v>
      </c>
      <c r="BG80" s="175">
        <v>37500</v>
      </c>
      <c r="BH80" s="177">
        <f ca="1">SUM(AV80:OFFSET(AV80,0,$F$2-1))</f>
        <v>450000</v>
      </c>
      <c r="BI80" s="175">
        <f t="shared" si="135"/>
        <v>112500</v>
      </c>
      <c r="BJ80" s="175">
        <f t="shared" si="136"/>
        <v>112500</v>
      </c>
      <c r="BK80" s="175">
        <f t="shared" si="137"/>
        <v>112500</v>
      </c>
      <c r="BL80" s="175">
        <f t="shared" si="138"/>
        <v>112500</v>
      </c>
      <c r="BM80" s="178"/>
      <c r="BN80" s="178"/>
      <c r="BO80" s="178"/>
      <c r="BP80" s="178">
        <v>37500</v>
      </c>
      <c r="BQ80" s="178">
        <v>37500</v>
      </c>
      <c r="BR80" s="178">
        <v>37500</v>
      </c>
      <c r="BS80" s="178">
        <v>37500</v>
      </c>
      <c r="BT80" s="178">
        <v>37500</v>
      </c>
      <c r="BU80" s="178">
        <v>37500</v>
      </c>
      <c r="BV80" s="178">
        <v>37500</v>
      </c>
      <c r="BW80" s="178">
        <v>37500</v>
      </c>
      <c r="BX80" s="178">
        <v>37500</v>
      </c>
      <c r="BY80" s="178">
        <v>37500</v>
      </c>
      <c r="BZ80" s="177">
        <f ca="1">SUM(BN80:OFFSET(BN80,0,$F$2-1))</f>
        <v>375000</v>
      </c>
      <c r="CA80" s="175">
        <f t="shared" si="139"/>
        <v>37500</v>
      </c>
      <c r="CB80" s="175">
        <f t="shared" si="140"/>
        <v>112500</v>
      </c>
      <c r="CC80" s="175">
        <f t="shared" si="141"/>
        <v>112500</v>
      </c>
      <c r="CD80" s="175">
        <f t="shared" si="142"/>
        <v>112500</v>
      </c>
      <c r="CE80" s="178"/>
      <c r="CF80" s="97" t="s">
        <v>172</v>
      </c>
      <c r="CG80" s="397"/>
      <c r="CH80" s="178"/>
      <c r="CI80" s="178"/>
      <c r="CJ80" s="178">
        <f t="shared" si="143"/>
        <v>0</v>
      </c>
      <c r="CK80" s="178">
        <f t="shared" si="144"/>
        <v>0</v>
      </c>
      <c r="CL80" s="178">
        <f t="shared" si="145"/>
        <v>0</v>
      </c>
      <c r="CM80" s="178">
        <f t="shared" si="146"/>
        <v>0</v>
      </c>
      <c r="CN80" s="178">
        <f t="shared" si="147"/>
        <v>0</v>
      </c>
      <c r="CO80" s="178">
        <f t="shared" si="148"/>
        <v>0</v>
      </c>
      <c r="CP80" s="178">
        <f t="shared" si="149"/>
        <v>0</v>
      </c>
      <c r="CQ80" s="178">
        <f t="shared" si="150"/>
        <v>0</v>
      </c>
      <c r="CR80" s="178"/>
      <c r="CS80" s="178"/>
      <c r="CU80" s="178">
        <f t="shared" si="151"/>
        <v>450000</v>
      </c>
      <c r="CV80" s="178" t="e">
        <v>#VALUE!</v>
      </c>
      <c r="CW80" s="178">
        <f t="shared" si="152"/>
        <v>450000</v>
      </c>
    </row>
    <row r="81" spans="2:101" outlineLevel="1">
      <c r="B81" s="97" t="s">
        <v>173</v>
      </c>
      <c r="C81" s="97" t="s">
        <v>586</v>
      </c>
      <c r="D81" s="97" t="s">
        <v>8</v>
      </c>
      <c r="E81" s="97" t="s">
        <v>170</v>
      </c>
      <c r="F81" s="67" t="s">
        <v>173</v>
      </c>
      <c r="G81" s="175">
        <v>4563.28</v>
      </c>
      <c r="H81" s="175">
        <v>4563.28</v>
      </c>
      <c r="I81" s="175">
        <v>4563.28</v>
      </c>
      <c r="J81" s="175">
        <v>4563.28</v>
      </c>
      <c r="K81" s="175">
        <v>4563.28</v>
      </c>
      <c r="L81" s="175">
        <v>4563.28</v>
      </c>
      <c r="M81" s="175">
        <v>4563.28</v>
      </c>
      <c r="N81" s="175">
        <v>4563.28</v>
      </c>
      <c r="O81" s="175">
        <v>4563.28</v>
      </c>
      <c r="P81" s="175">
        <v>4563.28</v>
      </c>
      <c r="Q81" s="175">
        <v>4563.28</v>
      </c>
      <c r="R81" s="175">
        <v>4563.28</v>
      </c>
      <c r="S81" s="177">
        <f ca="1">SUM(G81:OFFSET(G81,0,$F$2-1))</f>
        <v>54759.359999999993</v>
      </c>
      <c r="T81" s="175">
        <f t="shared" si="126"/>
        <v>13689.84</v>
      </c>
      <c r="U81" s="175">
        <f t="shared" si="127"/>
        <v>13689.84</v>
      </c>
      <c r="V81" s="175">
        <f t="shared" si="128"/>
        <v>13689.84</v>
      </c>
      <c r="W81" s="175">
        <f t="shared" si="129"/>
        <v>13689.84</v>
      </c>
      <c r="X81" s="178"/>
      <c r="Y81" s="179">
        <v>4563.28</v>
      </c>
      <c r="Z81" s="179">
        <v>4563.28</v>
      </c>
      <c r="AA81" s="179">
        <v>4563.28</v>
      </c>
      <c r="AB81" s="179">
        <v>4563.28</v>
      </c>
      <c r="AC81" s="179">
        <v>4563.28</v>
      </c>
      <c r="AD81" s="179">
        <v>4563.28</v>
      </c>
      <c r="AE81" s="179">
        <v>4563.28</v>
      </c>
      <c r="AF81" s="179">
        <v>4563.28</v>
      </c>
      <c r="AG81" s="179">
        <v>4563.28</v>
      </c>
      <c r="AH81" s="179">
        <v>4563.28</v>
      </c>
      <c r="AI81" s="179">
        <v>4563.28</v>
      </c>
      <c r="AJ81" s="179">
        <v>4563.28</v>
      </c>
      <c r="AK81" s="177">
        <f t="shared" si="130"/>
        <v>54759.359999999993</v>
      </c>
      <c r="AL81" s="97" t="s">
        <v>8</v>
      </c>
      <c r="AM81" s="97" t="s">
        <v>8</v>
      </c>
      <c r="AN81" s="177"/>
      <c r="AO81" s="177"/>
      <c r="AP81" s="177"/>
      <c r="AQ81" s="175">
        <f t="shared" si="131"/>
        <v>13689.84</v>
      </c>
      <c r="AR81" s="175">
        <f t="shared" si="132"/>
        <v>13689.84</v>
      </c>
      <c r="AS81" s="175">
        <f t="shared" si="133"/>
        <v>13689.84</v>
      </c>
      <c r="AT81" s="175">
        <f t="shared" si="134"/>
        <v>13689.84</v>
      </c>
      <c r="AU81" s="397"/>
      <c r="AV81" s="175">
        <v>4563.28</v>
      </c>
      <c r="AW81" s="175">
        <v>4563.28</v>
      </c>
      <c r="AX81" s="175">
        <v>4563.28</v>
      </c>
      <c r="AY81" s="175">
        <v>4563.28</v>
      </c>
      <c r="AZ81" s="175">
        <v>4563.28</v>
      </c>
      <c r="BA81" s="175">
        <v>4563.28</v>
      </c>
      <c r="BB81" s="175">
        <v>4563.28</v>
      </c>
      <c r="BC81" s="175">
        <v>4563.28</v>
      </c>
      <c r="BD81" s="175">
        <v>4563.28</v>
      </c>
      <c r="BE81" s="175">
        <v>4563.28</v>
      </c>
      <c r="BF81" s="175">
        <v>4563.28</v>
      </c>
      <c r="BG81" s="175">
        <v>4563.28</v>
      </c>
      <c r="BH81" s="177">
        <f ca="1">SUM(AV81:OFFSET(AV81,0,$F$2-1))</f>
        <v>54759.359999999993</v>
      </c>
      <c r="BI81" s="175">
        <f t="shared" si="135"/>
        <v>13689.84</v>
      </c>
      <c r="BJ81" s="175">
        <f t="shared" si="136"/>
        <v>13689.84</v>
      </c>
      <c r="BK81" s="175">
        <f t="shared" si="137"/>
        <v>13689.84</v>
      </c>
      <c r="BL81" s="175">
        <f t="shared" si="138"/>
        <v>13689.84</v>
      </c>
      <c r="BM81" s="178"/>
      <c r="BN81" s="178"/>
      <c r="BO81" s="178"/>
      <c r="BP81" s="178">
        <v>4563.28</v>
      </c>
      <c r="BQ81" s="178">
        <v>4563.28</v>
      </c>
      <c r="BR81" s="178">
        <v>4563.28</v>
      </c>
      <c r="BS81" s="178">
        <v>4563.28</v>
      </c>
      <c r="BT81" s="178">
        <v>4563.28</v>
      </c>
      <c r="BU81" s="178">
        <v>4563.28</v>
      </c>
      <c r="BV81" s="178">
        <v>4563.28</v>
      </c>
      <c r="BW81" s="178">
        <v>4563.28</v>
      </c>
      <c r="BX81" s="178">
        <v>4563.28</v>
      </c>
      <c r="BY81" s="178">
        <v>4563.28</v>
      </c>
      <c r="BZ81" s="177">
        <f ca="1">SUM(BN81:OFFSET(BN81,0,$F$2-1))</f>
        <v>45632.799999999996</v>
      </c>
      <c r="CA81" s="175">
        <f t="shared" si="139"/>
        <v>4563.28</v>
      </c>
      <c r="CB81" s="175">
        <f t="shared" si="140"/>
        <v>13689.84</v>
      </c>
      <c r="CC81" s="175">
        <f t="shared" si="141"/>
        <v>13689.84</v>
      </c>
      <c r="CD81" s="175">
        <f t="shared" si="142"/>
        <v>13689.84</v>
      </c>
      <c r="CE81" s="178"/>
      <c r="CF81" s="97" t="s">
        <v>173</v>
      </c>
      <c r="CG81" s="397"/>
      <c r="CH81" s="178"/>
      <c r="CI81" s="178"/>
      <c r="CJ81" s="178">
        <f t="shared" si="143"/>
        <v>0</v>
      </c>
      <c r="CK81" s="178">
        <f t="shared" si="144"/>
        <v>0</v>
      </c>
      <c r="CL81" s="178">
        <f t="shared" si="145"/>
        <v>0</v>
      </c>
      <c r="CM81" s="178">
        <f t="shared" si="146"/>
        <v>0</v>
      </c>
      <c r="CN81" s="178">
        <f t="shared" si="147"/>
        <v>0</v>
      </c>
      <c r="CO81" s="178">
        <f t="shared" si="148"/>
        <v>0</v>
      </c>
      <c r="CP81" s="178">
        <f t="shared" si="149"/>
        <v>0</v>
      </c>
      <c r="CQ81" s="178">
        <f t="shared" si="150"/>
        <v>0</v>
      </c>
      <c r="CR81" s="178"/>
      <c r="CS81" s="178"/>
      <c r="CU81" s="178">
        <f t="shared" si="151"/>
        <v>54759.359999999993</v>
      </c>
      <c r="CV81" s="178" t="e">
        <v>#VALUE!</v>
      </c>
      <c r="CW81" s="178">
        <f t="shared" si="152"/>
        <v>54759.359999999993</v>
      </c>
    </row>
    <row r="82" spans="2:101" outlineLevel="1">
      <c r="B82" s="97" t="s">
        <v>174</v>
      </c>
      <c r="C82" s="97" t="s">
        <v>586</v>
      </c>
      <c r="D82" s="97" t="s">
        <v>8</v>
      </c>
      <c r="E82" s="97" t="s">
        <v>170</v>
      </c>
      <c r="F82" s="67" t="s">
        <v>174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7">
        <f ca="1">SUM(G82:OFFSET(G82,0,$F$2-1))</f>
        <v>0</v>
      </c>
      <c r="T82" s="175">
        <f t="shared" si="126"/>
        <v>0</v>
      </c>
      <c r="U82" s="175">
        <f t="shared" si="127"/>
        <v>0</v>
      </c>
      <c r="V82" s="175">
        <f t="shared" si="128"/>
        <v>0</v>
      </c>
      <c r="W82" s="175">
        <f t="shared" si="129"/>
        <v>0</v>
      </c>
      <c r="X82" s="178"/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7">
        <f t="shared" si="130"/>
        <v>0</v>
      </c>
      <c r="AL82" s="97" t="s">
        <v>8</v>
      </c>
      <c r="AM82" s="97" t="s">
        <v>8</v>
      </c>
      <c r="AN82" s="177"/>
      <c r="AO82" s="177"/>
      <c r="AP82" s="177"/>
      <c r="AQ82" s="175">
        <f t="shared" si="131"/>
        <v>0</v>
      </c>
      <c r="AR82" s="175">
        <f t="shared" si="132"/>
        <v>0</v>
      </c>
      <c r="AS82" s="175">
        <f t="shared" si="133"/>
        <v>0</v>
      </c>
      <c r="AT82" s="175">
        <f t="shared" si="134"/>
        <v>0</v>
      </c>
      <c r="AU82" s="397"/>
      <c r="AV82" s="175">
        <v>0</v>
      </c>
      <c r="AW82" s="175">
        <v>0</v>
      </c>
      <c r="AX82" s="175">
        <v>0</v>
      </c>
      <c r="AY82" s="175">
        <v>0</v>
      </c>
      <c r="AZ82" s="175">
        <v>0</v>
      </c>
      <c r="BA82" s="175">
        <v>0</v>
      </c>
      <c r="BB82" s="175">
        <v>0</v>
      </c>
      <c r="BC82" s="175">
        <v>0</v>
      </c>
      <c r="BD82" s="175">
        <v>0</v>
      </c>
      <c r="BE82" s="175">
        <v>0</v>
      </c>
      <c r="BF82" s="175">
        <v>0</v>
      </c>
      <c r="BG82" s="175">
        <v>0</v>
      </c>
      <c r="BH82" s="177">
        <f ca="1">SUM(AV82:OFFSET(AV82,0,$F$2-1))</f>
        <v>0</v>
      </c>
      <c r="BI82" s="175">
        <f t="shared" si="135"/>
        <v>0</v>
      </c>
      <c r="BJ82" s="175">
        <f t="shared" si="136"/>
        <v>0</v>
      </c>
      <c r="BK82" s="175">
        <f t="shared" si="137"/>
        <v>0</v>
      </c>
      <c r="BL82" s="175">
        <f t="shared" si="138"/>
        <v>0</v>
      </c>
      <c r="BM82" s="178"/>
      <c r="BN82" s="178"/>
      <c r="BO82" s="178"/>
      <c r="BP82" s="178">
        <v>0</v>
      </c>
      <c r="BQ82" s="178">
        <v>0</v>
      </c>
      <c r="BR82" s="178">
        <v>0</v>
      </c>
      <c r="BS82" s="178">
        <v>0</v>
      </c>
      <c r="BT82" s="178">
        <v>0</v>
      </c>
      <c r="BU82" s="178">
        <v>0</v>
      </c>
      <c r="BV82" s="178">
        <v>0</v>
      </c>
      <c r="BW82" s="178">
        <v>0</v>
      </c>
      <c r="BX82" s="178">
        <v>0</v>
      </c>
      <c r="BY82" s="178">
        <v>0</v>
      </c>
      <c r="BZ82" s="177">
        <f ca="1">SUM(BN82:OFFSET(BN82,0,$F$2-1))</f>
        <v>0</v>
      </c>
      <c r="CA82" s="175">
        <f t="shared" si="139"/>
        <v>0</v>
      </c>
      <c r="CB82" s="175">
        <f t="shared" si="140"/>
        <v>0</v>
      </c>
      <c r="CC82" s="175">
        <f t="shared" si="141"/>
        <v>0</v>
      </c>
      <c r="CD82" s="175">
        <f t="shared" si="142"/>
        <v>0</v>
      </c>
      <c r="CE82" s="178"/>
      <c r="CF82" s="97" t="s">
        <v>174</v>
      </c>
      <c r="CG82" s="397"/>
      <c r="CH82" s="178"/>
      <c r="CI82" s="178"/>
      <c r="CJ82" s="178">
        <f t="shared" si="143"/>
        <v>0</v>
      </c>
      <c r="CK82" s="178">
        <f t="shared" si="144"/>
        <v>0</v>
      </c>
      <c r="CL82" s="178">
        <f t="shared" si="145"/>
        <v>0</v>
      </c>
      <c r="CM82" s="178">
        <f t="shared" si="146"/>
        <v>0</v>
      </c>
      <c r="CN82" s="178">
        <f t="shared" si="147"/>
        <v>0</v>
      </c>
      <c r="CO82" s="178">
        <f t="shared" si="148"/>
        <v>0</v>
      </c>
      <c r="CP82" s="178">
        <f t="shared" si="149"/>
        <v>0</v>
      </c>
      <c r="CQ82" s="178">
        <f t="shared" si="150"/>
        <v>0</v>
      </c>
      <c r="CR82" s="178"/>
      <c r="CS82" s="178"/>
      <c r="CU82" s="178">
        <f t="shared" si="151"/>
        <v>0</v>
      </c>
      <c r="CV82" s="178" t="e">
        <v>#VALUE!</v>
      </c>
      <c r="CW82" s="178">
        <f t="shared" si="152"/>
        <v>0</v>
      </c>
    </row>
    <row r="83" spans="2:101" outlineLevel="1">
      <c r="B83" s="97" t="s">
        <v>175</v>
      </c>
      <c r="C83" s="97" t="s">
        <v>586</v>
      </c>
      <c r="D83" s="97" t="s">
        <v>8</v>
      </c>
      <c r="E83" s="97" t="s">
        <v>170</v>
      </c>
      <c r="F83" s="67" t="s">
        <v>175</v>
      </c>
      <c r="G83" s="175">
        <v>26598</v>
      </c>
      <c r="H83" s="175">
        <v>26598</v>
      </c>
      <c r="I83" s="175">
        <v>26598</v>
      </c>
      <c r="J83" s="175">
        <v>26598</v>
      </c>
      <c r="K83" s="175">
        <v>26598</v>
      </c>
      <c r="L83" s="175">
        <v>26598</v>
      </c>
      <c r="M83" s="175">
        <v>26598</v>
      </c>
      <c r="N83" s="175">
        <v>53196</v>
      </c>
      <c r="O83" s="175">
        <v>0</v>
      </c>
      <c r="P83" s="175">
        <v>26598</v>
      </c>
      <c r="Q83" s="175">
        <v>26598</v>
      </c>
      <c r="R83" s="175">
        <v>26598</v>
      </c>
      <c r="S83" s="177">
        <f ca="1">SUM(G83:OFFSET(G83,0,$F$2-1))</f>
        <v>319176</v>
      </c>
      <c r="T83" s="175">
        <f t="shared" si="126"/>
        <v>79794</v>
      </c>
      <c r="U83" s="175">
        <f t="shared" si="127"/>
        <v>79794</v>
      </c>
      <c r="V83" s="175">
        <f t="shared" si="128"/>
        <v>79794</v>
      </c>
      <c r="W83" s="175">
        <f t="shared" si="129"/>
        <v>79794</v>
      </c>
      <c r="X83" s="178"/>
      <c r="Y83" s="179">
        <v>26598</v>
      </c>
      <c r="Z83" s="388">
        <v>26598</v>
      </c>
      <c r="AA83" s="388">
        <v>26598</v>
      </c>
      <c r="AB83" s="179">
        <v>26598</v>
      </c>
      <c r="AC83" s="179">
        <v>26598</v>
      </c>
      <c r="AD83" s="388">
        <v>26598</v>
      </c>
      <c r="AE83" s="388">
        <v>26598</v>
      </c>
      <c r="AF83" s="179">
        <v>26598</v>
      </c>
      <c r="AG83" s="179">
        <v>26598</v>
      </c>
      <c r="AH83" s="179">
        <v>26598</v>
      </c>
      <c r="AI83" s="179">
        <v>26598</v>
      </c>
      <c r="AJ83" s="179">
        <v>26598</v>
      </c>
      <c r="AK83" s="177">
        <f t="shared" si="130"/>
        <v>319176</v>
      </c>
      <c r="AL83" s="97" t="s">
        <v>8</v>
      </c>
      <c r="AM83" s="97" t="s">
        <v>8</v>
      </c>
      <c r="AN83" s="177"/>
      <c r="AO83" s="177"/>
      <c r="AP83" s="177"/>
      <c r="AQ83" s="175">
        <f t="shared" si="131"/>
        <v>79794</v>
      </c>
      <c r="AR83" s="175">
        <f t="shared" si="132"/>
        <v>79794</v>
      </c>
      <c r="AS83" s="175">
        <f t="shared" si="133"/>
        <v>79794</v>
      </c>
      <c r="AT83" s="175">
        <f t="shared" si="134"/>
        <v>79794</v>
      </c>
      <c r="AU83" s="397"/>
      <c r="AV83" s="175">
        <v>26598</v>
      </c>
      <c r="AW83" s="175">
        <v>26598</v>
      </c>
      <c r="AX83" s="175">
        <v>26598</v>
      </c>
      <c r="AY83" s="175">
        <v>26598</v>
      </c>
      <c r="AZ83" s="175">
        <v>26598</v>
      </c>
      <c r="BA83" s="175">
        <v>26598</v>
      </c>
      <c r="BB83" s="175">
        <v>26598</v>
      </c>
      <c r="BC83" s="175">
        <v>26598</v>
      </c>
      <c r="BD83" s="175">
        <v>26598</v>
      </c>
      <c r="BE83" s="175">
        <v>26598</v>
      </c>
      <c r="BF83" s="175">
        <v>26598</v>
      </c>
      <c r="BG83" s="175">
        <v>26598</v>
      </c>
      <c r="BH83" s="177">
        <f ca="1">SUM(AV83:OFFSET(AV83,0,$F$2-1))</f>
        <v>319176</v>
      </c>
      <c r="BI83" s="175">
        <f t="shared" si="135"/>
        <v>79794</v>
      </c>
      <c r="BJ83" s="175">
        <f t="shared" si="136"/>
        <v>79794</v>
      </c>
      <c r="BK83" s="175">
        <f t="shared" si="137"/>
        <v>79794</v>
      </c>
      <c r="BL83" s="175">
        <f t="shared" si="138"/>
        <v>79794</v>
      </c>
      <c r="BM83" s="178"/>
      <c r="BN83" s="178"/>
      <c r="BO83" s="178"/>
      <c r="BP83" s="178">
        <v>26598</v>
      </c>
      <c r="BQ83" s="178">
        <v>26598</v>
      </c>
      <c r="BR83" s="178">
        <v>26598</v>
      </c>
      <c r="BS83" s="178">
        <v>26598</v>
      </c>
      <c r="BT83" s="178">
        <v>26598</v>
      </c>
      <c r="BU83" s="178">
        <v>26598</v>
      </c>
      <c r="BV83" s="178">
        <v>26598</v>
      </c>
      <c r="BW83" s="178">
        <v>26598</v>
      </c>
      <c r="BX83" s="178">
        <v>26598</v>
      </c>
      <c r="BY83" s="178">
        <v>26598</v>
      </c>
      <c r="BZ83" s="177">
        <f ca="1">SUM(BN83:OFFSET(BN83,0,$F$2-1))</f>
        <v>265980</v>
      </c>
      <c r="CA83" s="175">
        <f t="shared" si="139"/>
        <v>26598</v>
      </c>
      <c r="CB83" s="175">
        <f t="shared" si="140"/>
        <v>79794</v>
      </c>
      <c r="CC83" s="175">
        <f t="shared" si="141"/>
        <v>79794</v>
      </c>
      <c r="CD83" s="175">
        <f t="shared" si="142"/>
        <v>79794</v>
      </c>
      <c r="CE83" s="178"/>
      <c r="CF83" s="97" t="s">
        <v>175</v>
      </c>
      <c r="CG83" s="397"/>
      <c r="CH83" s="178"/>
      <c r="CI83" s="178"/>
      <c r="CJ83" s="178">
        <f t="shared" si="143"/>
        <v>0</v>
      </c>
      <c r="CK83" s="178">
        <f t="shared" si="144"/>
        <v>0</v>
      </c>
      <c r="CL83" s="178">
        <f t="shared" si="145"/>
        <v>0</v>
      </c>
      <c r="CM83" s="178">
        <f t="shared" si="146"/>
        <v>0</v>
      </c>
      <c r="CN83" s="178">
        <f t="shared" si="147"/>
        <v>0</v>
      </c>
      <c r="CO83" s="178">
        <f t="shared" si="148"/>
        <v>0</v>
      </c>
      <c r="CP83" s="178">
        <f t="shared" si="149"/>
        <v>0</v>
      </c>
      <c r="CQ83" s="178">
        <f t="shared" si="150"/>
        <v>0</v>
      </c>
      <c r="CR83" s="178"/>
      <c r="CS83" s="178"/>
      <c r="CU83" s="178">
        <f t="shared" si="151"/>
        <v>319176</v>
      </c>
      <c r="CV83" s="178" t="e">
        <v>#VALUE!</v>
      </c>
      <c r="CW83" s="178">
        <f t="shared" si="152"/>
        <v>319176</v>
      </c>
    </row>
    <row r="84" spans="2:101" ht="11.1" customHeight="1" outlineLevel="1">
      <c r="B84" s="97" t="s">
        <v>176</v>
      </c>
      <c r="C84" s="97" t="s">
        <v>586</v>
      </c>
      <c r="D84" s="97" t="s">
        <v>8</v>
      </c>
      <c r="E84" s="97" t="s">
        <v>170</v>
      </c>
      <c r="F84" s="67" t="s">
        <v>176</v>
      </c>
      <c r="G84" s="175">
        <v>13570.27</v>
      </c>
      <c r="H84" s="175">
        <v>13570.27</v>
      </c>
      <c r="I84" s="175">
        <v>13570.27</v>
      </c>
      <c r="J84" s="175">
        <v>13570.27</v>
      </c>
      <c r="K84" s="175">
        <v>13570.27</v>
      </c>
      <c r="L84" s="175">
        <v>13570.27</v>
      </c>
      <c r="M84" s="175">
        <v>13570.27</v>
      </c>
      <c r="N84" s="175">
        <v>13570.27</v>
      </c>
      <c r="O84" s="175">
        <v>13570.27</v>
      </c>
      <c r="P84" s="175">
        <v>13570.27</v>
      </c>
      <c r="Q84" s="175">
        <v>13570.27</v>
      </c>
      <c r="R84" s="175">
        <v>13570.27</v>
      </c>
      <c r="S84" s="177">
        <f ca="1">SUM(G84:OFFSET(G84,0,$F$2-1))</f>
        <v>162843.24</v>
      </c>
      <c r="T84" s="175">
        <f t="shared" si="126"/>
        <v>40710.81</v>
      </c>
      <c r="U84" s="175">
        <f t="shared" si="127"/>
        <v>40710.81</v>
      </c>
      <c r="V84" s="175">
        <f t="shared" si="128"/>
        <v>40710.81</v>
      </c>
      <c r="W84" s="175">
        <f t="shared" si="129"/>
        <v>40710.81</v>
      </c>
      <c r="X84" s="178"/>
      <c r="Y84" s="179">
        <v>13570.27</v>
      </c>
      <c r="Z84" s="179">
        <v>13570.27</v>
      </c>
      <c r="AA84" s="179">
        <v>13570.27</v>
      </c>
      <c r="AB84" s="179">
        <v>13570.27</v>
      </c>
      <c r="AC84" s="179">
        <v>13570.27</v>
      </c>
      <c r="AD84" s="179">
        <v>13570.27</v>
      </c>
      <c r="AE84" s="179">
        <v>13570.27</v>
      </c>
      <c r="AF84" s="179">
        <v>13570.27</v>
      </c>
      <c r="AG84" s="179">
        <v>13570.27</v>
      </c>
      <c r="AH84" s="179">
        <v>13570.27</v>
      </c>
      <c r="AI84" s="179">
        <v>13570.27</v>
      </c>
      <c r="AJ84" s="179">
        <v>13570.27</v>
      </c>
      <c r="AK84" s="177">
        <f t="shared" si="130"/>
        <v>162843.24</v>
      </c>
      <c r="AL84" s="97" t="s">
        <v>8</v>
      </c>
      <c r="AM84" s="97" t="s">
        <v>8</v>
      </c>
      <c r="AN84" s="177"/>
      <c r="AO84" s="177"/>
      <c r="AP84" s="177"/>
      <c r="AQ84" s="175">
        <f t="shared" si="131"/>
        <v>40710.81</v>
      </c>
      <c r="AR84" s="175">
        <f t="shared" si="132"/>
        <v>40710.81</v>
      </c>
      <c r="AS84" s="175">
        <f t="shared" si="133"/>
        <v>40710.81</v>
      </c>
      <c r="AT84" s="175">
        <f t="shared" si="134"/>
        <v>40710.81</v>
      </c>
      <c r="AU84" s="397"/>
      <c r="AV84" s="175">
        <v>13570.27</v>
      </c>
      <c r="AW84" s="175">
        <v>13570.27</v>
      </c>
      <c r="AX84" s="175">
        <v>13570.27</v>
      </c>
      <c r="AY84" s="175">
        <v>13570.27</v>
      </c>
      <c r="AZ84" s="175">
        <v>13570.27</v>
      </c>
      <c r="BA84" s="175">
        <v>13570.27</v>
      </c>
      <c r="BB84" s="175">
        <v>13570.27</v>
      </c>
      <c r="BC84" s="175">
        <v>13570.27</v>
      </c>
      <c r="BD84" s="175">
        <v>13570.27</v>
      </c>
      <c r="BE84" s="175">
        <v>13570.27</v>
      </c>
      <c r="BF84" s="175">
        <v>13570.27</v>
      </c>
      <c r="BG84" s="175">
        <v>13570.27</v>
      </c>
      <c r="BH84" s="177">
        <f ca="1">SUM(AV84:OFFSET(AV84,0,$F$2-1))</f>
        <v>162843.24</v>
      </c>
      <c r="BI84" s="175">
        <f t="shared" si="135"/>
        <v>40710.81</v>
      </c>
      <c r="BJ84" s="175">
        <f t="shared" si="136"/>
        <v>40710.81</v>
      </c>
      <c r="BK84" s="175">
        <f t="shared" si="137"/>
        <v>40710.81</v>
      </c>
      <c r="BL84" s="175">
        <f t="shared" si="138"/>
        <v>40710.81</v>
      </c>
      <c r="BM84" s="178"/>
      <c r="BN84" s="178"/>
      <c r="BO84" s="178"/>
      <c r="BP84" s="178">
        <v>13570.27</v>
      </c>
      <c r="BQ84" s="178">
        <v>13570.27</v>
      </c>
      <c r="BR84" s="178">
        <v>13570.27</v>
      </c>
      <c r="BS84" s="178">
        <v>13570.27</v>
      </c>
      <c r="BT84" s="178">
        <v>13570.27</v>
      </c>
      <c r="BU84" s="178">
        <v>13570.27</v>
      </c>
      <c r="BV84" s="178">
        <v>13570.27</v>
      </c>
      <c r="BW84" s="178">
        <v>13570.27</v>
      </c>
      <c r="BX84" s="178">
        <v>13570.27</v>
      </c>
      <c r="BY84" s="178">
        <v>13570.27</v>
      </c>
      <c r="BZ84" s="177">
        <f ca="1">SUM(BN84:OFFSET(BN84,0,$F$2-1))</f>
        <v>135702.70000000001</v>
      </c>
      <c r="CA84" s="175">
        <f t="shared" si="139"/>
        <v>13570.27</v>
      </c>
      <c r="CB84" s="175">
        <f t="shared" si="140"/>
        <v>40710.81</v>
      </c>
      <c r="CC84" s="175">
        <f t="shared" si="141"/>
        <v>40710.81</v>
      </c>
      <c r="CD84" s="175">
        <f t="shared" si="142"/>
        <v>40710.81</v>
      </c>
      <c r="CE84" s="178"/>
      <c r="CF84" s="97" t="s">
        <v>176</v>
      </c>
      <c r="CG84" s="397"/>
      <c r="CH84" s="178"/>
      <c r="CI84" s="178"/>
      <c r="CJ84" s="178">
        <f t="shared" si="143"/>
        <v>0</v>
      </c>
      <c r="CK84" s="178">
        <f t="shared" si="144"/>
        <v>0</v>
      </c>
      <c r="CL84" s="178">
        <f t="shared" si="145"/>
        <v>0</v>
      </c>
      <c r="CM84" s="178">
        <f t="shared" si="146"/>
        <v>0</v>
      </c>
      <c r="CN84" s="178">
        <f t="shared" si="147"/>
        <v>0</v>
      </c>
      <c r="CO84" s="178">
        <f t="shared" si="148"/>
        <v>0</v>
      </c>
      <c r="CP84" s="178">
        <f t="shared" si="149"/>
        <v>0</v>
      </c>
      <c r="CQ84" s="178">
        <f t="shared" si="150"/>
        <v>0</v>
      </c>
      <c r="CR84" s="178"/>
      <c r="CS84" s="178"/>
      <c r="CU84" s="178">
        <f t="shared" si="151"/>
        <v>162843.24000000002</v>
      </c>
      <c r="CV84" s="178" t="e">
        <v>#VALUE!</v>
      </c>
      <c r="CW84" s="178">
        <f t="shared" si="152"/>
        <v>162843.24</v>
      </c>
    </row>
    <row r="85" spans="2:101" outlineLevel="1">
      <c r="B85" s="97" t="s">
        <v>177</v>
      </c>
      <c r="C85" s="97" t="s">
        <v>586</v>
      </c>
      <c r="D85" s="97" t="s">
        <v>7</v>
      </c>
      <c r="E85" s="97" t="s">
        <v>178</v>
      </c>
      <c r="F85" s="67" t="s">
        <v>177</v>
      </c>
      <c r="G85" s="175">
        <v>42321.45</v>
      </c>
      <c r="H85" s="175">
        <v>42321.45</v>
      </c>
      <c r="I85" s="175">
        <v>42321.45</v>
      </c>
      <c r="J85" s="175">
        <v>42321.45</v>
      </c>
      <c r="K85" s="175">
        <v>41169.42</v>
      </c>
      <c r="L85" s="175">
        <v>41169.42</v>
      </c>
      <c r="M85" s="176">
        <v>41169.42</v>
      </c>
      <c r="N85" s="176">
        <v>41169.42</v>
      </c>
      <c r="O85" s="176">
        <v>41169.42</v>
      </c>
      <c r="P85" s="176">
        <v>41169.42</v>
      </c>
      <c r="Q85" s="176">
        <v>41169.42</v>
      </c>
      <c r="R85" s="176">
        <v>41169.42</v>
      </c>
      <c r="S85" s="177">
        <f ca="1">SUM(G85:OFFSET(G85,0,$F$2-1))</f>
        <v>498641.15999999986</v>
      </c>
      <c r="T85" s="176">
        <f t="shared" si="126"/>
        <v>126964.34999999999</v>
      </c>
      <c r="U85" s="176">
        <f t="shared" si="127"/>
        <v>124660.29</v>
      </c>
      <c r="V85" s="176">
        <f t="shared" si="128"/>
        <v>123508.26</v>
      </c>
      <c r="W85" s="176">
        <f t="shared" si="129"/>
        <v>123508.26</v>
      </c>
      <c r="X85" s="178"/>
      <c r="Y85" s="179">
        <v>41169.42</v>
      </c>
      <c r="Z85" s="179">
        <v>41169.42</v>
      </c>
      <c r="AA85" s="179">
        <v>41169.42</v>
      </c>
      <c r="AB85" s="179">
        <v>41169.42</v>
      </c>
      <c r="AC85" s="179">
        <v>39705.879999999997</v>
      </c>
      <c r="AD85" s="179">
        <v>39705.879999999997</v>
      </c>
      <c r="AE85" s="179">
        <v>39705.879999999997</v>
      </c>
      <c r="AF85" s="398">
        <v>39705.879999999997</v>
      </c>
      <c r="AG85" s="398">
        <v>39705.879999999997</v>
      </c>
      <c r="AH85" s="398">
        <v>39705.879999999997</v>
      </c>
      <c r="AI85" s="398">
        <v>39705.879999999997</v>
      </c>
      <c r="AJ85" s="398">
        <v>39705.879999999997</v>
      </c>
      <c r="AK85" s="177">
        <f t="shared" si="130"/>
        <v>482324.72000000003</v>
      </c>
      <c r="AL85" s="97" t="s">
        <v>7</v>
      </c>
      <c r="AM85" s="97" t="s">
        <v>7</v>
      </c>
      <c r="AN85" s="177"/>
      <c r="AO85" s="177"/>
      <c r="AP85" s="177"/>
      <c r="AQ85" s="176">
        <f t="shared" si="131"/>
        <v>123508.26</v>
      </c>
      <c r="AR85" s="176">
        <f t="shared" si="132"/>
        <v>120581.18</v>
      </c>
      <c r="AS85" s="176">
        <f t="shared" si="133"/>
        <v>119117.63999999998</v>
      </c>
      <c r="AT85" s="176">
        <f t="shared" si="134"/>
        <v>119117.63999999998</v>
      </c>
      <c r="AU85" s="397"/>
      <c r="AV85" s="175">
        <v>41169.42</v>
      </c>
      <c r="AW85" s="175">
        <v>41169.42</v>
      </c>
      <c r="AX85" s="175">
        <v>41169.42</v>
      </c>
      <c r="AY85" s="175">
        <v>41169.42</v>
      </c>
      <c r="AZ85" s="175">
        <v>40048.749349003876</v>
      </c>
      <c r="BA85" s="175">
        <v>40048.749349003876</v>
      </c>
      <c r="BB85" s="176">
        <v>40048.749349003876</v>
      </c>
      <c r="BC85" s="176">
        <v>40048.749349003876</v>
      </c>
      <c r="BD85" s="176">
        <v>40048.749349003876</v>
      </c>
      <c r="BE85" s="176">
        <v>40048.749349003876</v>
      </c>
      <c r="BF85" s="176">
        <v>40048.749349003876</v>
      </c>
      <c r="BG85" s="176">
        <v>40048.749349003876</v>
      </c>
      <c r="BH85" s="177">
        <f ca="1">SUM(AV85:OFFSET(AV85,0,$F$2-1))</f>
        <v>485067.67479203112</v>
      </c>
      <c r="BI85" s="176">
        <f t="shared" si="135"/>
        <v>123508.26</v>
      </c>
      <c r="BJ85" s="176">
        <f t="shared" si="136"/>
        <v>121266.91869800775</v>
      </c>
      <c r="BK85" s="176">
        <f t="shared" si="137"/>
        <v>120146.24804701163</v>
      </c>
      <c r="BL85" s="176">
        <f t="shared" si="138"/>
        <v>120146.24804701163</v>
      </c>
      <c r="BM85" s="378"/>
      <c r="BN85" s="178"/>
      <c r="BO85" s="178"/>
      <c r="BP85" s="178">
        <v>41169.42</v>
      </c>
      <c r="BQ85" s="178">
        <v>41169.42</v>
      </c>
      <c r="BR85" s="178">
        <v>40048.749349003876</v>
      </c>
      <c r="BS85" s="178">
        <v>39705.879999999997</v>
      </c>
      <c r="BT85" s="378">
        <v>39705.879999999997</v>
      </c>
      <c r="BU85" s="378">
        <v>39705.879999999997</v>
      </c>
      <c r="BV85" s="378">
        <v>39705.879999999997</v>
      </c>
      <c r="BW85" s="378">
        <v>39705.879999999997</v>
      </c>
      <c r="BX85" s="378">
        <v>39705.879999999997</v>
      </c>
      <c r="BY85" s="378">
        <v>39705.879999999997</v>
      </c>
      <c r="BZ85" s="177">
        <f ca="1">SUM(BN85:OFFSET(BN85,0,$F$2-1))</f>
        <v>400328.74934900389</v>
      </c>
      <c r="CA85" s="176">
        <f t="shared" si="139"/>
        <v>41169.42</v>
      </c>
      <c r="CB85" s="176">
        <f t="shared" si="140"/>
        <v>120924.04934900388</v>
      </c>
      <c r="CC85" s="176">
        <f t="shared" si="141"/>
        <v>119117.63999999998</v>
      </c>
      <c r="CD85" s="176">
        <f t="shared" si="142"/>
        <v>119117.63999999998</v>
      </c>
      <c r="CE85" s="378"/>
      <c r="CF85" s="97" t="s">
        <v>177</v>
      </c>
      <c r="CG85" s="397"/>
      <c r="CH85" s="378"/>
      <c r="CI85" s="378"/>
      <c r="CJ85" s="378">
        <f t="shared" si="143"/>
        <v>0</v>
      </c>
      <c r="CK85" s="378">
        <f t="shared" si="144"/>
        <v>0</v>
      </c>
      <c r="CL85" s="378">
        <f t="shared" si="145"/>
        <v>-342.8693490038786</v>
      </c>
      <c r="CM85" s="378">
        <f t="shared" si="146"/>
        <v>0</v>
      </c>
      <c r="CN85" s="378">
        <f t="shared" si="147"/>
        <v>0</v>
      </c>
      <c r="CO85" s="378">
        <f t="shared" si="148"/>
        <v>0</v>
      </c>
      <c r="CP85" s="378">
        <f t="shared" si="149"/>
        <v>0</v>
      </c>
      <c r="CQ85" s="378">
        <f t="shared" si="150"/>
        <v>0</v>
      </c>
      <c r="CR85" s="378"/>
      <c r="CS85" s="378"/>
      <c r="CU85" s="378">
        <f t="shared" si="151"/>
        <v>482324.72</v>
      </c>
      <c r="CV85" s="378" t="e">
        <v>#VALUE!</v>
      </c>
      <c r="CW85" s="378">
        <f t="shared" si="152"/>
        <v>485067.67479203112</v>
      </c>
    </row>
    <row r="86" spans="2:101" outlineLevel="1">
      <c r="B86" s="97" t="s">
        <v>179</v>
      </c>
      <c r="C86" s="97" t="s">
        <v>586</v>
      </c>
      <c r="D86" s="97" t="s">
        <v>8</v>
      </c>
      <c r="E86" s="97" t="s">
        <v>170</v>
      </c>
      <c r="F86" s="288" t="s">
        <v>179</v>
      </c>
      <c r="G86" s="175">
        <v>10786.13</v>
      </c>
      <c r="H86" s="175">
        <v>10786.13</v>
      </c>
      <c r="I86" s="175">
        <v>10786.13</v>
      </c>
      <c r="J86" s="175">
        <v>10786.13</v>
      </c>
      <c r="K86" s="175">
        <v>10786.13</v>
      </c>
      <c r="L86" s="175">
        <v>10786.13</v>
      </c>
      <c r="M86" s="175">
        <v>10786.13</v>
      </c>
      <c r="N86" s="175">
        <v>10786.13</v>
      </c>
      <c r="O86" s="175">
        <v>10786.13</v>
      </c>
      <c r="P86" s="175">
        <v>10786.13</v>
      </c>
      <c r="Q86" s="175">
        <v>10786.13</v>
      </c>
      <c r="R86" s="175">
        <v>10786.13</v>
      </c>
      <c r="S86" s="177">
        <f ca="1">SUM(G86:OFFSET(G86,0,$F$2-1))</f>
        <v>129433.56000000001</v>
      </c>
      <c r="T86" s="175">
        <f t="shared" si="126"/>
        <v>32358.39</v>
      </c>
      <c r="U86" s="175">
        <f t="shared" si="127"/>
        <v>32358.39</v>
      </c>
      <c r="V86" s="175">
        <f t="shared" si="128"/>
        <v>32358.39</v>
      </c>
      <c r="W86" s="175">
        <f t="shared" si="129"/>
        <v>32358.39</v>
      </c>
      <c r="X86" s="178"/>
      <c r="Y86" s="388">
        <v>21610.33</v>
      </c>
      <c r="Z86" s="388">
        <v>285.509999999998</v>
      </c>
      <c r="AA86" s="179">
        <v>11109.71</v>
      </c>
      <c r="AB86" s="179">
        <v>11109.71</v>
      </c>
      <c r="AC86" s="179">
        <v>11109.71</v>
      </c>
      <c r="AD86" s="388">
        <v>11109.71</v>
      </c>
      <c r="AE86" s="388">
        <v>11109.71</v>
      </c>
      <c r="AF86" s="179">
        <v>11109.71</v>
      </c>
      <c r="AG86" s="179">
        <v>11109.71</v>
      </c>
      <c r="AH86" s="179">
        <v>11109.71</v>
      </c>
      <c r="AI86" s="179">
        <v>11109.71</v>
      </c>
      <c r="AJ86" s="179">
        <v>11109.71</v>
      </c>
      <c r="AK86" s="177">
        <f t="shared" si="130"/>
        <v>132992.93999999994</v>
      </c>
      <c r="AL86" s="97" t="s">
        <v>8</v>
      </c>
      <c r="AM86" s="97" t="s">
        <v>8</v>
      </c>
      <c r="AN86" s="177"/>
      <c r="AO86" s="177"/>
      <c r="AP86" s="177"/>
      <c r="AQ86" s="175">
        <f t="shared" si="131"/>
        <v>33005.550000000003</v>
      </c>
      <c r="AR86" s="175">
        <f t="shared" si="132"/>
        <v>33329.129999999997</v>
      </c>
      <c r="AS86" s="175">
        <f t="shared" si="133"/>
        <v>33329.129999999997</v>
      </c>
      <c r="AT86" s="175">
        <f t="shared" si="134"/>
        <v>33329.129999999997</v>
      </c>
      <c r="AU86" s="397"/>
      <c r="AV86" s="175">
        <v>10786.13</v>
      </c>
      <c r="AW86" s="175">
        <v>10786.13</v>
      </c>
      <c r="AX86" s="175">
        <v>10786.13</v>
      </c>
      <c r="AY86" s="175">
        <v>10786.13</v>
      </c>
      <c r="AZ86" s="175">
        <v>10786.13</v>
      </c>
      <c r="BA86" s="175">
        <v>10786.13</v>
      </c>
      <c r="BB86" s="175">
        <v>10786.13</v>
      </c>
      <c r="BC86" s="175">
        <v>10786.13</v>
      </c>
      <c r="BD86" s="175">
        <v>10786.13</v>
      </c>
      <c r="BE86" s="175">
        <v>10786.13</v>
      </c>
      <c r="BF86" s="175">
        <v>10786.13</v>
      </c>
      <c r="BG86" s="175">
        <v>10786.13</v>
      </c>
      <c r="BH86" s="177">
        <f ca="1">SUM(AV86:OFFSET(AV86,0,$F$2-1))</f>
        <v>129433.56000000001</v>
      </c>
      <c r="BI86" s="175">
        <f t="shared" si="135"/>
        <v>32358.39</v>
      </c>
      <c r="BJ86" s="175">
        <f t="shared" si="136"/>
        <v>32358.39</v>
      </c>
      <c r="BK86" s="175">
        <f t="shared" si="137"/>
        <v>32358.39</v>
      </c>
      <c r="BL86" s="175">
        <f t="shared" si="138"/>
        <v>32358.39</v>
      </c>
      <c r="BM86" s="178"/>
      <c r="BN86" s="178"/>
      <c r="BO86" s="178"/>
      <c r="BP86" s="178">
        <v>10786.13</v>
      </c>
      <c r="BQ86" s="178">
        <v>10786.13</v>
      </c>
      <c r="BR86" s="178">
        <v>11109.71</v>
      </c>
      <c r="BS86" s="178">
        <v>11109.71</v>
      </c>
      <c r="BT86" s="178">
        <v>11109.71</v>
      </c>
      <c r="BU86" s="178">
        <v>11109.71</v>
      </c>
      <c r="BV86" s="178">
        <v>11109.71</v>
      </c>
      <c r="BW86" s="178">
        <v>11109.71</v>
      </c>
      <c r="BX86" s="178">
        <v>11109.71</v>
      </c>
      <c r="BY86" s="178">
        <v>11109.71</v>
      </c>
      <c r="BZ86" s="177">
        <f ca="1">SUM(BN86:OFFSET(BN86,0,$F$2-1))</f>
        <v>110449.93999999997</v>
      </c>
      <c r="CA86" s="175">
        <f t="shared" si="139"/>
        <v>10786.13</v>
      </c>
      <c r="CB86" s="175">
        <f t="shared" si="140"/>
        <v>33005.549999999996</v>
      </c>
      <c r="CC86" s="175">
        <f t="shared" si="141"/>
        <v>33329.129999999997</v>
      </c>
      <c r="CD86" s="175">
        <f t="shared" si="142"/>
        <v>33329.129999999997</v>
      </c>
      <c r="CE86" s="178"/>
      <c r="CF86" s="97" t="s">
        <v>179</v>
      </c>
      <c r="CG86" s="397"/>
      <c r="CH86" s="178"/>
      <c r="CI86" s="178"/>
      <c r="CJ86" s="178">
        <f t="shared" si="143"/>
        <v>323.57999999999993</v>
      </c>
      <c r="CK86" s="178">
        <f t="shared" si="144"/>
        <v>323.57999999999993</v>
      </c>
      <c r="CL86" s="178">
        <f t="shared" si="145"/>
        <v>0</v>
      </c>
      <c r="CM86" s="178">
        <f t="shared" si="146"/>
        <v>0</v>
      </c>
      <c r="CN86" s="178">
        <f t="shared" si="147"/>
        <v>0</v>
      </c>
      <c r="CO86" s="178">
        <f t="shared" si="148"/>
        <v>0</v>
      </c>
      <c r="CP86" s="178">
        <f t="shared" si="149"/>
        <v>0</v>
      </c>
      <c r="CQ86" s="178">
        <f t="shared" si="150"/>
        <v>0</v>
      </c>
      <c r="CR86" s="178"/>
      <c r="CS86" s="178"/>
      <c r="CU86" s="178">
        <f t="shared" si="151"/>
        <v>132992.94</v>
      </c>
      <c r="CV86" s="178" t="e">
        <v>#VALUE!</v>
      </c>
      <c r="CW86" s="178">
        <f t="shared" si="152"/>
        <v>129433.56000000001</v>
      </c>
    </row>
    <row r="87" spans="2:101" outlineLevel="1">
      <c r="B87" s="97" t="s">
        <v>180</v>
      </c>
      <c r="C87" s="97" t="s">
        <v>586</v>
      </c>
      <c r="D87" s="97" t="s">
        <v>8</v>
      </c>
      <c r="E87" s="97" t="s">
        <v>170</v>
      </c>
      <c r="F87" s="288" t="s">
        <v>180</v>
      </c>
      <c r="G87" s="175">
        <v>78631.48</v>
      </c>
      <c r="H87" s="175">
        <v>73558.48</v>
      </c>
      <c r="I87" s="175">
        <v>78631.48</v>
      </c>
      <c r="J87" s="175">
        <v>76094.98</v>
      </c>
      <c r="K87" s="175">
        <v>78631.48</v>
      </c>
      <c r="L87" s="175">
        <v>76094.98</v>
      </c>
      <c r="M87" s="175">
        <v>78631.48</v>
      </c>
      <c r="N87" s="175">
        <v>78631.48</v>
      </c>
      <c r="O87" s="175">
        <v>76094.98</v>
      </c>
      <c r="P87" s="175">
        <v>78631.48</v>
      </c>
      <c r="Q87" s="175">
        <v>76094.98</v>
      </c>
      <c r="R87" s="175">
        <v>78631.48</v>
      </c>
      <c r="S87" s="177">
        <f ca="1">SUM(G87:OFFSET(G87,0,$F$2-1))</f>
        <v>928358.75999999989</v>
      </c>
      <c r="T87" s="175">
        <f t="shared" si="126"/>
        <v>230821.44</v>
      </c>
      <c r="U87" s="175">
        <f t="shared" si="127"/>
        <v>230821.44</v>
      </c>
      <c r="V87" s="175">
        <f t="shared" si="128"/>
        <v>233357.94</v>
      </c>
      <c r="W87" s="175">
        <f t="shared" si="129"/>
        <v>233357.94</v>
      </c>
      <c r="X87" s="178"/>
      <c r="Y87" s="179">
        <v>78631.48</v>
      </c>
      <c r="Z87" s="179">
        <v>71021.98</v>
      </c>
      <c r="AA87" s="179">
        <v>78631.48</v>
      </c>
      <c r="AB87" s="179">
        <v>76094.98</v>
      </c>
      <c r="AC87" s="179">
        <v>78631.48</v>
      </c>
      <c r="AD87" s="179">
        <v>76094.98</v>
      </c>
      <c r="AE87" s="179">
        <v>78631.48</v>
      </c>
      <c r="AF87" s="179">
        <v>78631.48</v>
      </c>
      <c r="AG87" s="179">
        <v>76094.98</v>
      </c>
      <c r="AH87" s="179">
        <v>78631.48</v>
      </c>
      <c r="AI87" s="179">
        <v>76094.98</v>
      </c>
      <c r="AJ87" s="179">
        <v>78631.48</v>
      </c>
      <c r="AK87" s="177">
        <f t="shared" si="130"/>
        <v>925822.25999999989</v>
      </c>
      <c r="AL87" s="97" t="s">
        <v>8</v>
      </c>
      <c r="AM87" s="97" t="s">
        <v>8</v>
      </c>
      <c r="AN87" s="177"/>
      <c r="AO87" s="177"/>
      <c r="AP87" s="177"/>
      <c r="AQ87" s="175">
        <f t="shared" si="131"/>
        <v>228284.94</v>
      </c>
      <c r="AR87" s="175">
        <f t="shared" si="132"/>
        <v>230821.44</v>
      </c>
      <c r="AS87" s="175">
        <f t="shared" si="133"/>
        <v>233357.94</v>
      </c>
      <c r="AT87" s="175">
        <f t="shared" si="134"/>
        <v>233357.94</v>
      </c>
      <c r="AU87" s="397"/>
      <c r="AV87" s="175">
        <v>78631.48</v>
      </c>
      <c r="AW87" s="175">
        <v>73558.48</v>
      </c>
      <c r="AX87" s="175">
        <v>78631.48</v>
      </c>
      <c r="AY87" s="175">
        <v>76094.98</v>
      </c>
      <c r="AZ87" s="175">
        <v>78631.48</v>
      </c>
      <c r="BA87" s="175">
        <v>76094.98</v>
      </c>
      <c r="BB87" s="175">
        <v>78631.48</v>
      </c>
      <c r="BC87" s="175">
        <v>78631.48</v>
      </c>
      <c r="BD87" s="175">
        <v>76094.98</v>
      </c>
      <c r="BE87" s="175">
        <v>78631.48</v>
      </c>
      <c r="BF87" s="175">
        <v>76094.98</v>
      </c>
      <c r="BG87" s="175">
        <v>78631.48</v>
      </c>
      <c r="BH87" s="177">
        <f ca="1">SUM(AV87:OFFSET(AV87,0,$F$2-1))</f>
        <v>928358.75999999989</v>
      </c>
      <c r="BI87" s="175">
        <f t="shared" si="135"/>
        <v>230821.44</v>
      </c>
      <c r="BJ87" s="175">
        <f t="shared" si="136"/>
        <v>230821.44</v>
      </c>
      <c r="BK87" s="175">
        <f t="shared" si="137"/>
        <v>233357.94</v>
      </c>
      <c r="BL87" s="175">
        <f t="shared" si="138"/>
        <v>233357.94</v>
      </c>
      <c r="BM87" s="178"/>
      <c r="BN87" s="178"/>
      <c r="BO87" s="178"/>
      <c r="BP87" s="178">
        <v>78631.48</v>
      </c>
      <c r="BQ87" s="178">
        <v>76094.98</v>
      </c>
      <c r="BR87" s="178">
        <v>78631.48</v>
      </c>
      <c r="BS87" s="178">
        <v>76094.98</v>
      </c>
      <c r="BT87" s="178">
        <v>78631.48</v>
      </c>
      <c r="BU87" s="178">
        <v>78631.48</v>
      </c>
      <c r="BV87" s="178">
        <v>76094.98</v>
      </c>
      <c r="BW87" s="178">
        <v>78631.48</v>
      </c>
      <c r="BX87" s="178">
        <v>76094.98</v>
      </c>
      <c r="BY87" s="178">
        <v>78631.48</v>
      </c>
      <c r="BZ87" s="177">
        <f ca="1">SUM(BN87:OFFSET(BN87,0,$F$2-1))</f>
        <v>776168.79999999993</v>
      </c>
      <c r="CA87" s="175">
        <f t="shared" si="139"/>
        <v>78631.48</v>
      </c>
      <c r="CB87" s="175">
        <f t="shared" si="140"/>
        <v>230821.44</v>
      </c>
      <c r="CC87" s="175">
        <f t="shared" si="141"/>
        <v>233357.94</v>
      </c>
      <c r="CD87" s="175">
        <f t="shared" si="142"/>
        <v>233357.94</v>
      </c>
      <c r="CE87" s="178"/>
      <c r="CF87" s="97" t="s">
        <v>180</v>
      </c>
      <c r="CG87" s="397"/>
      <c r="CH87" s="178"/>
      <c r="CI87" s="178"/>
      <c r="CJ87" s="178">
        <f t="shared" si="143"/>
        <v>0</v>
      </c>
      <c r="CK87" s="178">
        <f t="shared" si="144"/>
        <v>0</v>
      </c>
      <c r="CL87" s="178">
        <f t="shared" si="145"/>
        <v>0</v>
      </c>
      <c r="CM87" s="178">
        <f t="shared" si="146"/>
        <v>0</v>
      </c>
      <c r="CN87" s="178">
        <f t="shared" si="147"/>
        <v>0</v>
      </c>
      <c r="CO87" s="178">
        <f t="shared" si="148"/>
        <v>0</v>
      </c>
      <c r="CP87" s="178">
        <f t="shared" si="149"/>
        <v>0</v>
      </c>
      <c r="CQ87" s="178">
        <f t="shared" si="150"/>
        <v>0</v>
      </c>
      <c r="CR87" s="178"/>
      <c r="CS87" s="178"/>
      <c r="CU87" s="178">
        <f t="shared" si="151"/>
        <v>925822.26</v>
      </c>
      <c r="CV87" s="178" t="e">
        <v>#VALUE!</v>
      </c>
      <c r="CW87" s="178">
        <f t="shared" si="152"/>
        <v>928358.75999999989</v>
      </c>
    </row>
    <row r="88" spans="2:101" outlineLevel="1">
      <c r="B88" s="97" t="s">
        <v>181</v>
      </c>
      <c r="C88" s="97" t="s">
        <v>586</v>
      </c>
      <c r="D88" s="97" t="s">
        <v>8</v>
      </c>
      <c r="E88" s="97" t="s">
        <v>170</v>
      </c>
      <c r="F88" s="288" t="s">
        <v>181</v>
      </c>
      <c r="G88" s="175">
        <v>26659.98</v>
      </c>
      <c r="H88" s="175">
        <v>24080.125000000011</v>
      </c>
      <c r="I88" s="175">
        <v>26731.375000000011</v>
      </c>
      <c r="J88" s="175">
        <v>25800.125000000011</v>
      </c>
      <c r="K88" s="175">
        <v>26660.125000000011</v>
      </c>
      <c r="L88" s="175">
        <v>25800.125000000011</v>
      </c>
      <c r="M88" s="175">
        <v>26660.125000000011</v>
      </c>
      <c r="N88" s="175">
        <v>26660.125000000011</v>
      </c>
      <c r="O88" s="175">
        <v>25800.125000000011</v>
      </c>
      <c r="P88" s="175">
        <v>26660.125000000011</v>
      </c>
      <c r="Q88" s="175">
        <v>25800.125000000011</v>
      </c>
      <c r="R88" s="175">
        <v>27030.625000000011</v>
      </c>
      <c r="S88" s="177">
        <f ca="1">SUM(G88:OFFSET(G88,0,$F$2-1))</f>
        <v>314343.1050000001</v>
      </c>
      <c r="T88" s="175">
        <f t="shared" si="126"/>
        <v>77471.480000000025</v>
      </c>
      <c r="U88" s="175">
        <f t="shared" si="127"/>
        <v>78260.375000000029</v>
      </c>
      <c r="V88" s="175">
        <f t="shared" si="128"/>
        <v>79120.375000000029</v>
      </c>
      <c r="W88" s="175">
        <f t="shared" si="129"/>
        <v>79490.875000000029</v>
      </c>
      <c r="X88" s="178"/>
      <c r="Y88" s="388">
        <f>31907-Y89+370.5-46.92</f>
        <v>26983.705000000013</v>
      </c>
      <c r="Z88" s="179">
        <v>24507.625000000011</v>
      </c>
      <c r="AA88" s="179">
        <v>27002.125000000011</v>
      </c>
      <c r="AB88" s="179">
        <v>26348.755000000012</v>
      </c>
      <c r="AC88" s="179">
        <v>26802.625000000011</v>
      </c>
      <c r="AD88" s="179">
        <v>25942.625000000011</v>
      </c>
      <c r="AE88" s="179">
        <v>26802.625000000011</v>
      </c>
      <c r="AF88" s="179">
        <f>31907+142.5-AF89</f>
        <v>26802.625000000011</v>
      </c>
      <c r="AG88" s="179">
        <f>31189.5-AG89</f>
        <v>25942.625000000011</v>
      </c>
      <c r="AH88" s="179">
        <f>32049.5-AH89</f>
        <v>26802.625000000011</v>
      </c>
      <c r="AI88" s="179">
        <v>25942.625000000011</v>
      </c>
      <c r="AJ88" s="179">
        <v>26802.625000000011</v>
      </c>
      <c r="AK88" s="177">
        <f t="shared" si="130"/>
        <v>316683.21000000008</v>
      </c>
      <c r="AL88" s="97" t="s">
        <v>8</v>
      </c>
      <c r="AM88" s="97" t="s">
        <v>8</v>
      </c>
      <c r="AN88" s="177"/>
      <c r="AO88" s="177"/>
      <c r="AP88" s="177"/>
      <c r="AQ88" s="175">
        <f t="shared" si="131"/>
        <v>78493.455000000031</v>
      </c>
      <c r="AR88" s="175">
        <f t="shared" si="132"/>
        <v>79094.005000000034</v>
      </c>
      <c r="AS88" s="175">
        <f t="shared" si="133"/>
        <v>79547.875000000029</v>
      </c>
      <c r="AT88" s="175">
        <f t="shared" si="134"/>
        <v>79547.875000000029</v>
      </c>
      <c r="AU88" s="397"/>
      <c r="AV88" s="175">
        <v>26659.98</v>
      </c>
      <c r="AW88" s="175">
        <v>24080.125000000011</v>
      </c>
      <c r="AX88" s="175">
        <v>26731.375000000011</v>
      </c>
      <c r="AY88" s="175">
        <v>25800.125000000011</v>
      </c>
      <c r="AZ88" s="175">
        <v>26660.125000000011</v>
      </c>
      <c r="BA88" s="175">
        <v>25800.125000000011</v>
      </c>
      <c r="BB88" s="175">
        <v>28409</v>
      </c>
      <c r="BC88" s="175">
        <v>28409</v>
      </c>
      <c r="BD88" s="175">
        <v>27549</v>
      </c>
      <c r="BE88" s="175">
        <v>31907</v>
      </c>
      <c r="BF88" s="175">
        <v>31047</v>
      </c>
      <c r="BG88" s="175">
        <v>31907</v>
      </c>
      <c r="BH88" s="177">
        <f ca="1">SUM(AV88:OFFSET(AV88,0,$F$2-1))</f>
        <v>334959.8550000001</v>
      </c>
      <c r="BI88" s="175">
        <f t="shared" si="135"/>
        <v>77471.480000000025</v>
      </c>
      <c r="BJ88" s="175">
        <f t="shared" si="136"/>
        <v>78260.375000000029</v>
      </c>
      <c r="BK88" s="175">
        <f t="shared" si="137"/>
        <v>84367</v>
      </c>
      <c r="BL88" s="175">
        <f t="shared" si="138"/>
        <v>94861</v>
      </c>
      <c r="BM88" s="178"/>
      <c r="BN88" s="178"/>
      <c r="BO88" s="178"/>
      <c r="BP88" s="178">
        <v>26731.375000000011</v>
      </c>
      <c r="BQ88" s="178">
        <v>25800.125000000011</v>
      </c>
      <c r="BR88" s="178">
        <v>26660.125000000011</v>
      </c>
      <c r="BS88" s="178">
        <v>25800.125000000011</v>
      </c>
      <c r="BT88" s="178">
        <v>26660.125000000011</v>
      </c>
      <c r="BU88" s="178">
        <v>26660.125000000011</v>
      </c>
      <c r="BV88" s="178">
        <v>25800.125000000011</v>
      </c>
      <c r="BW88" s="178">
        <v>26660.125000000011</v>
      </c>
      <c r="BX88" s="178">
        <v>25800.125000000011</v>
      </c>
      <c r="BY88" s="178">
        <v>27030.625000000011</v>
      </c>
      <c r="BZ88" s="177">
        <f ca="1">SUM(BN88:OFFSET(BN88,0,$F$2-1))</f>
        <v>263603.00000000006</v>
      </c>
      <c r="CA88" s="175">
        <f t="shared" si="139"/>
        <v>26731.375000000011</v>
      </c>
      <c r="CB88" s="175">
        <f t="shared" si="140"/>
        <v>78260.375000000029</v>
      </c>
      <c r="CC88" s="175">
        <f t="shared" si="141"/>
        <v>79120.375000000029</v>
      </c>
      <c r="CD88" s="175">
        <f t="shared" si="142"/>
        <v>79490.875000000029</v>
      </c>
      <c r="CE88" s="178"/>
      <c r="CF88" s="97" t="s">
        <v>181</v>
      </c>
      <c r="CG88" s="397"/>
      <c r="CH88" s="178"/>
      <c r="CI88" s="178"/>
      <c r="CJ88" s="178">
        <f t="shared" si="143"/>
        <v>270.75</v>
      </c>
      <c r="CK88" s="178">
        <f t="shared" si="144"/>
        <v>548.63000000000102</v>
      </c>
      <c r="CL88" s="178">
        <f t="shared" si="145"/>
        <v>142.5</v>
      </c>
      <c r="CM88" s="178">
        <f t="shared" si="146"/>
        <v>142.5</v>
      </c>
      <c r="CN88" s="178">
        <f t="shared" si="147"/>
        <v>142.5</v>
      </c>
      <c r="CO88" s="178">
        <f t="shared" si="148"/>
        <v>142.5</v>
      </c>
      <c r="CP88" s="178">
        <f t="shared" si="149"/>
        <v>142.5</v>
      </c>
      <c r="CQ88" s="178">
        <f t="shared" si="150"/>
        <v>142.5</v>
      </c>
      <c r="CR88" s="178"/>
      <c r="CS88" s="178"/>
      <c r="CU88" s="178">
        <f t="shared" si="151"/>
        <v>316056.21000000008</v>
      </c>
      <c r="CV88" s="178" t="e">
        <v>#VALUE!</v>
      </c>
      <c r="CW88" s="178">
        <f t="shared" si="152"/>
        <v>334959.8550000001</v>
      </c>
    </row>
    <row r="89" spans="2:101" ht="12" customHeight="1" outlineLevel="1">
      <c r="B89" s="97" t="s">
        <v>182</v>
      </c>
      <c r="C89" s="97" t="s">
        <v>586</v>
      </c>
      <c r="D89" s="97" t="s">
        <v>8</v>
      </c>
      <c r="E89" s="97" t="s">
        <v>170</v>
      </c>
      <c r="F89" s="288" t="s">
        <v>182</v>
      </c>
      <c r="G89" s="175">
        <v>5246.87499999999</v>
      </c>
      <c r="H89" s="175">
        <v>5246.87499999999</v>
      </c>
      <c r="I89" s="175">
        <v>5246.87499999999</v>
      </c>
      <c r="J89" s="175">
        <v>5246.87499999999</v>
      </c>
      <c r="K89" s="175">
        <v>5246.87499999999</v>
      </c>
      <c r="L89" s="175">
        <v>5246.87499999999</v>
      </c>
      <c r="M89" s="175">
        <v>5246.87499999999</v>
      </c>
      <c r="N89" s="175">
        <v>5246.87499999999</v>
      </c>
      <c r="O89" s="175">
        <v>5246.87499999999</v>
      </c>
      <c r="P89" s="175">
        <v>5246.87499999999</v>
      </c>
      <c r="Q89" s="175">
        <v>5246.87499999999</v>
      </c>
      <c r="R89" s="175">
        <v>5246.87499999999</v>
      </c>
      <c r="S89" s="177">
        <f ca="1">SUM(G89:OFFSET(G89,0,$F$2-1))</f>
        <v>62962.499999999891</v>
      </c>
      <c r="T89" s="175">
        <f t="shared" si="126"/>
        <v>15740.624999999971</v>
      </c>
      <c r="U89" s="175">
        <f t="shared" si="127"/>
        <v>15740.624999999971</v>
      </c>
      <c r="V89" s="175">
        <f t="shared" si="128"/>
        <v>15740.624999999971</v>
      </c>
      <c r="W89" s="175">
        <f t="shared" si="129"/>
        <v>15740.624999999971</v>
      </c>
      <c r="X89" s="178"/>
      <c r="Y89" s="179">
        <v>5246.87499999999</v>
      </c>
      <c r="Z89" s="179">
        <v>5246.87499999999</v>
      </c>
      <c r="AA89" s="179">
        <v>5246.87499999999</v>
      </c>
      <c r="AB89" s="179">
        <v>5246.87499999999</v>
      </c>
      <c r="AC89" s="179">
        <v>5246.87499999999</v>
      </c>
      <c r="AD89" s="179">
        <v>5246.87499999999</v>
      </c>
      <c r="AE89" s="179">
        <v>5246.87499999999</v>
      </c>
      <c r="AF89" s="179">
        <v>5246.87499999999</v>
      </c>
      <c r="AG89" s="179">
        <v>5246.87499999999</v>
      </c>
      <c r="AH89" s="179">
        <v>5246.87499999999</v>
      </c>
      <c r="AI89" s="179">
        <v>5246.87499999999</v>
      </c>
      <c r="AJ89" s="179">
        <v>5246.87499999999</v>
      </c>
      <c r="AK89" s="177">
        <f t="shared" si="130"/>
        <v>62962.499999999891</v>
      </c>
      <c r="AL89" s="97" t="s">
        <v>8</v>
      </c>
      <c r="AM89" s="97" t="s">
        <v>8</v>
      </c>
      <c r="AN89" s="177"/>
      <c r="AO89" s="177"/>
      <c r="AP89" s="177"/>
      <c r="AQ89" s="175">
        <f t="shared" si="131"/>
        <v>15740.624999999971</v>
      </c>
      <c r="AR89" s="175">
        <f t="shared" si="132"/>
        <v>15740.624999999971</v>
      </c>
      <c r="AS89" s="175">
        <f t="shared" si="133"/>
        <v>15740.624999999971</v>
      </c>
      <c r="AT89" s="175">
        <f t="shared" si="134"/>
        <v>15740.624999999971</v>
      </c>
      <c r="AU89" s="397"/>
      <c r="AV89" s="175">
        <v>5246.87499999999</v>
      </c>
      <c r="AW89" s="175">
        <v>5246.87499999999</v>
      </c>
      <c r="AX89" s="175">
        <v>5246.87499999999</v>
      </c>
      <c r="AY89" s="175">
        <v>5246.87499999999</v>
      </c>
      <c r="AZ89" s="175">
        <v>5246.87499999999</v>
      </c>
      <c r="BA89" s="175">
        <v>5246.87499999999</v>
      </c>
      <c r="BB89" s="175">
        <v>5246.87499999999</v>
      </c>
      <c r="BC89" s="175">
        <v>5246.87499999999</v>
      </c>
      <c r="BD89" s="175">
        <v>5246.87499999999</v>
      </c>
      <c r="BE89" s="175">
        <v>5246.87499999999</v>
      </c>
      <c r="BF89" s="175">
        <v>5246.87499999999</v>
      </c>
      <c r="BG89" s="175">
        <v>5246.87499999999</v>
      </c>
      <c r="BH89" s="177">
        <f ca="1">SUM(AV89:OFFSET(AV89,0,$F$2-1))</f>
        <v>62962.499999999891</v>
      </c>
      <c r="BI89" s="175">
        <f t="shared" si="135"/>
        <v>15740.624999999971</v>
      </c>
      <c r="BJ89" s="175">
        <f t="shared" si="136"/>
        <v>15740.624999999971</v>
      </c>
      <c r="BK89" s="175">
        <f t="shared" si="137"/>
        <v>15740.624999999971</v>
      </c>
      <c r="BL89" s="175">
        <f t="shared" si="138"/>
        <v>15740.624999999971</v>
      </c>
      <c r="BM89" s="178"/>
      <c r="BN89" s="178"/>
      <c r="BO89" s="178"/>
      <c r="BP89" s="178">
        <v>5246.87499999999</v>
      </c>
      <c r="BQ89" s="178">
        <v>5246.87499999999</v>
      </c>
      <c r="BR89" s="178">
        <v>5246.87499999999</v>
      </c>
      <c r="BS89" s="178">
        <v>5246.87499999999</v>
      </c>
      <c r="BT89" s="178">
        <v>5246.87499999999</v>
      </c>
      <c r="BU89" s="178">
        <v>5246.87499999999</v>
      </c>
      <c r="BV89" s="178">
        <v>5246.87499999999</v>
      </c>
      <c r="BW89" s="178">
        <v>5246.87499999999</v>
      </c>
      <c r="BX89" s="178">
        <v>5246.87499999999</v>
      </c>
      <c r="BY89" s="178">
        <v>5246.87499999999</v>
      </c>
      <c r="BZ89" s="177">
        <f ca="1">SUM(BN89:OFFSET(BN89,0,$F$2-1))</f>
        <v>52468.749999999905</v>
      </c>
      <c r="CA89" s="175">
        <f t="shared" si="139"/>
        <v>5246.87499999999</v>
      </c>
      <c r="CB89" s="175">
        <f t="shared" si="140"/>
        <v>15740.624999999971</v>
      </c>
      <c r="CC89" s="175">
        <f t="shared" si="141"/>
        <v>15740.624999999971</v>
      </c>
      <c r="CD89" s="175">
        <f t="shared" si="142"/>
        <v>15740.624999999971</v>
      </c>
      <c r="CE89" s="178"/>
      <c r="CF89" s="97" t="s">
        <v>182</v>
      </c>
      <c r="CG89" s="397"/>
      <c r="CH89" s="178"/>
      <c r="CI89" s="178"/>
      <c r="CJ89" s="178">
        <f t="shared" si="143"/>
        <v>0</v>
      </c>
      <c r="CK89" s="178">
        <f t="shared" si="144"/>
        <v>0</v>
      </c>
      <c r="CL89" s="178">
        <f t="shared" si="145"/>
        <v>0</v>
      </c>
      <c r="CM89" s="178">
        <f t="shared" si="146"/>
        <v>0</v>
      </c>
      <c r="CN89" s="178">
        <f t="shared" si="147"/>
        <v>0</v>
      </c>
      <c r="CO89" s="178">
        <f t="shared" si="148"/>
        <v>0</v>
      </c>
      <c r="CP89" s="178">
        <f t="shared" si="149"/>
        <v>0</v>
      </c>
      <c r="CQ89" s="178">
        <f t="shared" si="150"/>
        <v>0</v>
      </c>
      <c r="CR89" s="178"/>
      <c r="CS89" s="178"/>
      <c r="CU89" s="178">
        <f t="shared" si="151"/>
        <v>62962.499999999876</v>
      </c>
      <c r="CV89" s="178" t="e">
        <v>#VALUE!</v>
      </c>
      <c r="CW89" s="178">
        <f t="shared" si="152"/>
        <v>62962.499999999891</v>
      </c>
    </row>
    <row r="90" spans="2:101" outlineLevel="1">
      <c r="B90" s="97" t="s">
        <v>183</v>
      </c>
      <c r="C90" s="97" t="s">
        <v>586</v>
      </c>
      <c r="D90" s="97" t="s">
        <v>7</v>
      </c>
      <c r="E90" s="97" t="s">
        <v>178</v>
      </c>
      <c r="F90" s="288" t="s">
        <v>183</v>
      </c>
      <c r="G90" s="175">
        <v>4983</v>
      </c>
      <c r="H90" s="175">
        <v>5363</v>
      </c>
      <c r="I90" s="175">
        <v>5127</v>
      </c>
      <c r="J90" s="175">
        <v>7428</v>
      </c>
      <c r="K90" s="175">
        <v>7625</v>
      </c>
      <c r="L90" s="175">
        <v>7086.11</v>
      </c>
      <c r="M90" s="175">
        <v>6976.29</v>
      </c>
      <c r="N90" s="175">
        <v>4407.05</v>
      </c>
      <c r="O90" s="175">
        <v>7016.15</v>
      </c>
      <c r="P90" s="175">
        <v>-2143.98</v>
      </c>
      <c r="Q90" s="175">
        <v>14290.18</v>
      </c>
      <c r="R90" s="175">
        <v>8398.4</v>
      </c>
      <c r="S90" s="177">
        <f ca="1">SUM(G90:OFFSET(G90,0,$F$2-1))</f>
        <v>76556.2</v>
      </c>
      <c r="T90" s="175">
        <f t="shared" si="126"/>
        <v>15473</v>
      </c>
      <c r="U90" s="175">
        <f t="shared" si="127"/>
        <v>22139.11</v>
      </c>
      <c r="V90" s="175">
        <f t="shared" si="128"/>
        <v>18399.489999999998</v>
      </c>
      <c r="W90" s="175">
        <f t="shared" si="129"/>
        <v>20544.599999999999</v>
      </c>
      <c r="X90" s="178"/>
      <c r="Y90" s="179">
        <v>7265.07</v>
      </c>
      <c r="Z90" s="179">
        <v>7694.01</v>
      </c>
      <c r="AA90" s="179">
        <v>7510.65</v>
      </c>
      <c r="AB90" s="179">
        <v>7094.18</v>
      </c>
      <c r="AC90" s="179">
        <v>7380.37</v>
      </c>
      <c r="AD90" s="179">
        <v>7849.65</v>
      </c>
      <c r="AE90" s="179">
        <v>7201.12</v>
      </c>
      <c r="AF90" s="179">
        <v>7603.32</v>
      </c>
      <c r="AG90" s="179">
        <v>8198.14</v>
      </c>
      <c r="AH90" s="179">
        <v>7485.39</v>
      </c>
      <c r="AI90" s="179">
        <v>7835.18</v>
      </c>
      <c r="AJ90" s="179">
        <v>8529.19</v>
      </c>
      <c r="AK90" s="177">
        <f t="shared" si="130"/>
        <v>91646.270000000019</v>
      </c>
      <c r="AL90" s="97" t="s">
        <v>7</v>
      </c>
      <c r="AM90" s="97" t="s">
        <v>7</v>
      </c>
      <c r="AN90" s="177"/>
      <c r="AO90" s="177"/>
      <c r="AP90" s="177"/>
      <c r="AQ90" s="175">
        <f t="shared" si="131"/>
        <v>22469.73</v>
      </c>
      <c r="AR90" s="175">
        <f t="shared" si="132"/>
        <v>22324.199999999997</v>
      </c>
      <c r="AS90" s="175">
        <f t="shared" si="133"/>
        <v>23002.579999999998</v>
      </c>
      <c r="AT90" s="175">
        <f t="shared" si="134"/>
        <v>23849.760000000002</v>
      </c>
      <c r="AU90" s="397"/>
      <c r="AV90" s="175">
        <v>4983</v>
      </c>
      <c r="AW90" s="175">
        <v>5363</v>
      </c>
      <c r="AX90" s="175">
        <v>5127</v>
      </c>
      <c r="AY90" s="175">
        <v>7428</v>
      </c>
      <c r="AZ90" s="175">
        <v>7625</v>
      </c>
      <c r="BA90" s="175">
        <v>7086.11</v>
      </c>
      <c r="BB90" s="175">
        <v>5363.26</v>
      </c>
      <c r="BC90" s="175">
        <v>6782</v>
      </c>
      <c r="BD90" s="175">
        <v>5955</v>
      </c>
      <c r="BE90" s="175">
        <v>6980</v>
      </c>
      <c r="BF90" s="175">
        <v>6557</v>
      </c>
      <c r="BG90" s="175">
        <v>7014</v>
      </c>
      <c r="BH90" s="177">
        <f ca="1">SUM(AV90:OFFSET(AV90,0,$F$2-1))</f>
        <v>76263.37</v>
      </c>
      <c r="BI90" s="175">
        <f t="shared" si="135"/>
        <v>15473</v>
      </c>
      <c r="BJ90" s="175">
        <f t="shared" si="136"/>
        <v>22139.11</v>
      </c>
      <c r="BK90" s="175">
        <f t="shared" si="137"/>
        <v>18100.260000000002</v>
      </c>
      <c r="BL90" s="175">
        <f t="shared" si="138"/>
        <v>20551</v>
      </c>
      <c r="BM90" s="178"/>
      <c r="BN90" s="178"/>
      <c r="BO90" s="178"/>
      <c r="BP90" s="178">
        <v>6379.6833333333334</v>
      </c>
      <c r="BQ90" s="178">
        <v>6379.6833333333334</v>
      </c>
      <c r="BR90" s="178">
        <v>6379.6833333333334</v>
      </c>
      <c r="BS90" s="178">
        <v>5741.701500000001</v>
      </c>
      <c r="BT90" s="178">
        <v>5741.701500000001</v>
      </c>
      <c r="BU90" s="178">
        <v>5741.701500000001</v>
      </c>
      <c r="BV90" s="178">
        <v>7603.32</v>
      </c>
      <c r="BW90" s="178">
        <v>7603.32</v>
      </c>
      <c r="BX90" s="178">
        <v>7485.39</v>
      </c>
      <c r="BY90" s="178">
        <v>7835.18</v>
      </c>
      <c r="BZ90" s="177">
        <f ca="1">SUM(BN90:OFFSET(BN90,0,$F$2-1))</f>
        <v>66891.364499999996</v>
      </c>
      <c r="CA90" s="175">
        <f t="shared" si="139"/>
        <v>6379.6833333333334</v>
      </c>
      <c r="CB90" s="175">
        <f t="shared" si="140"/>
        <v>18501.068166666668</v>
      </c>
      <c r="CC90" s="175">
        <f t="shared" si="141"/>
        <v>19086.723000000002</v>
      </c>
      <c r="CD90" s="175">
        <f t="shared" si="142"/>
        <v>22923.89</v>
      </c>
      <c r="CE90" s="178"/>
      <c r="CF90" s="97" t="s">
        <v>183</v>
      </c>
      <c r="CG90" s="397"/>
      <c r="CH90" s="178"/>
      <c r="CI90" s="178"/>
      <c r="CJ90" s="178">
        <f t="shared" si="143"/>
        <v>1130.9666666666662</v>
      </c>
      <c r="CK90" s="178">
        <f t="shared" si="144"/>
        <v>714.4966666666669</v>
      </c>
      <c r="CL90" s="178">
        <f t="shared" si="145"/>
        <v>1000.6866666666665</v>
      </c>
      <c r="CM90" s="178">
        <f t="shared" si="146"/>
        <v>2107.9484999999986</v>
      </c>
      <c r="CN90" s="178">
        <f t="shared" si="147"/>
        <v>1459.4184999999989</v>
      </c>
      <c r="CO90" s="178">
        <f t="shared" si="148"/>
        <v>1861.6184999999987</v>
      </c>
      <c r="CP90" s="178">
        <f t="shared" si="149"/>
        <v>594.81999999999971</v>
      </c>
      <c r="CQ90" s="178">
        <f t="shared" si="150"/>
        <v>-117.92999999999938</v>
      </c>
      <c r="CR90" s="178"/>
      <c r="CS90" s="178"/>
      <c r="CU90" s="178">
        <f t="shared" si="151"/>
        <v>84696.594500000007</v>
      </c>
      <c r="CV90" s="178" t="e">
        <v>#VALUE!</v>
      </c>
      <c r="CW90" s="178">
        <f t="shared" si="152"/>
        <v>76263.37</v>
      </c>
    </row>
    <row r="91" spans="2:101" outlineLevel="1">
      <c r="B91" s="97" t="s">
        <v>184</v>
      </c>
      <c r="C91" s="97" t="s">
        <v>586</v>
      </c>
      <c r="D91" s="97" t="s">
        <v>7</v>
      </c>
      <c r="E91" s="97" t="s">
        <v>178</v>
      </c>
      <c r="F91" s="288" t="s">
        <v>184</v>
      </c>
      <c r="G91" s="175">
        <v>21462</v>
      </c>
      <c r="H91" s="175">
        <v>9911</v>
      </c>
      <c r="I91" s="175">
        <v>18583</v>
      </c>
      <c r="J91" s="175">
        <v>19155</v>
      </c>
      <c r="K91" s="175">
        <v>41179</v>
      </c>
      <c r="L91" s="175">
        <v>41180.06</v>
      </c>
      <c r="M91" s="175">
        <v>40783.339999999997</v>
      </c>
      <c r="N91" s="175">
        <v>20606.439999999999</v>
      </c>
      <c r="O91" s="175">
        <v>38398.699999999997</v>
      </c>
      <c r="P91" s="175">
        <v>48607.199999999997</v>
      </c>
      <c r="Q91" s="175">
        <v>32924.519999999997</v>
      </c>
      <c r="R91" s="175">
        <v>52629.42</v>
      </c>
      <c r="S91" s="177">
        <f ca="1">SUM(G91:OFFSET(G91,0,$F$2-1))</f>
        <v>385419.68</v>
      </c>
      <c r="T91" s="175">
        <f t="shared" si="126"/>
        <v>49956</v>
      </c>
      <c r="U91" s="175">
        <f t="shared" si="127"/>
        <v>101514.06</v>
      </c>
      <c r="V91" s="175">
        <f t="shared" si="128"/>
        <v>99788.479999999996</v>
      </c>
      <c r="W91" s="175">
        <f t="shared" si="129"/>
        <v>134161.14000000001</v>
      </c>
      <c r="X91" s="178"/>
      <c r="Y91" s="179">
        <v>39014.03</v>
      </c>
      <c r="Z91" s="179">
        <v>41794.870000000003</v>
      </c>
      <c r="AA91" s="179">
        <v>41571.120000000003</v>
      </c>
      <c r="AB91" s="179">
        <v>32960.33</v>
      </c>
      <c r="AC91" s="179">
        <v>43394.35</v>
      </c>
      <c r="AD91" s="179">
        <v>49131.77</v>
      </c>
      <c r="AE91" s="179">
        <v>42618.42</v>
      </c>
      <c r="AF91" s="179">
        <v>49110.02</v>
      </c>
      <c r="AG91" s="179">
        <v>48413.74</v>
      </c>
      <c r="AH91" s="179">
        <v>51440.14</v>
      </c>
      <c r="AI91" s="179">
        <v>52025.84</v>
      </c>
      <c r="AJ91" s="179">
        <v>52273.82</v>
      </c>
      <c r="AK91" s="177">
        <f t="shared" si="130"/>
        <v>543748.44999999995</v>
      </c>
      <c r="AL91" s="97" t="s">
        <v>7</v>
      </c>
      <c r="AM91" s="97" t="s">
        <v>7</v>
      </c>
      <c r="AN91" s="177"/>
      <c r="AO91" s="177"/>
      <c r="AP91" s="177"/>
      <c r="AQ91" s="175">
        <f t="shared" si="131"/>
        <v>122380.01999999999</v>
      </c>
      <c r="AR91" s="175">
        <f t="shared" si="132"/>
        <v>125486.44999999998</v>
      </c>
      <c r="AS91" s="175">
        <f t="shared" si="133"/>
        <v>140142.18</v>
      </c>
      <c r="AT91" s="175">
        <f t="shared" si="134"/>
        <v>155739.79999999999</v>
      </c>
      <c r="AU91" s="397"/>
      <c r="AV91" s="175">
        <v>21462</v>
      </c>
      <c r="AW91" s="175">
        <v>9911</v>
      </c>
      <c r="AX91" s="175">
        <v>18583</v>
      </c>
      <c r="AY91" s="175">
        <v>19155</v>
      </c>
      <c r="AZ91" s="175">
        <v>41179</v>
      </c>
      <c r="BA91" s="175">
        <v>41180.06</v>
      </c>
      <c r="BB91" s="175">
        <v>10530.88</v>
      </c>
      <c r="BC91" s="175">
        <v>18880</v>
      </c>
      <c r="BD91" s="175">
        <v>13943</v>
      </c>
      <c r="BE91" s="175">
        <v>19488</v>
      </c>
      <c r="BF91" s="175">
        <v>21437</v>
      </c>
      <c r="BG91" s="175">
        <v>25451</v>
      </c>
      <c r="BH91" s="177">
        <f ca="1">SUM(AV91:OFFSET(AV91,0,$F$2-1))</f>
        <v>261199.94</v>
      </c>
      <c r="BI91" s="175">
        <f t="shared" si="135"/>
        <v>49956</v>
      </c>
      <c r="BJ91" s="175">
        <f t="shared" si="136"/>
        <v>101514.06</v>
      </c>
      <c r="BK91" s="175">
        <f t="shared" si="137"/>
        <v>43353.88</v>
      </c>
      <c r="BL91" s="175">
        <f t="shared" si="138"/>
        <v>66376</v>
      </c>
      <c r="BM91" s="178"/>
      <c r="BN91" s="178"/>
      <c r="BO91" s="178"/>
      <c r="BP91" s="178">
        <v>35404.667999999998</v>
      </c>
      <c r="BQ91" s="178">
        <v>38991.603333333333</v>
      </c>
      <c r="BR91" s="178">
        <v>32960.33</v>
      </c>
      <c r="BS91" s="178">
        <v>39054.915000000001</v>
      </c>
      <c r="BT91" s="178">
        <v>37883.267549999997</v>
      </c>
      <c r="BU91" s="178">
        <v>34094.940794999995</v>
      </c>
      <c r="BV91" s="178">
        <v>43683.880499999992</v>
      </c>
      <c r="BW91" s="178">
        <v>44907.029153999996</v>
      </c>
      <c r="BX91" s="178">
        <v>52880.463920000002</v>
      </c>
      <c r="BY91" s="178">
        <v>53690.666879999997</v>
      </c>
      <c r="BZ91" s="177">
        <f ca="1">SUM(BN91:OFFSET(BN91,0,$F$2-1))</f>
        <v>413551.76513233333</v>
      </c>
      <c r="CA91" s="175">
        <f t="shared" si="139"/>
        <v>35404.667999999998</v>
      </c>
      <c r="CB91" s="175">
        <f t="shared" si="140"/>
        <v>111006.84833333333</v>
      </c>
      <c r="CC91" s="175">
        <f t="shared" si="141"/>
        <v>115662.08884499999</v>
      </c>
      <c r="CD91" s="175">
        <f t="shared" si="142"/>
        <v>151478.159954</v>
      </c>
      <c r="CE91" s="178"/>
      <c r="CF91" s="97" t="s">
        <v>184</v>
      </c>
      <c r="CG91" s="397"/>
      <c r="CH91" s="178"/>
      <c r="CI91" s="178"/>
      <c r="CJ91" s="178">
        <f t="shared" si="143"/>
        <v>6166.4520000000048</v>
      </c>
      <c r="CK91" s="178">
        <f t="shared" si="144"/>
        <v>-6031.2733333333308</v>
      </c>
      <c r="CL91" s="178">
        <f t="shared" si="145"/>
        <v>10434.019999999997</v>
      </c>
      <c r="CM91" s="178">
        <f t="shared" si="146"/>
        <v>10076.854999999996</v>
      </c>
      <c r="CN91" s="178">
        <f t="shared" si="147"/>
        <v>4735.1524500000014</v>
      </c>
      <c r="CO91" s="178">
        <f t="shared" si="148"/>
        <v>15015.079205000002</v>
      </c>
      <c r="CP91" s="178">
        <f t="shared" si="149"/>
        <v>4729.8595000000059</v>
      </c>
      <c r="CQ91" s="178">
        <f t="shared" si="150"/>
        <v>6533.1108460000032</v>
      </c>
      <c r="CR91" s="178"/>
      <c r="CS91" s="178"/>
      <c r="CU91" s="178">
        <f t="shared" si="151"/>
        <v>504929.86379899993</v>
      </c>
      <c r="CV91" s="178" t="e">
        <v>#VALUE!</v>
      </c>
      <c r="CW91" s="178">
        <f t="shared" si="152"/>
        <v>261199.94</v>
      </c>
    </row>
    <row r="92" spans="2:101" outlineLevel="1">
      <c r="B92" s="97" t="s">
        <v>185</v>
      </c>
      <c r="C92" s="97" t="s">
        <v>586</v>
      </c>
      <c r="D92" s="97" t="s">
        <v>8</v>
      </c>
      <c r="E92" s="97" t="s">
        <v>170</v>
      </c>
      <c r="F92" s="399" t="s">
        <v>185</v>
      </c>
      <c r="G92" s="175">
        <v>12401</v>
      </c>
      <c r="H92" s="175">
        <v>12401</v>
      </c>
      <c r="I92" s="175">
        <v>12401</v>
      </c>
      <c r="J92" s="175">
        <v>11401</v>
      </c>
      <c r="K92" s="175">
        <v>11401</v>
      </c>
      <c r="L92" s="175">
        <v>11401</v>
      </c>
      <c r="M92" s="175">
        <v>11401</v>
      </c>
      <c r="N92" s="175">
        <v>10401</v>
      </c>
      <c r="O92" s="175">
        <v>10401</v>
      </c>
      <c r="P92" s="175">
        <v>10401</v>
      </c>
      <c r="Q92" s="175">
        <v>10401</v>
      </c>
      <c r="R92" s="175">
        <v>12401</v>
      </c>
      <c r="S92" s="177">
        <f ca="1">SUM(G92:OFFSET(G92,0,$F$2-1))</f>
        <v>136812</v>
      </c>
      <c r="T92" s="175">
        <f t="shared" si="126"/>
        <v>37203</v>
      </c>
      <c r="U92" s="175">
        <f t="shared" si="127"/>
        <v>34203</v>
      </c>
      <c r="V92" s="175">
        <f t="shared" si="128"/>
        <v>32203</v>
      </c>
      <c r="W92" s="175">
        <f t="shared" si="129"/>
        <v>33203</v>
      </c>
      <c r="X92" s="178"/>
      <c r="Y92" s="179">
        <v>12401</v>
      </c>
      <c r="Z92" s="179">
        <v>12401</v>
      </c>
      <c r="AA92" s="179">
        <v>12401</v>
      </c>
      <c r="AB92" s="179">
        <v>11401</v>
      </c>
      <c r="AC92" s="179">
        <v>11401</v>
      </c>
      <c r="AD92" s="179">
        <v>11401</v>
      </c>
      <c r="AE92" s="179">
        <v>11401</v>
      </c>
      <c r="AF92" s="179">
        <v>10401</v>
      </c>
      <c r="AG92" s="179">
        <v>10401</v>
      </c>
      <c r="AH92" s="179">
        <v>10401</v>
      </c>
      <c r="AI92" s="179">
        <v>10401</v>
      </c>
      <c r="AJ92" s="179">
        <v>12401</v>
      </c>
      <c r="AK92" s="177">
        <f t="shared" si="130"/>
        <v>136812</v>
      </c>
      <c r="AL92" s="97" t="s">
        <v>8</v>
      </c>
      <c r="AM92" s="97" t="s">
        <v>8</v>
      </c>
      <c r="AN92" s="177"/>
      <c r="AO92" s="177"/>
      <c r="AP92" s="177"/>
      <c r="AQ92" s="175">
        <f t="shared" si="131"/>
        <v>37203</v>
      </c>
      <c r="AR92" s="175">
        <f t="shared" si="132"/>
        <v>34203</v>
      </c>
      <c r="AS92" s="175">
        <f t="shared" si="133"/>
        <v>32203</v>
      </c>
      <c r="AT92" s="175">
        <f t="shared" si="134"/>
        <v>33203</v>
      </c>
      <c r="AU92" s="397"/>
      <c r="AV92" s="175">
        <v>12401</v>
      </c>
      <c r="AW92" s="175">
        <v>12401</v>
      </c>
      <c r="AX92" s="175">
        <v>12401</v>
      </c>
      <c r="AY92" s="175">
        <v>11401</v>
      </c>
      <c r="AZ92" s="175">
        <v>11401</v>
      </c>
      <c r="BA92" s="175">
        <v>11401</v>
      </c>
      <c r="BB92" s="175">
        <v>11401</v>
      </c>
      <c r="BC92" s="175">
        <v>10401</v>
      </c>
      <c r="BD92" s="175">
        <v>10401</v>
      </c>
      <c r="BE92" s="175">
        <v>10401</v>
      </c>
      <c r="BF92" s="175">
        <v>10401</v>
      </c>
      <c r="BG92" s="175">
        <v>12401</v>
      </c>
      <c r="BH92" s="177">
        <f ca="1">SUM(AV92:OFFSET(AV92,0,$F$2-1))</f>
        <v>136812</v>
      </c>
      <c r="BI92" s="175">
        <f t="shared" si="135"/>
        <v>37203</v>
      </c>
      <c r="BJ92" s="175">
        <f t="shared" si="136"/>
        <v>34203</v>
      </c>
      <c r="BK92" s="175">
        <f t="shared" si="137"/>
        <v>32203</v>
      </c>
      <c r="BL92" s="175">
        <f t="shared" si="138"/>
        <v>33203</v>
      </c>
      <c r="BM92" s="178"/>
      <c r="BN92" s="178"/>
      <c r="BO92" s="178"/>
      <c r="BP92" s="178">
        <v>12401</v>
      </c>
      <c r="BQ92" s="178">
        <v>11401</v>
      </c>
      <c r="BR92" s="178">
        <v>11401</v>
      </c>
      <c r="BS92" s="178">
        <v>11401</v>
      </c>
      <c r="BT92" s="178">
        <v>11401</v>
      </c>
      <c r="BU92" s="178">
        <v>10401</v>
      </c>
      <c r="BV92" s="178">
        <v>10401</v>
      </c>
      <c r="BW92" s="178">
        <v>10401</v>
      </c>
      <c r="BX92" s="178">
        <v>10401</v>
      </c>
      <c r="BY92" s="178">
        <v>12401</v>
      </c>
      <c r="BZ92" s="177">
        <f ca="1">SUM(BN92:OFFSET(BN92,0,$F$2-1))</f>
        <v>112010</v>
      </c>
      <c r="CA92" s="175">
        <f t="shared" si="139"/>
        <v>12401</v>
      </c>
      <c r="CB92" s="175">
        <f t="shared" si="140"/>
        <v>34203</v>
      </c>
      <c r="CC92" s="175">
        <f t="shared" si="141"/>
        <v>32203</v>
      </c>
      <c r="CD92" s="175">
        <f t="shared" si="142"/>
        <v>33203</v>
      </c>
      <c r="CE92" s="178"/>
      <c r="CF92" s="97" t="s">
        <v>185</v>
      </c>
      <c r="CG92" s="397"/>
      <c r="CH92" s="178"/>
      <c r="CI92" s="178"/>
      <c r="CJ92" s="178">
        <f t="shared" si="143"/>
        <v>0</v>
      </c>
      <c r="CK92" s="178">
        <f t="shared" si="144"/>
        <v>0</v>
      </c>
      <c r="CL92" s="178">
        <f t="shared" si="145"/>
        <v>0</v>
      </c>
      <c r="CM92" s="178">
        <f t="shared" si="146"/>
        <v>0</v>
      </c>
      <c r="CN92" s="178">
        <f t="shared" si="147"/>
        <v>0</v>
      </c>
      <c r="CO92" s="178">
        <f t="shared" si="148"/>
        <v>0</v>
      </c>
      <c r="CP92" s="178">
        <f t="shared" si="149"/>
        <v>0</v>
      </c>
      <c r="CQ92" s="178">
        <f t="shared" si="150"/>
        <v>0</v>
      </c>
      <c r="CR92" s="178"/>
      <c r="CS92" s="178"/>
      <c r="CU92" s="178">
        <f t="shared" si="151"/>
        <v>136812</v>
      </c>
      <c r="CV92" s="178" t="e">
        <v>#VALUE!</v>
      </c>
      <c r="CW92" s="178">
        <f t="shared" si="152"/>
        <v>136812</v>
      </c>
    </row>
    <row r="93" spans="2:101">
      <c r="B93" s="97"/>
      <c r="C93" s="97"/>
      <c r="D93" s="97" t="s">
        <v>532</v>
      </c>
      <c r="F93" s="385" t="s">
        <v>186</v>
      </c>
      <c r="G93" s="400">
        <f>SUM(G78:G92)</f>
        <v>308606.46499999997</v>
      </c>
      <c r="H93" s="400">
        <f t="shared" ref="H93:R93" si="153">SUM(H78:H92)</f>
        <v>289782.61</v>
      </c>
      <c r="I93" s="400">
        <f t="shared" si="153"/>
        <v>305942.86</v>
      </c>
      <c r="J93" s="400">
        <f t="shared" si="153"/>
        <v>304348.11</v>
      </c>
      <c r="K93" s="400">
        <f t="shared" si="153"/>
        <v>328813.58</v>
      </c>
      <c r="L93" s="400">
        <f t="shared" si="153"/>
        <v>324879.25</v>
      </c>
      <c r="M93" s="400">
        <f t="shared" si="153"/>
        <v>327769.20999999996</v>
      </c>
      <c r="N93" s="400">
        <f t="shared" si="153"/>
        <v>330621.06999999995</v>
      </c>
      <c r="O93" s="400">
        <f t="shared" si="153"/>
        <v>294429.93</v>
      </c>
      <c r="P93" s="400">
        <f t="shared" si="153"/>
        <v>325472.80000000005</v>
      </c>
      <c r="Q93" s="400">
        <f t="shared" si="153"/>
        <v>322827.78000000003</v>
      </c>
      <c r="R93" s="400">
        <f t="shared" si="153"/>
        <v>342407.9</v>
      </c>
      <c r="S93" s="400">
        <f ca="1">SUM(S78:S92)</f>
        <v>3805901.5649999999</v>
      </c>
      <c r="T93" s="400">
        <f>SUM(T78:T92)</f>
        <v>904331.93499999994</v>
      </c>
      <c r="U93" s="400">
        <f>SUM(U78:U92)</f>
        <v>958040.94</v>
      </c>
      <c r="V93" s="400">
        <f>SUM(V78:V92)</f>
        <v>952820.21</v>
      </c>
      <c r="W93" s="400">
        <f>SUM(W78:W92)</f>
        <v>990708.48</v>
      </c>
      <c r="X93" s="386"/>
      <c r="Y93" s="400">
        <f>SUM(Y78:Y92)</f>
        <v>338436.45999999996</v>
      </c>
      <c r="Z93" s="400">
        <f t="shared" ref="Z93:AJ93" si="154">SUM(Z78:Z92)</f>
        <v>310235.84000000003</v>
      </c>
      <c r="AA93" s="400">
        <f t="shared" si="154"/>
        <v>330756.93</v>
      </c>
      <c r="AB93" s="400">
        <f t="shared" si="154"/>
        <v>317539.8</v>
      </c>
      <c r="AC93" s="400">
        <f t="shared" si="154"/>
        <v>329786.83999999997</v>
      </c>
      <c r="AD93" s="400">
        <f t="shared" si="154"/>
        <v>332597.04000000004</v>
      </c>
      <c r="AE93" s="400">
        <f t="shared" si="154"/>
        <v>328831.65999999997</v>
      </c>
      <c r="AF93" s="400">
        <f t="shared" si="154"/>
        <v>334725.46000000002</v>
      </c>
      <c r="AG93" s="400">
        <f>SUM(AG78:AG92)</f>
        <v>331227.5</v>
      </c>
      <c r="AH93" s="400">
        <f t="shared" si="154"/>
        <v>336937.65</v>
      </c>
      <c r="AI93" s="400">
        <f t="shared" si="154"/>
        <v>334476.64</v>
      </c>
      <c r="AJ93" s="400">
        <f t="shared" si="154"/>
        <v>340815.13</v>
      </c>
      <c r="AK93" s="400">
        <f>SUM(AK78:AK92)</f>
        <v>3966366.9499999993</v>
      </c>
      <c r="AL93" s="97"/>
      <c r="AM93" s="97"/>
      <c r="AN93" s="400"/>
      <c r="AO93" s="400"/>
      <c r="AP93" s="400"/>
      <c r="AQ93" s="400">
        <f>SUM(AQ78:AQ92)</f>
        <v>979429.23</v>
      </c>
      <c r="AR93" s="400">
        <f>SUM(AR78:AR92)</f>
        <v>979923.67999999982</v>
      </c>
      <c r="AS93" s="400">
        <f>SUM(AS78:AS92)</f>
        <v>994784.61999999988</v>
      </c>
      <c r="AT93" s="400">
        <f>SUM(AT78:AT92)</f>
        <v>1012229.4199999999</v>
      </c>
      <c r="AU93" s="181"/>
      <c r="AV93" s="400">
        <f>SUM(AV78:AV92)</f>
        <v>307454.435</v>
      </c>
      <c r="AW93" s="400">
        <f t="shared" ref="AW93:BG93" si="155">SUM(AW78:AW92)</f>
        <v>288630.58</v>
      </c>
      <c r="AX93" s="400">
        <f t="shared" si="155"/>
        <v>304790.83</v>
      </c>
      <c r="AY93" s="400">
        <f t="shared" si="155"/>
        <v>303196.08</v>
      </c>
      <c r="AZ93" s="400">
        <f t="shared" si="155"/>
        <v>327692.90934900386</v>
      </c>
      <c r="BA93" s="400">
        <f t="shared" si="155"/>
        <v>323758.57934900385</v>
      </c>
      <c r="BB93" s="400">
        <f t="shared" si="155"/>
        <v>296531.92434900388</v>
      </c>
      <c r="BC93" s="400">
        <f t="shared" si="155"/>
        <v>305299.78434900386</v>
      </c>
      <c r="BD93" s="400">
        <f t="shared" si="155"/>
        <v>296139.28434900386</v>
      </c>
      <c r="BE93" s="400">
        <f t="shared" si="155"/>
        <v>309603.78434900386</v>
      </c>
      <c r="BF93" s="400">
        <f t="shared" si="155"/>
        <v>307733.28434900386</v>
      </c>
      <c r="BG93" s="400">
        <f t="shared" si="155"/>
        <v>317600.78434900386</v>
      </c>
      <c r="BH93" s="400">
        <f ca="1">SUM(BH78:BH92)</f>
        <v>3688432.2597920308</v>
      </c>
      <c r="BI93" s="400">
        <f>SUM(BI78:BI92)</f>
        <v>900875.84499999997</v>
      </c>
      <c r="BJ93" s="400">
        <f>SUM(BJ78:BJ92)</f>
        <v>954647.56869800761</v>
      </c>
      <c r="BK93" s="400">
        <f>SUM(BK78:BK92)</f>
        <v>897970.99304701167</v>
      </c>
      <c r="BL93" s="400">
        <f>SUM(BL78:BL92)</f>
        <v>934937.85304701165</v>
      </c>
      <c r="BM93" s="386"/>
      <c r="BN93" s="401">
        <f>SUM(BN78:BN92)</f>
        <v>0</v>
      </c>
      <c r="BO93" s="401">
        <f t="shared" ref="BO93:BY93" si="156">SUM(BO78:BO92)</f>
        <v>0</v>
      </c>
      <c r="BP93" s="401">
        <f t="shared" si="156"/>
        <v>322865.18133333337</v>
      </c>
      <c r="BQ93" s="401">
        <f t="shared" si="156"/>
        <v>321984.3666666667</v>
      </c>
      <c r="BR93" s="401">
        <f t="shared" si="156"/>
        <v>318552.50268233725</v>
      </c>
      <c r="BS93" s="401">
        <f t="shared" si="156"/>
        <v>320269.7365</v>
      </c>
      <c r="BT93" s="401">
        <f t="shared" si="156"/>
        <v>322494.58905000001</v>
      </c>
      <c r="BU93" s="401">
        <f t="shared" si="156"/>
        <v>317706.26229500002</v>
      </c>
      <c r="BV93" s="401">
        <f t="shared" si="156"/>
        <v>325760.32049999997</v>
      </c>
      <c r="BW93" s="401">
        <f t="shared" si="156"/>
        <v>330379.96915399999</v>
      </c>
      <c r="BX93" s="401">
        <f t="shared" si="156"/>
        <v>334838.97392000002</v>
      </c>
      <c r="BY93" s="401">
        <f t="shared" si="156"/>
        <v>341765.96687999996</v>
      </c>
      <c r="BZ93" s="400">
        <f ca="1">SUM(BZ78:BZ92)</f>
        <v>3256617.8689813372</v>
      </c>
      <c r="CA93" s="400">
        <f>SUM(CA78:CA92)</f>
        <v>322865.18133333337</v>
      </c>
      <c r="CB93" s="400">
        <f>SUM(CB78:CB92)</f>
        <v>960806.60584900388</v>
      </c>
      <c r="CC93" s="400">
        <f>SUM(CC78:CC92)</f>
        <v>965961.17184499989</v>
      </c>
      <c r="CD93" s="400">
        <f>SUM(CD78:CD92)</f>
        <v>1006984.9099539999</v>
      </c>
      <c r="CE93" s="386"/>
      <c r="CF93" s="97"/>
      <c r="CH93" s="401"/>
      <c r="CI93" s="401"/>
      <c r="CJ93" s="401">
        <f t="shared" ref="CJ93:CS93" si="157">SUM(CJ78:CJ92)</f>
        <v>7891.7486666666709</v>
      </c>
      <c r="CK93" s="401">
        <f t="shared" si="157"/>
        <v>-4444.566666666663</v>
      </c>
      <c r="CL93" s="401">
        <f t="shared" si="157"/>
        <v>11234.337317662785</v>
      </c>
      <c r="CM93" s="401">
        <f t="shared" si="157"/>
        <v>12327.303499999995</v>
      </c>
      <c r="CN93" s="401">
        <f t="shared" si="157"/>
        <v>6337.0709500000003</v>
      </c>
      <c r="CO93" s="401">
        <f t="shared" si="157"/>
        <v>17019.197704999999</v>
      </c>
      <c r="CP93" s="401">
        <f t="shared" si="157"/>
        <v>5467.1795000000056</v>
      </c>
      <c r="CQ93" s="401">
        <f t="shared" si="157"/>
        <v>6557.6808460000038</v>
      </c>
      <c r="CR93" s="401">
        <f t="shared" si="157"/>
        <v>0</v>
      </c>
      <c r="CS93" s="401">
        <f t="shared" si="157"/>
        <v>0</v>
      </c>
      <c r="CU93" s="401">
        <f>SUM(CU78:CU92)</f>
        <v>3919971.6882989993</v>
      </c>
      <c r="CV93" s="401" t="e">
        <f>SUM(CV78:CV92)</f>
        <v>#VALUE!</v>
      </c>
      <c r="CW93" s="401">
        <f>SUM(CW78:CW92)</f>
        <v>3688432.2597920308</v>
      </c>
    </row>
    <row r="94" spans="2:101">
      <c r="B94" s="97"/>
      <c r="C94" s="97"/>
      <c r="D94" s="97" t="s">
        <v>532</v>
      </c>
      <c r="F94" s="284" t="s">
        <v>187</v>
      </c>
      <c r="G94" s="62"/>
      <c r="H94" s="62"/>
      <c r="I94" s="62"/>
      <c r="J94" s="62"/>
      <c r="K94" s="62"/>
      <c r="L94" s="62"/>
      <c r="M94" s="62"/>
      <c r="N94" s="402"/>
      <c r="O94" s="62"/>
      <c r="P94" s="62"/>
      <c r="Q94" s="62"/>
      <c r="R94" s="62"/>
      <c r="S94" s="284"/>
      <c r="T94" s="62"/>
      <c r="U94" s="62"/>
      <c r="V94" s="62"/>
      <c r="W94" s="62"/>
      <c r="X94" s="178"/>
      <c r="Y94" s="62"/>
      <c r="Z94" s="62"/>
      <c r="AA94" s="62"/>
      <c r="AB94" s="62"/>
      <c r="AC94" s="62"/>
      <c r="AD94" s="62"/>
      <c r="AE94" s="62"/>
      <c r="AF94" s="402"/>
      <c r="AG94" s="402"/>
      <c r="AH94" s="62"/>
      <c r="AI94" s="62"/>
      <c r="AJ94" s="62"/>
      <c r="AK94" s="284"/>
      <c r="AN94" s="284"/>
      <c r="AO94" s="284"/>
      <c r="AP94" s="284"/>
      <c r="AQ94" s="62"/>
      <c r="AR94" s="62"/>
      <c r="AS94" s="62"/>
      <c r="AT94" s="62"/>
      <c r="AU94" s="181"/>
      <c r="AV94" s="62"/>
      <c r="AW94" s="62"/>
      <c r="AX94" s="62"/>
      <c r="AY94" s="62"/>
      <c r="AZ94" s="62"/>
      <c r="BA94" s="62"/>
      <c r="BB94" s="62"/>
      <c r="BC94" s="402"/>
      <c r="BD94" s="62"/>
      <c r="BE94" s="62"/>
      <c r="BF94" s="62"/>
      <c r="BG94" s="62"/>
      <c r="BH94" s="284"/>
      <c r="BI94" s="62"/>
      <c r="BJ94" s="62"/>
      <c r="BK94" s="62"/>
      <c r="BL94" s="62"/>
      <c r="BM94" s="178"/>
      <c r="BN94" s="62"/>
      <c r="BO94" s="62"/>
      <c r="BP94" s="62"/>
      <c r="BQ94" s="62"/>
      <c r="BR94" s="62"/>
      <c r="BS94" s="62"/>
      <c r="BT94" s="62"/>
      <c r="BU94" s="402"/>
      <c r="BV94" s="62"/>
      <c r="BW94" s="62"/>
      <c r="BX94" s="62"/>
      <c r="BY94" s="62"/>
      <c r="BZ94" s="284"/>
      <c r="CA94" s="62"/>
      <c r="CB94" s="62"/>
      <c r="CC94" s="62"/>
      <c r="CD94" s="62"/>
      <c r="CE94" s="178"/>
      <c r="CF94" s="97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U94" s="62"/>
      <c r="CV94" s="62"/>
      <c r="CW94" s="62"/>
    </row>
    <row r="95" spans="2:101" outlineLevel="1">
      <c r="B95" s="97"/>
      <c r="C95" s="97" t="s">
        <v>586</v>
      </c>
      <c r="D95" s="97" t="s">
        <v>8</v>
      </c>
      <c r="E95" s="97" t="s">
        <v>170</v>
      </c>
      <c r="F95" s="288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7"/>
      <c r="T95" s="175"/>
      <c r="U95" s="175"/>
      <c r="V95" s="175"/>
      <c r="W95" s="175"/>
      <c r="X95" s="178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7">
        <f ca="1">SUM(Y95:OFFSET(Y95,0,$F$2-1))</f>
        <v>0</v>
      </c>
      <c r="AL95" s="97" t="s">
        <v>8</v>
      </c>
      <c r="AM95" s="97" t="s">
        <v>8</v>
      </c>
      <c r="AN95" s="177"/>
      <c r="AO95" s="177"/>
      <c r="AP95" s="177"/>
      <c r="AQ95" s="175">
        <f>SUM(Y95:AA95)</f>
        <v>0</v>
      </c>
      <c r="AR95" s="175">
        <f>SUM(AB95:AD95)</f>
        <v>0</v>
      </c>
      <c r="AS95" s="175">
        <f>SUM(AE95:AG95)</f>
        <v>0</v>
      </c>
      <c r="AT95" s="175">
        <f>SUM(AH95:AJ95)</f>
        <v>0</v>
      </c>
      <c r="AU95" s="181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7"/>
      <c r="BI95" s="175"/>
      <c r="BJ95" s="175"/>
      <c r="BK95" s="175"/>
      <c r="BL95" s="175"/>
      <c r="BM95" s="178"/>
      <c r="BN95" s="178"/>
      <c r="BO95" s="178"/>
      <c r="BP95" s="178"/>
      <c r="BQ95" s="178"/>
      <c r="BR95" s="178"/>
      <c r="BS95" s="178">
        <v>0</v>
      </c>
      <c r="BT95" s="374">
        <v>0</v>
      </c>
      <c r="BU95" s="374">
        <v>0</v>
      </c>
      <c r="BV95" s="374">
        <v>0</v>
      </c>
      <c r="BW95" s="374">
        <v>0</v>
      </c>
      <c r="BX95" s="374">
        <v>0</v>
      </c>
      <c r="BY95" s="374">
        <v>0</v>
      </c>
      <c r="BZ95" s="177">
        <f ca="1">SUM(BN95:OFFSET(BN95,0,$F$2-1))</f>
        <v>0</v>
      </c>
      <c r="CA95" s="175">
        <f>SUM(BN95:BP95)</f>
        <v>0</v>
      </c>
      <c r="CB95" s="175">
        <f>SUM(BQ95:BS95)</f>
        <v>0</v>
      </c>
      <c r="CC95" s="175">
        <f>SUM(BT95:BV95)</f>
        <v>0</v>
      </c>
      <c r="CD95" s="175">
        <f>SUM(BW95:BY95)</f>
        <v>0</v>
      </c>
      <c r="CE95" s="374" t="s">
        <v>587</v>
      </c>
      <c r="CF95" s="97"/>
      <c r="CH95" s="374"/>
      <c r="CI95" s="374"/>
      <c r="CJ95" s="374"/>
      <c r="CK95" s="374"/>
      <c r="CL95" s="374"/>
      <c r="CM95" s="374"/>
      <c r="CN95" s="374"/>
      <c r="CO95" s="374"/>
      <c r="CP95" s="374"/>
      <c r="CQ95" s="374"/>
      <c r="CR95" s="374"/>
      <c r="CS95" s="374"/>
      <c r="CU95" s="374"/>
      <c r="CV95" s="374"/>
      <c r="CW95" s="374"/>
    </row>
    <row r="96" spans="2:101" outlineLevel="1">
      <c r="B96" s="97" t="s">
        <v>188</v>
      </c>
      <c r="C96" s="97" t="s">
        <v>586</v>
      </c>
      <c r="D96" s="97" t="s">
        <v>8</v>
      </c>
      <c r="E96" s="97" t="s">
        <v>170</v>
      </c>
      <c r="F96" s="67" t="s">
        <v>188</v>
      </c>
      <c r="G96" s="175">
        <v>5996.22</v>
      </c>
      <c r="H96" s="175">
        <v>5249.8</v>
      </c>
      <c r="I96" s="175">
        <v>6519.12</v>
      </c>
      <c r="J96" s="175">
        <v>5018.2700000000004</v>
      </c>
      <c r="K96" s="175">
        <v>5781.26</v>
      </c>
      <c r="L96" s="175">
        <v>5735.14</v>
      </c>
      <c r="M96" s="175">
        <v>6247.67</v>
      </c>
      <c r="N96" s="175">
        <v>6181.61</v>
      </c>
      <c r="O96" s="175">
        <v>5772.85</v>
      </c>
      <c r="P96" s="175">
        <v>5432.85</v>
      </c>
      <c r="Q96" s="175">
        <v>5272.82</v>
      </c>
      <c r="R96" s="175">
        <v>6382.83</v>
      </c>
      <c r="S96" s="375">
        <f ca="1">SUM(G96:OFFSET(G96,0,$F$2-1))</f>
        <v>69590.439999999988</v>
      </c>
      <c r="T96" s="175">
        <f>SUM(G96:I96)</f>
        <v>17765.14</v>
      </c>
      <c r="U96" s="175">
        <f>SUM(J96:L96)</f>
        <v>16534.670000000002</v>
      </c>
      <c r="V96" s="175">
        <f>SUM(M96:O96)</f>
        <v>18202.129999999997</v>
      </c>
      <c r="W96" s="175">
        <f>SUM(P96:R96)</f>
        <v>17088.5</v>
      </c>
      <c r="X96" s="178"/>
      <c r="Y96" s="179">
        <v>6193.64</v>
      </c>
      <c r="Z96" s="179">
        <v>5886.24</v>
      </c>
      <c r="AA96" s="179">
        <v>6289.04</v>
      </c>
      <c r="AB96" s="179">
        <v>6169.37</v>
      </c>
      <c r="AC96" s="179">
        <v>6144.54</v>
      </c>
      <c r="AD96" s="179">
        <v>6049.92</v>
      </c>
      <c r="AE96" s="179">
        <v>6144.54</v>
      </c>
      <c r="AF96" s="179">
        <v>5685.12</v>
      </c>
      <c r="AG96" s="179">
        <v>5809.78</v>
      </c>
      <c r="AH96" s="179">
        <v>6017.15</v>
      </c>
      <c r="AI96" s="179">
        <v>5796.77</v>
      </c>
      <c r="AJ96" s="179">
        <v>5828.99</v>
      </c>
      <c r="AK96" s="375">
        <f ca="1">SUM(Y96:OFFSET(Y96,0,$F$2-1))</f>
        <v>72015.100000000006</v>
      </c>
      <c r="AL96" s="97" t="s">
        <v>8</v>
      </c>
      <c r="AM96" s="97" t="s">
        <v>8</v>
      </c>
      <c r="AN96" s="375"/>
      <c r="AO96" s="375"/>
      <c r="AP96" s="375"/>
      <c r="AQ96" s="175">
        <f>SUM(Y96:AA96)</f>
        <v>18368.920000000002</v>
      </c>
      <c r="AR96" s="175">
        <f>SUM(AB96:AD96)</f>
        <v>18363.830000000002</v>
      </c>
      <c r="AS96" s="175">
        <f>SUM(AE96:AG96)</f>
        <v>17639.439999999999</v>
      </c>
      <c r="AT96" s="175">
        <f>SUM(AH96:AJ96)</f>
        <v>17642.91</v>
      </c>
      <c r="AU96" s="397"/>
      <c r="AV96" s="175">
        <v>5996.22</v>
      </c>
      <c r="AW96" s="175">
        <v>5249.8</v>
      </c>
      <c r="AX96" s="175">
        <v>6519.12</v>
      </c>
      <c r="AY96" s="175">
        <v>5018.2700000000004</v>
      </c>
      <c r="AZ96" s="175">
        <v>5781.26</v>
      </c>
      <c r="BA96" s="175">
        <v>5735.14</v>
      </c>
      <c r="BB96" s="175">
        <v>5780.91</v>
      </c>
      <c r="BC96" s="175">
        <v>5500</v>
      </c>
      <c r="BD96" s="175">
        <v>4982.5600000000004</v>
      </c>
      <c r="BE96" s="175">
        <v>5153.5</v>
      </c>
      <c r="BF96" s="175">
        <v>5123.41</v>
      </c>
      <c r="BG96" s="175">
        <v>5600.35</v>
      </c>
      <c r="BH96" s="375">
        <f ca="1">SUM(AV96:OFFSET(AV96,0,$F$2-1))</f>
        <v>66440.540000000008</v>
      </c>
      <c r="BI96" s="175">
        <f>SUM(AV96:AX96)</f>
        <v>17765.14</v>
      </c>
      <c r="BJ96" s="175">
        <f>SUM(AY96:BA96)</f>
        <v>16534.670000000002</v>
      </c>
      <c r="BK96" s="175">
        <f>SUM(BB96:BD96)</f>
        <v>16263.470000000001</v>
      </c>
      <c r="BL96" s="175">
        <f>SUM(BE96:BG96)</f>
        <v>15877.26</v>
      </c>
      <c r="BM96" s="178"/>
      <c r="BN96" s="178"/>
      <c r="BO96" s="178"/>
      <c r="BP96" s="178">
        <v>6519.12</v>
      </c>
      <c r="BQ96" s="178">
        <v>5018.2700000000004</v>
      </c>
      <c r="BR96" s="178">
        <v>5781.26</v>
      </c>
      <c r="BS96" s="178">
        <v>5735.14</v>
      </c>
      <c r="BT96" s="178">
        <v>5780.91</v>
      </c>
      <c r="BU96" s="178">
        <v>5500</v>
      </c>
      <c r="BV96" s="178">
        <v>4982.5600000000004</v>
      </c>
      <c r="BW96" s="178">
        <v>5153.5</v>
      </c>
      <c r="BX96" s="178">
        <v>5123.41</v>
      </c>
      <c r="BY96" s="178">
        <v>5600.35</v>
      </c>
      <c r="BZ96" s="375">
        <f ca="1">SUM(BN96:OFFSET(BN96,0,$F$2-1))</f>
        <v>55194.52</v>
      </c>
      <c r="CA96" s="175">
        <f>SUM(BN96:BP96)</f>
        <v>6519.12</v>
      </c>
      <c r="CB96" s="175">
        <f>SUM(BQ96:BS96)</f>
        <v>16534.670000000002</v>
      </c>
      <c r="CC96" s="175">
        <f>SUM(BT96:BV96)</f>
        <v>16263.470000000001</v>
      </c>
      <c r="CD96" s="175">
        <f>SUM(BW96:BY96)</f>
        <v>15877.26</v>
      </c>
      <c r="CE96" s="178"/>
      <c r="CF96" s="97" t="s">
        <v>188</v>
      </c>
      <c r="CG96" s="397"/>
      <c r="CH96" s="178"/>
      <c r="CI96" s="178"/>
      <c r="CJ96" s="178">
        <f t="shared" ref="CJ96:CQ98" si="158">AA96-BP96</f>
        <v>-230.07999999999993</v>
      </c>
      <c r="CK96" s="178">
        <f t="shared" si="158"/>
        <v>1151.0999999999995</v>
      </c>
      <c r="CL96" s="178">
        <f t="shared" si="158"/>
        <v>363.27999999999975</v>
      </c>
      <c r="CM96" s="178">
        <f t="shared" si="158"/>
        <v>314.77999999999975</v>
      </c>
      <c r="CN96" s="178">
        <f t="shared" si="158"/>
        <v>363.63000000000011</v>
      </c>
      <c r="CO96" s="178">
        <f t="shared" si="158"/>
        <v>185.11999999999989</v>
      </c>
      <c r="CP96" s="178">
        <f t="shared" si="158"/>
        <v>827.21999999999935</v>
      </c>
      <c r="CQ96" s="178">
        <f t="shared" si="158"/>
        <v>863.64999999999964</v>
      </c>
      <c r="CR96" s="178"/>
      <c r="CS96" s="178"/>
      <c r="CU96" s="178">
        <f>SUM(Y96:AC96)+SUM(BS96:BY96)</f>
        <v>68558.700000000012</v>
      </c>
      <c r="CV96" s="178">
        <v>69422.23000000001</v>
      </c>
      <c r="CW96" s="178">
        <f>SUM(AV96:BG96)</f>
        <v>66440.540000000008</v>
      </c>
    </row>
    <row r="97" spans="2:101" outlineLevel="1">
      <c r="B97" s="97" t="s">
        <v>189</v>
      </c>
      <c r="C97" s="97" t="s">
        <v>586</v>
      </c>
      <c r="D97" s="97" t="s">
        <v>7</v>
      </c>
      <c r="E97" s="97" t="s">
        <v>178</v>
      </c>
      <c r="F97" s="67" t="s">
        <v>189</v>
      </c>
      <c r="G97" s="175">
        <v>43990</v>
      </c>
      <c r="H97" s="175">
        <v>43638</v>
      </c>
      <c r="I97" s="175">
        <v>45028</v>
      </c>
      <c r="J97" s="175">
        <v>44313</v>
      </c>
      <c r="K97" s="176">
        <v>43426</v>
      </c>
      <c r="L97" s="175">
        <v>42270.1</v>
      </c>
      <c r="M97" s="175">
        <v>42393.3</v>
      </c>
      <c r="N97" s="175">
        <v>41552.949999999997</v>
      </c>
      <c r="O97" s="175">
        <v>42683.8</v>
      </c>
      <c r="P97" s="175">
        <v>42900.800000000003</v>
      </c>
      <c r="Q97" s="175">
        <v>42650.55</v>
      </c>
      <c r="R97" s="175">
        <v>43071.6</v>
      </c>
      <c r="S97" s="375">
        <f ca="1">SUM(G97:OFFSET(G97,0,$F$2-1))</f>
        <v>517918.09999999992</v>
      </c>
      <c r="T97" s="175">
        <f>SUM(G97:I97)</f>
        <v>132656</v>
      </c>
      <c r="U97" s="175">
        <f>SUM(J97:L97)</f>
        <v>130009.1</v>
      </c>
      <c r="V97" s="175">
        <f>SUM(M97:O97)</f>
        <v>126630.05</v>
      </c>
      <c r="W97" s="175">
        <f>SUM(P97:R97)</f>
        <v>128622.95000000001</v>
      </c>
      <c r="X97" s="178"/>
      <c r="Y97" s="179">
        <v>41631.35</v>
      </c>
      <c r="Z97" s="179">
        <v>42706.9</v>
      </c>
      <c r="AA97" s="179">
        <v>42181.55</v>
      </c>
      <c r="AB97" s="179">
        <v>42109.799999999996</v>
      </c>
      <c r="AC97" s="179">
        <v>41427.65</v>
      </c>
      <c r="AD97" s="179">
        <v>41205.75</v>
      </c>
      <c r="AE97" s="179">
        <v>40830.9</v>
      </c>
      <c r="AF97" s="179">
        <v>39366.85</v>
      </c>
      <c r="AG97" s="179">
        <v>42364.25</v>
      </c>
      <c r="AH97" s="179">
        <v>43795.05</v>
      </c>
      <c r="AI97" s="179">
        <v>45117.35</v>
      </c>
      <c r="AJ97" s="179">
        <v>44308.85</v>
      </c>
      <c r="AK97" s="375">
        <f ca="1">SUM(Y97:OFFSET(Y97,0,$F$2-1))</f>
        <v>507046.24999999994</v>
      </c>
      <c r="AL97" s="97" t="s">
        <v>7</v>
      </c>
      <c r="AM97" s="97" t="s">
        <v>7</v>
      </c>
      <c r="AN97" s="375"/>
      <c r="AO97" s="375"/>
      <c r="AP97" s="375"/>
      <c r="AQ97" s="175">
        <f>SUM(Y97:AA97)</f>
        <v>126519.8</v>
      </c>
      <c r="AR97" s="175">
        <f>SUM(AB97:AD97)</f>
        <v>124743.2</v>
      </c>
      <c r="AS97" s="175">
        <f>SUM(AE97:AG97)</f>
        <v>122562</v>
      </c>
      <c r="AT97" s="175">
        <f>SUM(AH97:AJ97)</f>
        <v>133221.25</v>
      </c>
      <c r="AU97" s="397"/>
      <c r="AV97" s="175">
        <v>43990</v>
      </c>
      <c r="AW97" s="175">
        <v>43638</v>
      </c>
      <c r="AX97" s="175">
        <v>45028</v>
      </c>
      <c r="AY97" s="175">
        <v>44313</v>
      </c>
      <c r="AZ97" s="176">
        <v>43426</v>
      </c>
      <c r="BA97" s="175">
        <v>42270.1</v>
      </c>
      <c r="BB97" s="175">
        <v>45351.15</v>
      </c>
      <c r="BC97" s="175">
        <v>43934.35</v>
      </c>
      <c r="BD97" s="175">
        <v>44448</v>
      </c>
      <c r="BE97" s="175">
        <v>46346</v>
      </c>
      <c r="BF97" s="175">
        <v>46892</v>
      </c>
      <c r="BG97" s="175">
        <v>46028</v>
      </c>
      <c r="BH97" s="375">
        <f ca="1">SUM(AV97:OFFSET(AV97,0,$F$2-1))</f>
        <v>535664.6</v>
      </c>
      <c r="BI97" s="175">
        <f>SUM(AV97:AX97)</f>
        <v>132656</v>
      </c>
      <c r="BJ97" s="175">
        <f>SUM(AY97:BA97)</f>
        <v>130009.1</v>
      </c>
      <c r="BK97" s="175">
        <f>SUM(BB97:BD97)</f>
        <v>133733.5</v>
      </c>
      <c r="BL97" s="175">
        <f>SUM(BE97:BG97)</f>
        <v>139266</v>
      </c>
      <c r="BM97" s="178"/>
      <c r="BN97" s="178"/>
      <c r="BO97" s="178"/>
      <c r="BP97" s="178">
        <v>45028</v>
      </c>
      <c r="BQ97" s="178">
        <v>44313</v>
      </c>
      <c r="BR97" s="378">
        <v>43426</v>
      </c>
      <c r="BS97" s="178">
        <v>42270.1</v>
      </c>
      <c r="BT97" s="178">
        <v>45351.15</v>
      </c>
      <c r="BU97" s="178">
        <v>43934.35</v>
      </c>
      <c r="BV97" s="178">
        <v>41448</v>
      </c>
      <c r="BW97" s="178">
        <v>43346</v>
      </c>
      <c r="BX97" s="178">
        <v>43892</v>
      </c>
      <c r="BY97" s="178">
        <v>43028</v>
      </c>
      <c r="BZ97" s="375">
        <f ca="1">SUM(BN97:OFFSET(BN97,0,$F$2-1))</f>
        <v>436036.6</v>
      </c>
      <c r="CA97" s="175">
        <f>SUM(BN97:BP97)</f>
        <v>45028</v>
      </c>
      <c r="CB97" s="175">
        <f>SUM(BQ97:BS97)</f>
        <v>130009.1</v>
      </c>
      <c r="CC97" s="175">
        <f>SUM(BT97:BV97)</f>
        <v>130733.5</v>
      </c>
      <c r="CD97" s="175">
        <f>SUM(BW97:BY97)</f>
        <v>130266</v>
      </c>
      <c r="CE97" s="178"/>
      <c r="CF97" s="97" t="s">
        <v>189</v>
      </c>
      <c r="CG97" s="397"/>
      <c r="CH97" s="178"/>
      <c r="CI97" s="178"/>
      <c r="CJ97" s="178">
        <f t="shared" si="158"/>
        <v>-2846.4499999999971</v>
      </c>
      <c r="CK97" s="178">
        <f t="shared" si="158"/>
        <v>-2203.2000000000044</v>
      </c>
      <c r="CL97" s="178">
        <f t="shared" si="158"/>
        <v>-1998.3499999999985</v>
      </c>
      <c r="CM97" s="178">
        <f t="shared" si="158"/>
        <v>-1064.3499999999985</v>
      </c>
      <c r="CN97" s="178">
        <f t="shared" si="158"/>
        <v>-4520.25</v>
      </c>
      <c r="CO97" s="178">
        <f t="shared" si="158"/>
        <v>-4567.5</v>
      </c>
      <c r="CP97" s="178">
        <f t="shared" si="158"/>
        <v>916.25</v>
      </c>
      <c r="CQ97" s="178">
        <f t="shared" si="158"/>
        <v>449.05000000000291</v>
      </c>
      <c r="CR97" s="178"/>
      <c r="CS97" s="178"/>
      <c r="CU97" s="178">
        <f>SUM(Y97:AC97)+SUM(BS97:BY97)</f>
        <v>513326.85</v>
      </c>
      <c r="CV97" s="178">
        <v>503174.75</v>
      </c>
      <c r="CW97" s="178">
        <f>SUM(AV97:BG97)</f>
        <v>535664.6</v>
      </c>
    </row>
    <row r="98" spans="2:101" outlineLevel="1">
      <c r="B98" s="97" t="s">
        <v>225</v>
      </c>
      <c r="C98" s="97" t="s">
        <v>586</v>
      </c>
      <c r="D98" s="97" t="s">
        <v>7</v>
      </c>
      <c r="E98" s="97" t="s">
        <v>178</v>
      </c>
      <c r="F98" s="68" t="s">
        <v>225</v>
      </c>
      <c r="G98" s="175">
        <v>4978</v>
      </c>
      <c r="H98" s="175">
        <v>0</v>
      </c>
      <c r="I98" s="175">
        <v>4</v>
      </c>
      <c r="J98" s="175">
        <v>0</v>
      </c>
      <c r="K98" s="175">
        <v>399</v>
      </c>
      <c r="L98" s="175">
        <v>0</v>
      </c>
      <c r="M98" s="175">
        <v>3136.81</v>
      </c>
      <c r="N98" s="175">
        <v>1446.39</v>
      </c>
      <c r="O98" s="175">
        <v>126.22</v>
      </c>
      <c r="P98" s="175">
        <v>152</v>
      </c>
      <c r="Q98" s="175">
        <v>4906.54</v>
      </c>
      <c r="R98" s="175">
        <v>1827.37</v>
      </c>
      <c r="S98" s="375">
        <f ca="1">SUM(G98:OFFSET(G98,0,$F$2-1))</f>
        <v>16976.329999999998</v>
      </c>
      <c r="T98" s="175">
        <f>SUM(G98:I98)</f>
        <v>4982</v>
      </c>
      <c r="U98" s="175">
        <f>SUM(J98:L98)</f>
        <v>399</v>
      </c>
      <c r="V98" s="175">
        <f>SUM(M98:O98)</f>
        <v>4709.42</v>
      </c>
      <c r="W98" s="175">
        <f>SUM(P98:R98)</f>
        <v>6885.91</v>
      </c>
      <c r="X98" s="178"/>
      <c r="Y98" s="179">
        <v>1860.54</v>
      </c>
      <c r="Z98" s="179">
        <v>0</v>
      </c>
      <c r="AA98" s="179">
        <v>198.7</v>
      </c>
      <c r="AB98" s="179">
        <v>0</v>
      </c>
      <c r="AC98" s="179">
        <v>0</v>
      </c>
      <c r="AD98" s="179">
        <v>163.09</v>
      </c>
      <c r="AE98" s="179">
        <v>3176.71</v>
      </c>
      <c r="AF98" s="179">
        <v>252.49</v>
      </c>
      <c r="AG98" s="179">
        <v>0</v>
      </c>
      <c r="AH98" s="179">
        <v>2786.83</v>
      </c>
      <c r="AI98" s="179">
        <v>571.87</v>
      </c>
      <c r="AJ98" s="179">
        <v>0</v>
      </c>
      <c r="AK98" s="375">
        <f ca="1">SUM(Y98:OFFSET(Y98,0,$F$2-1))</f>
        <v>9010.2300000000014</v>
      </c>
      <c r="AL98" s="97" t="s">
        <v>7</v>
      </c>
      <c r="AM98" s="97" t="s">
        <v>7</v>
      </c>
      <c r="AN98" s="375"/>
      <c r="AO98" s="375"/>
      <c r="AP98" s="375"/>
      <c r="AQ98" s="175">
        <f>SUM(Y98:AA98)</f>
        <v>2059.2399999999998</v>
      </c>
      <c r="AR98" s="175">
        <f>SUM(AB98:AD98)</f>
        <v>163.09</v>
      </c>
      <c r="AS98" s="175">
        <f>SUM(AE98:AG98)</f>
        <v>3429.2</v>
      </c>
      <c r="AT98" s="175">
        <f>SUM(AH98:AJ98)</f>
        <v>3358.7</v>
      </c>
      <c r="AU98" s="397"/>
      <c r="AV98" s="175">
        <v>2978</v>
      </c>
      <c r="AW98" s="175">
        <v>0</v>
      </c>
      <c r="AX98" s="175">
        <v>4</v>
      </c>
      <c r="AY98" s="175">
        <v>0</v>
      </c>
      <c r="AZ98" s="175">
        <v>399</v>
      </c>
      <c r="BA98" s="175">
        <v>0</v>
      </c>
      <c r="BB98" s="175">
        <v>206.5</v>
      </c>
      <c r="BC98" s="175">
        <v>122</v>
      </c>
      <c r="BD98" s="175">
        <v>5</v>
      </c>
      <c r="BE98" s="175">
        <v>1818</v>
      </c>
      <c r="BF98" s="175">
        <v>2814</v>
      </c>
      <c r="BG98" s="175">
        <v>2102</v>
      </c>
      <c r="BH98" s="375">
        <f ca="1">SUM(AV98:OFFSET(AV98,0,$F$2-1))</f>
        <v>10448.5</v>
      </c>
      <c r="BI98" s="175">
        <f>SUM(AV98:AX98)</f>
        <v>2982</v>
      </c>
      <c r="BJ98" s="175">
        <f>SUM(AY98:BA98)</f>
        <v>399</v>
      </c>
      <c r="BK98" s="175">
        <f>SUM(BB98:BD98)</f>
        <v>333.5</v>
      </c>
      <c r="BL98" s="175">
        <f>SUM(BE98:BG98)</f>
        <v>6734</v>
      </c>
      <c r="BM98" s="178"/>
      <c r="BN98" s="178"/>
      <c r="BO98" s="178"/>
      <c r="BP98" s="178">
        <v>4</v>
      </c>
      <c r="BQ98" s="178">
        <v>0</v>
      </c>
      <c r="BR98" s="178">
        <v>399</v>
      </c>
      <c r="BS98" s="178">
        <v>0</v>
      </c>
      <c r="BT98" s="178">
        <v>206.5</v>
      </c>
      <c r="BU98" s="178">
        <v>122</v>
      </c>
      <c r="BV98" s="178">
        <v>5</v>
      </c>
      <c r="BW98" s="178">
        <v>1818</v>
      </c>
      <c r="BX98" s="178">
        <v>2814</v>
      </c>
      <c r="BY98" s="178">
        <v>2102</v>
      </c>
      <c r="BZ98" s="375">
        <f ca="1">SUM(BN98:OFFSET(BN98,0,$F$2-1))</f>
        <v>7470.5</v>
      </c>
      <c r="CA98" s="175">
        <f>SUM(BN98:BP98)</f>
        <v>4</v>
      </c>
      <c r="CB98" s="175">
        <f>SUM(BQ98:BS98)</f>
        <v>399</v>
      </c>
      <c r="CC98" s="175">
        <f>SUM(BT98:BV98)</f>
        <v>333.5</v>
      </c>
      <c r="CD98" s="175">
        <f>SUM(BW98:BY98)</f>
        <v>6734</v>
      </c>
      <c r="CE98" s="178"/>
      <c r="CF98" s="97" t="s">
        <v>225</v>
      </c>
      <c r="CG98" s="397"/>
      <c r="CH98" s="178"/>
      <c r="CI98" s="178"/>
      <c r="CJ98" s="178">
        <f t="shared" si="158"/>
        <v>194.7</v>
      </c>
      <c r="CK98" s="178">
        <f t="shared" si="158"/>
        <v>0</v>
      </c>
      <c r="CL98" s="178">
        <f t="shared" si="158"/>
        <v>-399</v>
      </c>
      <c r="CM98" s="178">
        <f t="shared" si="158"/>
        <v>163.09</v>
      </c>
      <c r="CN98" s="178">
        <f t="shared" si="158"/>
        <v>2970.21</v>
      </c>
      <c r="CO98" s="178">
        <f t="shared" si="158"/>
        <v>130.49</v>
      </c>
      <c r="CP98" s="178">
        <f t="shared" si="158"/>
        <v>-5</v>
      </c>
      <c r="CQ98" s="178">
        <f t="shared" si="158"/>
        <v>968.82999999999993</v>
      </c>
      <c r="CR98" s="178"/>
      <c r="CS98" s="178"/>
      <c r="CU98" s="178">
        <f>SUM(Y98:AC98)+SUM(BS98:BY98)</f>
        <v>9126.74</v>
      </c>
      <c r="CV98" s="178">
        <v>12390.529999999999</v>
      </c>
      <c r="CW98" s="178">
        <f>SUM(AV98:BG98)</f>
        <v>10448.5</v>
      </c>
    </row>
    <row r="99" spans="2:101">
      <c r="B99" s="97"/>
      <c r="C99" s="97"/>
      <c r="D99" s="97" t="s">
        <v>532</v>
      </c>
      <c r="F99" s="385" t="s">
        <v>191</v>
      </c>
      <c r="G99" s="400">
        <f>SUM(G95:G98)</f>
        <v>54964.22</v>
      </c>
      <c r="H99" s="400">
        <f>SUM(H95:H98)</f>
        <v>48887.8</v>
      </c>
      <c r="I99" s="400">
        <f>SUM(I95:I98)</f>
        <v>51551.12</v>
      </c>
      <c r="J99" s="400">
        <f>SUM(J95:J98)</f>
        <v>49331.270000000004</v>
      </c>
      <c r="K99" s="400">
        <f>SUM(K95:K98)</f>
        <v>49606.26</v>
      </c>
      <c r="L99" s="400">
        <f t="shared" ref="L99:W99" si="159">SUM(L95:L98)</f>
        <v>48005.24</v>
      </c>
      <c r="M99" s="400">
        <f t="shared" si="159"/>
        <v>51777.78</v>
      </c>
      <c r="N99" s="400">
        <f t="shared" si="159"/>
        <v>49180.95</v>
      </c>
      <c r="O99" s="400">
        <f t="shared" si="159"/>
        <v>48582.87</v>
      </c>
      <c r="P99" s="400">
        <f t="shared" si="159"/>
        <v>48485.65</v>
      </c>
      <c r="Q99" s="400">
        <f t="shared" si="159"/>
        <v>52829.91</v>
      </c>
      <c r="R99" s="400">
        <f t="shared" si="159"/>
        <v>51281.8</v>
      </c>
      <c r="S99" s="400">
        <f t="shared" ca="1" si="159"/>
        <v>604484.86999999988</v>
      </c>
      <c r="T99" s="400">
        <f t="shared" si="159"/>
        <v>155403.14000000001</v>
      </c>
      <c r="U99" s="400">
        <f t="shared" si="159"/>
        <v>146942.77000000002</v>
      </c>
      <c r="V99" s="400">
        <f t="shared" si="159"/>
        <v>149541.6</v>
      </c>
      <c r="W99" s="400">
        <f t="shared" si="159"/>
        <v>152597.36000000002</v>
      </c>
      <c r="X99" s="386"/>
      <c r="Y99" s="400">
        <f>SUM(Y95:Y98)</f>
        <v>49685.53</v>
      </c>
      <c r="Z99" s="400">
        <f t="shared" ref="Z99:AT99" si="160">SUM(Z95:Z98)</f>
        <v>48593.14</v>
      </c>
      <c r="AA99" s="400">
        <f t="shared" si="160"/>
        <v>48669.29</v>
      </c>
      <c r="AB99" s="400">
        <f t="shared" si="160"/>
        <v>48279.17</v>
      </c>
      <c r="AC99" s="400">
        <f t="shared" si="160"/>
        <v>47572.19</v>
      </c>
      <c r="AD99" s="400">
        <f t="shared" si="160"/>
        <v>47418.759999999995</v>
      </c>
      <c r="AE99" s="400">
        <f t="shared" si="160"/>
        <v>50152.15</v>
      </c>
      <c r="AF99" s="400">
        <f t="shared" si="160"/>
        <v>45304.46</v>
      </c>
      <c r="AG99" s="400">
        <f>SUM(AG95:AG98)</f>
        <v>48174.03</v>
      </c>
      <c r="AH99" s="400">
        <f t="shared" si="160"/>
        <v>52599.030000000006</v>
      </c>
      <c r="AI99" s="400">
        <f t="shared" si="160"/>
        <v>51485.99</v>
      </c>
      <c r="AJ99" s="400">
        <f t="shared" si="160"/>
        <v>50137.84</v>
      </c>
      <c r="AK99" s="400">
        <f t="shared" ca="1" si="160"/>
        <v>588071.57999999996</v>
      </c>
      <c r="AL99" s="97"/>
      <c r="AM99" s="97"/>
      <c r="AN99" s="400"/>
      <c r="AO99" s="400"/>
      <c r="AP99" s="400"/>
      <c r="AQ99" s="400">
        <f t="shared" si="160"/>
        <v>146947.96</v>
      </c>
      <c r="AR99" s="400">
        <f t="shared" si="160"/>
        <v>143270.12</v>
      </c>
      <c r="AS99" s="400">
        <f t="shared" si="160"/>
        <v>143630.64000000001</v>
      </c>
      <c r="AT99" s="400">
        <f t="shared" si="160"/>
        <v>154222.86000000002</v>
      </c>
      <c r="AU99" s="181"/>
      <c r="AV99" s="400">
        <f>SUM(AV95:AV98)</f>
        <v>52964.22</v>
      </c>
      <c r="AW99" s="400">
        <f>SUM(AW95:AW98)</f>
        <v>48887.8</v>
      </c>
      <c r="AX99" s="400">
        <f>SUM(AX95:AX98)</f>
        <v>51551.12</v>
      </c>
      <c r="AY99" s="400">
        <f>SUM(AY95:AY98)</f>
        <v>49331.270000000004</v>
      </c>
      <c r="AZ99" s="400">
        <f>SUM(AZ95:AZ98)</f>
        <v>49606.26</v>
      </c>
      <c r="BA99" s="400">
        <f t="shared" ref="BA99:BL99" si="161">SUM(BA95:BA98)</f>
        <v>48005.24</v>
      </c>
      <c r="BB99" s="400">
        <f t="shared" si="161"/>
        <v>51338.559999999998</v>
      </c>
      <c r="BC99" s="400">
        <f t="shared" si="161"/>
        <v>49556.35</v>
      </c>
      <c r="BD99" s="400">
        <f t="shared" si="161"/>
        <v>49435.56</v>
      </c>
      <c r="BE99" s="400">
        <f t="shared" si="161"/>
        <v>53317.5</v>
      </c>
      <c r="BF99" s="400">
        <f t="shared" si="161"/>
        <v>54829.41</v>
      </c>
      <c r="BG99" s="400">
        <f t="shared" si="161"/>
        <v>53730.35</v>
      </c>
      <c r="BH99" s="400">
        <f t="shared" ca="1" si="161"/>
        <v>612553.64</v>
      </c>
      <c r="BI99" s="400">
        <f t="shared" si="161"/>
        <v>153403.14000000001</v>
      </c>
      <c r="BJ99" s="400">
        <f t="shared" si="161"/>
        <v>146942.77000000002</v>
      </c>
      <c r="BK99" s="400">
        <f t="shared" si="161"/>
        <v>150330.47</v>
      </c>
      <c r="BL99" s="400">
        <f t="shared" si="161"/>
        <v>161877.26</v>
      </c>
      <c r="BM99" s="386"/>
      <c r="BN99" s="400">
        <f>SUM(BN95:BN98)</f>
        <v>0</v>
      </c>
      <c r="BO99" s="400">
        <f>SUM(BO95:BO98)</f>
        <v>0</v>
      </c>
      <c r="BP99" s="400">
        <f>SUM(BP95:BP98)</f>
        <v>51551.12</v>
      </c>
      <c r="BQ99" s="400">
        <f>SUM(BQ95:BQ98)</f>
        <v>49331.270000000004</v>
      </c>
      <c r="BR99" s="400">
        <f>SUM(BR95:BR98)</f>
        <v>49606.26</v>
      </c>
      <c r="BS99" s="400">
        <f t="shared" ref="BS99:CD99" si="162">SUM(BS95:BS98)</f>
        <v>48005.24</v>
      </c>
      <c r="BT99" s="400">
        <f t="shared" si="162"/>
        <v>51338.559999999998</v>
      </c>
      <c r="BU99" s="400">
        <f t="shared" si="162"/>
        <v>49556.35</v>
      </c>
      <c r="BV99" s="400">
        <f t="shared" si="162"/>
        <v>46435.56</v>
      </c>
      <c r="BW99" s="400">
        <f t="shared" si="162"/>
        <v>50317.5</v>
      </c>
      <c r="BX99" s="400">
        <f t="shared" si="162"/>
        <v>51829.41</v>
      </c>
      <c r="BY99" s="400">
        <f t="shared" si="162"/>
        <v>50730.35</v>
      </c>
      <c r="BZ99" s="400">
        <f t="shared" ca="1" si="162"/>
        <v>498701.62</v>
      </c>
      <c r="CA99" s="400">
        <f t="shared" si="162"/>
        <v>51551.12</v>
      </c>
      <c r="CB99" s="400">
        <f t="shared" si="162"/>
        <v>146942.77000000002</v>
      </c>
      <c r="CC99" s="400">
        <f t="shared" si="162"/>
        <v>147330.47</v>
      </c>
      <c r="CD99" s="400">
        <f t="shared" si="162"/>
        <v>152877.26</v>
      </c>
      <c r="CE99" s="386"/>
      <c r="CF99" s="97"/>
      <c r="CH99" s="400"/>
      <c r="CI99" s="400"/>
      <c r="CJ99" s="400">
        <f t="shared" ref="CJ99:CS99" si="163">SUM(CJ95:CJ98)</f>
        <v>-2881.8299999999972</v>
      </c>
      <c r="CK99" s="400">
        <f t="shared" si="163"/>
        <v>-1052.1000000000049</v>
      </c>
      <c r="CL99" s="400">
        <f t="shared" si="163"/>
        <v>-2034.0699999999988</v>
      </c>
      <c r="CM99" s="400">
        <f t="shared" si="163"/>
        <v>-586.47999999999877</v>
      </c>
      <c r="CN99" s="400">
        <f t="shared" si="163"/>
        <v>-1186.4099999999999</v>
      </c>
      <c r="CO99" s="400">
        <f t="shared" si="163"/>
        <v>-4251.8900000000003</v>
      </c>
      <c r="CP99" s="400">
        <f t="shared" si="163"/>
        <v>1738.4699999999993</v>
      </c>
      <c r="CQ99" s="400">
        <f t="shared" si="163"/>
        <v>2281.5300000000025</v>
      </c>
      <c r="CR99" s="400">
        <f t="shared" si="163"/>
        <v>0</v>
      </c>
      <c r="CS99" s="400">
        <f t="shared" si="163"/>
        <v>0</v>
      </c>
      <c r="CU99" s="400">
        <f>SUM(CU95:CU98)</f>
        <v>591012.29</v>
      </c>
      <c r="CV99" s="400">
        <f>SUM(CV95:CV98)</f>
        <v>584987.51</v>
      </c>
      <c r="CW99" s="400">
        <f>SUM(CW95:CW98)</f>
        <v>612553.64</v>
      </c>
    </row>
    <row r="100" spans="2:101">
      <c r="B100" s="97"/>
      <c r="C100" s="97"/>
      <c r="D100" s="97" t="s">
        <v>532</v>
      </c>
      <c r="F100" s="284" t="s">
        <v>192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284"/>
      <c r="T100" s="62"/>
      <c r="U100" s="62"/>
      <c r="V100" s="62"/>
      <c r="W100" s="62"/>
      <c r="X100" s="178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284"/>
      <c r="AL100" s="97"/>
      <c r="AM100" s="97"/>
      <c r="AN100" s="284"/>
      <c r="AO100" s="284"/>
      <c r="AP100" s="284"/>
      <c r="AQ100" s="62"/>
      <c r="AR100" s="62"/>
      <c r="AS100" s="62"/>
      <c r="AT100" s="62"/>
      <c r="AU100" s="181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284"/>
      <c r="BI100" s="62"/>
      <c r="BJ100" s="62"/>
      <c r="BK100" s="62"/>
      <c r="BL100" s="62"/>
      <c r="BM100" s="178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284"/>
      <c r="CA100" s="62"/>
      <c r="CB100" s="62"/>
      <c r="CC100" s="62"/>
      <c r="CD100" s="62"/>
      <c r="CE100" s="178"/>
      <c r="CF100" s="97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U100" s="62"/>
      <c r="CV100" s="62"/>
      <c r="CW100" s="62"/>
    </row>
    <row r="101" spans="2:101" outlineLevel="1">
      <c r="B101" s="97"/>
      <c r="C101" s="97"/>
      <c r="D101" s="97" t="s">
        <v>8</v>
      </c>
      <c r="E101" s="97" t="s">
        <v>170</v>
      </c>
      <c r="F101" s="67" t="s">
        <v>172</v>
      </c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177">
        <f ca="1">SUM(G101:OFFSET(G101,0,$F$2-1))</f>
        <v>0</v>
      </c>
      <c r="T101" s="175">
        <f>SUM(G101:I101)</f>
        <v>0</v>
      </c>
      <c r="U101" s="175">
        <f>SUM(J101:L101)</f>
        <v>0</v>
      </c>
      <c r="V101" s="175">
        <f>SUM(M101:O101)</f>
        <v>0</v>
      </c>
      <c r="W101" s="175">
        <f>SUM(P101:R101)</f>
        <v>0</v>
      </c>
      <c r="X101" s="178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7">
        <f ca="1">SUM(Y101:OFFSET(Y101,0,$F$2-1))</f>
        <v>0</v>
      </c>
      <c r="AN101" s="177"/>
      <c r="AO101" s="177"/>
      <c r="AP101" s="177"/>
      <c r="AQ101" s="175">
        <f>SUM(Y101:AA101)</f>
        <v>0</v>
      </c>
      <c r="AR101" s="175">
        <f>SUM(AB101:AD101)</f>
        <v>0</v>
      </c>
      <c r="AS101" s="175">
        <f>SUM(AE101:AG101)</f>
        <v>0</v>
      </c>
      <c r="AT101" s="175">
        <f>SUM(AH101:AJ101)</f>
        <v>0</v>
      </c>
      <c r="AU101" s="181"/>
      <c r="AV101" s="392"/>
      <c r="AW101" s="392"/>
      <c r="AX101" s="392"/>
      <c r="AY101" s="392"/>
      <c r="AZ101" s="392"/>
      <c r="BA101" s="392"/>
      <c r="BB101" s="392"/>
      <c r="BC101" s="392"/>
      <c r="BD101" s="392"/>
      <c r="BE101" s="392"/>
      <c r="BF101" s="392"/>
      <c r="BG101" s="392"/>
      <c r="BH101" s="177">
        <f ca="1">SUM(AV101:OFFSET(AV101,0,$F$2-1))</f>
        <v>0</v>
      </c>
      <c r="BI101" s="175">
        <f>SUM(AV101:AX101)</f>
        <v>0</v>
      </c>
      <c r="BJ101" s="175">
        <f>SUM(AY101:BA101)</f>
        <v>0</v>
      </c>
      <c r="BK101" s="175">
        <f>SUM(BB101:BD101)</f>
        <v>0</v>
      </c>
      <c r="BL101" s="175">
        <f>SUM(BE101:BG101)</f>
        <v>0</v>
      </c>
      <c r="BM101" s="178"/>
      <c r="BN101" s="392"/>
      <c r="BO101" s="392"/>
      <c r="BP101" s="392"/>
      <c r="BQ101" s="392"/>
      <c r="BR101" s="392"/>
      <c r="BS101" s="392"/>
      <c r="BT101" s="392"/>
      <c r="BU101" s="392"/>
      <c r="BV101" s="392"/>
      <c r="BW101" s="392"/>
      <c r="BX101" s="392"/>
      <c r="BY101" s="392"/>
      <c r="BZ101" s="177">
        <f ca="1">SUM(BN101:OFFSET(BN101,0,$F$2-1))</f>
        <v>0</v>
      </c>
      <c r="CA101" s="175">
        <f>SUM(BN101:BP101)</f>
        <v>0</v>
      </c>
      <c r="CB101" s="175">
        <f>SUM(BQ101:BS101)</f>
        <v>0</v>
      </c>
      <c r="CC101" s="175">
        <f>SUM(BT101:BV101)</f>
        <v>0</v>
      </c>
      <c r="CD101" s="175">
        <f>SUM(BW101:BY101)</f>
        <v>0</v>
      </c>
      <c r="CE101" s="178"/>
      <c r="CF101" s="97"/>
      <c r="CH101" s="392"/>
      <c r="CI101" s="392"/>
      <c r="CJ101" s="392"/>
      <c r="CK101" s="392"/>
      <c r="CL101" s="392"/>
      <c r="CM101" s="392"/>
      <c r="CN101" s="392"/>
      <c r="CO101" s="392"/>
      <c r="CP101" s="392"/>
      <c r="CQ101" s="392"/>
      <c r="CR101" s="392"/>
      <c r="CS101" s="392"/>
      <c r="CU101" s="392"/>
      <c r="CV101" s="392"/>
      <c r="CW101" s="392"/>
    </row>
    <row r="102" spans="2:101" outlineLevel="1">
      <c r="B102" s="97"/>
      <c r="C102" s="97"/>
      <c r="D102" s="97"/>
      <c r="E102" s="97" t="s">
        <v>170</v>
      </c>
      <c r="F102" s="68"/>
      <c r="G102" s="403"/>
      <c r="H102" s="403"/>
      <c r="I102" s="403"/>
      <c r="J102" s="403"/>
      <c r="K102" s="403"/>
      <c r="L102" s="403"/>
      <c r="M102" s="403"/>
      <c r="N102" s="403"/>
      <c r="O102" s="403"/>
      <c r="P102" s="403"/>
      <c r="Q102" s="403"/>
      <c r="R102" s="403"/>
      <c r="S102" s="404">
        <f ca="1">SUM(G102:OFFSET(G102,0,$F$2-1))</f>
        <v>0</v>
      </c>
      <c r="T102" s="379">
        <f>SUM(G102:I102)</f>
        <v>0</v>
      </c>
      <c r="U102" s="379">
        <f>SUM(J102:L102)</f>
        <v>0</v>
      </c>
      <c r="V102" s="379">
        <f>SUM(M102:O102)</f>
        <v>0</v>
      </c>
      <c r="W102" s="379">
        <f>SUM(P102:R102)</f>
        <v>0</v>
      </c>
      <c r="X102" s="178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404">
        <f ca="1">SUM(Y102:OFFSET(Y102,0,$F$2-1))</f>
        <v>0</v>
      </c>
      <c r="AL102" s="97" t="s">
        <v>8</v>
      </c>
      <c r="AM102" s="97" t="s">
        <v>8</v>
      </c>
      <c r="AN102" s="404"/>
      <c r="AO102" s="404"/>
      <c r="AP102" s="404"/>
      <c r="AQ102" s="379">
        <f>SUM(Y102:AA102)</f>
        <v>0</v>
      </c>
      <c r="AR102" s="379">
        <f>SUM(AB102:AD102)</f>
        <v>0</v>
      </c>
      <c r="AS102" s="379">
        <f>SUM(AE102:AG102)</f>
        <v>0</v>
      </c>
      <c r="AT102" s="379">
        <f>SUM(AH102:AJ102)</f>
        <v>0</v>
      </c>
      <c r="AU102" s="181"/>
      <c r="AV102" s="403"/>
      <c r="AW102" s="403"/>
      <c r="AX102" s="403"/>
      <c r="AY102" s="403"/>
      <c r="AZ102" s="403"/>
      <c r="BA102" s="403"/>
      <c r="BB102" s="403"/>
      <c r="BC102" s="403"/>
      <c r="BD102" s="403"/>
      <c r="BE102" s="403"/>
      <c r="BF102" s="403"/>
      <c r="BG102" s="403"/>
      <c r="BH102" s="404">
        <f ca="1">SUM(AV102:OFFSET(AV102,0,$F$2-1))</f>
        <v>0</v>
      </c>
      <c r="BI102" s="379">
        <f>SUM(AV102:AX102)</f>
        <v>0</v>
      </c>
      <c r="BJ102" s="379">
        <f>SUM(AY102:BA102)</f>
        <v>0</v>
      </c>
      <c r="BK102" s="379">
        <f>SUM(BB102:BD102)</f>
        <v>0</v>
      </c>
      <c r="BL102" s="379">
        <f>SUM(BE102:BG102)</f>
        <v>0</v>
      </c>
      <c r="BM102" s="178"/>
      <c r="BN102" s="403"/>
      <c r="BO102" s="403"/>
      <c r="BP102" s="403"/>
      <c r="BQ102" s="403"/>
      <c r="BR102" s="403"/>
      <c r="BS102" s="403"/>
      <c r="BT102" s="403"/>
      <c r="BU102" s="403"/>
      <c r="BV102" s="403"/>
      <c r="BW102" s="403"/>
      <c r="BX102" s="403"/>
      <c r="BY102" s="403"/>
      <c r="BZ102" s="404">
        <f ca="1">SUM(BN102:OFFSET(BN102,0,$F$2-1))</f>
        <v>0</v>
      </c>
      <c r="CA102" s="379">
        <f>SUM(BN102:BP102)</f>
        <v>0</v>
      </c>
      <c r="CB102" s="379">
        <f>SUM(BQ102:BS102)</f>
        <v>0</v>
      </c>
      <c r="CC102" s="379">
        <f>SUM(BT102:BV102)</f>
        <v>0</v>
      </c>
      <c r="CD102" s="379">
        <f>SUM(BW102:BY102)</f>
        <v>0</v>
      </c>
      <c r="CE102" s="178"/>
      <c r="CF102" s="97"/>
      <c r="CH102" s="403"/>
      <c r="CI102" s="403"/>
      <c r="CJ102" s="403"/>
      <c r="CK102" s="403"/>
      <c r="CL102" s="403"/>
      <c r="CM102" s="403"/>
      <c r="CN102" s="403"/>
      <c r="CO102" s="403"/>
      <c r="CP102" s="403"/>
      <c r="CQ102" s="403"/>
      <c r="CR102" s="403"/>
      <c r="CS102" s="403"/>
      <c r="CU102" s="403"/>
      <c r="CV102" s="403"/>
      <c r="CW102" s="403"/>
    </row>
    <row r="103" spans="2:101">
      <c r="B103" s="97"/>
      <c r="C103" s="97"/>
      <c r="D103" s="97" t="s">
        <v>532</v>
      </c>
      <c r="F103" s="385" t="s">
        <v>193</v>
      </c>
      <c r="G103" s="177">
        <f t="shared" ref="G103:R103" si="164">+G101+G102</f>
        <v>0</v>
      </c>
      <c r="H103" s="177">
        <f t="shared" si="164"/>
        <v>0</v>
      </c>
      <c r="I103" s="177">
        <f t="shared" si="164"/>
        <v>0</v>
      </c>
      <c r="J103" s="177">
        <f t="shared" si="164"/>
        <v>0</v>
      </c>
      <c r="K103" s="177">
        <f t="shared" si="164"/>
        <v>0</v>
      </c>
      <c r="L103" s="177">
        <f t="shared" si="164"/>
        <v>0</v>
      </c>
      <c r="M103" s="177">
        <f t="shared" si="164"/>
        <v>0</v>
      </c>
      <c r="N103" s="177">
        <f t="shared" si="164"/>
        <v>0</v>
      </c>
      <c r="O103" s="177">
        <f t="shared" si="164"/>
        <v>0</v>
      </c>
      <c r="P103" s="177">
        <f t="shared" si="164"/>
        <v>0</v>
      </c>
      <c r="Q103" s="177">
        <f t="shared" si="164"/>
        <v>0</v>
      </c>
      <c r="R103" s="177">
        <f t="shared" si="164"/>
        <v>0</v>
      </c>
      <c r="S103" s="177">
        <f ca="1">SUM(S101:S102)</f>
        <v>0</v>
      </c>
      <c r="T103" s="177">
        <f>SUM(T101:T102)</f>
        <v>0</v>
      </c>
      <c r="U103" s="177">
        <f>SUM(U101:U102)</f>
        <v>0</v>
      </c>
      <c r="V103" s="177">
        <f>SUM(V101:V102)</f>
        <v>0</v>
      </c>
      <c r="W103" s="177">
        <f>SUM(W101:W102)</f>
        <v>0</v>
      </c>
      <c r="X103" s="178"/>
      <c r="Y103" s="177">
        <f t="shared" ref="Y103:AJ103" si="165">+Y101+Y102</f>
        <v>0</v>
      </c>
      <c r="Z103" s="177">
        <f t="shared" si="165"/>
        <v>0</v>
      </c>
      <c r="AA103" s="177">
        <f t="shared" si="165"/>
        <v>0</v>
      </c>
      <c r="AB103" s="177">
        <f t="shared" si="165"/>
        <v>0</v>
      </c>
      <c r="AC103" s="177">
        <f t="shared" si="165"/>
        <v>0</v>
      </c>
      <c r="AD103" s="177">
        <f t="shared" si="165"/>
        <v>0</v>
      </c>
      <c r="AE103" s="177">
        <f t="shared" si="165"/>
        <v>0</v>
      </c>
      <c r="AF103" s="177">
        <f t="shared" si="165"/>
        <v>0</v>
      </c>
      <c r="AG103" s="177">
        <f>+AG101+AG102</f>
        <v>0</v>
      </c>
      <c r="AH103" s="177">
        <f t="shared" si="165"/>
        <v>0</v>
      </c>
      <c r="AI103" s="177">
        <f t="shared" si="165"/>
        <v>0</v>
      </c>
      <c r="AJ103" s="177">
        <f t="shared" si="165"/>
        <v>0</v>
      </c>
      <c r="AK103" s="177">
        <f ca="1">SUM(AK101:AK102)</f>
        <v>0</v>
      </c>
      <c r="AL103" s="97" t="s">
        <v>8</v>
      </c>
      <c r="AM103" s="97" t="s">
        <v>8</v>
      </c>
      <c r="AN103" s="177"/>
      <c r="AO103" s="177"/>
      <c r="AP103" s="177"/>
      <c r="AQ103" s="177">
        <f>SUM(AQ101:AQ102)</f>
        <v>0</v>
      </c>
      <c r="AR103" s="177">
        <f>SUM(AR101:AR102)</f>
        <v>0</v>
      </c>
      <c r="AS103" s="177">
        <f>SUM(AS101:AS102)</f>
        <v>0</v>
      </c>
      <c r="AT103" s="177">
        <f>SUM(AT101:AT102)</f>
        <v>0</v>
      </c>
      <c r="AU103" s="181"/>
      <c r="AV103" s="177">
        <f t="shared" ref="AV103:BG103" si="166">+AV101+AV102</f>
        <v>0</v>
      </c>
      <c r="AW103" s="177">
        <f t="shared" si="166"/>
        <v>0</v>
      </c>
      <c r="AX103" s="177">
        <f t="shared" si="166"/>
        <v>0</v>
      </c>
      <c r="AY103" s="177">
        <f t="shared" si="166"/>
        <v>0</v>
      </c>
      <c r="AZ103" s="177">
        <f t="shared" si="166"/>
        <v>0</v>
      </c>
      <c r="BA103" s="177">
        <f t="shared" si="166"/>
        <v>0</v>
      </c>
      <c r="BB103" s="177">
        <f t="shared" si="166"/>
        <v>0</v>
      </c>
      <c r="BC103" s="177">
        <f t="shared" si="166"/>
        <v>0</v>
      </c>
      <c r="BD103" s="177">
        <f t="shared" si="166"/>
        <v>0</v>
      </c>
      <c r="BE103" s="177">
        <f t="shared" si="166"/>
        <v>0</v>
      </c>
      <c r="BF103" s="177">
        <f t="shared" si="166"/>
        <v>0</v>
      </c>
      <c r="BG103" s="177">
        <f t="shared" si="166"/>
        <v>0</v>
      </c>
      <c r="BH103" s="177">
        <f ca="1">SUM(BH101:BH102)</f>
        <v>0</v>
      </c>
      <c r="BI103" s="177">
        <f>SUM(BI101:BI102)</f>
        <v>0</v>
      </c>
      <c r="BJ103" s="177">
        <f>SUM(BJ101:BJ102)</f>
        <v>0</v>
      </c>
      <c r="BK103" s="177">
        <f>SUM(BK101:BK102)</f>
        <v>0</v>
      </c>
      <c r="BL103" s="177">
        <f>SUM(BL101:BL102)</f>
        <v>0</v>
      </c>
      <c r="BM103" s="178"/>
      <c r="BN103" s="177">
        <f t="shared" ref="BN103:BY103" si="167">+BN101+BN102</f>
        <v>0</v>
      </c>
      <c r="BO103" s="177">
        <f t="shared" si="167"/>
        <v>0</v>
      </c>
      <c r="BP103" s="177">
        <f t="shared" si="167"/>
        <v>0</v>
      </c>
      <c r="BQ103" s="177">
        <f t="shared" si="167"/>
        <v>0</v>
      </c>
      <c r="BR103" s="177">
        <f t="shared" si="167"/>
        <v>0</v>
      </c>
      <c r="BS103" s="177">
        <f t="shared" si="167"/>
        <v>0</v>
      </c>
      <c r="BT103" s="177">
        <f t="shared" si="167"/>
        <v>0</v>
      </c>
      <c r="BU103" s="177">
        <f t="shared" si="167"/>
        <v>0</v>
      </c>
      <c r="BV103" s="177">
        <f t="shared" si="167"/>
        <v>0</v>
      </c>
      <c r="BW103" s="177">
        <f t="shared" si="167"/>
        <v>0</v>
      </c>
      <c r="BX103" s="177">
        <f t="shared" si="167"/>
        <v>0</v>
      </c>
      <c r="BY103" s="177">
        <f t="shared" si="167"/>
        <v>0</v>
      </c>
      <c r="BZ103" s="177">
        <f ca="1">SUM(BZ101:BZ102)</f>
        <v>0</v>
      </c>
      <c r="CA103" s="177">
        <f>SUM(CA101:CA102)</f>
        <v>0</v>
      </c>
      <c r="CB103" s="177">
        <f>SUM(CB101:CB102)</f>
        <v>0</v>
      </c>
      <c r="CC103" s="177">
        <f>SUM(CC101:CC102)</f>
        <v>0</v>
      </c>
      <c r="CD103" s="177">
        <f>SUM(CD101:CD102)</f>
        <v>0</v>
      </c>
      <c r="CE103" s="178"/>
      <c r="CF103" s="97"/>
      <c r="CH103" s="177"/>
      <c r="CI103" s="177"/>
      <c r="CJ103" s="177">
        <f t="shared" ref="CJ103:CS103" si="168">+CJ101+CJ102</f>
        <v>0</v>
      </c>
      <c r="CK103" s="177">
        <f t="shared" si="168"/>
        <v>0</v>
      </c>
      <c r="CL103" s="177">
        <f t="shared" si="168"/>
        <v>0</v>
      </c>
      <c r="CM103" s="177">
        <f t="shared" si="168"/>
        <v>0</v>
      </c>
      <c r="CN103" s="177">
        <f t="shared" si="168"/>
        <v>0</v>
      </c>
      <c r="CO103" s="177">
        <f t="shared" si="168"/>
        <v>0</v>
      </c>
      <c r="CP103" s="177">
        <f t="shared" si="168"/>
        <v>0</v>
      </c>
      <c r="CQ103" s="177">
        <f t="shared" si="168"/>
        <v>0</v>
      </c>
      <c r="CR103" s="177">
        <f t="shared" si="168"/>
        <v>0</v>
      </c>
      <c r="CS103" s="177">
        <f t="shared" si="168"/>
        <v>0</v>
      </c>
      <c r="CU103" s="177">
        <f>+CU101+CU102</f>
        <v>0</v>
      </c>
      <c r="CV103" s="177">
        <f>+CV101+CV102</f>
        <v>0</v>
      </c>
      <c r="CW103" s="177">
        <f>+CW101+CW102</f>
        <v>0</v>
      </c>
    </row>
    <row r="104" spans="2:101">
      <c r="B104" s="97"/>
      <c r="C104" s="97"/>
      <c r="D104" s="97" t="s">
        <v>532</v>
      </c>
      <c r="F104" s="289" t="s">
        <v>194</v>
      </c>
      <c r="G104" s="348">
        <f t="shared" ref="G104:R104" si="169">+G17+G26+G67+G76+G93+G99+G103</f>
        <v>5918394.3749999879</v>
      </c>
      <c r="H104" s="348">
        <f t="shared" si="169"/>
        <v>5589811.6000000099</v>
      </c>
      <c r="I104" s="348">
        <f t="shared" si="169"/>
        <v>5412596.2699999753</v>
      </c>
      <c r="J104" s="348">
        <f t="shared" si="169"/>
        <v>4747497.6099999631</v>
      </c>
      <c r="K104" s="348">
        <f t="shared" si="169"/>
        <v>4700244.2399999741</v>
      </c>
      <c r="L104" s="348">
        <f t="shared" si="169"/>
        <v>4507747.3899999969</v>
      </c>
      <c r="M104" s="348">
        <f t="shared" si="169"/>
        <v>4557595.1900000004</v>
      </c>
      <c r="N104" s="348">
        <f t="shared" si="169"/>
        <v>4489140.6399999931</v>
      </c>
      <c r="O104" s="348">
        <f t="shared" si="169"/>
        <v>4448435.8099999949</v>
      </c>
      <c r="P104" s="348">
        <f t="shared" si="169"/>
        <v>4592182.5600000098</v>
      </c>
      <c r="Q104" s="348">
        <f t="shared" si="169"/>
        <v>4921083.4099999908</v>
      </c>
      <c r="R104" s="348">
        <f t="shared" si="169"/>
        <v>5689111.6299999813</v>
      </c>
      <c r="S104" s="348">
        <f ca="1">+S17+S26+S67+S76+S93+S99+S103</f>
        <v>59573840.724999867</v>
      </c>
      <c r="T104" s="348">
        <f>+T17+T26+T67+T76+T93+T99+T103</f>
        <v>16920802.244999979</v>
      </c>
      <c r="U104" s="348">
        <f>+U17+U26+U67+U76+U93+U99+U103</f>
        <v>13955489.239999933</v>
      </c>
      <c r="V104" s="348">
        <f>+V17+V26+V67+V76+V93+V99+V103</f>
        <v>13495171.639999988</v>
      </c>
      <c r="W104" s="348">
        <f>+W17+W26+W67+W76+W93+W99+W103</f>
        <v>15202377.599999977</v>
      </c>
      <c r="X104" s="405"/>
      <c r="Y104" s="348">
        <f t="shared" ref="Y104:AJ104" si="170">+Y17+Y26+Y67+Y76+Y93+Y99+Y103</f>
        <v>6281553.3599999957</v>
      </c>
      <c r="Z104" s="348">
        <f t="shared" si="170"/>
        <v>5609673.5499999905</v>
      </c>
      <c r="AA104" s="348">
        <f t="shared" si="170"/>
        <v>5527795.7299999874</v>
      </c>
      <c r="AB104" s="348">
        <f t="shared" si="170"/>
        <v>5490447.5699999826</v>
      </c>
      <c r="AC104" s="348">
        <f t="shared" si="170"/>
        <v>5060930.9799999855</v>
      </c>
      <c r="AD104" s="348">
        <f t="shared" si="170"/>
        <v>4750480.7099999916</v>
      </c>
      <c r="AE104" s="348">
        <f t="shared" si="170"/>
        <v>4819704.5499999961</v>
      </c>
      <c r="AF104" s="348">
        <f t="shared" si="170"/>
        <v>4633473.0499999924</v>
      </c>
      <c r="AG104" s="348">
        <f>+AG17+AG26+AG67+AG76+AG93+AG99+AG103</f>
        <v>4745807.7299999893</v>
      </c>
      <c r="AH104" s="348">
        <f t="shared" si="170"/>
        <v>4838628.4999999842</v>
      </c>
      <c r="AI104" s="348">
        <f t="shared" si="170"/>
        <v>5174392.4599999916</v>
      </c>
      <c r="AJ104" s="348">
        <f t="shared" si="170"/>
        <v>5718677.5699999975</v>
      </c>
      <c r="AK104" s="348">
        <f ca="1">+AK17+AK26+AK67+AK76+AK93+AK99+AK103</f>
        <v>62651565.759999886</v>
      </c>
      <c r="AL104" s="97"/>
      <c r="AM104" s="97"/>
      <c r="AN104" s="348"/>
      <c r="AO104" s="348"/>
      <c r="AP104" s="348"/>
      <c r="AQ104" s="348">
        <f>+AQ17+AQ26+AQ67+AQ76+AQ93+AQ99+AQ103</f>
        <v>17419022.639999971</v>
      </c>
      <c r="AR104" s="348">
        <f>+AR17+AR26+AR67+AR76+AR93+AR99+AR103</f>
        <v>15301859.259999961</v>
      </c>
      <c r="AS104" s="348">
        <f>+AS17+AS26+AS67+AS76+AS93+AS99+AS103</f>
        <v>14198985.32999998</v>
      </c>
      <c r="AT104" s="348">
        <f>+AT17+AT26+AT67+AT76+AT93+AT99+AT103</f>
        <v>15731698.529999973</v>
      </c>
      <c r="AU104" s="181"/>
      <c r="AV104" s="348">
        <f t="shared" ref="AV104:BL104" si="171">+AV17+AV26+AV67+AV76+AV93+AV99+AV103</f>
        <v>6246810.890273558</v>
      </c>
      <c r="AW104" s="348">
        <f t="shared" si="171"/>
        <v>5701321.0483805891</v>
      </c>
      <c r="AX104" s="348">
        <f t="shared" si="171"/>
        <v>5481930.7324247537</v>
      </c>
      <c r="AY104" s="348">
        <f t="shared" si="171"/>
        <v>5248949.2658806294</v>
      </c>
      <c r="AZ104" s="348">
        <f t="shared" si="171"/>
        <v>4909362.0715078246</v>
      </c>
      <c r="BA104" s="348">
        <f t="shared" si="171"/>
        <v>4748498.5740252826</v>
      </c>
      <c r="BB104" s="348">
        <f t="shared" si="171"/>
        <v>4622273.9109054692</v>
      </c>
      <c r="BC104" s="348">
        <f t="shared" si="171"/>
        <v>4681310.633370135</v>
      </c>
      <c r="BD104" s="348">
        <f t="shared" si="171"/>
        <v>4653448.5687229903</v>
      </c>
      <c r="BE104" s="348">
        <f t="shared" si="171"/>
        <v>4736497.913314458</v>
      </c>
      <c r="BF104" s="348">
        <f t="shared" si="171"/>
        <v>5208601.2146857129</v>
      </c>
      <c r="BG104" s="348">
        <f t="shared" si="171"/>
        <v>5859503.2438594121</v>
      </c>
      <c r="BH104" s="348">
        <f t="shared" ca="1" si="171"/>
        <v>62098508.067350812</v>
      </c>
      <c r="BI104" s="348">
        <f t="shared" si="171"/>
        <v>17430062.671078902</v>
      </c>
      <c r="BJ104" s="348">
        <f t="shared" si="171"/>
        <v>14906809.911413737</v>
      </c>
      <c r="BK104" s="348">
        <f t="shared" si="171"/>
        <v>13957033.112998597</v>
      </c>
      <c r="BL104" s="348">
        <f t="shared" si="171"/>
        <v>15804602.371859584</v>
      </c>
      <c r="BM104" s="405"/>
      <c r="BN104" s="348">
        <f t="shared" ref="BN104:CD104" si="172">+BN17+BN26+BN67+BN76+BN93+BN99+BN103</f>
        <v>0</v>
      </c>
      <c r="BO104" s="348">
        <f t="shared" si="172"/>
        <v>0</v>
      </c>
      <c r="BP104" s="348">
        <f t="shared" si="172"/>
        <v>5446464.9491803078</v>
      </c>
      <c r="BQ104" s="348">
        <f t="shared" si="172"/>
        <v>5361227.0722031891</v>
      </c>
      <c r="BR104" s="348">
        <f t="shared" si="172"/>
        <v>4964790.7439166047</v>
      </c>
      <c r="BS104" s="348">
        <f t="shared" si="172"/>
        <v>4776127.2885068981</v>
      </c>
      <c r="BT104" s="348">
        <f t="shared" si="172"/>
        <v>4549502.3324053306</v>
      </c>
      <c r="BU104" s="348">
        <f t="shared" si="172"/>
        <v>4625816.5060990993</v>
      </c>
      <c r="BV104" s="348">
        <f t="shared" si="172"/>
        <v>4619085.0540043795</v>
      </c>
      <c r="BW104" s="348">
        <f t="shared" si="172"/>
        <v>4686322.8815382542</v>
      </c>
      <c r="BX104" s="348">
        <f t="shared" si="172"/>
        <v>5173227.9005647199</v>
      </c>
      <c r="BY104" s="348">
        <f t="shared" si="172"/>
        <v>5825744.5941518638</v>
      </c>
      <c r="BZ104" s="348">
        <f t="shared" ca="1" si="172"/>
        <v>50028309.322570652</v>
      </c>
      <c r="CA104" s="348">
        <f t="shared" si="172"/>
        <v>5446464.9491803078</v>
      </c>
      <c r="CB104" s="348">
        <f t="shared" si="172"/>
        <v>15102145.104626689</v>
      </c>
      <c r="CC104" s="348">
        <f t="shared" si="172"/>
        <v>13794403.892508812</v>
      </c>
      <c r="CD104" s="348">
        <f t="shared" si="172"/>
        <v>15685295.376254842</v>
      </c>
      <c r="CE104" s="405"/>
      <c r="CF104" s="97"/>
      <c r="CH104" s="348"/>
      <c r="CI104" s="348"/>
      <c r="CJ104" s="348">
        <f t="shared" ref="CJ104:CS104" si="173">+CJ17+CJ26+CJ67+CJ76+CJ93+CJ99+CJ103</f>
        <v>81330.780819679261</v>
      </c>
      <c r="CK104" s="348">
        <f t="shared" si="173"/>
        <v>129220.49779679322</v>
      </c>
      <c r="CL104" s="348">
        <f t="shared" si="173"/>
        <v>96140.236083380834</v>
      </c>
      <c r="CM104" s="348">
        <f t="shared" si="173"/>
        <v>-25646.57850690671</v>
      </c>
      <c r="CN104" s="348">
        <f t="shared" si="173"/>
        <v>270202.21759466385</v>
      </c>
      <c r="CO104" s="348">
        <f t="shared" si="173"/>
        <v>7656.5439008933799</v>
      </c>
      <c r="CP104" s="348">
        <f t="shared" si="173"/>
        <v>126722.67599560958</v>
      </c>
      <c r="CQ104" s="348">
        <f t="shared" si="173"/>
        <v>152305.61846172993</v>
      </c>
      <c r="CR104" s="348">
        <f t="shared" si="173"/>
        <v>0</v>
      </c>
      <c r="CS104" s="348">
        <f t="shared" si="173"/>
        <v>0</v>
      </c>
      <c r="CU104" s="348">
        <f>+CU17+CU26+CU67+CU76+CU93+CU99+CU103</f>
        <v>26831711.107312024</v>
      </c>
      <c r="CV104" s="348" t="e">
        <f>+CV17+CV26+CV67+CV76+CV93+CV99+CV103</f>
        <v>#VALUE!</v>
      </c>
      <c r="CW104" s="348">
        <f>+CW17+CW26+CW67+CW76+CW93+CW99+CW103</f>
        <v>26228018.420053616</v>
      </c>
    </row>
    <row r="105" spans="2:101">
      <c r="B105" s="97"/>
      <c r="C105" s="97"/>
      <c r="D105" s="97" t="s">
        <v>532</v>
      </c>
      <c r="F105" s="350" t="s">
        <v>195</v>
      </c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284"/>
      <c r="T105" s="62"/>
      <c r="U105" s="62"/>
      <c r="V105" s="62"/>
      <c r="W105" s="62"/>
      <c r="X105" s="178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284"/>
      <c r="AL105" s="97"/>
      <c r="AM105" s="97"/>
      <c r="AN105" s="284"/>
      <c r="AO105" s="284"/>
      <c r="AP105" s="284"/>
      <c r="AQ105" s="62"/>
      <c r="AR105" s="62"/>
      <c r="AS105" s="62"/>
      <c r="AT105" s="62"/>
      <c r="AU105" s="181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284"/>
      <c r="BI105" s="62"/>
      <c r="BJ105" s="62"/>
      <c r="BK105" s="62"/>
      <c r="BL105" s="62"/>
      <c r="BM105" s="178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284"/>
      <c r="CA105" s="62"/>
      <c r="CB105" s="62"/>
      <c r="CC105" s="62"/>
      <c r="CD105" s="62"/>
      <c r="CE105" s="178"/>
      <c r="CF105" s="97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U105" s="62"/>
      <c r="CV105" s="62"/>
      <c r="CW105" s="62"/>
    </row>
    <row r="106" spans="2:101" outlineLevel="1">
      <c r="B106" s="97" t="s">
        <v>196</v>
      </c>
      <c r="C106" s="97" t="s">
        <v>586</v>
      </c>
      <c r="D106" s="97" t="s">
        <v>7</v>
      </c>
      <c r="E106" s="97" t="s">
        <v>178</v>
      </c>
      <c r="F106" s="67" t="s">
        <v>196</v>
      </c>
      <c r="G106" s="392"/>
      <c r="H106" s="392"/>
      <c r="I106" s="392"/>
      <c r="J106" s="392"/>
      <c r="K106" s="392"/>
      <c r="L106" s="392"/>
      <c r="M106" s="394"/>
      <c r="N106" s="394"/>
      <c r="O106" s="394"/>
      <c r="P106" s="394"/>
      <c r="Q106" s="394"/>
      <c r="R106" s="175">
        <v>95704</v>
      </c>
      <c r="S106" s="177">
        <f ca="1">SUM(G106:OFFSET(G106,0,$F$2-1))</f>
        <v>95704</v>
      </c>
      <c r="T106" s="175">
        <f>SUM(G106:I106)</f>
        <v>0</v>
      </c>
      <c r="U106" s="175">
        <f>SUM(J106:L106)</f>
        <v>0</v>
      </c>
      <c r="V106" s="175">
        <f>SUM(M106:O106)</f>
        <v>0</v>
      </c>
      <c r="W106" s="175">
        <f>SUM(P106:R106)</f>
        <v>95704</v>
      </c>
      <c r="X106" s="178"/>
      <c r="Y106" s="179">
        <v>95704</v>
      </c>
      <c r="Z106" s="179">
        <v>86442</v>
      </c>
      <c r="AA106" s="179">
        <v>95704</v>
      </c>
      <c r="AB106" s="179">
        <v>92617</v>
      </c>
      <c r="AC106" s="179">
        <v>95704</v>
      </c>
      <c r="AD106" s="179">
        <v>92617</v>
      </c>
      <c r="AE106" s="179">
        <v>95704</v>
      </c>
      <c r="AF106" s="398">
        <v>95704</v>
      </c>
      <c r="AG106" s="398">
        <v>92617</v>
      </c>
      <c r="AH106" s="398">
        <v>95704</v>
      </c>
      <c r="AI106" s="398">
        <v>92617</v>
      </c>
      <c r="AJ106" s="398">
        <v>95704</v>
      </c>
      <c r="AK106" s="177">
        <f ca="1">SUM(Y106:OFFSET(Y106,0,$F$2-1))</f>
        <v>1126838</v>
      </c>
      <c r="AL106" s="97" t="s">
        <v>7</v>
      </c>
      <c r="AM106" s="97" t="s">
        <v>7</v>
      </c>
      <c r="AN106" s="177"/>
      <c r="AO106" s="177"/>
      <c r="AP106" s="177"/>
      <c r="AQ106" s="175">
        <f>SUM(Y106:AA106)</f>
        <v>277850</v>
      </c>
      <c r="AR106" s="175">
        <f>SUM(AB106:AD106)</f>
        <v>280938</v>
      </c>
      <c r="AS106" s="175">
        <f>SUM(AE106:AG106)</f>
        <v>284025</v>
      </c>
      <c r="AT106" s="175">
        <f>SUM(AH106:AJ106)</f>
        <v>284025</v>
      </c>
      <c r="AU106" s="397"/>
      <c r="AV106" s="175">
        <v>95704</v>
      </c>
      <c r="AW106" s="175">
        <v>86442</v>
      </c>
      <c r="AX106" s="175">
        <v>95704</v>
      </c>
      <c r="AY106" s="175">
        <v>92617</v>
      </c>
      <c r="AZ106" s="175">
        <v>95704</v>
      </c>
      <c r="BA106" s="175">
        <v>92617</v>
      </c>
      <c r="BB106" s="176">
        <v>95704</v>
      </c>
      <c r="BC106" s="176">
        <v>95704</v>
      </c>
      <c r="BD106" s="176">
        <v>92617</v>
      </c>
      <c r="BE106" s="176">
        <v>95704</v>
      </c>
      <c r="BF106" s="176">
        <v>92617</v>
      </c>
      <c r="BG106" s="175">
        <v>95704</v>
      </c>
      <c r="BH106" s="177">
        <f ca="1">SUM(AV106:OFFSET(AV106,0,$F$2-1))</f>
        <v>1126838</v>
      </c>
      <c r="BI106" s="175">
        <f>SUM(AV106:AX106)</f>
        <v>277850</v>
      </c>
      <c r="BJ106" s="175">
        <f>SUM(AY106:BA106)</f>
        <v>280938</v>
      </c>
      <c r="BK106" s="175">
        <f>SUM(BB106:BD106)</f>
        <v>284025</v>
      </c>
      <c r="BL106" s="175">
        <f>SUM(BE106:BG106)</f>
        <v>284025</v>
      </c>
      <c r="BM106" s="178"/>
      <c r="BN106" s="179"/>
      <c r="BO106" s="179"/>
      <c r="BP106" s="179">
        <v>95704</v>
      </c>
      <c r="BQ106" s="179">
        <v>92617</v>
      </c>
      <c r="BR106" s="179">
        <v>95704</v>
      </c>
      <c r="BS106" s="179">
        <v>92617</v>
      </c>
      <c r="BT106" s="398">
        <v>95704</v>
      </c>
      <c r="BU106" s="398">
        <v>95704</v>
      </c>
      <c r="BV106" s="398">
        <v>92617</v>
      </c>
      <c r="BW106" s="398">
        <v>95704</v>
      </c>
      <c r="BX106" s="398">
        <v>92617</v>
      </c>
      <c r="BY106" s="179">
        <v>95704</v>
      </c>
      <c r="BZ106" s="177">
        <f ca="1">SUM(BN106:OFFSET(BN106,0,$F$2-1))</f>
        <v>944692</v>
      </c>
      <c r="CA106" s="175">
        <f>SUM(BN106:BP106)</f>
        <v>95704</v>
      </c>
      <c r="CB106" s="175">
        <f>SUM(BQ106:BS106)</f>
        <v>280938</v>
      </c>
      <c r="CC106" s="175">
        <f>SUM(BT106:BV106)</f>
        <v>284025</v>
      </c>
      <c r="CD106" s="175">
        <f>SUM(BW106:BY106)</f>
        <v>284025</v>
      </c>
      <c r="CE106" s="178"/>
      <c r="CF106" s="97" t="s">
        <v>196</v>
      </c>
      <c r="CH106" s="179"/>
      <c r="CI106" s="179"/>
      <c r="CJ106" s="179">
        <f t="shared" ref="CJ106:CQ108" si="174">AA106-BP106</f>
        <v>0</v>
      </c>
      <c r="CK106" s="179">
        <f t="shared" si="174"/>
        <v>0</v>
      </c>
      <c r="CL106" s="179">
        <f t="shared" si="174"/>
        <v>0</v>
      </c>
      <c r="CM106" s="179">
        <f t="shared" si="174"/>
        <v>0</v>
      </c>
      <c r="CN106" s="179">
        <f t="shared" si="174"/>
        <v>0</v>
      </c>
      <c r="CO106" s="179">
        <f t="shared" si="174"/>
        <v>0</v>
      </c>
      <c r="CP106" s="179">
        <f t="shared" si="174"/>
        <v>0</v>
      </c>
      <c r="CQ106" s="179">
        <f t="shared" si="174"/>
        <v>0</v>
      </c>
      <c r="CR106" s="179"/>
      <c r="CS106" s="179"/>
      <c r="CU106" s="179">
        <f>SUM(Y106:AC106)+SUM(BS106:BY106)</f>
        <v>1126838</v>
      </c>
      <c r="CV106" s="179">
        <v>1126838</v>
      </c>
      <c r="CW106" s="179">
        <f>SUM(AV106:BG106)</f>
        <v>1126838</v>
      </c>
    </row>
    <row r="107" spans="2:101" outlineLevel="1">
      <c r="B107" s="97" t="s">
        <v>197</v>
      </c>
      <c r="C107" s="97" t="s">
        <v>586</v>
      </c>
      <c r="D107" s="97" t="s">
        <v>8</v>
      </c>
      <c r="E107" s="97" t="s">
        <v>170</v>
      </c>
      <c r="F107" s="67" t="s">
        <v>197</v>
      </c>
      <c r="G107" s="175">
        <v>9800</v>
      </c>
      <c r="H107" s="175">
        <v>9800</v>
      </c>
      <c r="I107" s="175">
        <v>9800</v>
      </c>
      <c r="J107" s="175">
        <v>9800</v>
      </c>
      <c r="K107" s="175">
        <v>9800</v>
      </c>
      <c r="L107" s="175">
        <v>9800</v>
      </c>
      <c r="M107" s="176">
        <v>9800</v>
      </c>
      <c r="N107" s="176">
        <v>9800</v>
      </c>
      <c r="O107" s="176">
        <v>9800</v>
      </c>
      <c r="P107" s="176">
        <v>9800</v>
      </c>
      <c r="Q107" s="176">
        <v>9800</v>
      </c>
      <c r="R107" s="175">
        <v>9800</v>
      </c>
      <c r="S107" s="177">
        <f ca="1">SUM(G107:OFFSET(G107,0,$F$2-1))</f>
        <v>117600</v>
      </c>
      <c r="T107" s="175">
        <f>SUM(G107:I107)</f>
        <v>29400</v>
      </c>
      <c r="U107" s="175">
        <f>SUM(J107:L107)</f>
        <v>29400</v>
      </c>
      <c r="V107" s="175">
        <f>SUM(M107:O107)</f>
        <v>29400</v>
      </c>
      <c r="W107" s="175">
        <f>SUM(P107:R107)</f>
        <v>29400</v>
      </c>
      <c r="X107" s="178"/>
      <c r="Y107" s="179">
        <v>9800</v>
      </c>
      <c r="Z107" s="179">
        <v>9800</v>
      </c>
      <c r="AA107" s="179">
        <v>9800</v>
      </c>
      <c r="AB107" s="179">
        <v>9800</v>
      </c>
      <c r="AC107" s="179">
        <v>9800</v>
      </c>
      <c r="AD107" s="179">
        <v>9800</v>
      </c>
      <c r="AE107" s="179">
        <v>9800</v>
      </c>
      <c r="AF107" s="179">
        <v>9800</v>
      </c>
      <c r="AG107" s="179">
        <v>9800</v>
      </c>
      <c r="AH107" s="398">
        <v>9800</v>
      </c>
      <c r="AI107" s="398">
        <v>9800</v>
      </c>
      <c r="AJ107" s="398">
        <v>9800</v>
      </c>
      <c r="AK107" s="177">
        <f ca="1">SUM(Y107:OFFSET(Y107,0,$F$2-1))</f>
        <v>117600</v>
      </c>
      <c r="AL107" s="97" t="s">
        <v>8</v>
      </c>
      <c r="AM107" s="97" t="s">
        <v>8</v>
      </c>
      <c r="AN107" s="177"/>
      <c r="AO107" s="177"/>
      <c r="AP107" s="177"/>
      <c r="AQ107" s="175">
        <f>SUM(Y107:AA107)</f>
        <v>29400</v>
      </c>
      <c r="AR107" s="175">
        <f>SUM(AB107:AD107)</f>
        <v>29400</v>
      </c>
      <c r="AS107" s="175">
        <f>SUM(AE107:AG107)</f>
        <v>29400</v>
      </c>
      <c r="AT107" s="175">
        <f>SUM(AH107:AJ107)</f>
        <v>29400</v>
      </c>
      <c r="AU107" s="397"/>
      <c r="AV107" s="175">
        <v>9800</v>
      </c>
      <c r="AW107" s="175">
        <v>9800</v>
      </c>
      <c r="AX107" s="175">
        <v>9800</v>
      </c>
      <c r="AY107" s="175">
        <v>9800</v>
      </c>
      <c r="AZ107" s="175">
        <v>9800</v>
      </c>
      <c r="BA107" s="175">
        <v>9800</v>
      </c>
      <c r="BB107" s="176">
        <v>9800</v>
      </c>
      <c r="BC107" s="176">
        <v>9800</v>
      </c>
      <c r="BD107" s="176">
        <v>9800</v>
      </c>
      <c r="BE107" s="176">
        <v>9800</v>
      </c>
      <c r="BF107" s="176">
        <v>9800</v>
      </c>
      <c r="BG107" s="175">
        <v>9800</v>
      </c>
      <c r="BH107" s="177">
        <f ca="1">SUM(AV107:OFFSET(AV107,0,$F$2-1))</f>
        <v>117600</v>
      </c>
      <c r="BI107" s="175">
        <f>SUM(AV107:AX107)</f>
        <v>29400</v>
      </c>
      <c r="BJ107" s="175">
        <f>SUM(AY107:BA107)</f>
        <v>29400</v>
      </c>
      <c r="BK107" s="175">
        <f>SUM(BB107:BD107)</f>
        <v>29400</v>
      </c>
      <c r="BL107" s="175">
        <f>SUM(BE107:BG107)</f>
        <v>29400</v>
      </c>
      <c r="BM107" s="178"/>
      <c r="BN107" s="178"/>
      <c r="BO107" s="178"/>
      <c r="BP107" s="178">
        <v>9800</v>
      </c>
      <c r="BQ107" s="178">
        <v>9800</v>
      </c>
      <c r="BR107" s="178">
        <v>9800</v>
      </c>
      <c r="BS107" s="178">
        <v>9800</v>
      </c>
      <c r="BT107" s="378">
        <v>9800</v>
      </c>
      <c r="BU107" s="378">
        <v>9800</v>
      </c>
      <c r="BV107" s="378">
        <v>9800</v>
      </c>
      <c r="BW107" s="378">
        <v>9800</v>
      </c>
      <c r="BX107" s="378">
        <v>9800</v>
      </c>
      <c r="BY107" s="178">
        <v>9800</v>
      </c>
      <c r="BZ107" s="177">
        <f ca="1">SUM(BN107:OFFSET(BN107,0,$F$2-1))</f>
        <v>98000</v>
      </c>
      <c r="CA107" s="175">
        <f>SUM(BN107:BP107)</f>
        <v>9800</v>
      </c>
      <c r="CB107" s="175">
        <f>SUM(BQ107:BS107)</f>
        <v>29400</v>
      </c>
      <c r="CC107" s="175">
        <f>SUM(BT107:BV107)</f>
        <v>29400</v>
      </c>
      <c r="CD107" s="175">
        <f>SUM(BW107:BY107)</f>
        <v>29400</v>
      </c>
      <c r="CE107" s="178"/>
      <c r="CF107" s="97" t="s">
        <v>197</v>
      </c>
      <c r="CH107" s="178"/>
      <c r="CI107" s="178"/>
      <c r="CJ107" s="178">
        <f t="shared" si="174"/>
        <v>0</v>
      </c>
      <c r="CK107" s="178">
        <f t="shared" si="174"/>
        <v>0</v>
      </c>
      <c r="CL107" s="178">
        <f t="shared" si="174"/>
        <v>0</v>
      </c>
      <c r="CM107" s="178">
        <f t="shared" si="174"/>
        <v>0</v>
      </c>
      <c r="CN107" s="178">
        <f t="shared" si="174"/>
        <v>0</v>
      </c>
      <c r="CO107" s="178">
        <f t="shared" si="174"/>
        <v>0</v>
      </c>
      <c r="CP107" s="178">
        <f t="shared" si="174"/>
        <v>0</v>
      </c>
      <c r="CQ107" s="178">
        <f t="shared" si="174"/>
        <v>0</v>
      </c>
      <c r="CR107" s="178"/>
      <c r="CS107" s="178"/>
      <c r="CU107" s="178">
        <f>SUM(Y107:AC107)+SUM(BS107:BY107)</f>
        <v>117600</v>
      </c>
      <c r="CV107" s="178">
        <v>117600</v>
      </c>
      <c r="CW107" s="178">
        <f>SUM(AV107:BG107)</f>
        <v>117600</v>
      </c>
    </row>
    <row r="108" spans="2:101" outlineLevel="1">
      <c r="B108" s="97" t="s">
        <v>198</v>
      </c>
      <c r="C108" s="97" t="s">
        <v>586</v>
      </c>
      <c r="D108" s="97" t="s">
        <v>8</v>
      </c>
      <c r="E108" s="97" t="s">
        <v>170</v>
      </c>
      <c r="F108" s="68" t="s">
        <v>198</v>
      </c>
      <c r="G108" s="379">
        <v>3250</v>
      </c>
      <c r="H108" s="379">
        <v>3250</v>
      </c>
      <c r="I108" s="379">
        <v>3250</v>
      </c>
      <c r="J108" s="379">
        <v>3250</v>
      </c>
      <c r="K108" s="379">
        <v>3250</v>
      </c>
      <c r="L108" s="379">
        <v>3250</v>
      </c>
      <c r="M108" s="379">
        <v>3250</v>
      </c>
      <c r="N108" s="379">
        <v>3250</v>
      </c>
      <c r="O108" s="379">
        <v>3250</v>
      </c>
      <c r="P108" s="379">
        <v>3250</v>
      </c>
      <c r="Q108" s="379">
        <v>3250</v>
      </c>
      <c r="R108" s="379">
        <v>3250</v>
      </c>
      <c r="S108" s="381">
        <f ca="1">SUM(G108:OFFSET(G108,0,$F$2-1))</f>
        <v>39000</v>
      </c>
      <c r="T108" s="379">
        <f>SUM(G108:I108)</f>
        <v>9750</v>
      </c>
      <c r="U108" s="379">
        <f>SUM(J108:L108)</f>
        <v>9750</v>
      </c>
      <c r="V108" s="379">
        <f>SUM(M108:O108)</f>
        <v>9750</v>
      </c>
      <c r="W108" s="379">
        <f>SUM(P108:R108)</f>
        <v>9750</v>
      </c>
      <c r="X108" s="178"/>
      <c r="Y108" s="382">
        <v>3250</v>
      </c>
      <c r="Z108" s="382">
        <v>3250</v>
      </c>
      <c r="AA108" s="382">
        <v>3250</v>
      </c>
      <c r="AB108" s="382">
        <v>3250</v>
      </c>
      <c r="AC108" s="382">
        <v>3250</v>
      </c>
      <c r="AD108" s="382">
        <v>3250</v>
      </c>
      <c r="AE108" s="382">
        <v>3250</v>
      </c>
      <c r="AF108" s="382">
        <v>3250</v>
      </c>
      <c r="AG108" s="382">
        <v>3250</v>
      </c>
      <c r="AH108" s="382">
        <v>3250</v>
      </c>
      <c r="AI108" s="398">
        <v>3250</v>
      </c>
      <c r="AJ108" s="398">
        <v>3250</v>
      </c>
      <c r="AK108" s="381">
        <f ca="1">SUM(Y108:OFFSET(Y108,0,$F$2-1))</f>
        <v>39000</v>
      </c>
      <c r="AL108" s="97" t="s">
        <v>8</v>
      </c>
      <c r="AM108" s="97" t="s">
        <v>8</v>
      </c>
      <c r="AN108" s="381"/>
      <c r="AO108" s="381"/>
      <c r="AP108" s="381"/>
      <c r="AQ108" s="379">
        <f>SUM(Y108:AA108)</f>
        <v>9750</v>
      </c>
      <c r="AR108" s="379">
        <f>SUM(AB108:AD108)</f>
        <v>9750</v>
      </c>
      <c r="AS108" s="379">
        <f>SUM(AE108:AG108)</f>
        <v>9750</v>
      </c>
      <c r="AT108" s="379">
        <f>SUM(AH108:AJ108)</f>
        <v>9750</v>
      </c>
      <c r="AU108" s="397"/>
      <c r="AV108" s="379">
        <v>3250</v>
      </c>
      <c r="AW108" s="379">
        <v>3250</v>
      </c>
      <c r="AX108" s="379">
        <v>3250</v>
      </c>
      <c r="AY108" s="379">
        <v>3250</v>
      </c>
      <c r="AZ108" s="379">
        <v>3250</v>
      </c>
      <c r="BA108" s="379">
        <v>3250</v>
      </c>
      <c r="BB108" s="379">
        <v>3250</v>
      </c>
      <c r="BC108" s="379">
        <v>3250</v>
      </c>
      <c r="BD108" s="379">
        <v>3250</v>
      </c>
      <c r="BE108" s="379">
        <v>3250</v>
      </c>
      <c r="BF108" s="379">
        <v>3250</v>
      </c>
      <c r="BG108" s="379">
        <v>3250</v>
      </c>
      <c r="BH108" s="381">
        <f ca="1">SUM(AV108:OFFSET(AV108,0,$F$2-1))</f>
        <v>39000</v>
      </c>
      <c r="BI108" s="379">
        <f>SUM(AV108:AX108)</f>
        <v>9750</v>
      </c>
      <c r="BJ108" s="379">
        <f>SUM(AY108:BA108)</f>
        <v>9750</v>
      </c>
      <c r="BK108" s="379">
        <f>SUM(BB108:BD108)</f>
        <v>9750</v>
      </c>
      <c r="BL108" s="379">
        <f>SUM(BE108:BG108)</f>
        <v>9750</v>
      </c>
      <c r="BM108" s="178"/>
      <c r="BN108" s="383"/>
      <c r="BO108" s="383"/>
      <c r="BP108" s="383">
        <v>3250</v>
      </c>
      <c r="BQ108" s="383">
        <v>3250</v>
      </c>
      <c r="BR108" s="383">
        <v>3250</v>
      </c>
      <c r="BS108" s="383">
        <v>3250</v>
      </c>
      <c r="BT108" s="383">
        <v>3250</v>
      </c>
      <c r="BU108" s="383">
        <v>3250</v>
      </c>
      <c r="BV108" s="383">
        <v>3250</v>
      </c>
      <c r="BW108" s="383">
        <v>3250</v>
      </c>
      <c r="BX108" s="383">
        <v>3250</v>
      </c>
      <c r="BY108" s="383">
        <v>3250</v>
      </c>
      <c r="BZ108" s="381">
        <f ca="1">SUM(BN108:OFFSET(BN108,0,$F$2-1))</f>
        <v>32500</v>
      </c>
      <c r="CA108" s="379">
        <f>SUM(BN108:BP108)</f>
        <v>3250</v>
      </c>
      <c r="CB108" s="379">
        <f>SUM(BQ108:BS108)</f>
        <v>9750</v>
      </c>
      <c r="CC108" s="379">
        <f>SUM(BT108:BV108)</f>
        <v>9750</v>
      </c>
      <c r="CD108" s="379">
        <f>SUM(BW108:BY108)</f>
        <v>9750</v>
      </c>
      <c r="CE108" s="178"/>
      <c r="CF108" s="97" t="s">
        <v>198</v>
      </c>
      <c r="CH108" s="383"/>
      <c r="CI108" s="383"/>
      <c r="CJ108" s="383">
        <f t="shared" si="174"/>
        <v>0</v>
      </c>
      <c r="CK108" s="383">
        <f t="shared" si="174"/>
        <v>0</v>
      </c>
      <c r="CL108" s="383">
        <f t="shared" si="174"/>
        <v>0</v>
      </c>
      <c r="CM108" s="383">
        <f t="shared" si="174"/>
        <v>0</v>
      </c>
      <c r="CN108" s="383">
        <f t="shared" si="174"/>
        <v>0</v>
      </c>
      <c r="CO108" s="383">
        <f t="shared" si="174"/>
        <v>0</v>
      </c>
      <c r="CP108" s="383">
        <f t="shared" si="174"/>
        <v>0</v>
      </c>
      <c r="CQ108" s="383">
        <f t="shared" si="174"/>
        <v>0</v>
      </c>
      <c r="CR108" s="383"/>
      <c r="CS108" s="383"/>
      <c r="CU108" s="383">
        <f>SUM(Y108:AC108)+SUM(BS108:BY108)</f>
        <v>39000</v>
      </c>
      <c r="CV108" s="383">
        <v>39000</v>
      </c>
      <c r="CW108" s="383">
        <f>SUM(AV108:BG108)</f>
        <v>39000</v>
      </c>
    </row>
    <row r="109" spans="2:101">
      <c r="B109" s="97"/>
      <c r="C109" s="97"/>
      <c r="D109" s="97" t="s">
        <v>532</v>
      </c>
      <c r="F109" s="406" t="s">
        <v>199</v>
      </c>
      <c r="G109" s="407">
        <f t="shared" ref="G109:W109" si="175">SUM(G106:G108)</f>
        <v>13050</v>
      </c>
      <c r="H109" s="407">
        <f t="shared" si="175"/>
        <v>13050</v>
      </c>
      <c r="I109" s="407">
        <f t="shared" si="175"/>
        <v>13050</v>
      </c>
      <c r="J109" s="407">
        <f t="shared" si="175"/>
        <v>13050</v>
      </c>
      <c r="K109" s="407">
        <f t="shared" si="175"/>
        <v>13050</v>
      </c>
      <c r="L109" s="407">
        <f t="shared" si="175"/>
        <v>13050</v>
      </c>
      <c r="M109" s="407">
        <f t="shared" si="175"/>
        <v>13050</v>
      </c>
      <c r="N109" s="407">
        <f t="shared" si="175"/>
        <v>13050</v>
      </c>
      <c r="O109" s="407">
        <f t="shared" si="175"/>
        <v>13050</v>
      </c>
      <c r="P109" s="407">
        <f t="shared" si="175"/>
        <v>13050</v>
      </c>
      <c r="Q109" s="407">
        <f t="shared" si="175"/>
        <v>13050</v>
      </c>
      <c r="R109" s="407">
        <f t="shared" si="175"/>
        <v>108754</v>
      </c>
      <c r="S109" s="407">
        <f t="shared" ca="1" si="175"/>
        <v>252304</v>
      </c>
      <c r="T109" s="407">
        <f t="shared" si="175"/>
        <v>39150</v>
      </c>
      <c r="U109" s="407">
        <f t="shared" si="175"/>
        <v>39150</v>
      </c>
      <c r="V109" s="407">
        <f t="shared" si="175"/>
        <v>39150</v>
      </c>
      <c r="W109" s="407">
        <f t="shared" si="175"/>
        <v>134854</v>
      </c>
      <c r="X109" s="386"/>
      <c r="Y109" s="407">
        <f t="shared" ref="Y109:AK109" si="176">SUM(Y106:Y108)</f>
        <v>108754</v>
      </c>
      <c r="Z109" s="407">
        <f t="shared" si="176"/>
        <v>99492</v>
      </c>
      <c r="AA109" s="407">
        <f t="shared" si="176"/>
        <v>108754</v>
      </c>
      <c r="AB109" s="407">
        <f>SUM(AB106:AB108)</f>
        <v>105667</v>
      </c>
      <c r="AC109" s="407">
        <f>SUM(AC106:AC108)</f>
        <v>108754</v>
      </c>
      <c r="AD109" s="407">
        <f t="shared" si="176"/>
        <v>105667</v>
      </c>
      <c r="AE109" s="407">
        <f t="shared" si="176"/>
        <v>108754</v>
      </c>
      <c r="AF109" s="407">
        <f t="shared" si="176"/>
        <v>108754</v>
      </c>
      <c r="AG109" s="407">
        <f t="shared" si="176"/>
        <v>105667</v>
      </c>
      <c r="AH109" s="407">
        <f t="shared" si="176"/>
        <v>108754</v>
      </c>
      <c r="AI109" s="407">
        <f t="shared" si="176"/>
        <v>105667</v>
      </c>
      <c r="AJ109" s="407">
        <f t="shared" si="176"/>
        <v>108754</v>
      </c>
      <c r="AK109" s="407">
        <f t="shared" ca="1" si="176"/>
        <v>1283438</v>
      </c>
      <c r="AL109" s="97"/>
      <c r="AM109" s="97"/>
      <c r="AN109" s="407"/>
      <c r="AO109" s="407"/>
      <c r="AP109" s="407"/>
      <c r="AQ109" s="407">
        <f>SUM(AQ106:AQ108)</f>
        <v>317000</v>
      </c>
      <c r="AR109" s="407">
        <f>SUM(AR106:AR108)</f>
        <v>320088</v>
      </c>
      <c r="AS109" s="407">
        <f>SUM(AS106:AS108)</f>
        <v>323175</v>
      </c>
      <c r="AT109" s="407">
        <f>SUM(AT106:AT108)</f>
        <v>323175</v>
      </c>
      <c r="AU109" s="386"/>
      <c r="AV109" s="407">
        <f t="shared" ref="AV109:BL109" si="177">SUM(AV106:AV108)</f>
        <v>108754</v>
      </c>
      <c r="AW109" s="407">
        <f t="shared" si="177"/>
        <v>99492</v>
      </c>
      <c r="AX109" s="407">
        <f t="shared" si="177"/>
        <v>108754</v>
      </c>
      <c r="AY109" s="407">
        <f t="shared" si="177"/>
        <v>105667</v>
      </c>
      <c r="AZ109" s="407">
        <f t="shared" si="177"/>
        <v>108754</v>
      </c>
      <c r="BA109" s="407">
        <f t="shared" si="177"/>
        <v>105667</v>
      </c>
      <c r="BB109" s="407">
        <f t="shared" si="177"/>
        <v>108754</v>
      </c>
      <c r="BC109" s="407">
        <f t="shared" si="177"/>
        <v>108754</v>
      </c>
      <c r="BD109" s="407">
        <f t="shared" si="177"/>
        <v>105667</v>
      </c>
      <c r="BE109" s="407">
        <f t="shared" si="177"/>
        <v>108754</v>
      </c>
      <c r="BF109" s="407">
        <f t="shared" si="177"/>
        <v>105667</v>
      </c>
      <c r="BG109" s="407">
        <f t="shared" si="177"/>
        <v>108754</v>
      </c>
      <c r="BH109" s="407">
        <f t="shared" ca="1" si="177"/>
        <v>1283438</v>
      </c>
      <c r="BI109" s="407">
        <f t="shared" si="177"/>
        <v>317000</v>
      </c>
      <c r="BJ109" s="407">
        <f t="shared" si="177"/>
        <v>320088</v>
      </c>
      <c r="BK109" s="407">
        <f t="shared" si="177"/>
        <v>323175</v>
      </c>
      <c r="BL109" s="407">
        <f t="shared" si="177"/>
        <v>323175</v>
      </c>
      <c r="BM109" s="386"/>
      <c r="BN109" s="407">
        <f t="shared" ref="BN109:CD109" si="178">SUM(BN106:BN108)</f>
        <v>0</v>
      </c>
      <c r="BO109" s="407">
        <f t="shared" si="178"/>
        <v>0</v>
      </c>
      <c r="BP109" s="407">
        <f t="shared" si="178"/>
        <v>108754</v>
      </c>
      <c r="BQ109" s="407">
        <f t="shared" si="178"/>
        <v>105667</v>
      </c>
      <c r="BR109" s="407">
        <f t="shared" si="178"/>
        <v>108754</v>
      </c>
      <c r="BS109" s="407">
        <f t="shared" si="178"/>
        <v>105667</v>
      </c>
      <c r="BT109" s="407">
        <f t="shared" si="178"/>
        <v>108754</v>
      </c>
      <c r="BU109" s="407">
        <f t="shared" si="178"/>
        <v>108754</v>
      </c>
      <c r="BV109" s="407">
        <f t="shared" si="178"/>
        <v>105667</v>
      </c>
      <c r="BW109" s="407">
        <f t="shared" si="178"/>
        <v>108754</v>
      </c>
      <c r="BX109" s="407">
        <f t="shared" si="178"/>
        <v>105667</v>
      </c>
      <c r="BY109" s="407">
        <f t="shared" si="178"/>
        <v>108754</v>
      </c>
      <c r="BZ109" s="407">
        <f t="shared" ca="1" si="178"/>
        <v>1075192</v>
      </c>
      <c r="CA109" s="407">
        <f t="shared" si="178"/>
        <v>108754</v>
      </c>
      <c r="CB109" s="407">
        <f t="shared" si="178"/>
        <v>320088</v>
      </c>
      <c r="CC109" s="407">
        <f t="shared" si="178"/>
        <v>323175</v>
      </c>
      <c r="CD109" s="407">
        <f t="shared" si="178"/>
        <v>323175</v>
      </c>
      <c r="CE109" s="386"/>
      <c r="CF109" s="97"/>
      <c r="CH109" s="407"/>
      <c r="CI109" s="407"/>
      <c r="CJ109" s="407">
        <f t="shared" ref="CJ109:CS109" si="179">SUM(CJ106:CJ108)</f>
        <v>0</v>
      </c>
      <c r="CK109" s="407">
        <f t="shared" si="179"/>
        <v>0</v>
      </c>
      <c r="CL109" s="407">
        <f t="shared" si="179"/>
        <v>0</v>
      </c>
      <c r="CM109" s="407">
        <f t="shared" si="179"/>
        <v>0</v>
      </c>
      <c r="CN109" s="407">
        <f t="shared" si="179"/>
        <v>0</v>
      </c>
      <c r="CO109" s="407">
        <f t="shared" si="179"/>
        <v>0</v>
      </c>
      <c r="CP109" s="407">
        <f t="shared" si="179"/>
        <v>0</v>
      </c>
      <c r="CQ109" s="407">
        <f t="shared" si="179"/>
        <v>0</v>
      </c>
      <c r="CR109" s="407">
        <f t="shared" si="179"/>
        <v>0</v>
      </c>
      <c r="CS109" s="407">
        <f t="shared" si="179"/>
        <v>0</v>
      </c>
      <c r="CU109" s="407">
        <f>SUM(CU106:CU108)</f>
        <v>1283438</v>
      </c>
      <c r="CV109" s="407">
        <f>SUM(CV106:CV108)</f>
        <v>1283438</v>
      </c>
      <c r="CW109" s="407">
        <f>SUM(CW106:CW108)</f>
        <v>1283438</v>
      </c>
    </row>
    <row r="110" spans="2:101">
      <c r="B110" s="97"/>
      <c r="C110" s="97"/>
      <c r="D110" s="97" t="s">
        <v>532</v>
      </c>
      <c r="F110" s="284" t="s">
        <v>200</v>
      </c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284"/>
      <c r="T110" s="62"/>
      <c r="U110" s="62"/>
      <c r="V110" s="62"/>
      <c r="W110" s="62"/>
      <c r="X110" s="178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284"/>
      <c r="AL110" s="97"/>
      <c r="AM110" s="97"/>
      <c r="AN110" s="284"/>
      <c r="AO110" s="284"/>
      <c r="AP110" s="284"/>
      <c r="AQ110" s="62"/>
      <c r="AR110" s="62"/>
      <c r="AS110" s="62"/>
      <c r="AT110" s="62"/>
      <c r="AU110" s="181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284"/>
      <c r="BI110" s="62"/>
      <c r="BJ110" s="62"/>
      <c r="BK110" s="62"/>
      <c r="BL110" s="62"/>
      <c r="BM110" s="178"/>
      <c r="BN110" s="408"/>
      <c r="BO110" s="408"/>
      <c r="BP110" s="408"/>
      <c r="BQ110" s="408"/>
      <c r="BR110" s="408"/>
      <c r="BS110" s="408"/>
      <c r="BT110" s="408"/>
      <c r="BU110" s="408"/>
      <c r="BV110" s="408"/>
      <c r="BW110" s="408"/>
      <c r="BX110" s="408"/>
      <c r="BY110" s="408"/>
      <c r="BZ110" s="284"/>
      <c r="CA110" s="62"/>
      <c r="CB110" s="62"/>
      <c r="CC110" s="62"/>
      <c r="CD110" s="62"/>
      <c r="CE110" s="178"/>
      <c r="CF110" s="97"/>
      <c r="CH110" s="408"/>
      <c r="CI110" s="408"/>
      <c r="CJ110" s="408"/>
      <c r="CK110" s="408"/>
      <c r="CL110" s="408"/>
      <c r="CM110" s="408"/>
      <c r="CN110" s="408"/>
      <c r="CO110" s="408"/>
      <c r="CP110" s="408"/>
      <c r="CQ110" s="408"/>
      <c r="CR110" s="408"/>
      <c r="CS110" s="408"/>
      <c r="CU110" s="408"/>
      <c r="CV110" s="408"/>
      <c r="CW110" s="408"/>
    </row>
    <row r="111" spans="2:101" outlineLevel="1">
      <c r="B111" s="97" t="s">
        <v>201</v>
      </c>
      <c r="C111" s="97" t="s">
        <v>586</v>
      </c>
      <c r="D111" s="97" t="s">
        <v>7</v>
      </c>
      <c r="F111" s="67" t="s">
        <v>201</v>
      </c>
      <c r="G111" s="394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75">
        <f ca="1">SUM(G111:OFFSET(G111,0,$F$2-1))</f>
        <v>0</v>
      </c>
      <c r="T111" s="175">
        <f>SUM(G111:I111)</f>
        <v>0</v>
      </c>
      <c r="U111" s="175">
        <f>SUM(J111:L111)</f>
        <v>0</v>
      </c>
      <c r="V111" s="175">
        <f>SUM(M111:O111)</f>
        <v>0</v>
      </c>
      <c r="W111" s="175">
        <f>SUM(P111:R111)</f>
        <v>0</v>
      </c>
      <c r="X111" s="178"/>
      <c r="Y111" s="398">
        <v>0</v>
      </c>
      <c r="Z111" s="179">
        <v>0</v>
      </c>
      <c r="AA111" s="179">
        <v>0</v>
      </c>
      <c r="AB111" s="179">
        <v>0</v>
      </c>
      <c r="AC111" s="179">
        <v>0</v>
      </c>
      <c r="AD111" s="179">
        <v>0</v>
      </c>
      <c r="AE111" s="179">
        <v>0</v>
      </c>
      <c r="AF111" s="179">
        <v>0</v>
      </c>
      <c r="AG111" s="179">
        <v>0</v>
      </c>
      <c r="AH111" s="179">
        <v>0</v>
      </c>
      <c r="AI111" s="179">
        <v>0</v>
      </c>
      <c r="AJ111" s="179">
        <v>0</v>
      </c>
      <c r="AK111" s="375">
        <f ca="1">SUM(Y111:OFFSET(Y111,0,$F$2-1))</f>
        <v>0</v>
      </c>
      <c r="AL111" s="97" t="s">
        <v>218</v>
      </c>
      <c r="AM111" s="97" t="s">
        <v>218</v>
      </c>
      <c r="AN111" s="375"/>
      <c r="AO111" s="375"/>
      <c r="AP111" s="375"/>
      <c r="AQ111" s="175">
        <f>SUM(Y111:AA111)</f>
        <v>0</v>
      </c>
      <c r="AR111" s="175">
        <f>SUM(AB111:AD111)</f>
        <v>0</v>
      </c>
      <c r="AS111" s="175">
        <f>SUM(AE111:AG111)</f>
        <v>0</v>
      </c>
      <c r="AT111" s="175">
        <f>SUM(AH111:AJ111)</f>
        <v>0</v>
      </c>
      <c r="AU111" s="181"/>
      <c r="AV111" s="394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75">
        <f ca="1">SUM(AV111:OFFSET(AV111,0,$F$2-1))</f>
        <v>0</v>
      </c>
      <c r="BI111" s="175">
        <f>SUM(AV111:AX111)</f>
        <v>0</v>
      </c>
      <c r="BJ111" s="175">
        <f>SUM(AY111:BA111)</f>
        <v>0</v>
      </c>
      <c r="BK111" s="175">
        <f>SUM(BB111:BD111)</f>
        <v>0</v>
      </c>
      <c r="BL111" s="175">
        <f>SUM(BE111:BG111)</f>
        <v>0</v>
      </c>
      <c r="BM111" s="178"/>
      <c r="BN111" s="398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375">
        <f ca="1">SUM(BN111:OFFSET(BN111,0,$F$2-1))</f>
        <v>0</v>
      </c>
      <c r="CA111" s="175">
        <f>SUM(BN111:BP111)</f>
        <v>0</v>
      </c>
      <c r="CB111" s="175">
        <f>SUM(BQ111:BS111)</f>
        <v>0</v>
      </c>
      <c r="CC111" s="175">
        <f>SUM(BT111:BV111)</f>
        <v>0</v>
      </c>
      <c r="CD111" s="175">
        <f>SUM(BW111:BY111)</f>
        <v>0</v>
      </c>
      <c r="CE111" s="178"/>
      <c r="CF111" s="97" t="s">
        <v>201</v>
      </c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U111" s="179"/>
      <c r="CV111" s="179"/>
      <c r="CW111" s="179"/>
    </row>
    <row r="112" spans="2:101" ht="12" customHeight="1" outlineLevel="1">
      <c r="B112" s="97" t="s">
        <v>202</v>
      </c>
      <c r="C112" s="97" t="s">
        <v>586</v>
      </c>
      <c r="D112" s="97" t="s">
        <v>8</v>
      </c>
      <c r="E112" s="97" t="s">
        <v>170</v>
      </c>
      <c r="F112" s="67" t="s">
        <v>202</v>
      </c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  <c r="R112" s="392"/>
      <c r="S112" s="375">
        <f ca="1">SUM(G112:OFFSET(G112,0,$F$2-1))</f>
        <v>0</v>
      </c>
      <c r="T112" s="175">
        <f>SUM(G112:I112)</f>
        <v>0</v>
      </c>
      <c r="U112" s="175">
        <f>SUM(J112:L112)</f>
        <v>0</v>
      </c>
      <c r="V112" s="175">
        <f>SUM(M112:O112)</f>
        <v>0</v>
      </c>
      <c r="W112" s="175">
        <f>SUM(P112:R112)</f>
        <v>0</v>
      </c>
      <c r="X112" s="178"/>
      <c r="Y112" s="398">
        <v>0</v>
      </c>
      <c r="Z112" s="398">
        <v>0</v>
      </c>
      <c r="AA112" s="398">
        <v>0</v>
      </c>
      <c r="AB112" s="398">
        <v>0</v>
      </c>
      <c r="AC112" s="398">
        <v>0</v>
      </c>
      <c r="AD112" s="398">
        <v>0</v>
      </c>
      <c r="AE112" s="398">
        <v>0</v>
      </c>
      <c r="AF112" s="398">
        <v>0</v>
      </c>
      <c r="AG112" s="398">
        <v>0</v>
      </c>
      <c r="AH112" s="398">
        <v>0</v>
      </c>
      <c r="AI112" s="398">
        <v>0</v>
      </c>
      <c r="AJ112" s="398">
        <v>0</v>
      </c>
      <c r="AK112" s="375">
        <f ca="1">SUM(Y112:OFFSET(Y112,0,$F$2-1))</f>
        <v>0</v>
      </c>
      <c r="AL112" s="97" t="s">
        <v>8</v>
      </c>
      <c r="AM112" s="97" t="s">
        <v>8</v>
      </c>
      <c r="AN112" s="375"/>
      <c r="AO112" s="375"/>
      <c r="AP112" s="375"/>
      <c r="AQ112" s="175">
        <f>SUM(Y112:AA112)</f>
        <v>0</v>
      </c>
      <c r="AR112" s="175">
        <f>SUM(AB112:AD112)</f>
        <v>0</v>
      </c>
      <c r="AS112" s="175">
        <f>SUM(AE112:AG112)</f>
        <v>0</v>
      </c>
      <c r="AT112" s="175">
        <f>SUM(AH112:AJ112)</f>
        <v>0</v>
      </c>
      <c r="AU112" s="181"/>
      <c r="AV112" s="394"/>
      <c r="AW112" s="394"/>
      <c r="AX112" s="394"/>
      <c r="AY112" s="394"/>
      <c r="AZ112" s="394"/>
      <c r="BA112" s="394"/>
      <c r="BB112" s="394"/>
      <c r="BC112" s="394"/>
      <c r="BD112" s="394"/>
      <c r="BE112" s="394"/>
      <c r="BF112" s="394"/>
      <c r="BG112" s="392"/>
      <c r="BH112" s="375">
        <f ca="1">SUM(AV112:OFFSET(AV112,0,$F$2-1))</f>
        <v>0</v>
      </c>
      <c r="BI112" s="175">
        <f>SUM(AV112:AX112)</f>
        <v>0</v>
      </c>
      <c r="BJ112" s="175">
        <f>SUM(AY112:BA112)</f>
        <v>0</v>
      </c>
      <c r="BK112" s="175">
        <f>SUM(BB112:BD112)</f>
        <v>0</v>
      </c>
      <c r="BL112" s="175">
        <f>SUM(BE112:BG112)</f>
        <v>0</v>
      </c>
      <c r="BM112" s="178"/>
      <c r="BN112" s="398"/>
      <c r="BO112" s="398"/>
      <c r="BP112" s="398"/>
      <c r="BQ112" s="398"/>
      <c r="BR112" s="398"/>
      <c r="BS112" s="398"/>
      <c r="BT112" s="398"/>
      <c r="BU112" s="398"/>
      <c r="BV112" s="398"/>
      <c r="BW112" s="398"/>
      <c r="BX112" s="398"/>
      <c r="BY112" s="179"/>
      <c r="BZ112" s="375">
        <f ca="1">SUM(BN112:OFFSET(BN112,0,$F$2-1))</f>
        <v>0</v>
      </c>
      <c r="CA112" s="175">
        <f>SUM(BN112:BP112)</f>
        <v>0</v>
      </c>
      <c r="CB112" s="175">
        <f>SUM(BQ112:BS112)</f>
        <v>0</v>
      </c>
      <c r="CC112" s="175">
        <f>SUM(BT112:BV112)</f>
        <v>0</v>
      </c>
      <c r="CD112" s="175">
        <f>SUM(BW112:BY112)</f>
        <v>0</v>
      </c>
      <c r="CE112" s="178"/>
      <c r="CF112" s="97" t="s">
        <v>202</v>
      </c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U112" s="179"/>
      <c r="CV112" s="179"/>
      <c r="CW112" s="179"/>
    </row>
    <row r="113" spans="2:101" outlineLevel="1">
      <c r="B113" s="97" t="s">
        <v>203</v>
      </c>
      <c r="C113" s="97" t="s">
        <v>586</v>
      </c>
      <c r="D113" s="97" t="s">
        <v>8</v>
      </c>
      <c r="E113" s="97" t="s">
        <v>170</v>
      </c>
      <c r="F113" s="68" t="s">
        <v>203</v>
      </c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2"/>
      <c r="S113" s="375">
        <f ca="1">SUM(G113:OFFSET(G113,0,$F$2-1))</f>
        <v>0</v>
      </c>
      <c r="T113" s="175">
        <f>SUM(G113:I113)</f>
        <v>0</v>
      </c>
      <c r="U113" s="175">
        <f>SUM(J113:L113)</f>
        <v>0</v>
      </c>
      <c r="V113" s="175">
        <f>SUM(M113:O113)</f>
        <v>0</v>
      </c>
      <c r="W113" s="175">
        <f>SUM(P113:R113)</f>
        <v>0</v>
      </c>
      <c r="X113" s="178"/>
      <c r="Y113" s="398">
        <v>0</v>
      </c>
      <c r="Z113" s="398">
        <v>0</v>
      </c>
      <c r="AA113" s="398">
        <v>0</v>
      </c>
      <c r="AB113" s="398">
        <v>0</v>
      </c>
      <c r="AC113" s="398">
        <v>0</v>
      </c>
      <c r="AD113" s="398">
        <v>0</v>
      </c>
      <c r="AE113" s="398">
        <v>0</v>
      </c>
      <c r="AF113" s="398">
        <v>0</v>
      </c>
      <c r="AG113" s="398">
        <v>0</v>
      </c>
      <c r="AH113" s="398">
        <v>0</v>
      </c>
      <c r="AI113" s="398">
        <v>0</v>
      </c>
      <c r="AJ113" s="398">
        <v>0</v>
      </c>
      <c r="AK113" s="375">
        <f ca="1">SUM(Y113:OFFSET(Y113,0,$F$2-1))</f>
        <v>0</v>
      </c>
      <c r="AL113" s="97" t="s">
        <v>8</v>
      </c>
      <c r="AM113" s="97" t="s">
        <v>8</v>
      </c>
      <c r="AN113" s="375"/>
      <c r="AO113" s="375"/>
      <c r="AP113" s="375"/>
      <c r="AQ113" s="175">
        <f>SUM(Y113:AA113)</f>
        <v>0</v>
      </c>
      <c r="AR113" s="175">
        <f>SUM(AB113:AD113)</f>
        <v>0</v>
      </c>
      <c r="AS113" s="175">
        <f>SUM(AE113:AG113)</f>
        <v>0</v>
      </c>
      <c r="AT113" s="175">
        <f>SUM(AH113:AJ113)</f>
        <v>0</v>
      </c>
      <c r="AU113" s="181"/>
      <c r="AV113" s="394"/>
      <c r="AW113" s="394"/>
      <c r="AX113" s="394"/>
      <c r="AY113" s="394"/>
      <c r="AZ113" s="394"/>
      <c r="BA113" s="394"/>
      <c r="BB113" s="394"/>
      <c r="BC113" s="394"/>
      <c r="BD113" s="394"/>
      <c r="BE113" s="394"/>
      <c r="BF113" s="394"/>
      <c r="BG113" s="392"/>
      <c r="BH113" s="375">
        <f ca="1">SUM(AV113:OFFSET(AV113,0,$F$2-1))</f>
        <v>0</v>
      </c>
      <c r="BI113" s="175">
        <f>SUM(AV113:AX113)</f>
        <v>0</v>
      </c>
      <c r="BJ113" s="175">
        <f>SUM(AY113:BA113)</f>
        <v>0</v>
      </c>
      <c r="BK113" s="175">
        <f>SUM(BB113:BD113)</f>
        <v>0</v>
      </c>
      <c r="BL113" s="175">
        <f>SUM(BE113:BG113)</f>
        <v>0</v>
      </c>
      <c r="BM113" s="178"/>
      <c r="BN113" s="398"/>
      <c r="BO113" s="398"/>
      <c r="BP113" s="398"/>
      <c r="BQ113" s="398"/>
      <c r="BR113" s="398"/>
      <c r="BS113" s="398"/>
      <c r="BT113" s="398"/>
      <c r="BU113" s="398"/>
      <c r="BV113" s="398"/>
      <c r="BW113" s="398"/>
      <c r="BX113" s="398"/>
      <c r="BY113" s="179"/>
      <c r="BZ113" s="375">
        <f ca="1">SUM(BN113:OFFSET(BN113,0,$F$2-1))</f>
        <v>0</v>
      </c>
      <c r="CA113" s="175">
        <f>SUM(BN113:BP113)</f>
        <v>0</v>
      </c>
      <c r="CB113" s="175">
        <f>SUM(BQ113:BS113)</f>
        <v>0</v>
      </c>
      <c r="CC113" s="175">
        <f>SUM(BT113:BV113)</f>
        <v>0</v>
      </c>
      <c r="CD113" s="175">
        <f>SUM(BW113:BY113)</f>
        <v>0</v>
      </c>
      <c r="CE113" s="178"/>
      <c r="CF113" s="97" t="s">
        <v>203</v>
      </c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U113" s="179"/>
      <c r="CV113" s="179"/>
      <c r="CW113" s="179"/>
    </row>
    <row r="114" spans="2:101">
      <c r="B114" s="97"/>
      <c r="C114" s="97"/>
      <c r="D114" s="97" t="s">
        <v>532</v>
      </c>
      <c r="F114" s="385" t="s">
        <v>204</v>
      </c>
      <c r="G114" s="407">
        <f>SUM(G111:G113)</f>
        <v>0</v>
      </c>
      <c r="H114" s="407">
        <f t="shared" ref="H114:W114" si="180">SUM(H111:H113)</f>
        <v>0</v>
      </c>
      <c r="I114" s="407">
        <f t="shared" si="180"/>
        <v>0</v>
      </c>
      <c r="J114" s="407">
        <f t="shared" si="180"/>
        <v>0</v>
      </c>
      <c r="K114" s="407">
        <f t="shared" si="180"/>
        <v>0</v>
      </c>
      <c r="L114" s="407">
        <f t="shared" si="180"/>
        <v>0</v>
      </c>
      <c r="M114" s="407">
        <f t="shared" si="180"/>
        <v>0</v>
      </c>
      <c r="N114" s="407">
        <f t="shared" si="180"/>
        <v>0</v>
      </c>
      <c r="O114" s="407">
        <f t="shared" si="180"/>
        <v>0</v>
      </c>
      <c r="P114" s="407">
        <f t="shared" si="180"/>
        <v>0</v>
      </c>
      <c r="Q114" s="407">
        <f t="shared" si="180"/>
        <v>0</v>
      </c>
      <c r="R114" s="407">
        <f t="shared" si="180"/>
        <v>0</v>
      </c>
      <c r="S114" s="407">
        <f t="shared" ca="1" si="180"/>
        <v>0</v>
      </c>
      <c r="T114" s="407">
        <f t="shared" si="180"/>
        <v>0</v>
      </c>
      <c r="U114" s="407">
        <f t="shared" si="180"/>
        <v>0</v>
      </c>
      <c r="V114" s="407">
        <f t="shared" si="180"/>
        <v>0</v>
      </c>
      <c r="W114" s="407">
        <f t="shared" si="180"/>
        <v>0</v>
      </c>
      <c r="X114" s="178"/>
      <c r="Y114" s="407">
        <f>SUM(Y111:Y113)</f>
        <v>0</v>
      </c>
      <c r="Z114" s="407">
        <f t="shared" ref="Z114:AK114" si="181">SUM(Z111:Z113)</f>
        <v>0</v>
      </c>
      <c r="AA114" s="407">
        <f t="shared" si="181"/>
        <v>0</v>
      </c>
      <c r="AB114" s="407">
        <f t="shared" si="181"/>
        <v>0</v>
      </c>
      <c r="AC114" s="407">
        <f t="shared" si="181"/>
        <v>0</v>
      </c>
      <c r="AD114" s="407">
        <f t="shared" si="181"/>
        <v>0</v>
      </c>
      <c r="AE114" s="407">
        <f t="shared" si="181"/>
        <v>0</v>
      </c>
      <c r="AF114" s="407">
        <f t="shared" si="181"/>
        <v>0</v>
      </c>
      <c r="AG114" s="407">
        <f>SUM(AG111:AG113)</f>
        <v>0</v>
      </c>
      <c r="AH114" s="407">
        <f t="shared" si="181"/>
        <v>0</v>
      </c>
      <c r="AI114" s="407">
        <f t="shared" si="181"/>
        <v>0</v>
      </c>
      <c r="AJ114" s="407">
        <f t="shared" si="181"/>
        <v>0</v>
      </c>
      <c r="AK114" s="407">
        <f t="shared" ca="1" si="181"/>
        <v>0</v>
      </c>
      <c r="AN114" s="407"/>
      <c r="AO114" s="407"/>
      <c r="AP114" s="407"/>
      <c r="AQ114" s="407">
        <f>SUM(AQ111:AQ113)</f>
        <v>0</v>
      </c>
      <c r="AR114" s="407">
        <f>SUM(AR111:AR113)</f>
        <v>0</v>
      </c>
      <c r="AS114" s="407">
        <f>SUM(AS111:AS113)</f>
        <v>0</v>
      </c>
      <c r="AT114" s="407">
        <f>SUM(AT111:AT113)</f>
        <v>0</v>
      </c>
      <c r="AU114" s="181"/>
      <c r="AV114" s="407">
        <f>SUM(AV111:AV113)</f>
        <v>0</v>
      </c>
      <c r="AW114" s="407">
        <f t="shared" ref="AW114:BL114" si="182">SUM(AW111:AW113)</f>
        <v>0</v>
      </c>
      <c r="AX114" s="407">
        <f t="shared" si="182"/>
        <v>0</v>
      </c>
      <c r="AY114" s="407">
        <f t="shared" si="182"/>
        <v>0</v>
      </c>
      <c r="AZ114" s="407">
        <f t="shared" si="182"/>
        <v>0</v>
      </c>
      <c r="BA114" s="407">
        <f t="shared" si="182"/>
        <v>0</v>
      </c>
      <c r="BB114" s="407">
        <f t="shared" si="182"/>
        <v>0</v>
      </c>
      <c r="BC114" s="407">
        <f t="shared" si="182"/>
        <v>0</v>
      </c>
      <c r="BD114" s="407">
        <f t="shared" si="182"/>
        <v>0</v>
      </c>
      <c r="BE114" s="407">
        <f t="shared" si="182"/>
        <v>0</v>
      </c>
      <c r="BF114" s="407">
        <f t="shared" si="182"/>
        <v>0</v>
      </c>
      <c r="BG114" s="407">
        <f t="shared" si="182"/>
        <v>0</v>
      </c>
      <c r="BH114" s="407">
        <f t="shared" ca="1" si="182"/>
        <v>0</v>
      </c>
      <c r="BI114" s="407">
        <f t="shared" si="182"/>
        <v>0</v>
      </c>
      <c r="BJ114" s="407">
        <f t="shared" si="182"/>
        <v>0</v>
      </c>
      <c r="BK114" s="407">
        <f t="shared" si="182"/>
        <v>0</v>
      </c>
      <c r="BL114" s="407">
        <f t="shared" si="182"/>
        <v>0</v>
      </c>
      <c r="BM114" s="178"/>
      <c r="BN114" s="407">
        <f>SUM(BN111:BN113)</f>
        <v>0</v>
      </c>
      <c r="BO114" s="407">
        <f t="shared" ref="BO114:CD114" si="183">SUM(BO111:BO113)</f>
        <v>0</v>
      </c>
      <c r="BP114" s="407">
        <f t="shared" si="183"/>
        <v>0</v>
      </c>
      <c r="BQ114" s="407">
        <f t="shared" si="183"/>
        <v>0</v>
      </c>
      <c r="BR114" s="407">
        <f t="shared" si="183"/>
        <v>0</v>
      </c>
      <c r="BS114" s="407">
        <f t="shared" si="183"/>
        <v>0</v>
      </c>
      <c r="BT114" s="407">
        <f t="shared" si="183"/>
        <v>0</v>
      </c>
      <c r="BU114" s="407">
        <f t="shared" si="183"/>
        <v>0</v>
      </c>
      <c r="BV114" s="407">
        <f t="shared" si="183"/>
        <v>0</v>
      </c>
      <c r="BW114" s="407">
        <f t="shared" si="183"/>
        <v>0</v>
      </c>
      <c r="BX114" s="407">
        <f t="shared" si="183"/>
        <v>0</v>
      </c>
      <c r="BY114" s="407">
        <f t="shared" si="183"/>
        <v>0</v>
      </c>
      <c r="BZ114" s="407">
        <f t="shared" ca="1" si="183"/>
        <v>0</v>
      </c>
      <c r="CA114" s="407">
        <f t="shared" si="183"/>
        <v>0</v>
      </c>
      <c r="CB114" s="407">
        <f t="shared" si="183"/>
        <v>0</v>
      </c>
      <c r="CC114" s="407">
        <f t="shared" si="183"/>
        <v>0</v>
      </c>
      <c r="CD114" s="407">
        <f t="shared" si="183"/>
        <v>0</v>
      </c>
      <c r="CE114" s="178"/>
      <c r="CF114" s="97"/>
      <c r="CH114" s="407"/>
      <c r="CI114" s="407"/>
      <c r="CJ114" s="407">
        <f t="shared" ref="CJ114:CS114" si="184">SUM(CJ111:CJ113)</f>
        <v>0</v>
      </c>
      <c r="CK114" s="407">
        <f t="shared" si="184"/>
        <v>0</v>
      </c>
      <c r="CL114" s="407">
        <f t="shared" si="184"/>
        <v>0</v>
      </c>
      <c r="CM114" s="407">
        <f t="shared" si="184"/>
        <v>0</v>
      </c>
      <c r="CN114" s="407">
        <f t="shared" si="184"/>
        <v>0</v>
      </c>
      <c r="CO114" s="407">
        <f t="shared" si="184"/>
        <v>0</v>
      </c>
      <c r="CP114" s="407">
        <f t="shared" si="184"/>
        <v>0</v>
      </c>
      <c r="CQ114" s="407">
        <f t="shared" si="184"/>
        <v>0</v>
      </c>
      <c r="CR114" s="407">
        <f t="shared" si="184"/>
        <v>0</v>
      </c>
      <c r="CS114" s="407">
        <f t="shared" si="184"/>
        <v>0</v>
      </c>
      <c r="CU114" s="407">
        <f>SUM(CU111:CU113)</f>
        <v>0</v>
      </c>
      <c r="CV114" s="407">
        <f>SUM(CV111:CV113)</f>
        <v>0</v>
      </c>
      <c r="CW114" s="407">
        <f>SUM(CW111:CW113)</f>
        <v>0</v>
      </c>
    </row>
    <row r="115" spans="2:101">
      <c r="B115" s="97"/>
      <c r="C115" s="97"/>
      <c r="D115" s="97" t="s">
        <v>532</v>
      </c>
      <c r="F115" s="289" t="s">
        <v>205</v>
      </c>
      <c r="G115" s="348">
        <f t="shared" ref="G115:W115" si="185">+G109+G114</f>
        <v>13050</v>
      </c>
      <c r="H115" s="348">
        <f t="shared" si="185"/>
        <v>13050</v>
      </c>
      <c r="I115" s="348">
        <f t="shared" si="185"/>
        <v>13050</v>
      </c>
      <c r="J115" s="348">
        <f t="shared" si="185"/>
        <v>13050</v>
      </c>
      <c r="K115" s="348">
        <f t="shared" si="185"/>
        <v>13050</v>
      </c>
      <c r="L115" s="348">
        <f t="shared" si="185"/>
        <v>13050</v>
      </c>
      <c r="M115" s="348">
        <f t="shared" si="185"/>
        <v>13050</v>
      </c>
      <c r="N115" s="348">
        <f t="shared" si="185"/>
        <v>13050</v>
      </c>
      <c r="O115" s="348">
        <f t="shared" si="185"/>
        <v>13050</v>
      </c>
      <c r="P115" s="348">
        <f t="shared" si="185"/>
        <v>13050</v>
      </c>
      <c r="Q115" s="348">
        <f t="shared" si="185"/>
        <v>13050</v>
      </c>
      <c r="R115" s="348">
        <f t="shared" si="185"/>
        <v>108754</v>
      </c>
      <c r="S115" s="348">
        <f t="shared" ca="1" si="185"/>
        <v>252304</v>
      </c>
      <c r="T115" s="348">
        <f t="shared" si="185"/>
        <v>39150</v>
      </c>
      <c r="U115" s="348">
        <f t="shared" si="185"/>
        <v>39150</v>
      </c>
      <c r="V115" s="348">
        <f t="shared" si="185"/>
        <v>39150</v>
      </c>
      <c r="W115" s="348">
        <f t="shared" si="185"/>
        <v>134854</v>
      </c>
      <c r="X115" s="405"/>
      <c r="Y115" s="348">
        <f t="shared" ref="Y115:AK115" si="186">+Y109+Y114</f>
        <v>108754</v>
      </c>
      <c r="Z115" s="348">
        <f t="shared" si="186"/>
        <v>99492</v>
      </c>
      <c r="AA115" s="348">
        <f t="shared" si="186"/>
        <v>108754</v>
      </c>
      <c r="AB115" s="348">
        <f>+AB109+AB114</f>
        <v>105667</v>
      </c>
      <c r="AC115" s="348">
        <f>+AC109+AC114</f>
        <v>108754</v>
      </c>
      <c r="AD115" s="348">
        <f t="shared" si="186"/>
        <v>105667</v>
      </c>
      <c r="AE115" s="348">
        <f t="shared" si="186"/>
        <v>108754</v>
      </c>
      <c r="AF115" s="348">
        <f t="shared" si="186"/>
        <v>108754</v>
      </c>
      <c r="AG115" s="348">
        <f>+AG109+AG114</f>
        <v>105667</v>
      </c>
      <c r="AH115" s="348">
        <f t="shared" si="186"/>
        <v>108754</v>
      </c>
      <c r="AI115" s="348">
        <f t="shared" si="186"/>
        <v>105667</v>
      </c>
      <c r="AJ115" s="348">
        <f t="shared" si="186"/>
        <v>108754</v>
      </c>
      <c r="AK115" s="348">
        <f t="shared" ca="1" si="186"/>
        <v>1283438</v>
      </c>
      <c r="AN115" s="348"/>
      <c r="AO115" s="348"/>
      <c r="AP115" s="348"/>
      <c r="AQ115" s="348">
        <f>+AQ109+AQ114</f>
        <v>317000</v>
      </c>
      <c r="AR115" s="348">
        <f>+AR109+AR114</f>
        <v>320088</v>
      </c>
      <c r="AS115" s="348">
        <f>+AS109+AS114</f>
        <v>323175</v>
      </c>
      <c r="AT115" s="348">
        <f>+AT109+AT114</f>
        <v>323175</v>
      </c>
      <c r="AU115" s="181"/>
      <c r="AV115" s="348">
        <f t="shared" ref="AV115:BL115" si="187">+AV109+AV114</f>
        <v>108754</v>
      </c>
      <c r="AW115" s="348">
        <f t="shared" si="187"/>
        <v>99492</v>
      </c>
      <c r="AX115" s="348">
        <f t="shared" si="187"/>
        <v>108754</v>
      </c>
      <c r="AY115" s="348">
        <f t="shared" si="187"/>
        <v>105667</v>
      </c>
      <c r="AZ115" s="348">
        <f t="shared" si="187"/>
        <v>108754</v>
      </c>
      <c r="BA115" s="348">
        <f t="shared" si="187"/>
        <v>105667</v>
      </c>
      <c r="BB115" s="348">
        <f t="shared" si="187"/>
        <v>108754</v>
      </c>
      <c r="BC115" s="348">
        <f t="shared" si="187"/>
        <v>108754</v>
      </c>
      <c r="BD115" s="348">
        <f t="shared" si="187"/>
        <v>105667</v>
      </c>
      <c r="BE115" s="348">
        <f t="shared" si="187"/>
        <v>108754</v>
      </c>
      <c r="BF115" s="348">
        <f t="shared" si="187"/>
        <v>105667</v>
      </c>
      <c r="BG115" s="348">
        <f t="shared" si="187"/>
        <v>108754</v>
      </c>
      <c r="BH115" s="348">
        <f t="shared" ca="1" si="187"/>
        <v>1283438</v>
      </c>
      <c r="BI115" s="348">
        <f t="shared" si="187"/>
        <v>317000</v>
      </c>
      <c r="BJ115" s="348">
        <f t="shared" si="187"/>
        <v>320088</v>
      </c>
      <c r="BK115" s="348">
        <f t="shared" si="187"/>
        <v>323175</v>
      </c>
      <c r="BL115" s="348">
        <f t="shared" si="187"/>
        <v>323175</v>
      </c>
      <c r="BM115" s="405"/>
      <c r="BN115" s="348">
        <f t="shared" ref="BN115:CD115" si="188">+BN109+BN114</f>
        <v>0</v>
      </c>
      <c r="BO115" s="348">
        <f t="shared" si="188"/>
        <v>0</v>
      </c>
      <c r="BP115" s="348">
        <f t="shared" si="188"/>
        <v>108754</v>
      </c>
      <c r="BQ115" s="348">
        <f t="shared" si="188"/>
        <v>105667</v>
      </c>
      <c r="BR115" s="348">
        <f t="shared" si="188"/>
        <v>108754</v>
      </c>
      <c r="BS115" s="348">
        <f t="shared" si="188"/>
        <v>105667</v>
      </c>
      <c r="BT115" s="348">
        <f t="shared" si="188"/>
        <v>108754</v>
      </c>
      <c r="BU115" s="348">
        <f t="shared" si="188"/>
        <v>108754</v>
      </c>
      <c r="BV115" s="348">
        <f t="shared" si="188"/>
        <v>105667</v>
      </c>
      <c r="BW115" s="348">
        <f t="shared" si="188"/>
        <v>108754</v>
      </c>
      <c r="BX115" s="348">
        <f t="shared" si="188"/>
        <v>105667</v>
      </c>
      <c r="BY115" s="348">
        <f t="shared" si="188"/>
        <v>108754</v>
      </c>
      <c r="BZ115" s="348">
        <f t="shared" ca="1" si="188"/>
        <v>1075192</v>
      </c>
      <c r="CA115" s="348">
        <f t="shared" si="188"/>
        <v>108754</v>
      </c>
      <c r="CB115" s="348">
        <f t="shared" si="188"/>
        <v>320088</v>
      </c>
      <c r="CC115" s="348">
        <f t="shared" si="188"/>
        <v>323175</v>
      </c>
      <c r="CD115" s="348">
        <f t="shared" si="188"/>
        <v>323175</v>
      </c>
      <c r="CE115" s="405"/>
      <c r="CF115" s="97"/>
      <c r="CH115" s="348"/>
      <c r="CI115" s="348"/>
      <c r="CJ115" s="348">
        <f t="shared" ref="CJ115:CS115" si="189">+CJ109+CJ114</f>
        <v>0</v>
      </c>
      <c r="CK115" s="348">
        <f t="shared" si="189"/>
        <v>0</v>
      </c>
      <c r="CL115" s="348">
        <f t="shared" si="189"/>
        <v>0</v>
      </c>
      <c r="CM115" s="348">
        <f t="shared" si="189"/>
        <v>0</v>
      </c>
      <c r="CN115" s="348">
        <f t="shared" si="189"/>
        <v>0</v>
      </c>
      <c r="CO115" s="348">
        <f t="shared" si="189"/>
        <v>0</v>
      </c>
      <c r="CP115" s="348">
        <f t="shared" si="189"/>
        <v>0</v>
      </c>
      <c r="CQ115" s="348">
        <f t="shared" si="189"/>
        <v>0</v>
      </c>
      <c r="CR115" s="348">
        <f t="shared" si="189"/>
        <v>0</v>
      </c>
      <c r="CS115" s="348">
        <f t="shared" si="189"/>
        <v>0</v>
      </c>
      <c r="CU115" s="348">
        <f>+CU109+CU114</f>
        <v>1283438</v>
      </c>
      <c r="CV115" s="348">
        <f>+CV109+CV114</f>
        <v>1283438</v>
      </c>
      <c r="CW115" s="348">
        <f>+CW109+CW114</f>
        <v>1283438</v>
      </c>
    </row>
    <row r="116" spans="2:101">
      <c r="B116" s="97"/>
      <c r="C116" s="97"/>
      <c r="D116" s="97" t="s">
        <v>532</v>
      </c>
      <c r="F116" s="293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409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N116" s="405"/>
      <c r="AO116" s="405"/>
      <c r="AP116" s="405"/>
      <c r="AQ116" s="405"/>
      <c r="AR116" s="405"/>
      <c r="AS116" s="405"/>
      <c r="AT116" s="405"/>
      <c r="AU116" s="181"/>
      <c r="AV116" s="409"/>
      <c r="AW116" s="409"/>
      <c r="AX116" s="409"/>
      <c r="AY116" s="409"/>
      <c r="AZ116" s="409"/>
      <c r="BA116" s="409"/>
      <c r="BB116" s="409"/>
      <c r="BC116" s="409"/>
      <c r="BD116" s="409"/>
      <c r="BE116" s="409"/>
      <c r="BF116" s="409"/>
      <c r="BG116" s="409"/>
      <c r="BH116" s="409"/>
      <c r="BI116" s="409"/>
      <c r="BJ116" s="409"/>
      <c r="BK116" s="409"/>
      <c r="BL116" s="409"/>
      <c r="BM116" s="405"/>
      <c r="BN116" s="405"/>
      <c r="BO116" s="405"/>
      <c r="BP116" s="405"/>
      <c r="BQ116" s="405"/>
      <c r="BR116" s="405"/>
      <c r="BS116" s="405"/>
      <c r="BT116" s="405"/>
      <c r="BU116" s="405"/>
      <c r="BV116" s="405"/>
      <c r="BW116" s="405"/>
      <c r="BX116" s="405"/>
      <c r="BY116" s="405"/>
      <c r="BZ116" s="409"/>
      <c r="CA116" s="409"/>
      <c r="CB116" s="409"/>
      <c r="CC116" s="409"/>
      <c r="CD116" s="409"/>
      <c r="CE116" s="405"/>
      <c r="CF116" s="97"/>
      <c r="CH116" s="405"/>
      <c r="CI116" s="405"/>
      <c r="CJ116" s="405"/>
      <c r="CK116" s="405"/>
      <c r="CL116" s="405"/>
      <c r="CM116" s="405"/>
      <c r="CN116" s="405"/>
      <c r="CO116" s="405"/>
      <c r="CP116" s="405"/>
      <c r="CQ116" s="405"/>
      <c r="CR116" s="405"/>
      <c r="CS116" s="405"/>
      <c r="CU116" s="405"/>
      <c r="CV116" s="405"/>
      <c r="CW116" s="405"/>
    </row>
    <row r="117" spans="2:101" hidden="1" outlineLevel="1">
      <c r="B117" s="97"/>
      <c r="C117" s="97"/>
      <c r="D117" s="97" t="s">
        <v>532</v>
      </c>
      <c r="F117" s="410" t="s">
        <v>219</v>
      </c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09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97" t="s">
        <v>227</v>
      </c>
      <c r="AM117" s="97" t="s">
        <v>7</v>
      </c>
      <c r="AN117" s="405"/>
      <c r="AO117" s="405"/>
      <c r="AP117" s="405"/>
      <c r="AQ117" s="405"/>
      <c r="AR117" s="405"/>
      <c r="AS117" s="405"/>
      <c r="AT117" s="405"/>
      <c r="AU117" s="181"/>
      <c r="AV117" s="409"/>
      <c r="AW117" s="409"/>
      <c r="AX117" s="409"/>
      <c r="AY117" s="409"/>
      <c r="AZ117" s="409"/>
      <c r="BA117" s="409"/>
      <c r="BB117" s="409"/>
      <c r="BC117" s="409"/>
      <c r="BD117" s="409"/>
      <c r="BE117" s="409"/>
      <c r="BF117" s="409"/>
      <c r="BG117" s="409"/>
      <c r="BH117" s="409"/>
      <c r="BI117" s="409"/>
      <c r="BJ117" s="409"/>
      <c r="BK117" s="409"/>
      <c r="BL117" s="409"/>
      <c r="BM117" s="405"/>
      <c r="BN117" s="405"/>
      <c r="BO117" s="405"/>
      <c r="BP117" s="405"/>
      <c r="BQ117" s="405"/>
      <c r="BR117" s="405"/>
      <c r="BS117" s="405"/>
      <c r="BT117" s="405"/>
      <c r="BU117" s="405"/>
      <c r="BV117" s="405"/>
      <c r="BW117" s="405"/>
      <c r="BX117" s="405"/>
      <c r="BY117" s="405"/>
      <c r="BZ117" s="409"/>
      <c r="CA117" s="409"/>
      <c r="CB117" s="409"/>
      <c r="CC117" s="409"/>
      <c r="CD117" s="409"/>
      <c r="CE117" s="405"/>
      <c r="CF117" s="97"/>
      <c r="CH117" s="405"/>
      <c r="CI117" s="405"/>
      <c r="CJ117" s="405"/>
      <c r="CK117" s="405"/>
      <c r="CL117" s="405"/>
      <c r="CM117" s="405"/>
      <c r="CN117" s="405"/>
      <c r="CO117" s="405"/>
      <c r="CP117" s="405"/>
      <c r="CQ117" s="405"/>
      <c r="CR117" s="405"/>
      <c r="CS117" s="405"/>
      <c r="CU117" s="405"/>
      <c r="CV117" s="405"/>
      <c r="CW117" s="405"/>
    </row>
    <row r="118" spans="2:101" hidden="1" outlineLevel="1">
      <c r="B118" s="97"/>
      <c r="C118" s="97"/>
      <c r="D118" s="97"/>
      <c r="F118" s="411" t="s">
        <v>138</v>
      </c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409"/>
      <c r="V118" s="409"/>
      <c r="W118" s="409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97" t="s">
        <v>8</v>
      </c>
      <c r="AM118" s="97" t="s">
        <v>8</v>
      </c>
      <c r="AN118" s="405"/>
      <c r="AO118" s="405"/>
      <c r="AP118" s="405"/>
      <c r="AQ118" s="405"/>
      <c r="AR118" s="405"/>
      <c r="AS118" s="405"/>
      <c r="AT118" s="405"/>
      <c r="AU118" s="181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177"/>
      <c r="BI118" s="409"/>
      <c r="BJ118" s="409"/>
      <c r="BK118" s="409"/>
      <c r="BL118" s="409"/>
      <c r="BM118" s="405"/>
      <c r="BN118" s="405"/>
      <c r="BO118" s="405"/>
      <c r="BP118" s="405"/>
      <c r="BQ118" s="405"/>
      <c r="BR118" s="405"/>
      <c r="BS118" s="405"/>
      <c r="BT118" s="412"/>
      <c r="BU118" s="412"/>
      <c r="BV118" s="412"/>
      <c r="BW118" s="412"/>
      <c r="BX118" s="412"/>
      <c r="BY118" s="412"/>
      <c r="BZ118" s="409"/>
      <c r="CA118" s="409"/>
      <c r="CB118" s="409"/>
      <c r="CC118" s="409"/>
      <c r="CD118" s="409"/>
      <c r="CE118" s="405"/>
      <c r="CF118" s="97"/>
      <c r="CH118" s="412"/>
      <c r="CI118" s="412"/>
      <c r="CJ118" s="412"/>
      <c r="CK118" s="412"/>
      <c r="CL118" s="412"/>
      <c r="CM118" s="412"/>
      <c r="CN118" s="412"/>
      <c r="CO118" s="412"/>
      <c r="CP118" s="412"/>
      <c r="CQ118" s="412"/>
      <c r="CR118" s="412"/>
      <c r="CS118" s="412"/>
      <c r="CU118" s="412"/>
      <c r="CV118" s="412"/>
      <c r="CW118" s="412"/>
    </row>
    <row r="119" spans="2:101" hidden="1" outlineLevel="1">
      <c r="B119" s="97"/>
      <c r="C119" s="97"/>
      <c r="D119" s="97"/>
      <c r="F119" s="411" t="s">
        <v>141</v>
      </c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09"/>
      <c r="V119" s="409"/>
      <c r="W119" s="409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97" t="s">
        <v>4</v>
      </c>
      <c r="AM119" s="97" t="s">
        <v>4</v>
      </c>
      <c r="AN119" s="405"/>
      <c r="AO119" s="405"/>
      <c r="AP119" s="405"/>
      <c r="AQ119" s="405"/>
      <c r="AR119" s="405"/>
      <c r="AS119" s="405"/>
      <c r="AT119" s="405"/>
      <c r="AU119" s="181"/>
      <c r="AV119" s="409"/>
      <c r="AW119" s="409"/>
      <c r="AX119" s="409"/>
      <c r="AY119" s="409"/>
      <c r="AZ119" s="409"/>
      <c r="BA119" s="409"/>
      <c r="BB119" s="409"/>
      <c r="BC119" s="409"/>
      <c r="BD119" s="409"/>
      <c r="BE119" s="409"/>
      <c r="BF119" s="409"/>
      <c r="BG119" s="409"/>
      <c r="BH119" s="177"/>
      <c r="BI119" s="409"/>
      <c r="BJ119" s="409"/>
      <c r="BK119" s="409"/>
      <c r="BL119" s="409"/>
      <c r="BM119" s="405"/>
      <c r="BN119" s="405"/>
      <c r="BO119" s="405"/>
      <c r="BP119" s="405"/>
      <c r="BQ119" s="405"/>
      <c r="BR119" s="405"/>
      <c r="BS119" s="405"/>
      <c r="BT119" s="412"/>
      <c r="BU119" s="412"/>
      <c r="BV119" s="412"/>
      <c r="BW119" s="412"/>
      <c r="BX119" s="412"/>
      <c r="BY119" s="412"/>
      <c r="BZ119" s="409"/>
      <c r="CA119" s="409"/>
      <c r="CB119" s="409"/>
      <c r="CC119" s="409"/>
      <c r="CD119" s="409"/>
      <c r="CE119" s="405"/>
      <c r="CF119" s="97"/>
      <c r="CH119" s="412"/>
      <c r="CI119" s="412"/>
      <c r="CJ119" s="412"/>
      <c r="CK119" s="412"/>
      <c r="CL119" s="412"/>
      <c r="CM119" s="412"/>
      <c r="CN119" s="412"/>
      <c r="CO119" s="412"/>
      <c r="CP119" s="412"/>
      <c r="CQ119" s="412"/>
      <c r="CR119" s="412"/>
      <c r="CS119" s="412"/>
      <c r="CU119" s="412"/>
      <c r="CV119" s="412"/>
      <c r="CW119" s="412"/>
    </row>
    <row r="120" spans="2:101" hidden="1" outlineLevel="1">
      <c r="B120" s="97"/>
      <c r="C120" s="97"/>
      <c r="D120" s="97"/>
      <c r="F120" s="411" t="s">
        <v>145</v>
      </c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09"/>
      <c r="V120" s="409"/>
      <c r="W120" s="409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97" t="s">
        <v>228</v>
      </c>
      <c r="AM120" s="97" t="s">
        <v>5</v>
      </c>
      <c r="AN120" s="405"/>
      <c r="AO120" s="405"/>
      <c r="AP120" s="405"/>
      <c r="AQ120" s="405"/>
      <c r="AR120" s="405"/>
      <c r="AS120" s="405"/>
      <c r="AT120" s="405"/>
      <c r="AU120" s="181"/>
      <c r="AV120" s="409"/>
      <c r="AW120" s="409"/>
      <c r="AX120" s="409"/>
      <c r="AY120" s="409"/>
      <c r="AZ120" s="409"/>
      <c r="BA120" s="409"/>
      <c r="BB120" s="409"/>
      <c r="BC120" s="409"/>
      <c r="BD120" s="409"/>
      <c r="BE120" s="409"/>
      <c r="BF120" s="409"/>
      <c r="BG120" s="409"/>
      <c r="BH120" s="177"/>
      <c r="BI120" s="409"/>
      <c r="BJ120" s="409"/>
      <c r="BK120" s="409"/>
      <c r="BL120" s="409"/>
      <c r="BM120" s="405"/>
      <c r="BN120" s="405"/>
      <c r="BO120" s="405"/>
      <c r="BP120" s="405"/>
      <c r="BQ120" s="405"/>
      <c r="BR120" s="405"/>
      <c r="BS120" s="405"/>
      <c r="BT120" s="412"/>
      <c r="BU120" s="412"/>
      <c r="BV120" s="412"/>
      <c r="BW120" s="412"/>
      <c r="BX120" s="412"/>
      <c r="BY120" s="412"/>
      <c r="BZ120" s="409"/>
      <c r="CA120" s="409"/>
      <c r="CB120" s="409"/>
      <c r="CC120" s="409"/>
      <c r="CD120" s="409"/>
      <c r="CE120" s="405"/>
      <c r="CF120" s="97"/>
      <c r="CH120" s="412"/>
      <c r="CI120" s="412"/>
      <c r="CJ120" s="412"/>
      <c r="CK120" s="412"/>
      <c r="CL120" s="412"/>
      <c r="CM120" s="412"/>
      <c r="CN120" s="412"/>
      <c r="CO120" s="412"/>
      <c r="CP120" s="412"/>
      <c r="CQ120" s="412"/>
      <c r="CR120" s="412"/>
      <c r="CS120" s="412"/>
      <c r="CU120" s="412"/>
      <c r="CV120" s="412"/>
      <c r="CW120" s="412"/>
    </row>
    <row r="121" spans="2:101" hidden="1" outlineLevel="1">
      <c r="B121" s="97"/>
      <c r="C121" s="97"/>
      <c r="D121" s="97"/>
      <c r="F121" s="411" t="s">
        <v>146</v>
      </c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  <c r="T121" s="409"/>
      <c r="U121" s="409"/>
      <c r="V121" s="409"/>
      <c r="W121" s="409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N121" s="405"/>
      <c r="AO121" s="405"/>
      <c r="AP121" s="405"/>
      <c r="AQ121" s="405"/>
      <c r="AR121" s="405"/>
      <c r="AS121" s="405"/>
      <c r="AT121" s="405"/>
      <c r="AU121" s="181"/>
      <c r="AV121" s="409"/>
      <c r="AW121" s="409"/>
      <c r="AX121" s="409"/>
      <c r="AY121" s="409"/>
      <c r="AZ121" s="409"/>
      <c r="BA121" s="409"/>
      <c r="BB121" s="409"/>
      <c r="BC121" s="409"/>
      <c r="BD121" s="409"/>
      <c r="BE121" s="409"/>
      <c r="BF121" s="409"/>
      <c r="BG121" s="409"/>
      <c r="BH121" s="177"/>
      <c r="BI121" s="409"/>
      <c r="BJ121" s="409"/>
      <c r="BK121" s="409"/>
      <c r="BL121" s="409"/>
      <c r="BM121" s="405"/>
      <c r="BN121" s="405"/>
      <c r="BO121" s="405"/>
      <c r="BP121" s="405"/>
      <c r="BQ121" s="405"/>
      <c r="BR121" s="405"/>
      <c r="BS121" s="405"/>
      <c r="BT121" s="412"/>
      <c r="BU121" s="412"/>
      <c r="BV121" s="412"/>
      <c r="BW121" s="412"/>
      <c r="BX121" s="412"/>
      <c r="BY121" s="412"/>
      <c r="BZ121" s="409"/>
      <c r="CA121" s="409"/>
      <c r="CB121" s="409"/>
      <c r="CC121" s="409"/>
      <c r="CD121" s="409"/>
      <c r="CE121" s="405"/>
      <c r="CF121" s="97"/>
      <c r="CH121" s="412"/>
      <c r="CI121" s="412"/>
      <c r="CJ121" s="412"/>
      <c r="CK121" s="412"/>
      <c r="CL121" s="412"/>
      <c r="CM121" s="412"/>
      <c r="CN121" s="412"/>
      <c r="CO121" s="412"/>
      <c r="CP121" s="412"/>
      <c r="CQ121" s="412"/>
      <c r="CR121" s="412"/>
      <c r="CS121" s="412"/>
      <c r="CU121" s="412"/>
      <c r="CV121" s="412"/>
      <c r="CW121" s="412"/>
    </row>
    <row r="122" spans="2:101" hidden="1" outlineLevel="1">
      <c r="B122" s="97"/>
      <c r="C122" s="97"/>
      <c r="D122" s="97"/>
      <c r="F122" s="411" t="s">
        <v>149</v>
      </c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409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97" t="s">
        <v>229</v>
      </c>
      <c r="AM122" s="97" t="s">
        <v>7</v>
      </c>
      <c r="AN122" s="405"/>
      <c r="AO122" s="405"/>
      <c r="AP122" s="405"/>
      <c r="AQ122" s="405"/>
      <c r="AR122" s="405"/>
      <c r="AS122" s="405"/>
      <c r="AT122" s="405"/>
      <c r="AU122" s="181"/>
      <c r="AV122" s="409"/>
      <c r="AW122" s="409"/>
      <c r="AX122" s="409"/>
      <c r="AY122" s="409"/>
      <c r="AZ122" s="409"/>
      <c r="BA122" s="409"/>
      <c r="BB122" s="409"/>
      <c r="BC122" s="409"/>
      <c r="BD122" s="409"/>
      <c r="BE122" s="409"/>
      <c r="BF122" s="409"/>
      <c r="BG122" s="409"/>
      <c r="BH122" s="177"/>
      <c r="BI122" s="409"/>
      <c r="BJ122" s="409"/>
      <c r="BK122" s="409"/>
      <c r="BL122" s="409"/>
      <c r="BM122" s="405"/>
      <c r="BN122" s="405"/>
      <c r="BO122" s="405"/>
      <c r="BP122" s="405"/>
      <c r="BQ122" s="405"/>
      <c r="BR122" s="405"/>
      <c r="BS122" s="405"/>
      <c r="BT122" s="412"/>
      <c r="BU122" s="412"/>
      <c r="BV122" s="412"/>
      <c r="BW122" s="412"/>
      <c r="BX122" s="412"/>
      <c r="BY122" s="412"/>
      <c r="BZ122" s="409"/>
      <c r="CA122" s="409"/>
      <c r="CB122" s="409"/>
      <c r="CC122" s="409"/>
      <c r="CD122" s="409"/>
      <c r="CE122" s="405"/>
      <c r="CF122" s="97"/>
      <c r="CH122" s="412"/>
      <c r="CI122" s="412"/>
      <c r="CJ122" s="412"/>
      <c r="CK122" s="412"/>
      <c r="CL122" s="412"/>
      <c r="CM122" s="412"/>
      <c r="CN122" s="412"/>
      <c r="CO122" s="412"/>
      <c r="CP122" s="412"/>
      <c r="CQ122" s="412"/>
      <c r="CR122" s="412"/>
      <c r="CS122" s="412"/>
      <c r="CU122" s="412"/>
      <c r="CV122" s="412"/>
      <c r="CW122" s="412"/>
    </row>
    <row r="123" spans="2:101" hidden="1" outlineLevel="1">
      <c r="B123" s="97"/>
      <c r="C123" s="97"/>
      <c r="D123" s="97"/>
      <c r="F123" s="411" t="s">
        <v>220</v>
      </c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09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97" t="s">
        <v>8</v>
      </c>
      <c r="AM123" s="97" t="s">
        <v>8</v>
      </c>
      <c r="AN123" s="405"/>
      <c r="AO123" s="405"/>
      <c r="AP123" s="405"/>
      <c r="AQ123" s="405"/>
      <c r="AR123" s="405"/>
      <c r="AS123" s="405"/>
      <c r="AT123" s="405"/>
      <c r="AU123" s="181"/>
      <c r="AV123" s="409"/>
      <c r="AW123" s="409"/>
      <c r="AX123" s="409"/>
      <c r="AY123" s="409"/>
      <c r="AZ123" s="409"/>
      <c r="BA123" s="409"/>
      <c r="BB123" s="409"/>
      <c r="BC123" s="409"/>
      <c r="BD123" s="409"/>
      <c r="BE123" s="409"/>
      <c r="BF123" s="409"/>
      <c r="BG123" s="409"/>
      <c r="BH123" s="177"/>
      <c r="BI123" s="409"/>
      <c r="BJ123" s="409"/>
      <c r="BK123" s="409"/>
      <c r="BL123" s="409"/>
      <c r="BM123" s="405"/>
      <c r="BN123" s="405"/>
      <c r="BO123" s="405"/>
      <c r="BP123" s="405"/>
      <c r="BQ123" s="405"/>
      <c r="BR123" s="405"/>
      <c r="BS123" s="405"/>
      <c r="BT123" s="412"/>
      <c r="BU123" s="412"/>
      <c r="BV123" s="412"/>
      <c r="BW123" s="412"/>
      <c r="BX123" s="412"/>
      <c r="BY123" s="412"/>
      <c r="BZ123" s="409"/>
      <c r="CA123" s="409"/>
      <c r="CB123" s="409"/>
      <c r="CC123" s="409"/>
      <c r="CD123" s="409"/>
      <c r="CE123" s="405"/>
      <c r="CF123" s="97"/>
      <c r="CH123" s="412"/>
      <c r="CI123" s="412"/>
      <c r="CJ123" s="412"/>
      <c r="CK123" s="412"/>
      <c r="CL123" s="412"/>
      <c r="CM123" s="412"/>
      <c r="CN123" s="412"/>
      <c r="CO123" s="412"/>
      <c r="CP123" s="412"/>
      <c r="CQ123" s="412"/>
      <c r="CR123" s="412"/>
      <c r="CS123" s="412"/>
      <c r="CU123" s="412"/>
      <c r="CV123" s="412"/>
      <c r="CW123" s="412"/>
    </row>
    <row r="124" spans="2:101" hidden="1" outlineLevel="1">
      <c r="B124" s="97"/>
      <c r="C124" s="97"/>
      <c r="D124" s="97"/>
      <c r="F124" s="413" t="s">
        <v>221</v>
      </c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09"/>
      <c r="V124" s="409"/>
      <c r="W124" s="409"/>
      <c r="X124" s="405"/>
      <c r="Y124" s="405"/>
      <c r="Z124" s="405"/>
      <c r="AA124" s="405"/>
      <c r="AB124" s="405"/>
      <c r="AC124" s="405"/>
      <c r="AD124" s="405"/>
      <c r="AE124" s="405"/>
      <c r="AF124" s="405"/>
      <c r="AG124" s="405"/>
      <c r="AH124" s="405"/>
      <c r="AI124" s="405"/>
      <c r="AJ124" s="405"/>
      <c r="AK124" s="405"/>
      <c r="AL124" s="97" t="s">
        <v>4</v>
      </c>
      <c r="AM124" s="97" t="s">
        <v>4</v>
      </c>
      <c r="AN124" s="405"/>
      <c r="AO124" s="405"/>
      <c r="AP124" s="405"/>
      <c r="AQ124" s="405"/>
      <c r="AR124" s="405"/>
      <c r="AS124" s="405"/>
      <c r="AT124" s="405"/>
      <c r="AU124" s="181"/>
      <c r="AV124" s="409"/>
      <c r="AW124" s="409"/>
      <c r="AX124" s="409"/>
      <c r="AY124" s="409"/>
      <c r="AZ124" s="409"/>
      <c r="BA124" s="409"/>
      <c r="BB124" s="409"/>
      <c r="BC124" s="409"/>
      <c r="BD124" s="409"/>
      <c r="BE124" s="409"/>
      <c r="BF124" s="409"/>
      <c r="BG124" s="409"/>
      <c r="BH124" s="409"/>
      <c r="BI124" s="409"/>
      <c r="BJ124" s="409"/>
      <c r="BK124" s="409"/>
      <c r="BL124" s="409"/>
      <c r="BM124" s="405"/>
      <c r="BN124" s="405"/>
      <c r="BO124" s="405"/>
      <c r="BP124" s="405"/>
      <c r="BQ124" s="405"/>
      <c r="BR124" s="405"/>
      <c r="BS124" s="405"/>
      <c r="BT124" s="405">
        <f t="shared" ref="BT124:BY124" si="190">SUM(BT118:BT123)</f>
        <v>0</v>
      </c>
      <c r="BU124" s="405">
        <f t="shared" si="190"/>
        <v>0</v>
      </c>
      <c r="BV124" s="405">
        <f t="shared" si="190"/>
        <v>0</v>
      </c>
      <c r="BW124" s="405">
        <f t="shared" si="190"/>
        <v>0</v>
      </c>
      <c r="BX124" s="405">
        <f t="shared" si="190"/>
        <v>0</v>
      </c>
      <c r="BY124" s="405">
        <f t="shared" si="190"/>
        <v>0</v>
      </c>
      <c r="BZ124" s="409"/>
      <c r="CA124" s="409"/>
      <c r="CB124" s="409"/>
      <c r="CC124" s="409"/>
      <c r="CD124" s="409"/>
      <c r="CE124" s="405"/>
      <c r="CF124" s="97"/>
      <c r="CH124" s="405"/>
      <c r="CI124" s="405"/>
      <c r="CJ124" s="405">
        <f t="shared" ref="CJ124:CS124" si="191">SUM(CJ118:CJ123)</f>
        <v>0</v>
      </c>
      <c r="CK124" s="405">
        <f t="shared" si="191"/>
        <v>0</v>
      </c>
      <c r="CL124" s="405">
        <f t="shared" si="191"/>
        <v>0</v>
      </c>
      <c r="CM124" s="405">
        <f t="shared" si="191"/>
        <v>0</v>
      </c>
      <c r="CN124" s="405">
        <f t="shared" si="191"/>
        <v>0</v>
      </c>
      <c r="CO124" s="405">
        <f t="shared" si="191"/>
        <v>0</v>
      </c>
      <c r="CP124" s="405">
        <f t="shared" si="191"/>
        <v>0</v>
      </c>
      <c r="CQ124" s="405">
        <f t="shared" si="191"/>
        <v>0</v>
      </c>
      <c r="CR124" s="405">
        <f t="shared" si="191"/>
        <v>0</v>
      </c>
      <c r="CS124" s="405">
        <f t="shared" si="191"/>
        <v>0</v>
      </c>
      <c r="CU124" s="405">
        <f>SUM(CU118:CU123)</f>
        <v>0</v>
      </c>
      <c r="CV124" s="405">
        <f>SUM(CV118:CV123)</f>
        <v>0</v>
      </c>
      <c r="CW124" s="405">
        <f>SUM(CW118:CW123)</f>
        <v>0</v>
      </c>
    </row>
    <row r="125" spans="2:101" hidden="1" outlineLevel="1">
      <c r="B125" s="97"/>
      <c r="C125" s="97"/>
      <c r="D125" s="97"/>
      <c r="F125" s="413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409"/>
      <c r="V125" s="409"/>
      <c r="W125" s="409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97" t="s">
        <v>230</v>
      </c>
      <c r="AM125" s="97" t="s">
        <v>5</v>
      </c>
      <c r="AN125" s="405"/>
      <c r="AO125" s="405"/>
      <c r="AP125" s="405"/>
      <c r="AQ125" s="405"/>
      <c r="AR125" s="405"/>
      <c r="AS125" s="405"/>
      <c r="AT125" s="405"/>
      <c r="AU125" s="181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5"/>
      <c r="BN125" s="405"/>
      <c r="BO125" s="405"/>
      <c r="BP125" s="405"/>
      <c r="BQ125" s="405"/>
      <c r="BR125" s="405"/>
      <c r="BS125" s="405"/>
      <c r="BT125" s="405"/>
      <c r="BU125" s="405"/>
      <c r="BV125" s="405"/>
      <c r="BW125" s="405"/>
      <c r="BX125" s="405"/>
      <c r="BY125" s="405"/>
      <c r="BZ125" s="409"/>
      <c r="CA125" s="409"/>
      <c r="CB125" s="409"/>
      <c r="CC125" s="409"/>
      <c r="CD125" s="409"/>
      <c r="CE125" s="405"/>
      <c r="CF125" s="97"/>
      <c r="CH125" s="405"/>
      <c r="CI125" s="405"/>
      <c r="CJ125" s="405"/>
      <c r="CK125" s="405"/>
      <c r="CL125" s="405"/>
      <c r="CM125" s="405"/>
      <c r="CN125" s="405"/>
      <c r="CO125" s="405"/>
      <c r="CP125" s="405"/>
      <c r="CQ125" s="405"/>
      <c r="CR125" s="405"/>
      <c r="CS125" s="405"/>
      <c r="CU125" s="405"/>
      <c r="CV125" s="405"/>
      <c r="CW125" s="405"/>
    </row>
    <row r="126" spans="2:101" hidden="1" outlineLevel="1">
      <c r="B126" s="97"/>
      <c r="C126" s="97"/>
      <c r="D126" s="97"/>
      <c r="F126" s="410" t="s">
        <v>222</v>
      </c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409"/>
      <c r="V126" s="409"/>
      <c r="W126" s="409"/>
      <c r="X126" s="405"/>
      <c r="Y126" s="405"/>
      <c r="Z126" s="405"/>
      <c r="AA126" s="405"/>
      <c r="AB126" s="405"/>
      <c r="AC126" s="405"/>
      <c r="AD126" s="405"/>
      <c r="AE126" s="405"/>
      <c r="AF126" s="405"/>
      <c r="AG126" s="405"/>
      <c r="AH126" s="405"/>
      <c r="AI126" s="405"/>
      <c r="AJ126" s="405"/>
      <c r="AK126" s="405"/>
      <c r="AN126" s="405"/>
      <c r="AO126" s="405"/>
      <c r="AP126" s="405"/>
      <c r="AQ126" s="405"/>
      <c r="AR126" s="405"/>
      <c r="AS126" s="405"/>
      <c r="AT126" s="405"/>
      <c r="AU126" s="181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5"/>
      <c r="BN126" s="405"/>
      <c r="BO126" s="405"/>
      <c r="BP126" s="405"/>
      <c r="BQ126" s="405"/>
      <c r="BR126" s="405"/>
      <c r="BS126" s="405"/>
      <c r="BT126" s="405"/>
      <c r="BU126" s="405"/>
      <c r="BV126" s="405"/>
      <c r="BW126" s="405"/>
      <c r="BX126" s="405"/>
      <c r="BY126" s="405"/>
      <c r="BZ126" s="409"/>
      <c r="CA126" s="409"/>
      <c r="CB126" s="409"/>
      <c r="CC126" s="409"/>
      <c r="CD126" s="409"/>
      <c r="CE126" s="405"/>
      <c r="CF126" s="97"/>
      <c r="CH126" s="405"/>
      <c r="CI126" s="405"/>
      <c r="CJ126" s="405"/>
      <c r="CK126" s="405"/>
      <c r="CL126" s="405"/>
      <c r="CM126" s="405"/>
      <c r="CN126" s="405"/>
      <c r="CO126" s="405"/>
      <c r="CP126" s="405"/>
      <c r="CQ126" s="405"/>
      <c r="CR126" s="405"/>
      <c r="CS126" s="405"/>
      <c r="CU126" s="405"/>
      <c r="CV126" s="405"/>
      <c r="CW126" s="405"/>
    </row>
    <row r="127" spans="2:101" hidden="1" outlineLevel="1">
      <c r="B127" s="97"/>
      <c r="C127" s="97"/>
      <c r="D127" s="97"/>
      <c r="F127" s="411" t="s">
        <v>146</v>
      </c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  <c r="X127" s="405"/>
      <c r="Y127" s="405"/>
      <c r="Z127" s="405"/>
      <c r="AA127" s="405"/>
      <c r="AB127" s="405"/>
      <c r="AC127" s="405"/>
      <c r="AD127" s="405"/>
      <c r="AE127" s="405"/>
      <c r="AF127" s="405"/>
      <c r="AG127" s="405"/>
      <c r="AH127" s="405"/>
      <c r="AI127" s="405"/>
      <c r="AJ127" s="405"/>
      <c r="AK127" s="405"/>
      <c r="AL127" s="97" t="s">
        <v>231</v>
      </c>
      <c r="AM127" s="97" t="s">
        <v>7</v>
      </c>
      <c r="AN127" s="405"/>
      <c r="AO127" s="405"/>
      <c r="AP127" s="405"/>
      <c r="AQ127" s="405"/>
      <c r="AR127" s="405"/>
      <c r="AS127" s="405"/>
      <c r="AT127" s="405"/>
      <c r="AU127" s="181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177"/>
      <c r="BI127" s="409"/>
      <c r="BJ127" s="409"/>
      <c r="BK127" s="409"/>
      <c r="BL127" s="409"/>
      <c r="BM127" s="405"/>
      <c r="BN127" s="405"/>
      <c r="BO127" s="405"/>
      <c r="BP127" s="405"/>
      <c r="BQ127" s="405"/>
      <c r="BR127" s="405"/>
      <c r="BS127" s="405"/>
      <c r="BT127" s="412"/>
      <c r="BU127" s="412"/>
      <c r="BV127" s="412"/>
      <c r="BW127" s="412"/>
      <c r="BX127" s="412"/>
      <c r="BY127" s="412"/>
      <c r="BZ127" s="409"/>
      <c r="CA127" s="409"/>
      <c r="CB127" s="409"/>
      <c r="CC127" s="409"/>
      <c r="CD127" s="409"/>
      <c r="CE127" s="405"/>
      <c r="CF127" s="97"/>
      <c r="CH127" s="412"/>
      <c r="CI127" s="412"/>
      <c r="CJ127" s="412"/>
      <c r="CK127" s="412"/>
      <c r="CL127" s="412"/>
      <c r="CM127" s="412"/>
      <c r="CN127" s="412"/>
      <c r="CO127" s="412"/>
      <c r="CP127" s="412"/>
      <c r="CQ127" s="412"/>
      <c r="CR127" s="412"/>
      <c r="CS127" s="412"/>
      <c r="CU127" s="412"/>
      <c r="CV127" s="412"/>
      <c r="CW127" s="412"/>
    </row>
    <row r="128" spans="2:101" hidden="1" outlineLevel="1">
      <c r="B128" s="97"/>
      <c r="C128" s="97"/>
      <c r="D128" s="97"/>
      <c r="F128" s="411" t="s">
        <v>149</v>
      </c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09"/>
      <c r="V128" s="409"/>
      <c r="W128" s="409"/>
      <c r="X128" s="405"/>
      <c r="Y128" s="405"/>
      <c r="Z128" s="405"/>
      <c r="AA128" s="405"/>
      <c r="AB128" s="405"/>
      <c r="AC128" s="405"/>
      <c r="AD128" s="405"/>
      <c r="AE128" s="405"/>
      <c r="AF128" s="405"/>
      <c r="AG128" s="405"/>
      <c r="AH128" s="405"/>
      <c r="AI128" s="405"/>
      <c r="AJ128" s="405"/>
      <c r="AK128" s="405"/>
      <c r="AL128" s="97" t="s">
        <v>8</v>
      </c>
      <c r="AM128" s="97" t="s">
        <v>8</v>
      </c>
      <c r="AN128" s="405"/>
      <c r="AO128" s="405"/>
      <c r="AP128" s="405"/>
      <c r="AQ128" s="405"/>
      <c r="AR128" s="405"/>
      <c r="AS128" s="405"/>
      <c r="AT128" s="405"/>
      <c r="AU128" s="181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177"/>
      <c r="BI128" s="409"/>
      <c r="BJ128" s="409"/>
      <c r="BK128" s="409"/>
      <c r="BL128" s="409"/>
      <c r="BM128" s="405"/>
      <c r="BN128" s="405"/>
      <c r="BO128" s="405"/>
      <c r="BP128" s="405"/>
      <c r="BQ128" s="405"/>
      <c r="BR128" s="405"/>
      <c r="BS128" s="405"/>
      <c r="BT128" s="412"/>
      <c r="BU128" s="412"/>
      <c r="BV128" s="412"/>
      <c r="BW128" s="412"/>
      <c r="BX128" s="412"/>
      <c r="BY128" s="412"/>
      <c r="BZ128" s="409"/>
      <c r="CA128" s="409"/>
      <c r="CB128" s="409"/>
      <c r="CC128" s="409"/>
      <c r="CD128" s="409"/>
      <c r="CE128" s="405"/>
      <c r="CF128" s="97"/>
      <c r="CH128" s="412"/>
      <c r="CI128" s="412"/>
      <c r="CJ128" s="412"/>
      <c r="CK128" s="412"/>
      <c r="CL128" s="412"/>
      <c r="CM128" s="412"/>
      <c r="CN128" s="412"/>
      <c r="CO128" s="412"/>
      <c r="CP128" s="412"/>
      <c r="CQ128" s="412"/>
      <c r="CR128" s="412"/>
      <c r="CS128" s="412"/>
      <c r="CU128" s="412"/>
      <c r="CV128" s="412"/>
      <c r="CW128" s="412"/>
    </row>
    <row r="129" spans="2:101" hidden="1" outlineLevel="1">
      <c r="B129" s="97"/>
      <c r="C129" s="97"/>
      <c r="D129" s="97" t="s">
        <v>532</v>
      </c>
      <c r="F129" s="413" t="s">
        <v>223</v>
      </c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5"/>
      <c r="Y129" s="405"/>
      <c r="Z129" s="405"/>
      <c r="AA129" s="405"/>
      <c r="AB129" s="405"/>
      <c r="AC129" s="405"/>
      <c r="AD129" s="405"/>
      <c r="AE129" s="405"/>
      <c r="AF129" s="405"/>
      <c r="AG129" s="405"/>
      <c r="AH129" s="405"/>
      <c r="AI129" s="405"/>
      <c r="AJ129" s="405"/>
      <c r="AK129" s="405"/>
      <c r="AL129" s="97" t="s">
        <v>4</v>
      </c>
      <c r="AM129" s="97" t="s">
        <v>4</v>
      </c>
      <c r="AN129" s="405"/>
      <c r="AO129" s="405"/>
      <c r="AP129" s="405"/>
      <c r="AQ129" s="405"/>
      <c r="AR129" s="405"/>
      <c r="AS129" s="405"/>
      <c r="AT129" s="405"/>
      <c r="AU129" s="181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5"/>
      <c r="BN129" s="405"/>
      <c r="BO129" s="405"/>
      <c r="BP129" s="405"/>
      <c r="BQ129" s="405"/>
      <c r="BR129" s="405"/>
      <c r="BS129" s="405"/>
      <c r="BT129" s="405">
        <f t="shared" ref="BT129:BY129" si="192">SUM(BT127:BT128)</f>
        <v>0</v>
      </c>
      <c r="BU129" s="405">
        <f t="shared" si="192"/>
        <v>0</v>
      </c>
      <c r="BV129" s="405">
        <f t="shared" si="192"/>
        <v>0</v>
      </c>
      <c r="BW129" s="405">
        <f t="shared" si="192"/>
        <v>0</v>
      </c>
      <c r="BX129" s="405">
        <f t="shared" si="192"/>
        <v>0</v>
      </c>
      <c r="BY129" s="405">
        <f t="shared" si="192"/>
        <v>0</v>
      </c>
      <c r="BZ129" s="409"/>
      <c r="CA129" s="409"/>
      <c r="CB129" s="409"/>
      <c r="CC129" s="409"/>
      <c r="CD129" s="409"/>
      <c r="CE129" s="405"/>
      <c r="CF129" s="97"/>
      <c r="CH129" s="405"/>
      <c r="CI129" s="405"/>
      <c r="CJ129" s="405">
        <f t="shared" ref="CJ129:CS129" si="193">SUM(CJ127:CJ128)</f>
        <v>0</v>
      </c>
      <c r="CK129" s="405">
        <f t="shared" si="193"/>
        <v>0</v>
      </c>
      <c r="CL129" s="405">
        <f t="shared" si="193"/>
        <v>0</v>
      </c>
      <c r="CM129" s="405">
        <f t="shared" si="193"/>
        <v>0</v>
      </c>
      <c r="CN129" s="405">
        <f t="shared" si="193"/>
        <v>0</v>
      </c>
      <c r="CO129" s="405">
        <f t="shared" si="193"/>
        <v>0</v>
      </c>
      <c r="CP129" s="405">
        <f t="shared" si="193"/>
        <v>0</v>
      </c>
      <c r="CQ129" s="405">
        <f t="shared" si="193"/>
        <v>0</v>
      </c>
      <c r="CR129" s="405">
        <f t="shared" si="193"/>
        <v>0</v>
      </c>
      <c r="CS129" s="405">
        <f t="shared" si="193"/>
        <v>0</v>
      </c>
      <c r="CU129" s="405">
        <f>SUM(CU127:CU128)</f>
        <v>0</v>
      </c>
      <c r="CV129" s="405">
        <f>SUM(CV127:CV128)</f>
        <v>0</v>
      </c>
      <c r="CW129" s="405">
        <f>SUM(CW127:CW128)</f>
        <v>0</v>
      </c>
    </row>
    <row r="130" spans="2:101" collapsed="1">
      <c r="B130" s="97"/>
      <c r="C130" s="97"/>
      <c r="D130" s="97"/>
      <c r="F130" s="414" t="s">
        <v>320</v>
      </c>
      <c r="G130" s="348">
        <f>SUM(G17,G26,G67,G76,G93,G99,G103,G109,G114)</f>
        <v>5931444.3749999879</v>
      </c>
      <c r="H130" s="348">
        <f t="shared" ref="H130:W130" si="194">SUM(H17,H26,H67,H76,H93,H99,H103,H109,H114)</f>
        <v>5602861.6000000099</v>
      </c>
      <c r="I130" s="348">
        <f t="shared" si="194"/>
        <v>5425646.2699999753</v>
      </c>
      <c r="J130" s="348">
        <f t="shared" si="194"/>
        <v>4760547.6099999631</v>
      </c>
      <c r="K130" s="348">
        <f t="shared" si="194"/>
        <v>4713294.2399999741</v>
      </c>
      <c r="L130" s="348">
        <f t="shared" si="194"/>
        <v>4520797.3899999969</v>
      </c>
      <c r="M130" s="348">
        <f t="shared" si="194"/>
        <v>4570645.1900000004</v>
      </c>
      <c r="N130" s="348">
        <f t="shared" si="194"/>
        <v>4502190.6399999931</v>
      </c>
      <c r="O130" s="348">
        <f t="shared" si="194"/>
        <v>4461485.8099999949</v>
      </c>
      <c r="P130" s="348">
        <f t="shared" si="194"/>
        <v>4605232.5600000098</v>
      </c>
      <c r="Q130" s="348">
        <f t="shared" si="194"/>
        <v>4934133.4099999908</v>
      </c>
      <c r="R130" s="348">
        <f t="shared" si="194"/>
        <v>5797865.6299999813</v>
      </c>
      <c r="S130" s="348">
        <f t="shared" ca="1" si="194"/>
        <v>59826144.724999867</v>
      </c>
      <c r="T130" s="348">
        <f t="shared" si="194"/>
        <v>16959952.244999979</v>
      </c>
      <c r="U130" s="348">
        <f t="shared" si="194"/>
        <v>13994639.239999933</v>
      </c>
      <c r="V130" s="348">
        <f t="shared" si="194"/>
        <v>13534321.639999988</v>
      </c>
      <c r="W130" s="348">
        <f t="shared" si="194"/>
        <v>15337231.599999977</v>
      </c>
      <c r="X130" s="405"/>
      <c r="Y130" s="348">
        <f>SUM(Y17,Y26,Y67,Y76,Y93,Y99,Y103,Y109,Y114)</f>
        <v>6390307.3599999957</v>
      </c>
      <c r="Z130" s="348">
        <f t="shared" ref="Z130:AT130" si="195">SUM(Z17,Z26,Z67,Z76,Z93,Z99,Z103,Z109,Z114)</f>
        <v>5709165.5499999905</v>
      </c>
      <c r="AA130" s="348">
        <f t="shared" si="195"/>
        <v>5636549.7299999874</v>
      </c>
      <c r="AB130" s="348">
        <f>SUM(AB17,AB26,AB67,AB76,AB93,AB99,AB103,AB109,AB114)</f>
        <v>5596114.5699999826</v>
      </c>
      <c r="AC130" s="348">
        <f>SUM(AC17,AC26,AC67,AC76,AC93,AC99,AC103,AC109,AC114)</f>
        <v>5169684.9799999855</v>
      </c>
      <c r="AD130" s="348">
        <f t="shared" si="195"/>
        <v>4856147.7099999916</v>
      </c>
      <c r="AE130" s="348">
        <f t="shared" si="195"/>
        <v>4928458.5499999961</v>
      </c>
      <c r="AF130" s="348">
        <f t="shared" si="195"/>
        <v>4742227.0499999924</v>
      </c>
      <c r="AG130" s="348">
        <f>SUM(AG17,AG26,AG67,AG76,AG93,AG99,AG103,AG109,AG114)</f>
        <v>4851474.7299999893</v>
      </c>
      <c r="AH130" s="348">
        <f t="shared" si="195"/>
        <v>4947382.4999999842</v>
      </c>
      <c r="AI130" s="348">
        <f t="shared" si="195"/>
        <v>5280059.4599999916</v>
      </c>
      <c r="AJ130" s="348">
        <f t="shared" si="195"/>
        <v>5827431.5699999975</v>
      </c>
      <c r="AK130" s="348">
        <f t="shared" ca="1" si="195"/>
        <v>63935003.759999886</v>
      </c>
      <c r="AN130" s="348"/>
      <c r="AO130" s="348"/>
      <c r="AP130" s="348"/>
      <c r="AQ130" s="348">
        <f t="shared" si="195"/>
        <v>17736022.639999971</v>
      </c>
      <c r="AR130" s="348">
        <f t="shared" si="195"/>
        <v>15621947.259999961</v>
      </c>
      <c r="AS130" s="348">
        <f t="shared" si="195"/>
        <v>14522160.32999998</v>
      </c>
      <c r="AT130" s="348">
        <f t="shared" si="195"/>
        <v>16054873.529999973</v>
      </c>
      <c r="AU130" s="181"/>
      <c r="AV130" s="348">
        <f>SUM(AV17,AV26,AV67,AV76,AV93,AV99,AV103,AV109,AV114)</f>
        <v>6355564.890273558</v>
      </c>
      <c r="AW130" s="348">
        <f t="shared" ref="AW130:BL130" si="196">SUM(AW17,AW26,AW67,AW76,AW93,AW99,AW103,AW109,AW114)</f>
        <v>5800813.0483805891</v>
      </c>
      <c r="AX130" s="348">
        <f t="shared" si="196"/>
        <v>5590684.7324247537</v>
      </c>
      <c r="AY130" s="348">
        <f t="shared" si="196"/>
        <v>5354616.2658806294</v>
      </c>
      <c r="AZ130" s="348">
        <f t="shared" si="196"/>
        <v>5018116.0715078246</v>
      </c>
      <c r="BA130" s="348">
        <f t="shared" si="196"/>
        <v>4854165.5740252826</v>
      </c>
      <c r="BB130" s="348">
        <f t="shared" si="196"/>
        <v>4731027.9109054692</v>
      </c>
      <c r="BC130" s="348">
        <f t="shared" si="196"/>
        <v>4790064.633370135</v>
      </c>
      <c r="BD130" s="348">
        <f t="shared" si="196"/>
        <v>4759115.5687229903</v>
      </c>
      <c r="BE130" s="348">
        <f t="shared" si="196"/>
        <v>4845251.913314458</v>
      </c>
      <c r="BF130" s="348">
        <f t="shared" si="196"/>
        <v>5314268.2146857129</v>
      </c>
      <c r="BG130" s="348">
        <f t="shared" si="196"/>
        <v>5968257.2438594121</v>
      </c>
      <c r="BH130" s="348">
        <f t="shared" ca="1" si="196"/>
        <v>63381946.067350812</v>
      </c>
      <c r="BI130" s="348">
        <f t="shared" si="196"/>
        <v>17747062.671078902</v>
      </c>
      <c r="BJ130" s="348">
        <f t="shared" si="196"/>
        <v>15226897.911413737</v>
      </c>
      <c r="BK130" s="348">
        <f t="shared" si="196"/>
        <v>14280208.112998597</v>
      </c>
      <c r="BL130" s="348">
        <f t="shared" si="196"/>
        <v>16127777.371859584</v>
      </c>
      <c r="BM130" s="405"/>
      <c r="BN130" s="348">
        <f>SUM(BN17,BN26,BN67,BN76,BN93,BN99,BN103,BN109,BN114)</f>
        <v>0</v>
      </c>
      <c r="BO130" s="348">
        <f t="shared" ref="BO130:CD130" si="197">SUM(BO17,BO26,BO67,BO76,BO93,BO99,BO103,BO109,BO114)</f>
        <v>0</v>
      </c>
      <c r="BP130" s="348">
        <f t="shared" si="197"/>
        <v>5555218.9491803078</v>
      </c>
      <c r="BQ130" s="348">
        <f t="shared" si="197"/>
        <v>5466894.0722031891</v>
      </c>
      <c r="BR130" s="348">
        <f t="shared" si="197"/>
        <v>5073544.7439166047</v>
      </c>
      <c r="BS130" s="348">
        <f t="shared" si="197"/>
        <v>4881794.2885068981</v>
      </c>
      <c r="BT130" s="348">
        <f>SUM(BT17,BT26,BT67,BT76,BT93,BT99,BT103,BT109,BT114)</f>
        <v>4658256.3324053306</v>
      </c>
      <c r="BU130" s="348">
        <f t="shared" si="197"/>
        <v>4734570.5060990993</v>
      </c>
      <c r="BV130" s="348">
        <f t="shared" si="197"/>
        <v>4724752.0540043795</v>
      </c>
      <c r="BW130" s="348">
        <f t="shared" si="197"/>
        <v>4795076.8815382542</v>
      </c>
      <c r="BX130" s="348">
        <f t="shared" si="197"/>
        <v>5278894.9005647199</v>
      </c>
      <c r="BY130" s="348">
        <f t="shared" si="197"/>
        <v>5934498.5941518638</v>
      </c>
      <c r="BZ130" s="348">
        <f t="shared" ca="1" si="197"/>
        <v>51103501.322570652</v>
      </c>
      <c r="CA130" s="348">
        <f t="shared" si="197"/>
        <v>5555218.9491803078</v>
      </c>
      <c r="CB130" s="348">
        <f t="shared" si="197"/>
        <v>15422233.104626689</v>
      </c>
      <c r="CC130" s="348">
        <f t="shared" si="197"/>
        <v>14117578.892508812</v>
      </c>
      <c r="CD130" s="348">
        <f t="shared" si="197"/>
        <v>16008470.376254842</v>
      </c>
      <c r="CE130" s="405"/>
      <c r="CF130" s="97"/>
      <c r="CH130" s="348"/>
      <c r="CI130" s="348"/>
      <c r="CJ130" s="348">
        <f t="shared" ref="CJ130:CS130" si="198">SUM(CJ17,CJ26,CJ67,CJ76,CJ93,CJ99,CJ103,CJ109,CJ114)</f>
        <v>81330.780819679261</v>
      </c>
      <c r="CK130" s="348">
        <f t="shared" si="198"/>
        <v>129220.49779679322</v>
      </c>
      <c r="CL130" s="348">
        <f t="shared" si="198"/>
        <v>96140.236083380834</v>
      </c>
      <c r="CM130" s="348">
        <f t="shared" si="198"/>
        <v>-25646.57850690671</v>
      </c>
      <c r="CN130" s="348">
        <f t="shared" si="198"/>
        <v>270202.21759466385</v>
      </c>
      <c r="CO130" s="348">
        <f t="shared" si="198"/>
        <v>7656.5439008933799</v>
      </c>
      <c r="CP130" s="348">
        <f t="shared" si="198"/>
        <v>126722.67599560958</v>
      </c>
      <c r="CQ130" s="348">
        <f t="shared" si="198"/>
        <v>152305.61846172993</v>
      </c>
      <c r="CR130" s="348">
        <f t="shared" si="198"/>
        <v>0</v>
      </c>
      <c r="CS130" s="348">
        <f t="shared" si="198"/>
        <v>0</v>
      </c>
      <c r="CU130" s="348">
        <f>SUM(CU17,CU26,CU67,CU76,CU93,CU99,CU103,CU109,CU114)</f>
        <v>28115149.107312024</v>
      </c>
      <c r="CV130" s="348" t="e">
        <f>SUM(CV17,CV26,CV67,CV76,CV93,CV99,CV103,CV109,CV114)</f>
        <v>#VALUE!</v>
      </c>
      <c r="CW130" s="348">
        <f>SUM(CW17,CW26,CW67,CW76,CW93,CW99,CW103,CW109,CW114)</f>
        <v>27511456.420053616</v>
      </c>
    </row>
    <row r="131" spans="2:101">
      <c r="B131" s="97"/>
      <c r="C131" s="97"/>
      <c r="D131" s="97" t="s">
        <v>532</v>
      </c>
      <c r="F131" s="413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409"/>
      <c r="V131" s="409"/>
      <c r="W131" s="409"/>
      <c r="X131" s="405"/>
      <c r="Y131" s="405"/>
      <c r="Z131" s="405"/>
      <c r="AA131" s="405"/>
      <c r="AB131" s="405"/>
      <c r="AC131" s="405"/>
      <c r="AD131" s="405"/>
      <c r="AE131" s="405"/>
      <c r="AF131" s="405"/>
      <c r="AG131" s="405"/>
      <c r="AH131" s="405"/>
      <c r="AI131" s="405"/>
      <c r="AJ131" s="405"/>
      <c r="AK131" s="405"/>
      <c r="AN131" s="405"/>
      <c r="AO131" s="405"/>
      <c r="AP131" s="405"/>
      <c r="AQ131" s="405"/>
      <c r="AR131" s="405"/>
      <c r="AS131" s="405"/>
      <c r="AT131" s="405"/>
      <c r="AU131" s="181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405"/>
      <c r="BZ131" s="409"/>
      <c r="CA131" s="409"/>
      <c r="CB131" s="409"/>
      <c r="CC131" s="409"/>
      <c r="CD131" s="409"/>
      <c r="CE131" s="405"/>
      <c r="CF131" s="97"/>
      <c r="CH131" s="405"/>
      <c r="CI131" s="405"/>
      <c r="CJ131" s="405"/>
      <c r="CK131" s="405"/>
      <c r="CL131" s="405"/>
      <c r="CM131" s="405"/>
      <c r="CN131" s="405"/>
      <c r="CO131" s="405"/>
      <c r="CP131" s="405"/>
      <c r="CQ131" s="405"/>
      <c r="CR131" s="405"/>
      <c r="CS131" s="405"/>
      <c r="CU131" s="405"/>
      <c r="CV131" s="405"/>
      <c r="CW131" s="405"/>
    </row>
    <row r="132" spans="2:101">
      <c r="B132" s="97"/>
      <c r="C132" s="97"/>
      <c r="D132" s="97" t="s">
        <v>532</v>
      </c>
      <c r="F132" s="284" t="s">
        <v>226</v>
      </c>
      <c r="G132" s="415"/>
      <c r="H132" s="415"/>
      <c r="I132" s="415"/>
      <c r="J132" s="415"/>
      <c r="K132" s="415"/>
      <c r="L132" s="415"/>
      <c r="M132" s="415"/>
      <c r="N132" s="415"/>
      <c r="O132" s="415"/>
      <c r="P132" s="97"/>
      <c r="Q132" s="97"/>
      <c r="R132" s="97"/>
      <c r="S132" s="97"/>
      <c r="T132" s="97"/>
      <c r="U132" s="97"/>
      <c r="V132" s="97"/>
      <c r="W132" s="97"/>
      <c r="X132" s="367"/>
      <c r="Y132" s="416"/>
      <c r="Z132" s="416"/>
      <c r="AA132" s="416"/>
      <c r="AB132" s="416"/>
      <c r="AC132" s="416"/>
      <c r="AD132" s="416"/>
      <c r="AE132" s="416"/>
      <c r="AF132" s="416"/>
      <c r="AG132" s="416"/>
      <c r="AH132" s="367"/>
      <c r="AI132" s="367"/>
      <c r="AJ132" s="367"/>
      <c r="AK132" s="367"/>
      <c r="AL132" s="97" t="s">
        <v>232</v>
      </c>
      <c r="AM132" s="97" t="s">
        <v>5</v>
      </c>
      <c r="AN132" s="367"/>
      <c r="AO132" s="367"/>
      <c r="AP132" s="367"/>
      <c r="AQ132" s="367"/>
      <c r="AR132" s="367"/>
      <c r="AS132" s="367"/>
      <c r="AT132" s="367"/>
      <c r="AU132" s="181"/>
      <c r="AV132" s="415"/>
      <c r="AW132" s="415"/>
      <c r="AX132" s="415"/>
      <c r="AY132" s="415"/>
      <c r="AZ132" s="415"/>
      <c r="BA132" s="415"/>
      <c r="BB132" s="415"/>
      <c r="BC132" s="415"/>
      <c r="BD132" s="415"/>
      <c r="BE132" s="97"/>
      <c r="BF132" s="97"/>
      <c r="BG132" s="97"/>
      <c r="BH132" s="97"/>
      <c r="BI132" s="97"/>
      <c r="BJ132" s="97"/>
      <c r="BK132" s="97"/>
      <c r="BL132" s="97"/>
      <c r="BM132" s="367"/>
      <c r="BN132" s="416"/>
      <c r="BO132" s="416"/>
      <c r="BP132" s="416"/>
      <c r="BQ132" s="416"/>
      <c r="BR132" s="416"/>
      <c r="BS132" s="416"/>
      <c r="BT132" s="416"/>
      <c r="BU132" s="416"/>
      <c r="BV132" s="416"/>
      <c r="BW132" s="367"/>
      <c r="BX132" s="367"/>
      <c r="BY132" s="367"/>
      <c r="BZ132" s="97"/>
      <c r="CA132" s="97"/>
      <c r="CB132" s="97"/>
      <c r="CC132" s="97"/>
      <c r="CD132" s="97"/>
      <c r="CE132" s="367"/>
      <c r="CF132" s="97"/>
      <c r="CH132" s="367"/>
      <c r="CI132" s="367"/>
      <c r="CJ132" s="367"/>
      <c r="CK132" s="367"/>
      <c r="CL132" s="367"/>
      <c r="CM132" s="367"/>
      <c r="CN132" s="367"/>
      <c r="CO132" s="367"/>
      <c r="CP132" s="367"/>
      <c r="CQ132" s="367"/>
      <c r="CR132" s="367"/>
      <c r="CS132" s="367"/>
      <c r="CU132" s="367"/>
      <c r="CV132" s="367"/>
      <c r="CW132" s="367"/>
    </row>
    <row r="133" spans="2:101" outlineLevel="1">
      <c r="B133" s="97"/>
      <c r="C133" s="97"/>
      <c r="D133" s="97" t="s">
        <v>532</v>
      </c>
      <c r="F133" s="417" t="s">
        <v>11</v>
      </c>
      <c r="G133" s="175"/>
      <c r="H133" s="175"/>
      <c r="I133" s="175"/>
      <c r="J133" s="175" t="s">
        <v>20</v>
      </c>
      <c r="K133" s="175"/>
      <c r="L133" s="175"/>
      <c r="M133" s="175"/>
      <c r="N133" s="175"/>
      <c r="O133" s="175"/>
      <c r="P133" s="175"/>
      <c r="Q133" s="175"/>
      <c r="R133" s="175"/>
      <c r="S133" s="177"/>
      <c r="T133" s="175"/>
      <c r="U133" s="175"/>
      <c r="V133" s="175"/>
      <c r="W133" s="175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418"/>
      <c r="AN133" s="418"/>
      <c r="AO133" s="418"/>
      <c r="AP133" s="418"/>
      <c r="AQ133" s="178"/>
      <c r="AR133" s="178"/>
      <c r="AS133" s="178"/>
      <c r="AT133" s="178"/>
      <c r="AU133" s="181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7"/>
      <c r="BI133" s="175"/>
      <c r="BJ133" s="175"/>
      <c r="BK133" s="175"/>
      <c r="BL133" s="175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7"/>
      <c r="CA133" s="175"/>
      <c r="CB133" s="175"/>
      <c r="CC133" s="175"/>
      <c r="CD133" s="175"/>
      <c r="CE133" s="178"/>
      <c r="CF133" s="97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U133" s="178"/>
      <c r="CV133" s="178"/>
      <c r="CW133" s="178"/>
    </row>
    <row r="134" spans="2:101" outlineLevel="1">
      <c r="B134" s="97" t="s">
        <v>588</v>
      </c>
      <c r="C134" s="97" t="s">
        <v>9</v>
      </c>
      <c r="D134" s="97" t="s">
        <v>7</v>
      </c>
      <c r="F134" s="67" t="s">
        <v>7</v>
      </c>
      <c r="G134" s="175">
        <v>140860</v>
      </c>
      <c r="H134" s="175">
        <v>161814</v>
      </c>
      <c r="I134" s="175">
        <v>117605</v>
      </c>
      <c r="J134" s="175">
        <v>54365</v>
      </c>
      <c r="K134" s="175">
        <v>43724</v>
      </c>
      <c r="L134" s="175">
        <v>37425.270000000004</v>
      </c>
      <c r="M134" s="175">
        <v>51571.82</v>
      </c>
      <c r="N134" s="175">
        <v>46797.36</v>
      </c>
      <c r="O134" s="175">
        <v>45172.639999999999</v>
      </c>
      <c r="P134" s="175">
        <v>43823.42</v>
      </c>
      <c r="Q134" s="175">
        <v>51323.75</v>
      </c>
      <c r="R134" s="175">
        <v>49736.47</v>
      </c>
      <c r="S134" s="177">
        <f ca="1">SUM(G134:OFFSET(G134,0,$F$2-1))</f>
        <v>844218.73</v>
      </c>
      <c r="T134" s="419">
        <f>SUM(G134:I134)</f>
        <v>420279</v>
      </c>
      <c r="U134" s="419">
        <f>SUM(J134:L134)</f>
        <v>135514.27000000002</v>
      </c>
      <c r="V134" s="419">
        <f>SUM(M134:O134)</f>
        <v>143541.82</v>
      </c>
      <c r="W134" s="419">
        <f>SUM(P134:R134)</f>
        <v>144883.64000000001</v>
      </c>
      <c r="X134" s="420"/>
      <c r="Y134" s="175">
        <v>142657.40999999997</v>
      </c>
      <c r="Z134" s="175">
        <v>116057.76000000001</v>
      </c>
      <c r="AA134" s="175">
        <v>137132.4</v>
      </c>
      <c r="AB134" s="175">
        <v>138074.1</v>
      </c>
      <c r="AC134" s="175">
        <v>148950.64000000001</v>
      </c>
      <c r="AD134" s="175">
        <v>146843.04999999999</v>
      </c>
      <c r="AE134" s="175">
        <v>148327.45000000001</v>
      </c>
      <c r="AF134" s="175">
        <v>146964.85</v>
      </c>
      <c r="AG134" s="175">
        <v>129646.22000000002</v>
      </c>
      <c r="AH134" s="175">
        <v>132880.46000000002</v>
      </c>
      <c r="AI134" s="175">
        <v>142781.34999999998</v>
      </c>
      <c r="AJ134" s="175">
        <v>130436.29999999999</v>
      </c>
      <c r="AK134" s="177">
        <f ca="1">SUM(Y134:OFFSET(Y134,0,$F$2-1))</f>
        <v>1660751.99</v>
      </c>
      <c r="AL134" s="97" t="s">
        <v>234</v>
      </c>
      <c r="AM134" s="97" t="s">
        <v>7</v>
      </c>
      <c r="AN134" s="177"/>
      <c r="AO134" s="177"/>
      <c r="AP134" s="177"/>
      <c r="AQ134" s="419">
        <f>SUM(Y134:AA134)</f>
        <v>395847.56999999995</v>
      </c>
      <c r="AR134" s="419">
        <f>SUM(AB134:AD134)</f>
        <v>433867.79</v>
      </c>
      <c r="AS134" s="419">
        <f>SUM(AE134:AG134)</f>
        <v>424938.52000000008</v>
      </c>
      <c r="AT134" s="419">
        <f>SUM(AH134:AJ134)</f>
        <v>406098.11</v>
      </c>
      <c r="AU134" s="181"/>
      <c r="AV134" s="175">
        <v>135128.55666666667</v>
      </c>
      <c r="AW134" s="175">
        <v>142906.35500000001</v>
      </c>
      <c r="AX134" s="175">
        <v>145606.02666666667</v>
      </c>
      <c r="AY134" s="175">
        <v>158394.72500000001</v>
      </c>
      <c r="AZ134" s="175">
        <v>149878.61166666666</v>
      </c>
      <c r="BA134" s="175">
        <v>141529.83283950615</v>
      </c>
      <c r="BB134" s="175">
        <v>148112.12137860083</v>
      </c>
      <c r="BC134" s="175">
        <v>151471.45921810702</v>
      </c>
      <c r="BD134" s="175">
        <v>143820.80940329219</v>
      </c>
      <c r="BE134" s="175">
        <v>141233.07993827161</v>
      </c>
      <c r="BF134" s="175">
        <v>150202.13084362142</v>
      </c>
      <c r="BG134" s="175">
        <v>153285.21117283948</v>
      </c>
      <c r="BH134" s="177">
        <f ca="1">SUM(AV134:OFFSET(AV134,0,$F$2-1))</f>
        <v>1761568.9197942384</v>
      </c>
      <c r="BI134" s="419">
        <f>SUM(AV134:AX134)</f>
        <v>423640.93833333335</v>
      </c>
      <c r="BJ134" s="419">
        <f>SUM(AY134:BA134)</f>
        <v>449803.16950617282</v>
      </c>
      <c r="BK134" s="419">
        <f>SUM(BB134:BD134)</f>
        <v>443404.39000000007</v>
      </c>
      <c r="BL134" s="419">
        <f>SUM(BE134:BG134)</f>
        <v>444720.4219547325</v>
      </c>
      <c r="BM134" s="420"/>
      <c r="BN134" s="175"/>
      <c r="BO134" s="175"/>
      <c r="BP134" s="175">
        <v>102456.02666666667</v>
      </c>
      <c r="BQ134" s="175">
        <v>128811.41250000001</v>
      </c>
      <c r="BR134" s="175">
        <v>130549.81166666665</v>
      </c>
      <c r="BS134" s="175">
        <v>128666.015</v>
      </c>
      <c r="BT134" s="175">
        <v>141595.67333333334</v>
      </c>
      <c r="BU134" s="175">
        <v>145006.86333333334</v>
      </c>
      <c r="BV134" s="175">
        <v>135144.00333333336</v>
      </c>
      <c r="BW134" s="175">
        <v>133150.07166666666</v>
      </c>
      <c r="BX134" s="175">
        <v>128761.09166666666</v>
      </c>
      <c r="BY134" s="175">
        <v>128035.34499999999</v>
      </c>
      <c r="BZ134" s="177">
        <f ca="1">SUM(BN134:OFFSET(BN134,0,$F$2-1))</f>
        <v>1302176.3141666667</v>
      </c>
      <c r="CA134" s="419">
        <f>SUM(BN134:BP134)</f>
        <v>102456.02666666667</v>
      </c>
      <c r="CB134" s="419">
        <f>SUM(BQ134:BS134)</f>
        <v>388027.23916666664</v>
      </c>
      <c r="CC134" s="419">
        <f>SUM(BT134:BV134)</f>
        <v>421746.54000000004</v>
      </c>
      <c r="CD134" s="419">
        <f>SUM(BW134:BY134)</f>
        <v>389946.5083333333</v>
      </c>
      <c r="CE134" s="420"/>
      <c r="CF134" s="97" t="s">
        <v>588</v>
      </c>
      <c r="CH134" s="175"/>
      <c r="CI134" s="175"/>
      <c r="CJ134" s="175">
        <f t="shared" ref="CJ134:CQ137" si="199">AA134-BP134</f>
        <v>34676.373333333322</v>
      </c>
      <c r="CK134" s="175">
        <f t="shared" si="199"/>
        <v>9262.6875</v>
      </c>
      <c r="CL134" s="175">
        <f t="shared" si="199"/>
        <v>18400.828333333367</v>
      </c>
      <c r="CM134" s="175">
        <f t="shared" si="199"/>
        <v>18177.034999999989</v>
      </c>
      <c r="CN134" s="175">
        <f t="shared" si="199"/>
        <v>6731.7766666666721</v>
      </c>
      <c r="CO134" s="175">
        <f t="shared" si="199"/>
        <v>1957.986666666664</v>
      </c>
      <c r="CP134" s="175">
        <f t="shared" si="199"/>
        <v>-5497.7833333333401</v>
      </c>
      <c r="CQ134" s="175">
        <f t="shared" si="199"/>
        <v>-269.61166666663485</v>
      </c>
      <c r="CR134" s="175"/>
      <c r="CS134" s="175"/>
      <c r="CU134" s="175">
        <f>SUM(Y134:AC134)+SUM(BS134:BY134)</f>
        <v>1623231.3733333333</v>
      </c>
      <c r="CV134" s="175">
        <v>1684531.3016666668</v>
      </c>
      <c r="CW134" s="175">
        <f>SUM(AV134:BG134)</f>
        <v>1761568.9197942384</v>
      </c>
    </row>
    <row r="135" spans="2:101" outlineLevel="1">
      <c r="B135" s="97" t="s">
        <v>589</v>
      </c>
      <c r="C135" s="97" t="s">
        <v>9</v>
      </c>
      <c r="D135" s="97" t="s">
        <v>8</v>
      </c>
      <c r="F135" s="67" t="s">
        <v>8</v>
      </c>
      <c r="G135" s="175">
        <v>23683</v>
      </c>
      <c r="H135" s="175">
        <v>24677</v>
      </c>
      <c r="I135" s="175">
        <v>17893</v>
      </c>
      <c r="J135" s="175">
        <v>10408</v>
      </c>
      <c r="K135" s="175">
        <v>10116</v>
      </c>
      <c r="L135" s="175">
        <v>9634</v>
      </c>
      <c r="M135" s="175">
        <v>11566.869999999995</v>
      </c>
      <c r="N135" s="175">
        <v>12176.779999999999</v>
      </c>
      <c r="O135" s="175">
        <v>13137.690000000002</v>
      </c>
      <c r="P135" s="175">
        <v>12077.930000000008</v>
      </c>
      <c r="Q135" s="175">
        <v>12170.119999999995</v>
      </c>
      <c r="R135" s="175">
        <v>12772.350000000006</v>
      </c>
      <c r="S135" s="177">
        <f ca="1">SUM(G135:OFFSET(G135,0,$F$2-1))</f>
        <v>170312.74000000002</v>
      </c>
      <c r="T135" s="419">
        <f t="shared" ref="T135:T172" si="200">SUM(G135:I135)</f>
        <v>66253</v>
      </c>
      <c r="U135" s="419">
        <f t="shared" ref="U135:U172" si="201">SUM(J135:L135)</f>
        <v>30158</v>
      </c>
      <c r="V135" s="419">
        <f t="shared" ref="V135:V172" si="202">SUM(M135:O135)</f>
        <v>36881.339999999997</v>
      </c>
      <c r="W135" s="419">
        <f t="shared" ref="W135:W172" si="203">SUM(P135:R135)</f>
        <v>37020.400000000009</v>
      </c>
      <c r="X135" s="378"/>
      <c r="Y135" s="175">
        <v>13286.87000000001</v>
      </c>
      <c r="Z135" s="175">
        <v>10297.690000000002</v>
      </c>
      <c r="AA135" s="175">
        <v>12688.989999999991</v>
      </c>
      <c r="AB135" s="175">
        <v>14163.399999999994</v>
      </c>
      <c r="AC135" s="175">
        <v>22586.75999999998</v>
      </c>
      <c r="AD135" s="175">
        <v>23789.020000000019</v>
      </c>
      <c r="AE135" s="175">
        <v>26168.630000000005</v>
      </c>
      <c r="AF135" s="175">
        <v>24730.22</v>
      </c>
      <c r="AG135" s="175">
        <v>29506.23000000001</v>
      </c>
      <c r="AH135" s="175">
        <v>23592.819999999978</v>
      </c>
      <c r="AI135" s="175">
        <v>29311.01999999999</v>
      </c>
      <c r="AJ135" s="175">
        <v>25876.320000000007</v>
      </c>
      <c r="AK135" s="177">
        <f ca="1">SUM(Y135:OFFSET(Y135,0,$F$2-1))</f>
        <v>255997.97</v>
      </c>
      <c r="AL135" s="97" t="s">
        <v>8</v>
      </c>
      <c r="AM135" s="97" t="s">
        <v>8</v>
      </c>
      <c r="AN135" s="177"/>
      <c r="AO135" s="177"/>
      <c r="AP135" s="177"/>
      <c r="AQ135" s="419">
        <f t="shared" ref="AQ135:AQ172" si="204">SUM(Y135:AA135)</f>
        <v>36273.550000000003</v>
      </c>
      <c r="AR135" s="419">
        <f t="shared" ref="AR135:AR172" si="205">SUM(AB135:AD135)</f>
        <v>60539.179999999993</v>
      </c>
      <c r="AS135" s="419">
        <f t="shared" ref="AS135:AS172" si="206">SUM(AE135:AG135)</f>
        <v>80405.080000000016</v>
      </c>
      <c r="AT135" s="419">
        <f t="shared" ref="AT135:AT172" si="207">SUM(AH135:AJ135)</f>
        <v>78780.159999999974</v>
      </c>
      <c r="AU135" s="181"/>
      <c r="AV135" s="175">
        <v>20652.823333333334</v>
      </c>
      <c r="AW135" s="175">
        <v>22414.443333333333</v>
      </c>
      <c r="AX135" s="175">
        <v>23706.833333333336</v>
      </c>
      <c r="AY135" s="175">
        <v>25323.093333333334</v>
      </c>
      <c r="AZ135" s="175">
        <v>22815.940000000002</v>
      </c>
      <c r="BA135" s="175">
        <v>23367.257777777777</v>
      </c>
      <c r="BB135" s="175">
        <v>22073.891519345121</v>
      </c>
      <c r="BC135" s="175">
        <v>23183.887157205201</v>
      </c>
      <c r="BD135" s="175">
        <v>23401.461107822484</v>
      </c>
      <c r="BE135" s="175">
        <v>21645.756951443884</v>
      </c>
      <c r="BF135" s="175">
        <v>26766.040632897515</v>
      </c>
      <c r="BG135" s="175">
        <v>24331.656641127967</v>
      </c>
      <c r="BH135" s="177">
        <f ca="1">SUM(AV135:OFFSET(AV135,0,$F$2-1))</f>
        <v>279683.08512095327</v>
      </c>
      <c r="BI135" s="419">
        <f t="shared" ref="BI135:BI172" si="208">SUM(AV135:AX135)</f>
        <v>66774.100000000006</v>
      </c>
      <c r="BJ135" s="419">
        <f t="shared" ref="BJ135:BJ172" si="209">SUM(AY135:BA135)</f>
        <v>71506.291111111117</v>
      </c>
      <c r="BK135" s="419">
        <f t="shared" ref="BK135:BK172" si="210">SUM(BB135:BD135)</f>
        <v>68659.23978437281</v>
      </c>
      <c r="BL135" s="419">
        <f t="shared" ref="BL135:BL172" si="211">SUM(BE135:BG135)</f>
        <v>72743.454225469366</v>
      </c>
      <c r="BM135" s="378"/>
      <c r="BN135" s="175"/>
      <c r="BO135" s="175"/>
      <c r="BP135" s="175">
        <v>8305.6666666666715</v>
      </c>
      <c r="BQ135" s="175">
        <v>11253.343333333338</v>
      </c>
      <c r="BR135" s="175">
        <v>12526.523333333331</v>
      </c>
      <c r="BS135" s="175">
        <v>21097.453333333353</v>
      </c>
      <c r="BT135" s="175">
        <v>20566.036666666667</v>
      </c>
      <c r="BU135" s="175">
        <v>21414.393333333355</v>
      </c>
      <c r="BV135" s="175">
        <v>23480.73000000001</v>
      </c>
      <c r="BW135" s="175">
        <v>21829.809999999998</v>
      </c>
      <c r="BX135" s="175">
        <v>26725.040000000023</v>
      </c>
      <c r="BY135" s="175">
        <v>25099.949999999997</v>
      </c>
      <c r="BZ135" s="177">
        <f ca="1">SUM(BN135:OFFSET(BN135,0,$F$2-1))</f>
        <v>192298.94666666677</v>
      </c>
      <c r="CA135" s="419">
        <f t="shared" ref="CA135:CA172" si="212">SUM(BN135:BP135)</f>
        <v>8305.6666666666715</v>
      </c>
      <c r="CB135" s="419">
        <f t="shared" ref="CB135:CB172" si="213">SUM(BQ135:BS135)</f>
        <v>44877.320000000022</v>
      </c>
      <c r="CC135" s="419">
        <f t="shared" ref="CC135:CC172" si="214">SUM(BT135:BV135)</f>
        <v>65461.160000000033</v>
      </c>
      <c r="CD135" s="419">
        <f t="shared" ref="CD135:CD172" si="215">SUM(BW135:BY135)</f>
        <v>73654.800000000017</v>
      </c>
      <c r="CE135" s="378"/>
      <c r="CF135" s="97" t="s">
        <v>589</v>
      </c>
      <c r="CH135" s="175"/>
      <c r="CI135" s="175"/>
      <c r="CJ135" s="175">
        <f t="shared" si="199"/>
        <v>4383.3233333333192</v>
      </c>
      <c r="CK135" s="175">
        <f t="shared" si="199"/>
        <v>2910.0566666666564</v>
      </c>
      <c r="CL135" s="175">
        <f t="shared" si="199"/>
        <v>10060.236666666649</v>
      </c>
      <c r="CM135" s="175">
        <f t="shared" si="199"/>
        <v>2691.5666666666657</v>
      </c>
      <c r="CN135" s="175">
        <f t="shared" si="199"/>
        <v>5602.5933333333378</v>
      </c>
      <c r="CO135" s="175">
        <f t="shared" si="199"/>
        <v>3315.8266666666459</v>
      </c>
      <c r="CP135" s="175">
        <f t="shared" si="199"/>
        <v>6025.5</v>
      </c>
      <c r="CQ135" s="175">
        <f t="shared" si="199"/>
        <v>1763.0099999999802</v>
      </c>
      <c r="CR135" s="175"/>
      <c r="CS135" s="175"/>
      <c r="CU135" s="175">
        <f>SUM(Y135:AC135)+SUM(BS135:BY135)</f>
        <v>233237.12333333335</v>
      </c>
      <c r="CV135" s="175">
        <v>244462.86000000004</v>
      </c>
      <c r="CW135" s="175">
        <f>SUM(AV135:BG135)</f>
        <v>279683.08512095327</v>
      </c>
    </row>
    <row r="136" spans="2:101" outlineLevel="1">
      <c r="B136" s="97" t="s">
        <v>590</v>
      </c>
      <c r="C136" s="97" t="s">
        <v>9</v>
      </c>
      <c r="D136" s="97" t="s">
        <v>4</v>
      </c>
      <c r="F136" s="67" t="s">
        <v>4</v>
      </c>
      <c r="G136" s="175">
        <v>450</v>
      </c>
      <c r="H136" s="175">
        <v>315</v>
      </c>
      <c r="I136" s="175">
        <v>570</v>
      </c>
      <c r="J136" s="175">
        <v>120</v>
      </c>
      <c r="K136" s="175">
        <v>30</v>
      </c>
      <c r="L136" s="175">
        <v>70</v>
      </c>
      <c r="M136" s="175">
        <v>150</v>
      </c>
      <c r="N136" s="175">
        <v>85</v>
      </c>
      <c r="O136" s="175">
        <v>75</v>
      </c>
      <c r="P136" s="175">
        <v>15</v>
      </c>
      <c r="Q136" s="175">
        <v>15</v>
      </c>
      <c r="R136" s="175">
        <v>60</v>
      </c>
      <c r="S136" s="177">
        <f ca="1">SUM(G136:OFFSET(G136,0,$F$2-1))</f>
        <v>1955</v>
      </c>
      <c r="T136" s="419">
        <f t="shared" si="200"/>
        <v>1335</v>
      </c>
      <c r="U136" s="419">
        <f t="shared" si="201"/>
        <v>220</v>
      </c>
      <c r="V136" s="419">
        <f t="shared" si="202"/>
        <v>310</v>
      </c>
      <c r="W136" s="419">
        <f t="shared" si="203"/>
        <v>90</v>
      </c>
      <c r="X136" s="378"/>
      <c r="Y136" s="175">
        <v>0</v>
      </c>
      <c r="Z136" s="175">
        <v>192.45000000000005</v>
      </c>
      <c r="AA136" s="175">
        <v>105</v>
      </c>
      <c r="AB136" s="175">
        <v>160</v>
      </c>
      <c r="AC136" s="175">
        <v>70</v>
      </c>
      <c r="AD136" s="175">
        <v>70</v>
      </c>
      <c r="AE136" s="175">
        <v>70</v>
      </c>
      <c r="AF136" s="175">
        <v>35</v>
      </c>
      <c r="AG136" s="175">
        <v>80</v>
      </c>
      <c r="AH136" s="175">
        <v>158</v>
      </c>
      <c r="AI136" s="175">
        <v>400</v>
      </c>
      <c r="AJ136" s="175">
        <v>9.9999999999909051E-2</v>
      </c>
      <c r="AK136" s="177">
        <f ca="1">SUM(Y136:OFFSET(Y136,0,$F$2-1))</f>
        <v>1340.55</v>
      </c>
      <c r="AL136" s="97" t="s">
        <v>4</v>
      </c>
      <c r="AM136" s="97" t="s">
        <v>4</v>
      </c>
      <c r="AN136" s="177"/>
      <c r="AO136" s="177"/>
      <c r="AP136" s="177"/>
      <c r="AQ136" s="419">
        <f t="shared" si="204"/>
        <v>297.45000000000005</v>
      </c>
      <c r="AR136" s="419">
        <f t="shared" si="205"/>
        <v>300</v>
      </c>
      <c r="AS136" s="419">
        <f t="shared" si="206"/>
        <v>185</v>
      </c>
      <c r="AT136" s="419">
        <f t="shared" si="207"/>
        <v>558.09999999999991</v>
      </c>
      <c r="AU136" s="181"/>
      <c r="AV136" s="175">
        <v>394.33333333333331</v>
      </c>
      <c r="AW136" s="175">
        <v>388.33333333333331</v>
      </c>
      <c r="AX136" s="175">
        <v>298.33333333333331</v>
      </c>
      <c r="AY136" s="175">
        <v>328.33333333333331</v>
      </c>
      <c r="AZ136" s="175">
        <v>183.33333333333334</v>
      </c>
      <c r="BA136" s="175">
        <v>498.32</v>
      </c>
      <c r="BB136" s="175">
        <v>575.01526748971185</v>
      </c>
      <c r="BC136" s="175">
        <v>536.10510288065836</v>
      </c>
      <c r="BD136" s="175">
        <v>583.81283950617274</v>
      </c>
      <c r="BE136" s="175">
        <v>611.08213991769537</v>
      </c>
      <c r="BF136" s="175">
        <v>710.159012345679</v>
      </c>
      <c r="BG136" s="175">
        <v>401.40691358024679</v>
      </c>
      <c r="BH136" s="177">
        <f ca="1">SUM(AV136:OFFSET(AV136,0,$F$2-1))</f>
        <v>5508.5679423868305</v>
      </c>
      <c r="BI136" s="419">
        <f t="shared" si="208"/>
        <v>1081</v>
      </c>
      <c r="BJ136" s="419">
        <f t="shared" si="209"/>
        <v>1009.9866666666667</v>
      </c>
      <c r="BK136" s="419">
        <f t="shared" si="210"/>
        <v>1694.9332098765431</v>
      </c>
      <c r="BL136" s="419">
        <f t="shared" si="211"/>
        <v>1722.648065843621</v>
      </c>
      <c r="BM136" s="378"/>
      <c r="BN136" s="175"/>
      <c r="BO136" s="175"/>
      <c r="BP136" s="175">
        <v>570</v>
      </c>
      <c r="BQ136" s="175">
        <v>120</v>
      </c>
      <c r="BR136" s="175">
        <v>30</v>
      </c>
      <c r="BS136" s="175">
        <v>70</v>
      </c>
      <c r="BT136" s="175">
        <v>150</v>
      </c>
      <c r="BU136" s="175">
        <v>85</v>
      </c>
      <c r="BV136" s="175">
        <v>75</v>
      </c>
      <c r="BW136" s="175">
        <v>15</v>
      </c>
      <c r="BX136" s="175">
        <v>15</v>
      </c>
      <c r="BY136" s="175">
        <v>60</v>
      </c>
      <c r="BZ136" s="177">
        <f ca="1">SUM(BN136:OFFSET(BN136,0,$F$2-1))</f>
        <v>1190</v>
      </c>
      <c r="CA136" s="419">
        <f t="shared" si="212"/>
        <v>570</v>
      </c>
      <c r="CB136" s="419">
        <f t="shared" si="213"/>
        <v>220</v>
      </c>
      <c r="CC136" s="419">
        <f t="shared" si="214"/>
        <v>310</v>
      </c>
      <c r="CD136" s="419">
        <f t="shared" si="215"/>
        <v>90</v>
      </c>
      <c r="CE136" s="378"/>
      <c r="CF136" s="97" t="s">
        <v>590</v>
      </c>
      <c r="CH136" s="175"/>
      <c r="CI136" s="175"/>
      <c r="CJ136" s="175">
        <f t="shared" si="199"/>
        <v>-465</v>
      </c>
      <c r="CK136" s="175">
        <f t="shared" si="199"/>
        <v>40</v>
      </c>
      <c r="CL136" s="175">
        <f t="shared" si="199"/>
        <v>40</v>
      </c>
      <c r="CM136" s="175">
        <f t="shared" si="199"/>
        <v>0</v>
      </c>
      <c r="CN136" s="175">
        <f t="shared" si="199"/>
        <v>-80</v>
      </c>
      <c r="CO136" s="175">
        <f t="shared" si="199"/>
        <v>-50</v>
      </c>
      <c r="CP136" s="175">
        <f t="shared" si="199"/>
        <v>5</v>
      </c>
      <c r="CQ136" s="175">
        <f t="shared" si="199"/>
        <v>143</v>
      </c>
      <c r="CR136" s="175"/>
      <c r="CS136" s="175"/>
      <c r="CU136" s="175">
        <f>SUM(Y136:AC136)+SUM(BS136:BY136)</f>
        <v>997.45</v>
      </c>
      <c r="CV136" s="175" t="e">
        <v>#VALUE!</v>
      </c>
      <c r="CW136" s="175">
        <f>SUM(AV136:BG136)</f>
        <v>5508.5679423868305</v>
      </c>
    </row>
    <row r="137" spans="2:101" outlineLevel="1">
      <c r="B137" s="97" t="s">
        <v>591</v>
      </c>
      <c r="C137" s="97" t="s">
        <v>9</v>
      </c>
      <c r="D137" s="97" t="s">
        <v>5</v>
      </c>
      <c r="F137" s="67" t="s">
        <v>5</v>
      </c>
      <c r="G137" s="175">
        <v>1393</v>
      </c>
      <c r="H137" s="175">
        <v>1343</v>
      </c>
      <c r="I137" s="175">
        <v>1069</v>
      </c>
      <c r="J137" s="175">
        <v>76</v>
      </c>
      <c r="K137" s="175">
        <v>80</v>
      </c>
      <c r="L137" s="175">
        <v>270</v>
      </c>
      <c r="M137" s="175">
        <v>328</v>
      </c>
      <c r="N137" s="175">
        <v>148.05000000000001</v>
      </c>
      <c r="O137" s="175">
        <v>329</v>
      </c>
      <c r="P137" s="175">
        <v>243.05</v>
      </c>
      <c r="Q137" s="175">
        <v>175</v>
      </c>
      <c r="R137" s="175">
        <v>243.05</v>
      </c>
      <c r="S137" s="177">
        <f ca="1">SUM(G137:OFFSET(G137,0,$F$2-1))</f>
        <v>5697.1500000000005</v>
      </c>
      <c r="T137" s="419">
        <f t="shared" si="200"/>
        <v>3805</v>
      </c>
      <c r="U137" s="419">
        <f t="shared" si="201"/>
        <v>426</v>
      </c>
      <c r="V137" s="419">
        <f t="shared" si="202"/>
        <v>805.05</v>
      </c>
      <c r="W137" s="419">
        <f t="shared" si="203"/>
        <v>661.1</v>
      </c>
      <c r="X137" s="378"/>
      <c r="Y137" s="175">
        <v>1154.22</v>
      </c>
      <c r="Z137" s="175">
        <v>956.48</v>
      </c>
      <c r="AA137" s="175">
        <v>960.67</v>
      </c>
      <c r="AB137" s="175">
        <v>823.26</v>
      </c>
      <c r="AC137" s="175">
        <v>1332.4299999999998</v>
      </c>
      <c r="AD137" s="175">
        <v>935.78</v>
      </c>
      <c r="AE137" s="175">
        <v>1283.72</v>
      </c>
      <c r="AF137" s="175">
        <v>1161.1399999999999</v>
      </c>
      <c r="AG137" s="175">
        <v>1459.47</v>
      </c>
      <c r="AH137" s="175">
        <v>1244.27</v>
      </c>
      <c r="AI137" s="175">
        <v>1306.5900000000001</v>
      </c>
      <c r="AJ137" s="175">
        <v>1346.1799999999998</v>
      </c>
      <c r="AK137" s="177">
        <f ca="1">SUM(Y137:OFFSET(Y137,0,$F$2-1))</f>
        <v>13964.21</v>
      </c>
      <c r="AL137" s="97" t="s">
        <v>235</v>
      </c>
      <c r="AM137" s="97" t="s">
        <v>5</v>
      </c>
      <c r="AN137" s="177"/>
      <c r="AO137" s="177"/>
      <c r="AP137" s="177"/>
      <c r="AQ137" s="419">
        <f t="shared" si="204"/>
        <v>3071.37</v>
      </c>
      <c r="AR137" s="419">
        <f t="shared" si="205"/>
        <v>3091.4699999999993</v>
      </c>
      <c r="AS137" s="419">
        <f t="shared" si="206"/>
        <v>3904.33</v>
      </c>
      <c r="AT137" s="419">
        <f t="shared" si="207"/>
        <v>3897.04</v>
      </c>
      <c r="AU137" s="181"/>
      <c r="AV137" s="175">
        <v>1413.3933333333334</v>
      </c>
      <c r="AW137" s="175">
        <v>1230</v>
      </c>
      <c r="AX137" s="175">
        <v>1411.6933333333334</v>
      </c>
      <c r="AY137" s="175">
        <v>693.20666666666659</v>
      </c>
      <c r="AZ137" s="175">
        <v>917.98333333333335</v>
      </c>
      <c r="BA137" s="175">
        <v>1283.0090123456791</v>
      </c>
      <c r="BB137" s="175">
        <v>1306.4129423868312</v>
      </c>
      <c r="BC137" s="175">
        <v>1337.4209465020574</v>
      </c>
      <c r="BD137" s="175">
        <v>1284.5903292181072</v>
      </c>
      <c r="BE137" s="175">
        <v>1048.8867489711934</v>
      </c>
      <c r="BF137" s="175">
        <v>1518.9295679012346</v>
      </c>
      <c r="BG137" s="175">
        <v>1380.0457201646091</v>
      </c>
      <c r="BH137" s="177">
        <f ca="1">SUM(AV137:OFFSET(AV137,0,$F$2-1))</f>
        <v>14825.57193415638</v>
      </c>
      <c r="BI137" s="419">
        <f t="shared" si="208"/>
        <v>4055.086666666667</v>
      </c>
      <c r="BJ137" s="419">
        <f t="shared" si="209"/>
        <v>2894.199012345679</v>
      </c>
      <c r="BK137" s="419">
        <f t="shared" si="210"/>
        <v>3928.4242181069958</v>
      </c>
      <c r="BL137" s="419">
        <f t="shared" si="211"/>
        <v>3947.8620370370368</v>
      </c>
      <c r="BM137" s="378"/>
      <c r="BN137" s="175"/>
      <c r="BO137" s="175"/>
      <c r="BP137" s="175">
        <v>964.04</v>
      </c>
      <c r="BQ137" s="175">
        <v>711.38330246913574</v>
      </c>
      <c r="BR137" s="175">
        <v>826.78662551440334</v>
      </c>
      <c r="BS137" s="175">
        <v>1226.396049382716</v>
      </c>
      <c r="BT137" s="175">
        <v>1283.3798765432098</v>
      </c>
      <c r="BU137" s="175">
        <v>1018.290329218107</v>
      </c>
      <c r="BV137" s="175">
        <v>1277.7942386831276</v>
      </c>
      <c r="BW137" s="175">
        <v>1036.3929835390945</v>
      </c>
      <c r="BX137" s="175">
        <v>1195.9382716049383</v>
      </c>
      <c r="BY137" s="175">
        <v>966.38703703703698</v>
      </c>
      <c r="BZ137" s="177">
        <f ca="1">SUM(BN137:OFFSET(BN137,0,$F$2-1))</f>
        <v>10506.788713991769</v>
      </c>
      <c r="CA137" s="419">
        <f t="shared" si="212"/>
        <v>964.04</v>
      </c>
      <c r="CB137" s="419">
        <f t="shared" si="213"/>
        <v>2764.5659773662551</v>
      </c>
      <c r="CC137" s="419">
        <f t="shared" si="214"/>
        <v>3579.4644444444439</v>
      </c>
      <c r="CD137" s="419">
        <f t="shared" si="215"/>
        <v>3198.71829218107</v>
      </c>
      <c r="CE137" s="378"/>
      <c r="CF137" s="97" t="s">
        <v>591</v>
      </c>
      <c r="CH137" s="175"/>
      <c r="CI137" s="175"/>
      <c r="CJ137" s="175">
        <f t="shared" si="199"/>
        <v>-3.3700000000000045</v>
      </c>
      <c r="CK137" s="175">
        <f t="shared" si="199"/>
        <v>111.87669753086425</v>
      </c>
      <c r="CL137" s="175">
        <f t="shared" si="199"/>
        <v>505.6433744855965</v>
      </c>
      <c r="CM137" s="175">
        <f t="shared" si="199"/>
        <v>-290.61604938271603</v>
      </c>
      <c r="CN137" s="175">
        <f t="shared" si="199"/>
        <v>0.34012345679025202</v>
      </c>
      <c r="CO137" s="175">
        <f t="shared" si="199"/>
        <v>142.84967078189288</v>
      </c>
      <c r="CP137" s="175">
        <f t="shared" si="199"/>
        <v>181.67576131687247</v>
      </c>
      <c r="CQ137" s="175">
        <f t="shared" si="199"/>
        <v>207.87701646090545</v>
      </c>
      <c r="CR137" s="175"/>
      <c r="CS137" s="175"/>
      <c r="CU137" s="175">
        <f>SUM(Y137:AC137)+SUM(BS137:BY137)</f>
        <v>13231.638786008229</v>
      </c>
      <c r="CV137" s="175" t="e">
        <v>#VALUE!</v>
      </c>
      <c r="CW137" s="175">
        <f>SUM(AV137:BG137)</f>
        <v>14825.57193415638</v>
      </c>
    </row>
    <row r="138" spans="2:101" outlineLevel="1">
      <c r="B138" s="97"/>
      <c r="C138" s="97"/>
      <c r="D138" s="97" t="s">
        <v>532</v>
      </c>
      <c r="F138" s="417" t="s">
        <v>12</v>
      </c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7">
        <f ca="1">SUM(G138:OFFSET(G138,0,$F$2-1))</f>
        <v>0</v>
      </c>
      <c r="T138" s="419">
        <f t="shared" si="200"/>
        <v>0</v>
      </c>
      <c r="U138" s="419">
        <f t="shared" si="201"/>
        <v>0</v>
      </c>
      <c r="V138" s="419">
        <f t="shared" si="202"/>
        <v>0</v>
      </c>
      <c r="W138" s="419">
        <f t="shared" si="203"/>
        <v>0</v>
      </c>
      <c r="X138" s="178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7"/>
      <c r="AL138" s="97"/>
      <c r="AN138" s="177"/>
      <c r="AO138" s="177"/>
      <c r="AP138" s="177"/>
      <c r="AQ138" s="419"/>
      <c r="AR138" s="419"/>
      <c r="AS138" s="419"/>
      <c r="AT138" s="419"/>
      <c r="AU138" s="181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7">
        <f ca="1">SUM(AV138:OFFSET(AV138,0,$F$2-1))</f>
        <v>0</v>
      </c>
      <c r="BI138" s="419">
        <f t="shared" si="208"/>
        <v>0</v>
      </c>
      <c r="BJ138" s="419">
        <f t="shared" si="209"/>
        <v>0</v>
      </c>
      <c r="BK138" s="419">
        <f t="shared" si="210"/>
        <v>0</v>
      </c>
      <c r="BL138" s="419">
        <f t="shared" si="211"/>
        <v>0</v>
      </c>
      <c r="BM138" s="178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>
        <v>0</v>
      </c>
      <c r="BY138" s="175">
        <v>0</v>
      </c>
      <c r="BZ138" s="177">
        <f ca="1">SUM(BN138:OFFSET(BN138,0,$F$2-1))</f>
        <v>0</v>
      </c>
      <c r="CA138" s="419">
        <f t="shared" si="212"/>
        <v>0</v>
      </c>
      <c r="CB138" s="419">
        <f t="shared" si="213"/>
        <v>0</v>
      </c>
      <c r="CC138" s="419">
        <f t="shared" si="214"/>
        <v>0</v>
      </c>
      <c r="CD138" s="419">
        <f t="shared" si="215"/>
        <v>0</v>
      </c>
      <c r="CE138" s="178"/>
      <c r="CF138" s="97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U138" s="175"/>
      <c r="CV138" s="175"/>
      <c r="CW138" s="175"/>
    </row>
    <row r="139" spans="2:101" outlineLevel="1">
      <c r="B139" s="97" t="s">
        <v>592</v>
      </c>
      <c r="C139" s="97" t="s">
        <v>9</v>
      </c>
      <c r="D139" s="97" t="s">
        <v>7</v>
      </c>
      <c r="F139" s="67" t="s">
        <v>7</v>
      </c>
      <c r="G139" s="175">
        <v>1200</v>
      </c>
      <c r="H139" s="175">
        <v>1200</v>
      </c>
      <c r="I139" s="175">
        <v>1200</v>
      </c>
      <c r="J139" s="175">
        <v>1200</v>
      </c>
      <c r="K139" s="175">
        <v>1200</v>
      </c>
      <c r="L139" s="175">
        <v>1200</v>
      </c>
      <c r="M139" s="175">
        <v>1200</v>
      </c>
      <c r="N139" s="175">
        <v>1200</v>
      </c>
      <c r="O139" s="175">
        <v>1200</v>
      </c>
      <c r="P139" s="175">
        <v>1200</v>
      </c>
      <c r="Q139" s="175">
        <v>1200</v>
      </c>
      <c r="R139" s="175">
        <v>1200</v>
      </c>
      <c r="S139" s="177">
        <f ca="1">SUM(G139:OFFSET(G139,0,$F$2-1))</f>
        <v>14400</v>
      </c>
      <c r="T139" s="419">
        <f t="shared" si="200"/>
        <v>3600</v>
      </c>
      <c r="U139" s="419">
        <f t="shared" si="201"/>
        <v>3600</v>
      </c>
      <c r="V139" s="419">
        <f t="shared" si="202"/>
        <v>3600</v>
      </c>
      <c r="W139" s="419">
        <f t="shared" si="203"/>
        <v>3600</v>
      </c>
      <c r="X139" s="378"/>
      <c r="Y139" s="175">
        <v>1200</v>
      </c>
      <c r="Z139" s="175">
        <v>1200</v>
      </c>
      <c r="AA139" s="175">
        <v>1200</v>
      </c>
      <c r="AB139" s="175">
        <v>1200</v>
      </c>
      <c r="AC139" s="175">
        <v>1200</v>
      </c>
      <c r="AD139" s="175">
        <v>1100</v>
      </c>
      <c r="AE139" s="175">
        <v>1100</v>
      </c>
      <c r="AF139" s="175">
        <v>1100</v>
      </c>
      <c r="AG139" s="175">
        <v>1100</v>
      </c>
      <c r="AH139" s="175">
        <v>1100</v>
      </c>
      <c r="AI139" s="175">
        <v>1100</v>
      </c>
      <c r="AJ139" s="175">
        <v>1100</v>
      </c>
      <c r="AK139" s="177">
        <f ca="1">SUM(Y139:OFFSET(Y139,0,$F$2-1))</f>
        <v>13700</v>
      </c>
      <c r="AL139" s="97" t="s">
        <v>234</v>
      </c>
      <c r="AM139" s="97" t="s">
        <v>7</v>
      </c>
      <c r="AN139" s="177"/>
      <c r="AO139" s="177"/>
      <c r="AP139" s="177"/>
      <c r="AQ139" s="419">
        <f t="shared" si="204"/>
        <v>3600</v>
      </c>
      <c r="AR139" s="419">
        <f t="shared" si="205"/>
        <v>3500</v>
      </c>
      <c r="AS139" s="419">
        <f t="shared" si="206"/>
        <v>3300</v>
      </c>
      <c r="AT139" s="419">
        <f t="shared" si="207"/>
        <v>3300</v>
      </c>
      <c r="AU139" s="181"/>
      <c r="AV139" s="175">
        <v>1300</v>
      </c>
      <c r="AW139" s="175">
        <v>1300</v>
      </c>
      <c r="AX139" s="175">
        <v>1300</v>
      </c>
      <c r="AY139" s="175">
        <v>1300</v>
      </c>
      <c r="AZ139" s="175">
        <v>1300</v>
      </c>
      <c r="BA139" s="175">
        <v>1300</v>
      </c>
      <c r="BB139" s="175">
        <v>1300</v>
      </c>
      <c r="BC139" s="175">
        <v>1300</v>
      </c>
      <c r="BD139" s="175">
        <v>1300</v>
      </c>
      <c r="BE139" s="175">
        <v>1300</v>
      </c>
      <c r="BF139" s="175">
        <v>1300</v>
      </c>
      <c r="BG139" s="175">
        <v>1300</v>
      </c>
      <c r="BH139" s="177">
        <f ca="1">SUM(AV139:OFFSET(AV139,0,$F$2-1))</f>
        <v>15600</v>
      </c>
      <c r="BI139" s="419">
        <f t="shared" si="208"/>
        <v>3900</v>
      </c>
      <c r="BJ139" s="419">
        <f t="shared" si="209"/>
        <v>3900</v>
      </c>
      <c r="BK139" s="419">
        <f t="shared" si="210"/>
        <v>3900</v>
      </c>
      <c r="BL139" s="419">
        <f t="shared" si="211"/>
        <v>3900</v>
      </c>
      <c r="BM139" s="378"/>
      <c r="BN139" s="175"/>
      <c r="BO139" s="175"/>
      <c r="BP139" s="175">
        <v>1200</v>
      </c>
      <c r="BQ139" s="175">
        <v>1200</v>
      </c>
      <c r="BR139" s="175">
        <v>1200</v>
      </c>
      <c r="BS139" s="175">
        <v>1200</v>
      </c>
      <c r="BT139" s="175">
        <v>1200</v>
      </c>
      <c r="BU139" s="175">
        <v>1200</v>
      </c>
      <c r="BV139" s="175">
        <v>1100</v>
      </c>
      <c r="BW139" s="175">
        <v>1100</v>
      </c>
      <c r="BX139" s="175">
        <v>1100</v>
      </c>
      <c r="BY139" s="175">
        <v>1100</v>
      </c>
      <c r="BZ139" s="177">
        <f ca="1">SUM(BN139:OFFSET(BN139,0,$F$2-1))</f>
        <v>11600</v>
      </c>
      <c r="CA139" s="419">
        <f t="shared" si="212"/>
        <v>1200</v>
      </c>
      <c r="CB139" s="419">
        <f t="shared" si="213"/>
        <v>3600</v>
      </c>
      <c r="CC139" s="419">
        <f t="shared" si="214"/>
        <v>3500</v>
      </c>
      <c r="CD139" s="419">
        <f t="shared" si="215"/>
        <v>3300</v>
      </c>
      <c r="CE139" s="378"/>
      <c r="CF139" s="97" t="s">
        <v>592</v>
      </c>
      <c r="CH139" s="175"/>
      <c r="CI139" s="175"/>
      <c r="CJ139" s="175">
        <f t="shared" ref="CJ139:CQ142" si="216">AA139-BP139</f>
        <v>0</v>
      </c>
      <c r="CK139" s="175">
        <f t="shared" si="216"/>
        <v>0</v>
      </c>
      <c r="CL139" s="175">
        <f t="shared" si="216"/>
        <v>0</v>
      </c>
      <c r="CM139" s="175">
        <f t="shared" si="216"/>
        <v>-100</v>
      </c>
      <c r="CN139" s="175">
        <f t="shared" si="216"/>
        <v>-100</v>
      </c>
      <c r="CO139" s="175">
        <f t="shared" si="216"/>
        <v>-100</v>
      </c>
      <c r="CP139" s="175">
        <f t="shared" si="216"/>
        <v>0</v>
      </c>
      <c r="CQ139" s="175">
        <f t="shared" si="216"/>
        <v>0</v>
      </c>
      <c r="CR139" s="175"/>
      <c r="CS139" s="175"/>
      <c r="CU139" s="175">
        <f>SUM(Y139:AC139)+SUM(BS139:BY139)</f>
        <v>14000</v>
      </c>
      <c r="CV139" s="175">
        <v>13700</v>
      </c>
      <c r="CW139" s="175">
        <f>SUM(AV139:BG139)</f>
        <v>15600</v>
      </c>
    </row>
    <row r="140" spans="2:101" outlineLevel="1">
      <c r="B140" s="97" t="s">
        <v>593</v>
      </c>
      <c r="C140" s="97" t="s">
        <v>9</v>
      </c>
      <c r="D140" s="97" t="s">
        <v>8</v>
      </c>
      <c r="F140" s="67" t="s">
        <v>8</v>
      </c>
      <c r="G140" s="175">
        <v>111222</v>
      </c>
      <c r="H140" s="175">
        <v>111531</v>
      </c>
      <c r="I140" s="175">
        <v>112078</v>
      </c>
      <c r="J140" s="175">
        <v>112353</v>
      </c>
      <c r="K140" s="175">
        <v>112517</v>
      </c>
      <c r="L140" s="175">
        <v>112590.77</v>
      </c>
      <c r="M140" s="175">
        <v>112488.8</v>
      </c>
      <c r="N140" s="175">
        <v>113215.83</v>
      </c>
      <c r="O140" s="175">
        <v>113823.5</v>
      </c>
      <c r="P140" s="175">
        <v>114426</v>
      </c>
      <c r="Q140" s="175">
        <v>115735</v>
      </c>
      <c r="R140" s="175">
        <v>116620</v>
      </c>
      <c r="S140" s="177">
        <f ca="1">SUM(G140:OFFSET(G140,0,$F$2-1))</f>
        <v>1358600.9</v>
      </c>
      <c r="T140" s="419">
        <f t="shared" si="200"/>
        <v>334831</v>
      </c>
      <c r="U140" s="419">
        <f t="shared" si="201"/>
        <v>337460.77</v>
      </c>
      <c r="V140" s="419">
        <f t="shared" si="202"/>
        <v>339528.13</v>
      </c>
      <c r="W140" s="419">
        <f t="shared" si="203"/>
        <v>346781</v>
      </c>
      <c r="X140" s="378"/>
      <c r="Y140" s="175">
        <v>116730.5</v>
      </c>
      <c r="Z140" s="175">
        <v>116742.5</v>
      </c>
      <c r="AA140" s="175">
        <v>117110.5</v>
      </c>
      <c r="AB140" s="175">
        <v>117562</v>
      </c>
      <c r="AC140" s="175">
        <v>117648.5</v>
      </c>
      <c r="AD140" s="175">
        <v>117049</v>
      </c>
      <c r="AE140" s="175">
        <v>117158</v>
      </c>
      <c r="AF140" s="175">
        <v>116843</v>
      </c>
      <c r="AG140" s="175">
        <v>116955.5</v>
      </c>
      <c r="AH140" s="175">
        <v>116690.5</v>
      </c>
      <c r="AI140" s="175">
        <v>116970.5</v>
      </c>
      <c r="AJ140" s="175">
        <v>117605.5</v>
      </c>
      <c r="AK140" s="177">
        <f ca="1">SUM(Y140:OFFSET(Y140,0,$F$2-1))</f>
        <v>1405066</v>
      </c>
      <c r="AL140" s="97" t="s">
        <v>8</v>
      </c>
      <c r="AM140" s="97" t="s">
        <v>8</v>
      </c>
      <c r="AN140" s="177"/>
      <c r="AO140" s="177"/>
      <c r="AP140" s="177"/>
      <c r="AQ140" s="419">
        <f t="shared" si="204"/>
        <v>350583.5</v>
      </c>
      <c r="AR140" s="419">
        <f t="shared" si="205"/>
        <v>352259.5</v>
      </c>
      <c r="AS140" s="419">
        <f t="shared" si="206"/>
        <v>350956.5</v>
      </c>
      <c r="AT140" s="419">
        <f t="shared" si="207"/>
        <v>351266.5</v>
      </c>
      <c r="AU140" s="181"/>
      <c r="AV140" s="175">
        <v>105279.75</v>
      </c>
      <c r="AW140" s="175">
        <v>105696.5</v>
      </c>
      <c r="AX140" s="175">
        <v>106229.5</v>
      </c>
      <c r="AY140" s="175">
        <v>107726.175</v>
      </c>
      <c r="AZ140" s="175">
        <v>105887.575</v>
      </c>
      <c r="BA140" s="175">
        <v>106916</v>
      </c>
      <c r="BB140" s="175">
        <v>107120.5</v>
      </c>
      <c r="BC140" s="175">
        <v>107381.75</v>
      </c>
      <c r="BD140" s="175">
        <v>107712.5</v>
      </c>
      <c r="BE140" s="175">
        <v>107902.5</v>
      </c>
      <c r="BF140" s="175">
        <v>108485</v>
      </c>
      <c r="BG140" s="175">
        <v>109301.75</v>
      </c>
      <c r="BH140" s="177">
        <f ca="1">SUM(AV140:OFFSET(AV140,0,$F$2-1))</f>
        <v>1285639.5</v>
      </c>
      <c r="BI140" s="419">
        <f t="shared" si="208"/>
        <v>317205.75</v>
      </c>
      <c r="BJ140" s="419">
        <f t="shared" si="209"/>
        <v>320529.75</v>
      </c>
      <c r="BK140" s="419">
        <f t="shared" si="210"/>
        <v>322214.75</v>
      </c>
      <c r="BL140" s="419">
        <f t="shared" si="211"/>
        <v>325689.25</v>
      </c>
      <c r="BM140" s="378"/>
      <c r="BN140" s="175"/>
      <c r="BO140" s="175"/>
      <c r="BP140" s="175">
        <v>108179</v>
      </c>
      <c r="BQ140" s="175">
        <v>114268.45</v>
      </c>
      <c r="BR140" s="175">
        <v>113097.38333333335</v>
      </c>
      <c r="BS140" s="175">
        <v>114807.59000000001</v>
      </c>
      <c r="BT140" s="175">
        <v>114909.93333333333</v>
      </c>
      <c r="BU140" s="175">
        <v>115326.44333333334</v>
      </c>
      <c r="BV140" s="175">
        <v>116249.5</v>
      </c>
      <c r="BW140" s="175">
        <v>116577</v>
      </c>
      <c r="BX140" s="175">
        <v>117401.66666666667</v>
      </c>
      <c r="BY140" s="175">
        <v>117241.16666666667</v>
      </c>
      <c r="BZ140" s="177">
        <f ca="1">SUM(BN140:OFFSET(BN140,0,$F$2-1))</f>
        <v>1148058.1333333333</v>
      </c>
      <c r="CA140" s="419">
        <f t="shared" si="212"/>
        <v>108179</v>
      </c>
      <c r="CB140" s="419">
        <f t="shared" si="213"/>
        <v>342173.42333333334</v>
      </c>
      <c r="CC140" s="419">
        <f t="shared" si="214"/>
        <v>346485.87666666671</v>
      </c>
      <c r="CD140" s="419">
        <f t="shared" si="215"/>
        <v>351219.83333333337</v>
      </c>
      <c r="CE140" s="378"/>
      <c r="CF140" s="97" t="s">
        <v>593</v>
      </c>
      <c r="CH140" s="175"/>
      <c r="CI140" s="175"/>
      <c r="CJ140" s="175">
        <f t="shared" si="216"/>
        <v>8931.5</v>
      </c>
      <c r="CK140" s="175">
        <f t="shared" si="216"/>
        <v>3293.5500000000029</v>
      </c>
      <c r="CL140" s="175">
        <f t="shared" si="216"/>
        <v>4551.1166666666541</v>
      </c>
      <c r="CM140" s="175">
        <f t="shared" si="216"/>
        <v>2241.4099999999889</v>
      </c>
      <c r="CN140" s="175">
        <f t="shared" si="216"/>
        <v>2248.0666666666657</v>
      </c>
      <c r="CO140" s="175">
        <f t="shared" si="216"/>
        <v>1516.5566666666564</v>
      </c>
      <c r="CP140" s="175">
        <f t="shared" si="216"/>
        <v>706</v>
      </c>
      <c r="CQ140" s="175">
        <f t="shared" si="216"/>
        <v>113.5</v>
      </c>
      <c r="CR140" s="175"/>
      <c r="CS140" s="175"/>
      <c r="CU140" s="175">
        <f>SUM(Y140:AC140)+SUM(BS140:BY140)</f>
        <v>1398307.2999999998</v>
      </c>
      <c r="CV140" s="175" t="e">
        <v>#VALUE!</v>
      </c>
      <c r="CW140" s="175">
        <f>SUM(AV140:BG140)</f>
        <v>1285639.5</v>
      </c>
    </row>
    <row r="141" spans="2:101" outlineLevel="1">
      <c r="B141" s="97" t="s">
        <v>594</v>
      </c>
      <c r="C141" s="97" t="s">
        <v>9</v>
      </c>
      <c r="D141" s="97" t="s">
        <v>4</v>
      </c>
      <c r="F141" s="67" t="s">
        <v>4</v>
      </c>
      <c r="G141" s="175">
        <v>1407</v>
      </c>
      <c r="H141" s="175">
        <v>1411</v>
      </c>
      <c r="I141" s="175">
        <v>1409</v>
      </c>
      <c r="J141" s="175">
        <v>1407</v>
      </c>
      <c r="K141" s="175">
        <v>1411</v>
      </c>
      <c r="L141" s="175">
        <v>1405</v>
      </c>
      <c r="M141" s="175">
        <v>1406.79</v>
      </c>
      <c r="N141" s="175">
        <v>1410.85</v>
      </c>
      <c r="O141" s="175">
        <v>1406.79</v>
      </c>
      <c r="P141" s="175">
        <v>1404.76</v>
      </c>
      <c r="Q141" s="175">
        <v>1402.73</v>
      </c>
      <c r="R141" s="175">
        <v>1400.7</v>
      </c>
      <c r="S141" s="177">
        <f ca="1">SUM(G141:OFFSET(G141,0,$F$2-1))</f>
        <v>16882.62</v>
      </c>
      <c r="T141" s="419">
        <f t="shared" si="200"/>
        <v>4227</v>
      </c>
      <c r="U141" s="419">
        <f t="shared" si="201"/>
        <v>4223</v>
      </c>
      <c r="V141" s="419">
        <f t="shared" si="202"/>
        <v>4224.43</v>
      </c>
      <c r="W141" s="419">
        <f t="shared" si="203"/>
        <v>4208.1899999999996</v>
      </c>
      <c r="X141" s="378"/>
      <c r="Y141" s="175">
        <v>1404.76</v>
      </c>
      <c r="Z141" s="175">
        <v>1404.76</v>
      </c>
      <c r="AA141" s="175">
        <v>1406.79</v>
      </c>
      <c r="AB141" s="175">
        <v>1418.97</v>
      </c>
      <c r="AC141" s="175">
        <v>1414.91</v>
      </c>
      <c r="AD141" s="175">
        <v>1416.94</v>
      </c>
      <c r="AE141" s="175">
        <v>1423.03</v>
      </c>
      <c r="AF141" s="175">
        <v>1416.94</v>
      </c>
      <c r="AG141" s="175">
        <v>1416.94</v>
      </c>
      <c r="AH141" s="175">
        <v>1421</v>
      </c>
      <c r="AI141" s="175">
        <v>1402.73</v>
      </c>
      <c r="AJ141" s="175">
        <v>1398.67</v>
      </c>
      <c r="AK141" s="177">
        <f ca="1">SUM(Y141:OFFSET(Y141,0,$F$2-1))</f>
        <v>16946.440000000002</v>
      </c>
      <c r="AL141" s="97" t="s">
        <v>4</v>
      </c>
      <c r="AM141" s="97" t="s">
        <v>4</v>
      </c>
      <c r="AN141" s="177"/>
      <c r="AO141" s="177"/>
      <c r="AP141" s="177"/>
      <c r="AQ141" s="419">
        <f t="shared" si="204"/>
        <v>4216.3099999999995</v>
      </c>
      <c r="AR141" s="419">
        <f t="shared" si="205"/>
        <v>4250.82</v>
      </c>
      <c r="AS141" s="419">
        <f t="shared" si="206"/>
        <v>4256.91</v>
      </c>
      <c r="AT141" s="419">
        <f t="shared" si="207"/>
        <v>4222.3999999999996</v>
      </c>
      <c r="AU141" s="181"/>
      <c r="AV141" s="175">
        <v>1402.8</v>
      </c>
      <c r="AW141" s="175">
        <v>1405.6666666666667</v>
      </c>
      <c r="AX141" s="175">
        <v>1406.2433333333331</v>
      </c>
      <c r="AY141" s="175">
        <v>1405.5866666666668</v>
      </c>
      <c r="AZ141" s="175">
        <v>1405.5666666666666</v>
      </c>
      <c r="BA141" s="175">
        <v>1246.007901234568</v>
      </c>
      <c r="BB141" s="175">
        <v>1260.2234156378602</v>
      </c>
      <c r="BC141" s="175">
        <v>1268.5506447187929</v>
      </c>
      <c r="BD141" s="175">
        <v>1269.7773799725651</v>
      </c>
      <c r="BE141" s="175">
        <v>1259.5306995884773</v>
      </c>
      <c r="BF141" s="175">
        <v>1258.5638271604937</v>
      </c>
      <c r="BG141" s="175">
        <v>1256.7865706447187</v>
      </c>
      <c r="BH141" s="177">
        <f ca="1">SUM(AV141:OFFSET(AV141,0,$F$2-1))</f>
        <v>15845.303772290808</v>
      </c>
      <c r="BI141" s="419">
        <f t="shared" si="208"/>
        <v>4214.71</v>
      </c>
      <c r="BJ141" s="419">
        <f t="shared" si="209"/>
        <v>4057.1612345679014</v>
      </c>
      <c r="BK141" s="419">
        <f t="shared" si="210"/>
        <v>3798.5514403292182</v>
      </c>
      <c r="BL141" s="419">
        <f t="shared" si="211"/>
        <v>3774.8810973936897</v>
      </c>
      <c r="BM141" s="378"/>
      <c r="BN141" s="175"/>
      <c r="BO141" s="175"/>
      <c r="BP141" s="175">
        <v>1406.2433333333331</v>
      </c>
      <c r="BQ141" s="175">
        <v>1405.5866666666668</v>
      </c>
      <c r="BR141" s="175">
        <v>1405.5666666666666</v>
      </c>
      <c r="BS141" s="175">
        <v>1401.4566666666667</v>
      </c>
      <c r="BT141" s="175">
        <v>1403.4966666666667</v>
      </c>
      <c r="BU141" s="175">
        <v>1404.1833333333332</v>
      </c>
      <c r="BV141" s="175">
        <v>1402.93</v>
      </c>
      <c r="BW141" s="175">
        <v>1402.1333333333334</v>
      </c>
      <c r="BX141" s="175">
        <v>1400.1133333333335</v>
      </c>
      <c r="BY141" s="175">
        <v>1396.2333333333333</v>
      </c>
      <c r="BZ141" s="177">
        <f ca="1">SUM(BN141:OFFSET(BN141,0,$F$2-1))</f>
        <v>14027.943333333333</v>
      </c>
      <c r="CA141" s="419">
        <f t="shared" si="212"/>
        <v>1406.2433333333331</v>
      </c>
      <c r="CB141" s="419">
        <f t="shared" si="213"/>
        <v>4212.6100000000006</v>
      </c>
      <c r="CC141" s="419">
        <f t="shared" si="214"/>
        <v>4210.6099999999997</v>
      </c>
      <c r="CD141" s="419">
        <f t="shared" si="215"/>
        <v>4198.4800000000005</v>
      </c>
      <c r="CE141" s="378"/>
      <c r="CF141" s="97" t="s">
        <v>594</v>
      </c>
      <c r="CH141" s="175"/>
      <c r="CI141" s="175"/>
      <c r="CJ141" s="175">
        <f t="shared" si="216"/>
        <v>0.5466666666668516</v>
      </c>
      <c r="CK141" s="175">
        <f t="shared" si="216"/>
        <v>13.383333333333212</v>
      </c>
      <c r="CL141" s="175">
        <f t="shared" si="216"/>
        <v>9.3433333333334758</v>
      </c>
      <c r="CM141" s="175">
        <f t="shared" si="216"/>
        <v>15.483333333333348</v>
      </c>
      <c r="CN141" s="175">
        <f t="shared" si="216"/>
        <v>19.533333333333303</v>
      </c>
      <c r="CO141" s="175">
        <f t="shared" si="216"/>
        <v>12.756666666666888</v>
      </c>
      <c r="CP141" s="175">
        <f t="shared" si="216"/>
        <v>14.009999999999991</v>
      </c>
      <c r="CQ141" s="175">
        <f t="shared" si="216"/>
        <v>18.866666666666561</v>
      </c>
      <c r="CR141" s="175"/>
      <c r="CS141" s="175"/>
      <c r="CU141" s="175">
        <f>SUM(Y141:AC141)+SUM(BS141:BY141)</f>
        <v>16860.736666666668</v>
      </c>
      <c r="CV141" s="175" t="e">
        <v>#VALUE!</v>
      </c>
      <c r="CW141" s="175">
        <f>SUM(AV141:BG141)</f>
        <v>15845.303772290808</v>
      </c>
    </row>
    <row r="142" spans="2:101" outlineLevel="1">
      <c r="B142" s="97" t="s">
        <v>595</v>
      </c>
      <c r="C142" s="97" t="s">
        <v>9</v>
      </c>
      <c r="D142" s="97" t="s">
        <v>5</v>
      </c>
      <c r="F142" s="67" t="s">
        <v>5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0</v>
      </c>
      <c r="S142" s="177">
        <f ca="1">SUM(G142:OFFSET(G142,0,$F$2-1))</f>
        <v>0</v>
      </c>
      <c r="T142" s="419">
        <f t="shared" si="200"/>
        <v>0</v>
      </c>
      <c r="U142" s="419">
        <f t="shared" si="201"/>
        <v>0</v>
      </c>
      <c r="V142" s="419">
        <f t="shared" si="202"/>
        <v>0</v>
      </c>
      <c r="W142" s="419">
        <f t="shared" si="203"/>
        <v>0</v>
      </c>
      <c r="X142" s="378"/>
      <c r="Y142" s="175">
        <v>0</v>
      </c>
      <c r="Z142" s="175">
        <v>0</v>
      </c>
      <c r="AA142" s="175">
        <v>0</v>
      </c>
      <c r="AB142" s="175">
        <v>0</v>
      </c>
      <c r="AC142" s="175">
        <v>0</v>
      </c>
      <c r="AD142" s="175">
        <v>0</v>
      </c>
      <c r="AE142" s="175">
        <v>0</v>
      </c>
      <c r="AF142" s="175">
        <v>0</v>
      </c>
      <c r="AG142" s="175">
        <v>0</v>
      </c>
      <c r="AH142" s="175">
        <v>0</v>
      </c>
      <c r="AI142" s="175">
        <v>0</v>
      </c>
      <c r="AJ142" s="175">
        <v>0</v>
      </c>
      <c r="AK142" s="177">
        <f ca="1">SUM(Y142:OFFSET(Y142,0,$F$2-1))</f>
        <v>0</v>
      </c>
      <c r="AL142" s="97" t="s">
        <v>235</v>
      </c>
      <c r="AM142" s="97" t="s">
        <v>5</v>
      </c>
      <c r="AN142" s="177"/>
      <c r="AO142" s="177"/>
      <c r="AP142" s="177"/>
      <c r="AQ142" s="419">
        <f t="shared" si="204"/>
        <v>0</v>
      </c>
      <c r="AR142" s="419">
        <f t="shared" si="205"/>
        <v>0</v>
      </c>
      <c r="AS142" s="419">
        <f t="shared" si="206"/>
        <v>0</v>
      </c>
      <c r="AT142" s="419">
        <f t="shared" si="207"/>
        <v>0</v>
      </c>
      <c r="AU142" s="181"/>
      <c r="AV142" s="175">
        <v>0</v>
      </c>
      <c r="AW142" s="175">
        <v>0</v>
      </c>
      <c r="AX142" s="175">
        <v>0</v>
      </c>
      <c r="AY142" s="175">
        <v>0</v>
      </c>
      <c r="AZ142" s="175">
        <v>0</v>
      </c>
      <c r="BA142" s="175">
        <v>0</v>
      </c>
      <c r="BB142" s="175">
        <v>0</v>
      </c>
      <c r="BC142" s="175">
        <v>0</v>
      </c>
      <c r="BD142" s="175">
        <v>0</v>
      </c>
      <c r="BE142" s="175">
        <v>0</v>
      </c>
      <c r="BF142" s="175">
        <v>0</v>
      </c>
      <c r="BG142" s="175">
        <v>0</v>
      </c>
      <c r="BH142" s="177">
        <f ca="1">SUM(AV142:OFFSET(AV142,0,$F$2-1))</f>
        <v>0</v>
      </c>
      <c r="BI142" s="419">
        <f t="shared" si="208"/>
        <v>0</v>
      </c>
      <c r="BJ142" s="419">
        <f t="shared" si="209"/>
        <v>0</v>
      </c>
      <c r="BK142" s="419">
        <f t="shared" si="210"/>
        <v>0</v>
      </c>
      <c r="BL142" s="419">
        <f t="shared" si="211"/>
        <v>0</v>
      </c>
      <c r="BM142" s="378"/>
      <c r="BN142" s="175"/>
      <c r="BO142" s="175"/>
      <c r="BP142" s="175">
        <v>0</v>
      </c>
      <c r="BQ142" s="175">
        <v>0</v>
      </c>
      <c r="BR142" s="175">
        <v>0</v>
      </c>
      <c r="BS142" s="175">
        <v>0</v>
      </c>
      <c r="BT142" s="175">
        <v>0</v>
      </c>
      <c r="BU142" s="175">
        <v>0</v>
      </c>
      <c r="BV142" s="175">
        <v>0</v>
      </c>
      <c r="BW142" s="175">
        <v>0</v>
      </c>
      <c r="BX142" s="175">
        <v>0</v>
      </c>
      <c r="BY142" s="175">
        <v>0</v>
      </c>
      <c r="BZ142" s="177">
        <f ca="1">SUM(BN142:OFFSET(BN142,0,$F$2-1))</f>
        <v>0</v>
      </c>
      <c r="CA142" s="419">
        <f t="shared" si="212"/>
        <v>0</v>
      </c>
      <c r="CB142" s="419">
        <f t="shared" si="213"/>
        <v>0</v>
      </c>
      <c r="CC142" s="419">
        <f t="shared" si="214"/>
        <v>0</v>
      </c>
      <c r="CD142" s="419">
        <f t="shared" si="215"/>
        <v>0</v>
      </c>
      <c r="CE142" s="378"/>
      <c r="CF142" s="97" t="s">
        <v>595</v>
      </c>
      <c r="CH142" s="175"/>
      <c r="CI142" s="175"/>
      <c r="CJ142" s="175">
        <f t="shared" si="216"/>
        <v>0</v>
      </c>
      <c r="CK142" s="175">
        <f t="shared" si="216"/>
        <v>0</v>
      </c>
      <c r="CL142" s="175">
        <f t="shared" si="216"/>
        <v>0</v>
      </c>
      <c r="CM142" s="175">
        <f t="shared" si="216"/>
        <v>0</v>
      </c>
      <c r="CN142" s="175">
        <f t="shared" si="216"/>
        <v>0</v>
      </c>
      <c r="CO142" s="175">
        <f t="shared" si="216"/>
        <v>0</v>
      </c>
      <c r="CP142" s="175">
        <f t="shared" si="216"/>
        <v>0</v>
      </c>
      <c r="CQ142" s="175">
        <f t="shared" si="216"/>
        <v>0</v>
      </c>
      <c r="CR142" s="175"/>
      <c r="CS142" s="175"/>
      <c r="CU142" s="175">
        <f>SUM(Y142:AC142)+SUM(BS142:BY142)</f>
        <v>0</v>
      </c>
      <c r="CV142" s="175" t="e">
        <v>#VALUE!</v>
      </c>
      <c r="CW142" s="175">
        <f>SUM(AV142:BG142)</f>
        <v>0</v>
      </c>
    </row>
    <row r="143" spans="2:101" outlineLevel="1">
      <c r="B143" s="97"/>
      <c r="C143" s="97"/>
      <c r="D143" s="97" t="s">
        <v>532</v>
      </c>
      <c r="F143" s="417" t="s">
        <v>13</v>
      </c>
      <c r="G143" s="175"/>
      <c r="H143" s="175"/>
      <c r="I143" s="175"/>
      <c r="J143" s="175"/>
      <c r="K143" s="176"/>
      <c r="L143" s="175"/>
      <c r="M143" s="175"/>
      <c r="N143" s="175"/>
      <c r="O143" s="175"/>
      <c r="P143" s="175"/>
      <c r="Q143" s="175"/>
      <c r="R143" s="175"/>
      <c r="S143" s="177">
        <f ca="1">SUM(G143:OFFSET(G143,0,$F$2-1))</f>
        <v>0</v>
      </c>
      <c r="T143" s="419">
        <f t="shared" si="200"/>
        <v>0</v>
      </c>
      <c r="U143" s="419">
        <f t="shared" si="201"/>
        <v>0</v>
      </c>
      <c r="V143" s="419">
        <f t="shared" si="202"/>
        <v>0</v>
      </c>
      <c r="W143" s="419">
        <f t="shared" si="203"/>
        <v>0</v>
      </c>
      <c r="X143" s="178"/>
      <c r="Y143" s="178"/>
      <c r="Z143" s="178"/>
      <c r="AA143" s="178"/>
      <c r="AB143" s="178"/>
      <c r="AC143" s="378"/>
      <c r="AD143" s="178"/>
      <c r="AE143" s="178"/>
      <c r="AF143" s="178"/>
      <c r="AG143" s="178"/>
      <c r="AH143" s="178"/>
      <c r="AI143" s="178"/>
      <c r="AJ143" s="178"/>
      <c r="AK143" s="177"/>
      <c r="AN143" s="177"/>
      <c r="AO143" s="177"/>
      <c r="AP143" s="177"/>
      <c r="AQ143" s="419"/>
      <c r="AR143" s="419"/>
      <c r="AS143" s="419"/>
      <c r="AT143" s="419"/>
      <c r="AU143" s="181"/>
      <c r="AV143" s="175"/>
      <c r="AW143" s="175"/>
      <c r="AX143" s="175"/>
      <c r="AY143" s="175"/>
      <c r="AZ143" s="176"/>
      <c r="BA143" s="175"/>
      <c r="BB143" s="175"/>
      <c r="BC143" s="175"/>
      <c r="BD143" s="175"/>
      <c r="BE143" s="175"/>
      <c r="BF143" s="175"/>
      <c r="BG143" s="175"/>
      <c r="BH143" s="177">
        <f ca="1">SUM(AV143:OFFSET(AV143,0,$F$2-1))</f>
        <v>0</v>
      </c>
      <c r="BI143" s="419">
        <f t="shared" si="208"/>
        <v>0</v>
      </c>
      <c r="BJ143" s="419">
        <f t="shared" si="209"/>
        <v>0</v>
      </c>
      <c r="BK143" s="419">
        <f t="shared" si="210"/>
        <v>0</v>
      </c>
      <c r="BL143" s="419">
        <f t="shared" si="211"/>
        <v>0</v>
      </c>
      <c r="BM143" s="178"/>
      <c r="BN143" s="175"/>
      <c r="BO143" s="175"/>
      <c r="BP143" s="175"/>
      <c r="BQ143" s="175"/>
      <c r="BR143" s="176"/>
      <c r="BS143" s="175"/>
      <c r="BT143" s="175"/>
      <c r="BU143" s="175"/>
      <c r="BV143" s="175"/>
      <c r="BW143" s="175"/>
      <c r="BX143" s="175"/>
      <c r="BY143" s="175"/>
      <c r="BZ143" s="177">
        <f ca="1">SUM(BN143:OFFSET(BN143,0,$F$2-1))</f>
        <v>0</v>
      </c>
      <c r="CA143" s="419">
        <f t="shared" si="212"/>
        <v>0</v>
      </c>
      <c r="CB143" s="419">
        <f t="shared" si="213"/>
        <v>0</v>
      </c>
      <c r="CC143" s="419">
        <f t="shared" si="214"/>
        <v>0</v>
      </c>
      <c r="CD143" s="419">
        <f t="shared" si="215"/>
        <v>0</v>
      </c>
      <c r="CE143" s="178"/>
      <c r="CF143" s="97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U143" s="175"/>
      <c r="CV143" s="175"/>
      <c r="CW143" s="175"/>
    </row>
    <row r="144" spans="2:101" outlineLevel="1">
      <c r="B144" s="97" t="s">
        <v>596</v>
      </c>
      <c r="C144" s="97" t="s">
        <v>9</v>
      </c>
      <c r="D144" s="97" t="s">
        <v>7</v>
      </c>
      <c r="F144" s="67" t="s">
        <v>7</v>
      </c>
      <c r="G144" s="175">
        <v>-83924</v>
      </c>
      <c r="H144" s="175">
        <v>-120477</v>
      </c>
      <c r="I144" s="175">
        <v>119034</v>
      </c>
      <c r="J144" s="175">
        <v>-148851</v>
      </c>
      <c r="K144" s="175">
        <v>-99457</v>
      </c>
      <c r="L144" s="175">
        <v>0</v>
      </c>
      <c r="M144" s="175">
        <v>-150091</v>
      </c>
      <c r="N144" s="175">
        <v>27818</v>
      </c>
      <c r="O144" s="175">
        <v>64024</v>
      </c>
      <c r="P144" s="175">
        <v>167179</v>
      </c>
      <c r="Q144" s="175">
        <v>27512</v>
      </c>
      <c r="R144" s="175">
        <v>253295</v>
      </c>
      <c r="S144" s="177">
        <f ca="1">SUM(G144:OFFSET(G144,0,$F$2-1))</f>
        <v>56062</v>
      </c>
      <c r="T144" s="419">
        <f t="shared" si="200"/>
        <v>-85367</v>
      </c>
      <c r="U144" s="419">
        <f t="shared" si="201"/>
        <v>-248308</v>
      </c>
      <c r="V144" s="419">
        <f t="shared" si="202"/>
        <v>-58249</v>
      </c>
      <c r="W144" s="419">
        <f t="shared" si="203"/>
        <v>447986</v>
      </c>
      <c r="X144" s="178"/>
      <c r="Y144" s="179">
        <v>-153186</v>
      </c>
      <c r="Z144" s="179">
        <v>-17383</v>
      </c>
      <c r="AA144" s="179">
        <v>41966</v>
      </c>
      <c r="AB144" s="179">
        <v>-122637</v>
      </c>
      <c r="AC144" s="179">
        <v>-54019</v>
      </c>
      <c r="AD144" s="179">
        <v>-54327</v>
      </c>
      <c r="AE144" s="179">
        <v>-55359</v>
      </c>
      <c r="AF144" s="179">
        <v>86692</v>
      </c>
      <c r="AG144" s="179">
        <v>-117862</v>
      </c>
      <c r="AH144" s="179">
        <v>201785</v>
      </c>
      <c r="AI144" s="179">
        <v>270123</v>
      </c>
      <c r="AJ144" s="179">
        <v>35844</v>
      </c>
      <c r="AK144" s="177">
        <f ca="1">SUM(Y144:OFFSET(Y144,0,$F$2-1))</f>
        <v>61637</v>
      </c>
      <c r="AL144" s="97" t="s">
        <v>234</v>
      </c>
      <c r="AM144" s="97" t="s">
        <v>7</v>
      </c>
      <c r="AN144" s="177"/>
      <c r="AO144" s="177"/>
      <c r="AP144" s="177"/>
      <c r="AQ144" s="419">
        <f t="shared" si="204"/>
        <v>-128603</v>
      </c>
      <c r="AR144" s="419">
        <f t="shared" si="205"/>
        <v>-230983</v>
      </c>
      <c r="AS144" s="419">
        <f t="shared" si="206"/>
        <v>-86529</v>
      </c>
      <c r="AT144" s="419">
        <f t="shared" si="207"/>
        <v>507752</v>
      </c>
      <c r="AU144" s="181"/>
      <c r="AV144" s="175">
        <v>-83924</v>
      </c>
      <c r="AW144" s="175">
        <v>-120477</v>
      </c>
      <c r="AX144" s="175">
        <v>119034</v>
      </c>
      <c r="AY144" s="175">
        <v>-148851</v>
      </c>
      <c r="AZ144" s="175">
        <v>-99457</v>
      </c>
      <c r="BA144" s="175">
        <v>0</v>
      </c>
      <c r="BB144" s="175">
        <v>-10000</v>
      </c>
      <c r="BC144" s="175">
        <v>20000</v>
      </c>
      <c r="BD144" s="175">
        <v>-30000</v>
      </c>
      <c r="BE144" s="175">
        <v>98000</v>
      </c>
      <c r="BF144" s="175">
        <v>120000</v>
      </c>
      <c r="BG144" s="175">
        <v>145000</v>
      </c>
      <c r="BH144" s="177">
        <f ca="1">SUM(AV144:OFFSET(AV144,0,$F$2-1))</f>
        <v>9325</v>
      </c>
      <c r="BI144" s="419">
        <f t="shared" si="208"/>
        <v>-85367</v>
      </c>
      <c r="BJ144" s="419">
        <f t="shared" si="209"/>
        <v>-248308</v>
      </c>
      <c r="BK144" s="419">
        <f t="shared" si="210"/>
        <v>-20000</v>
      </c>
      <c r="BL144" s="419">
        <f t="shared" si="211"/>
        <v>363000</v>
      </c>
      <c r="BM144" s="178"/>
      <c r="BN144" s="175"/>
      <c r="BO144" s="175"/>
      <c r="BP144" s="175">
        <v>109034</v>
      </c>
      <c r="BQ144" s="175">
        <v>-48851</v>
      </c>
      <c r="BR144" s="175">
        <v>-39457</v>
      </c>
      <c r="BS144" s="175">
        <v>-50000</v>
      </c>
      <c r="BT144" s="175">
        <v>-10000</v>
      </c>
      <c r="BU144" s="175">
        <v>20000</v>
      </c>
      <c r="BV144" s="175">
        <v>30000</v>
      </c>
      <c r="BW144" s="175">
        <v>68000</v>
      </c>
      <c r="BX144" s="175">
        <v>50000</v>
      </c>
      <c r="BY144" s="175">
        <v>0</v>
      </c>
      <c r="BZ144" s="177">
        <f ca="1">SUM(BN144:OFFSET(BN144,0,$F$2-1))</f>
        <v>128726</v>
      </c>
      <c r="CA144" s="419">
        <f t="shared" si="212"/>
        <v>109034</v>
      </c>
      <c r="CB144" s="419">
        <f t="shared" si="213"/>
        <v>-138308</v>
      </c>
      <c r="CC144" s="419">
        <f t="shared" si="214"/>
        <v>40000</v>
      </c>
      <c r="CD144" s="419">
        <f t="shared" si="215"/>
        <v>118000</v>
      </c>
      <c r="CE144" s="178"/>
      <c r="CF144" s="97" t="s">
        <v>596</v>
      </c>
      <c r="CH144" s="175"/>
      <c r="CI144" s="175"/>
      <c r="CJ144" s="175">
        <f t="shared" ref="CJ144:CQ147" si="217">AA144-BP144</f>
        <v>-67068</v>
      </c>
      <c r="CK144" s="175">
        <f t="shared" si="217"/>
        <v>-73786</v>
      </c>
      <c r="CL144" s="175">
        <f t="shared" si="217"/>
        <v>-14562</v>
      </c>
      <c r="CM144" s="175">
        <f t="shared" si="217"/>
        <v>-4327</v>
      </c>
      <c r="CN144" s="175">
        <f t="shared" si="217"/>
        <v>-45359</v>
      </c>
      <c r="CO144" s="175">
        <f t="shared" si="217"/>
        <v>66692</v>
      </c>
      <c r="CP144" s="175">
        <f t="shared" si="217"/>
        <v>-147862</v>
      </c>
      <c r="CQ144" s="175">
        <f t="shared" si="217"/>
        <v>133785</v>
      </c>
      <c r="CR144" s="175"/>
      <c r="CS144" s="175"/>
      <c r="CU144" s="175">
        <f>SUM(Y144:AC144)+SUM(BS144:BY144)</f>
        <v>-197259</v>
      </c>
      <c r="CV144" s="175">
        <v>4747</v>
      </c>
      <c r="CW144" s="175">
        <f>SUM(AV144:BG144)</f>
        <v>9325</v>
      </c>
    </row>
    <row r="145" spans="2:101" outlineLevel="1">
      <c r="B145" s="97" t="s">
        <v>597</v>
      </c>
      <c r="C145" s="97" t="s">
        <v>9</v>
      </c>
      <c r="D145" s="97" t="s">
        <v>8</v>
      </c>
      <c r="F145" s="67" t="s">
        <v>8</v>
      </c>
      <c r="G145" s="175">
        <v>9000</v>
      </c>
      <c r="H145" s="175">
        <v>-28000</v>
      </c>
      <c r="I145" s="175">
        <v>56000</v>
      </c>
      <c r="J145" s="175">
        <v>-44000</v>
      </c>
      <c r="K145" s="175">
        <v>14000</v>
      </c>
      <c r="L145" s="175">
        <v>-25000</v>
      </c>
      <c r="M145" s="175">
        <v>20000</v>
      </c>
      <c r="N145" s="175">
        <v>5000</v>
      </c>
      <c r="O145" s="175">
        <v>-15000</v>
      </c>
      <c r="P145" s="175">
        <v>50000</v>
      </c>
      <c r="Q145" s="175">
        <v>6000</v>
      </c>
      <c r="R145" s="175">
        <v>-20000</v>
      </c>
      <c r="S145" s="177">
        <f ca="1">SUM(G145:OFFSET(G145,0,$F$2-1))</f>
        <v>28000</v>
      </c>
      <c r="T145" s="419">
        <f t="shared" si="200"/>
        <v>37000</v>
      </c>
      <c r="U145" s="419">
        <f t="shared" si="201"/>
        <v>-55000</v>
      </c>
      <c r="V145" s="419">
        <f t="shared" si="202"/>
        <v>10000</v>
      </c>
      <c r="W145" s="419">
        <f t="shared" si="203"/>
        <v>36000</v>
      </c>
      <c r="X145" s="178"/>
      <c r="Y145" s="179">
        <v>-66000</v>
      </c>
      <c r="Z145" s="179">
        <v>50000</v>
      </c>
      <c r="AA145" s="179">
        <v>43000</v>
      </c>
      <c r="AB145" s="179">
        <v>-20000</v>
      </c>
      <c r="AC145" s="179">
        <v>-13000</v>
      </c>
      <c r="AD145" s="179">
        <v>-5000</v>
      </c>
      <c r="AE145" s="179">
        <v>-15000</v>
      </c>
      <c r="AF145" s="179">
        <v>35000</v>
      </c>
      <c r="AG145" s="179">
        <v>-28000</v>
      </c>
      <c r="AH145" s="179">
        <v>33000</v>
      </c>
      <c r="AI145" s="179">
        <v>35000</v>
      </c>
      <c r="AJ145" s="179">
        <v>-30000</v>
      </c>
      <c r="AK145" s="177">
        <f ca="1">SUM(Y145:OFFSET(Y145,0,$F$2-1))</f>
        <v>19000</v>
      </c>
      <c r="AL145" s="97" t="s">
        <v>8</v>
      </c>
      <c r="AM145" s="97" t="s">
        <v>8</v>
      </c>
      <c r="AN145" s="177"/>
      <c r="AO145" s="177"/>
      <c r="AP145" s="177"/>
      <c r="AQ145" s="419">
        <f t="shared" si="204"/>
        <v>27000</v>
      </c>
      <c r="AR145" s="419">
        <f t="shared" si="205"/>
        <v>-38000</v>
      </c>
      <c r="AS145" s="419">
        <f t="shared" si="206"/>
        <v>-8000</v>
      </c>
      <c r="AT145" s="419">
        <f t="shared" si="207"/>
        <v>38000</v>
      </c>
      <c r="AU145" s="181"/>
      <c r="AV145" s="175">
        <v>9000</v>
      </c>
      <c r="AW145" s="175">
        <v>-28000</v>
      </c>
      <c r="AX145" s="175">
        <v>56000</v>
      </c>
      <c r="AY145" s="175">
        <v>-44000</v>
      </c>
      <c r="AZ145" s="175">
        <v>14000</v>
      </c>
      <c r="BA145" s="175">
        <v>-25000</v>
      </c>
      <c r="BB145" s="175">
        <v>-20000</v>
      </c>
      <c r="BC145" s="175">
        <v>5000</v>
      </c>
      <c r="BD145" s="175">
        <v>-5000</v>
      </c>
      <c r="BE145" s="175">
        <v>10000</v>
      </c>
      <c r="BF145" s="175">
        <v>15000</v>
      </c>
      <c r="BG145" s="175">
        <v>10000</v>
      </c>
      <c r="BH145" s="177">
        <f ca="1">SUM(AV145:OFFSET(AV145,0,$F$2-1))</f>
        <v>-3000</v>
      </c>
      <c r="BI145" s="419">
        <f t="shared" si="208"/>
        <v>37000</v>
      </c>
      <c r="BJ145" s="419">
        <f t="shared" si="209"/>
        <v>-55000</v>
      </c>
      <c r="BK145" s="419">
        <f t="shared" si="210"/>
        <v>-20000</v>
      </c>
      <c r="BL145" s="419">
        <f t="shared" si="211"/>
        <v>35000</v>
      </c>
      <c r="BM145" s="178"/>
      <c r="BN145" s="175"/>
      <c r="BO145" s="175"/>
      <c r="BP145" s="175">
        <v>56000</v>
      </c>
      <c r="BQ145" s="175">
        <v>-24000</v>
      </c>
      <c r="BR145" s="175">
        <v>14000</v>
      </c>
      <c r="BS145" s="175">
        <v>-15000</v>
      </c>
      <c r="BT145" s="175">
        <v>-15000</v>
      </c>
      <c r="BU145" s="175">
        <v>5000</v>
      </c>
      <c r="BV145" s="175">
        <v>-15000</v>
      </c>
      <c r="BW145" s="175">
        <v>-5000</v>
      </c>
      <c r="BX145" s="175">
        <v>-5000</v>
      </c>
      <c r="BY145" s="175">
        <v>-45000</v>
      </c>
      <c r="BZ145" s="177">
        <f ca="1">SUM(BN145:OFFSET(BN145,0,$F$2-1))</f>
        <v>-49000</v>
      </c>
      <c r="CA145" s="419">
        <f t="shared" si="212"/>
        <v>56000</v>
      </c>
      <c r="CB145" s="419">
        <f t="shared" si="213"/>
        <v>-25000</v>
      </c>
      <c r="CC145" s="419">
        <f t="shared" si="214"/>
        <v>-25000</v>
      </c>
      <c r="CD145" s="419">
        <f t="shared" si="215"/>
        <v>-55000</v>
      </c>
      <c r="CE145" s="178"/>
      <c r="CF145" s="97" t="s">
        <v>597</v>
      </c>
      <c r="CH145" s="175"/>
      <c r="CI145" s="175"/>
      <c r="CJ145" s="175">
        <f t="shared" si="217"/>
        <v>-13000</v>
      </c>
      <c r="CK145" s="175">
        <f t="shared" si="217"/>
        <v>4000</v>
      </c>
      <c r="CL145" s="175">
        <f t="shared" si="217"/>
        <v>-27000</v>
      </c>
      <c r="CM145" s="175">
        <f t="shared" si="217"/>
        <v>10000</v>
      </c>
      <c r="CN145" s="175">
        <f t="shared" si="217"/>
        <v>0</v>
      </c>
      <c r="CO145" s="175">
        <f t="shared" si="217"/>
        <v>30000</v>
      </c>
      <c r="CP145" s="175">
        <f t="shared" si="217"/>
        <v>-13000</v>
      </c>
      <c r="CQ145" s="175">
        <f t="shared" si="217"/>
        <v>38000</v>
      </c>
      <c r="CR145" s="175"/>
      <c r="CS145" s="175"/>
      <c r="CU145" s="175">
        <f>SUM(Y145:AC145)+SUM(BS145:BY145)</f>
        <v>-101000</v>
      </c>
      <c r="CV145" s="175" t="e">
        <v>#VALUE!</v>
      </c>
      <c r="CW145" s="175">
        <f>SUM(AV145:BG145)</f>
        <v>-3000</v>
      </c>
    </row>
    <row r="146" spans="2:101" outlineLevel="1">
      <c r="B146" s="97" t="s">
        <v>598</v>
      </c>
      <c r="C146" s="97" t="s">
        <v>9</v>
      </c>
      <c r="D146" s="97" t="s">
        <v>4</v>
      </c>
      <c r="F146" s="67" t="s">
        <v>4</v>
      </c>
      <c r="G146" s="175">
        <v>0</v>
      </c>
      <c r="H146" s="175">
        <v>0</v>
      </c>
      <c r="I146" s="175">
        <v>0</v>
      </c>
      <c r="J146" s="175">
        <v>0</v>
      </c>
      <c r="K146" s="175">
        <v>0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  <c r="S146" s="177">
        <f ca="1">SUM(G146:OFFSET(G146,0,$F$2-1))</f>
        <v>0</v>
      </c>
      <c r="T146" s="419">
        <f t="shared" si="200"/>
        <v>0</v>
      </c>
      <c r="U146" s="419">
        <f t="shared" si="201"/>
        <v>0</v>
      </c>
      <c r="V146" s="419">
        <f t="shared" si="202"/>
        <v>0</v>
      </c>
      <c r="W146" s="419">
        <f t="shared" si="203"/>
        <v>0</v>
      </c>
      <c r="X146" s="178"/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7">
        <f ca="1">SUM(Y146:OFFSET(Y146,0,$F$2-1))</f>
        <v>0</v>
      </c>
      <c r="AL146" s="97" t="s">
        <v>4</v>
      </c>
      <c r="AM146" s="97" t="s">
        <v>4</v>
      </c>
      <c r="AN146" s="177"/>
      <c r="AO146" s="177"/>
      <c r="AP146" s="177"/>
      <c r="AQ146" s="419">
        <f t="shared" si="204"/>
        <v>0</v>
      </c>
      <c r="AR146" s="419">
        <f t="shared" si="205"/>
        <v>0</v>
      </c>
      <c r="AS146" s="419">
        <f t="shared" si="206"/>
        <v>0</v>
      </c>
      <c r="AT146" s="419">
        <f t="shared" si="207"/>
        <v>0</v>
      </c>
      <c r="AU146" s="181"/>
      <c r="AV146" s="175">
        <v>0</v>
      </c>
      <c r="AW146" s="175">
        <v>0</v>
      </c>
      <c r="AX146" s="175">
        <v>0</v>
      </c>
      <c r="AY146" s="175">
        <v>0</v>
      </c>
      <c r="AZ146" s="175">
        <v>0</v>
      </c>
      <c r="BA146" s="175">
        <v>0</v>
      </c>
      <c r="BB146" s="175">
        <v>0</v>
      </c>
      <c r="BC146" s="175">
        <v>0</v>
      </c>
      <c r="BD146" s="175">
        <v>0</v>
      </c>
      <c r="BE146" s="175">
        <v>0</v>
      </c>
      <c r="BF146" s="175">
        <v>0</v>
      </c>
      <c r="BG146" s="175">
        <v>0</v>
      </c>
      <c r="BH146" s="177">
        <f ca="1">SUM(AV146:OFFSET(AV146,0,$F$2-1))</f>
        <v>0</v>
      </c>
      <c r="BI146" s="419">
        <f t="shared" si="208"/>
        <v>0</v>
      </c>
      <c r="BJ146" s="419">
        <f t="shared" si="209"/>
        <v>0</v>
      </c>
      <c r="BK146" s="419">
        <f t="shared" si="210"/>
        <v>0</v>
      </c>
      <c r="BL146" s="419">
        <f t="shared" si="211"/>
        <v>0</v>
      </c>
      <c r="BM146" s="178"/>
      <c r="BN146" s="175"/>
      <c r="BO146" s="175"/>
      <c r="BP146" s="175">
        <v>0</v>
      </c>
      <c r="BQ146" s="175">
        <v>0</v>
      </c>
      <c r="BR146" s="175">
        <v>0</v>
      </c>
      <c r="BS146" s="175">
        <v>0</v>
      </c>
      <c r="BT146" s="175">
        <v>0</v>
      </c>
      <c r="BU146" s="175">
        <v>0</v>
      </c>
      <c r="BV146" s="175">
        <v>0</v>
      </c>
      <c r="BW146" s="175">
        <v>0</v>
      </c>
      <c r="BX146" s="175">
        <v>0</v>
      </c>
      <c r="BY146" s="175">
        <v>0</v>
      </c>
      <c r="BZ146" s="177">
        <f ca="1">SUM(BN146:OFFSET(BN146,0,$F$2-1))</f>
        <v>0</v>
      </c>
      <c r="CA146" s="419">
        <f t="shared" si="212"/>
        <v>0</v>
      </c>
      <c r="CB146" s="419">
        <f t="shared" si="213"/>
        <v>0</v>
      </c>
      <c r="CC146" s="419">
        <f t="shared" si="214"/>
        <v>0</v>
      </c>
      <c r="CD146" s="419">
        <f t="shared" si="215"/>
        <v>0</v>
      </c>
      <c r="CE146" s="178"/>
      <c r="CF146" s="97" t="s">
        <v>598</v>
      </c>
      <c r="CH146" s="175"/>
      <c r="CI146" s="175"/>
      <c r="CJ146" s="175">
        <f t="shared" si="217"/>
        <v>0</v>
      </c>
      <c r="CK146" s="175">
        <f t="shared" si="217"/>
        <v>0</v>
      </c>
      <c r="CL146" s="175">
        <f t="shared" si="217"/>
        <v>0</v>
      </c>
      <c r="CM146" s="175">
        <f t="shared" si="217"/>
        <v>0</v>
      </c>
      <c r="CN146" s="175">
        <f t="shared" si="217"/>
        <v>0</v>
      </c>
      <c r="CO146" s="175">
        <f t="shared" si="217"/>
        <v>0</v>
      </c>
      <c r="CP146" s="175">
        <f t="shared" si="217"/>
        <v>0</v>
      </c>
      <c r="CQ146" s="175">
        <f t="shared" si="217"/>
        <v>0</v>
      </c>
      <c r="CR146" s="175"/>
      <c r="CS146" s="175"/>
      <c r="CU146" s="175">
        <f>SUM(Y146:AC146)+SUM(BS146:BY146)</f>
        <v>0</v>
      </c>
      <c r="CV146" s="175" t="e">
        <v>#VALUE!</v>
      </c>
      <c r="CW146" s="175">
        <f>SUM(AV146:BG146)</f>
        <v>0</v>
      </c>
    </row>
    <row r="147" spans="2:101" outlineLevel="1">
      <c r="B147" s="97" t="s">
        <v>599</v>
      </c>
      <c r="C147" s="97" t="s">
        <v>9</v>
      </c>
      <c r="D147" s="97" t="s">
        <v>5</v>
      </c>
      <c r="F147" s="67" t="s">
        <v>5</v>
      </c>
      <c r="G147" s="175">
        <v>-1571</v>
      </c>
      <c r="H147" s="175">
        <v>485</v>
      </c>
      <c r="I147" s="175">
        <v>1905</v>
      </c>
      <c r="J147" s="175">
        <v>-3489</v>
      </c>
      <c r="K147" s="175">
        <v>-816</v>
      </c>
      <c r="L147" s="175">
        <v>-135.76000000000022</v>
      </c>
      <c r="M147" s="175">
        <v>-1111.9399999999996</v>
      </c>
      <c r="N147" s="175">
        <v>116.25</v>
      </c>
      <c r="O147" s="175">
        <v>-29.710000000000036</v>
      </c>
      <c r="P147" s="175">
        <v>1805.1099999999997</v>
      </c>
      <c r="Q147" s="175">
        <v>144.39000000000033</v>
      </c>
      <c r="R147" s="175">
        <v>2476.2700000000004</v>
      </c>
      <c r="S147" s="177">
        <f ca="1">SUM(G147:OFFSET(G147,0,$F$2-1))</f>
        <v>-221.38999999999942</v>
      </c>
      <c r="T147" s="419">
        <f t="shared" si="200"/>
        <v>819</v>
      </c>
      <c r="U147" s="419">
        <f t="shared" si="201"/>
        <v>-4440.76</v>
      </c>
      <c r="V147" s="419">
        <f t="shared" si="202"/>
        <v>-1025.3999999999996</v>
      </c>
      <c r="W147" s="419">
        <f t="shared" si="203"/>
        <v>4425.7700000000004</v>
      </c>
      <c r="X147" s="178"/>
      <c r="Y147" s="179">
        <v>-2307.3900000000012</v>
      </c>
      <c r="Z147" s="179">
        <v>2143.6800000000003</v>
      </c>
      <c r="AA147" s="179">
        <v>197.65999999999985</v>
      </c>
      <c r="AB147" s="179">
        <v>-1417.7199999999993</v>
      </c>
      <c r="AC147" s="179">
        <v>-706.55999999999949</v>
      </c>
      <c r="AD147" s="179">
        <v>-679.69000000000051</v>
      </c>
      <c r="AE147" s="179">
        <v>-1265.4000000000005</v>
      </c>
      <c r="AF147" s="179">
        <v>1573.1799999999994</v>
      </c>
      <c r="AG147" s="179">
        <v>-1789.5299999999988</v>
      </c>
      <c r="AH147" s="179">
        <v>1423.38</v>
      </c>
      <c r="AI147" s="179">
        <v>1949.2499999999991</v>
      </c>
      <c r="AJ147" s="179">
        <v>1215.2800000000007</v>
      </c>
      <c r="AK147" s="177">
        <f ca="1">SUM(Y147:OFFSET(Y147,0,$F$2-1))</f>
        <v>336.13999999999942</v>
      </c>
      <c r="AL147" s="97" t="s">
        <v>235</v>
      </c>
      <c r="AM147" s="97" t="s">
        <v>5</v>
      </c>
      <c r="AN147" s="177"/>
      <c r="AO147" s="177"/>
      <c r="AP147" s="177"/>
      <c r="AQ147" s="419">
        <f t="shared" si="204"/>
        <v>33.949999999998909</v>
      </c>
      <c r="AR147" s="419">
        <f t="shared" si="205"/>
        <v>-2803.9699999999993</v>
      </c>
      <c r="AS147" s="419">
        <f t="shared" si="206"/>
        <v>-1481.75</v>
      </c>
      <c r="AT147" s="419">
        <f t="shared" si="207"/>
        <v>4587.91</v>
      </c>
      <c r="AU147" s="181"/>
      <c r="AV147" s="175">
        <v>-1571</v>
      </c>
      <c r="AW147" s="175">
        <v>485</v>
      </c>
      <c r="AX147" s="175">
        <v>1905</v>
      </c>
      <c r="AY147" s="175">
        <v>-3489</v>
      </c>
      <c r="AZ147" s="175">
        <v>-816</v>
      </c>
      <c r="BA147" s="175">
        <v>-135.76000000000022</v>
      </c>
      <c r="BB147" s="175">
        <v>-200</v>
      </c>
      <c r="BC147" s="175">
        <v>0</v>
      </c>
      <c r="BD147" s="175">
        <v>200</v>
      </c>
      <c r="BE147" s="175">
        <v>300</v>
      </c>
      <c r="BF147" s="175">
        <v>600</v>
      </c>
      <c r="BG147" s="175">
        <v>200</v>
      </c>
      <c r="BH147" s="177">
        <f ca="1">SUM(AV147:OFFSET(AV147,0,$F$2-1))</f>
        <v>-2521.7600000000002</v>
      </c>
      <c r="BI147" s="419">
        <f t="shared" si="208"/>
        <v>819</v>
      </c>
      <c r="BJ147" s="419">
        <f t="shared" si="209"/>
        <v>-4440.76</v>
      </c>
      <c r="BK147" s="419">
        <f t="shared" si="210"/>
        <v>0</v>
      </c>
      <c r="BL147" s="419">
        <f t="shared" si="211"/>
        <v>1100</v>
      </c>
      <c r="BM147" s="178"/>
      <c r="BN147" s="175"/>
      <c r="BO147" s="175"/>
      <c r="BP147" s="175">
        <v>1905</v>
      </c>
      <c r="BQ147" s="175">
        <v>-1489</v>
      </c>
      <c r="BR147" s="175">
        <v>-816</v>
      </c>
      <c r="BS147" s="175">
        <v>-135.76000000000022</v>
      </c>
      <c r="BT147" s="175">
        <v>-200</v>
      </c>
      <c r="BU147" s="175">
        <v>0</v>
      </c>
      <c r="BV147" s="175">
        <v>200</v>
      </c>
      <c r="BW147" s="175">
        <v>300</v>
      </c>
      <c r="BX147" s="175">
        <v>800</v>
      </c>
      <c r="BY147" s="175">
        <v>1000</v>
      </c>
      <c r="BZ147" s="177">
        <f ca="1">SUM(BN147:OFFSET(BN147,0,$F$2-1))</f>
        <v>1564.2399999999998</v>
      </c>
      <c r="CA147" s="419">
        <f t="shared" si="212"/>
        <v>1905</v>
      </c>
      <c r="CB147" s="419">
        <f t="shared" si="213"/>
        <v>-2440.7600000000002</v>
      </c>
      <c r="CC147" s="419">
        <f t="shared" si="214"/>
        <v>0</v>
      </c>
      <c r="CD147" s="419">
        <f t="shared" si="215"/>
        <v>2100</v>
      </c>
      <c r="CE147" s="178"/>
      <c r="CF147" s="97" t="s">
        <v>599</v>
      </c>
      <c r="CH147" s="175"/>
      <c r="CI147" s="175"/>
      <c r="CJ147" s="175">
        <f t="shared" si="217"/>
        <v>-1707.3400000000001</v>
      </c>
      <c r="CK147" s="175">
        <f t="shared" si="217"/>
        <v>71.280000000000655</v>
      </c>
      <c r="CL147" s="175">
        <f t="shared" si="217"/>
        <v>109.44000000000051</v>
      </c>
      <c r="CM147" s="175">
        <f t="shared" si="217"/>
        <v>-543.93000000000029</v>
      </c>
      <c r="CN147" s="175">
        <f t="shared" si="217"/>
        <v>-1065.4000000000005</v>
      </c>
      <c r="CO147" s="175">
        <f t="shared" si="217"/>
        <v>1573.1799999999994</v>
      </c>
      <c r="CP147" s="175">
        <f t="shared" si="217"/>
        <v>-1989.5299999999988</v>
      </c>
      <c r="CQ147" s="175">
        <f t="shared" si="217"/>
        <v>1123.3800000000001</v>
      </c>
      <c r="CR147" s="175"/>
      <c r="CS147" s="175"/>
      <c r="CU147" s="175">
        <f>SUM(Y147:AC147)+SUM(BS147:BY147)</f>
        <v>-126.09000000000015</v>
      </c>
      <c r="CV147" s="175" t="e">
        <v>#VALUE!</v>
      </c>
      <c r="CW147" s="175">
        <f>SUM(AV147:BG147)</f>
        <v>-2521.7600000000002</v>
      </c>
    </row>
    <row r="148" spans="2:101" outlineLevel="1">
      <c r="B148" s="97"/>
      <c r="C148" s="97"/>
      <c r="D148" s="97" t="s">
        <v>532</v>
      </c>
      <c r="F148" s="417" t="s">
        <v>233</v>
      </c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7">
        <f ca="1">SUM(G148:OFFSET(G148,0,$F$2-1))</f>
        <v>0</v>
      </c>
      <c r="T148" s="419">
        <f t="shared" si="200"/>
        <v>0</v>
      </c>
      <c r="U148" s="419">
        <f t="shared" si="201"/>
        <v>0</v>
      </c>
      <c r="V148" s="419">
        <f t="shared" si="202"/>
        <v>0</v>
      </c>
      <c r="W148" s="419">
        <f t="shared" si="203"/>
        <v>0</v>
      </c>
      <c r="X148" s="178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7"/>
      <c r="AL148" s="97"/>
      <c r="AN148" s="177"/>
      <c r="AO148" s="177"/>
      <c r="AP148" s="177"/>
      <c r="AQ148" s="419"/>
      <c r="AR148" s="419"/>
      <c r="AS148" s="419"/>
      <c r="AT148" s="419"/>
      <c r="AU148" s="181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7">
        <f ca="1">SUM(AV148:OFFSET(AV148,0,$F$2-1))</f>
        <v>0</v>
      </c>
      <c r="BI148" s="419">
        <f t="shared" si="208"/>
        <v>0</v>
      </c>
      <c r="BJ148" s="419">
        <f t="shared" si="209"/>
        <v>0</v>
      </c>
      <c r="BK148" s="419">
        <f t="shared" si="210"/>
        <v>0</v>
      </c>
      <c r="BL148" s="419">
        <f t="shared" si="211"/>
        <v>0</v>
      </c>
      <c r="BM148" s="178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7">
        <f ca="1">SUM(BN148:OFFSET(BN148,0,$F$2-1))</f>
        <v>0</v>
      </c>
      <c r="CA148" s="419">
        <f t="shared" si="212"/>
        <v>0</v>
      </c>
      <c r="CB148" s="419">
        <f t="shared" si="213"/>
        <v>0</v>
      </c>
      <c r="CC148" s="419">
        <f t="shared" si="214"/>
        <v>0</v>
      </c>
      <c r="CD148" s="419">
        <f t="shared" si="215"/>
        <v>0</v>
      </c>
      <c r="CE148" s="178"/>
      <c r="CF148" s="97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U148" s="175"/>
      <c r="CV148" s="175"/>
      <c r="CW148" s="175"/>
    </row>
    <row r="149" spans="2:101" outlineLevel="1">
      <c r="B149" s="97" t="s">
        <v>600</v>
      </c>
      <c r="C149" s="97" t="s">
        <v>9</v>
      </c>
      <c r="D149" s="97" t="s">
        <v>7</v>
      </c>
      <c r="F149" s="67" t="s">
        <v>7</v>
      </c>
      <c r="G149" s="175">
        <v>845649</v>
      </c>
      <c r="H149" s="175">
        <v>941421</v>
      </c>
      <c r="I149" s="175">
        <v>907201</v>
      </c>
      <c r="J149" s="175">
        <v>822559</v>
      </c>
      <c r="K149" s="175">
        <v>902077</v>
      </c>
      <c r="L149" s="175">
        <v>908886.66</v>
      </c>
      <c r="M149" s="175">
        <v>920651.08</v>
      </c>
      <c r="N149" s="175">
        <v>926532.15999999992</v>
      </c>
      <c r="O149" s="175">
        <v>972484.57</v>
      </c>
      <c r="P149" s="175">
        <v>960573.27</v>
      </c>
      <c r="Q149" s="175">
        <v>1072054.45</v>
      </c>
      <c r="R149" s="421">
        <v>982835.03</v>
      </c>
      <c r="S149" s="177">
        <f ca="1">SUM(G149:OFFSET(G149,0,$F$2-1))</f>
        <v>11162924.219999999</v>
      </c>
      <c r="T149" s="419">
        <f t="shared" si="200"/>
        <v>2694271</v>
      </c>
      <c r="U149" s="419">
        <f t="shared" si="201"/>
        <v>2633522.66</v>
      </c>
      <c r="V149" s="419">
        <f t="shared" si="202"/>
        <v>2819667.8099999996</v>
      </c>
      <c r="W149" s="419">
        <f t="shared" si="203"/>
        <v>3015462.75</v>
      </c>
      <c r="X149" s="422"/>
      <c r="Y149" s="179">
        <v>1015761.8199999998</v>
      </c>
      <c r="Z149" s="179">
        <v>1025977.7300000001</v>
      </c>
      <c r="AA149" s="179">
        <v>985186.5</v>
      </c>
      <c r="AB149" s="179">
        <v>1040749.3500000001</v>
      </c>
      <c r="AC149" s="179">
        <v>1048647.93</v>
      </c>
      <c r="AD149" s="179">
        <v>1056427.46</v>
      </c>
      <c r="AE149" s="179">
        <v>1069882.03</v>
      </c>
      <c r="AF149" s="179">
        <v>1096566.0899999999</v>
      </c>
      <c r="AG149" s="179">
        <v>1099490.3599999999</v>
      </c>
      <c r="AH149" s="179">
        <v>1147702.03</v>
      </c>
      <c r="AI149" s="179">
        <v>1124193.5499999998</v>
      </c>
      <c r="AJ149" s="423">
        <v>1135767.94</v>
      </c>
      <c r="AK149" s="177">
        <f ca="1">SUM(Y149:OFFSET(Y149,0,$F$2-1))</f>
        <v>12846352.789999997</v>
      </c>
      <c r="AL149" s="97"/>
      <c r="AM149" s="97" t="s">
        <v>7</v>
      </c>
      <c r="AN149" s="177"/>
      <c r="AO149" s="177"/>
      <c r="AP149" s="177"/>
      <c r="AQ149" s="419">
        <f t="shared" si="204"/>
        <v>3026926.05</v>
      </c>
      <c r="AR149" s="419">
        <f t="shared" si="205"/>
        <v>3145824.74</v>
      </c>
      <c r="AS149" s="419">
        <f t="shared" si="206"/>
        <v>3265938.48</v>
      </c>
      <c r="AT149" s="419">
        <f t="shared" si="207"/>
        <v>3407663.52</v>
      </c>
      <c r="AU149" s="397"/>
      <c r="AV149" s="175">
        <v>993886.09551356826</v>
      </c>
      <c r="AW149" s="175">
        <v>1004042.5929496794</v>
      </c>
      <c r="AX149" s="175">
        <v>1014183.4994524571</v>
      </c>
      <c r="AY149" s="175">
        <v>1024308.8090802347</v>
      </c>
      <c r="AZ149" s="175">
        <v>1034418.5277746792</v>
      </c>
      <c r="BA149" s="175">
        <v>1044512.6555357904</v>
      </c>
      <c r="BB149" s="175">
        <v>1054591.1923635681</v>
      </c>
      <c r="BC149" s="175">
        <v>1064654.1323163458</v>
      </c>
      <c r="BD149" s="175">
        <v>1074701.4813357904</v>
      </c>
      <c r="BE149" s="175">
        <v>1084733.2394219013</v>
      </c>
      <c r="BF149" s="175">
        <v>1094749.4006330124</v>
      </c>
      <c r="BG149" s="421">
        <v>1104746.9709107904</v>
      </c>
      <c r="BH149" s="177">
        <f ca="1">SUM(AV149:OFFSET(AV149,0,$F$2-1))</f>
        <v>12593528.597287815</v>
      </c>
      <c r="BI149" s="419">
        <f t="shared" si="208"/>
        <v>3012112.1879157047</v>
      </c>
      <c r="BJ149" s="419">
        <f t="shared" si="209"/>
        <v>3103239.9923907043</v>
      </c>
      <c r="BK149" s="419">
        <f t="shared" si="210"/>
        <v>3193946.8060157043</v>
      </c>
      <c r="BL149" s="419">
        <f t="shared" si="211"/>
        <v>3284229.6109657041</v>
      </c>
      <c r="BM149" s="422"/>
      <c r="BN149" s="175"/>
      <c r="BO149" s="175"/>
      <c r="BP149" s="175">
        <v>1030868.5062891096</v>
      </c>
      <c r="BQ149" s="175">
        <v>1041842.826957443</v>
      </c>
      <c r="BR149" s="175">
        <v>1048928.8783766096</v>
      </c>
      <c r="BS149" s="175">
        <v>1057295.8756457763</v>
      </c>
      <c r="BT149" s="175">
        <v>1068686.872912443</v>
      </c>
      <c r="BU149" s="175">
        <v>1080103.3342457763</v>
      </c>
      <c r="BV149" s="175">
        <v>1096806.3693888334</v>
      </c>
      <c r="BW149" s="175">
        <v>1109947.5327888334</v>
      </c>
      <c r="BX149" s="175">
        <v>1122893.3630571668</v>
      </c>
      <c r="BY149" s="175">
        <v>1134768.9006913335</v>
      </c>
      <c r="BZ149" s="177">
        <f ca="1">SUM(BN149:OFFSET(BN149,0,$F$2-1))</f>
        <v>10792142.460353326</v>
      </c>
      <c r="CA149" s="419">
        <f t="shared" si="212"/>
        <v>1030868.5062891096</v>
      </c>
      <c r="CB149" s="419">
        <f t="shared" si="213"/>
        <v>3148067.5809798287</v>
      </c>
      <c r="CC149" s="419">
        <f t="shared" si="214"/>
        <v>3245596.5765470527</v>
      </c>
      <c r="CD149" s="419">
        <f t="shared" si="215"/>
        <v>3367609.7965373332</v>
      </c>
      <c r="CE149" s="422"/>
      <c r="CF149" s="97" t="s">
        <v>600</v>
      </c>
      <c r="CH149" s="175"/>
      <c r="CI149" s="175"/>
      <c r="CJ149" s="175">
        <f t="shared" ref="CJ149:CQ152" si="218">AA149-BP149</f>
        <v>-45682.006289109588</v>
      </c>
      <c r="CK149" s="175">
        <f t="shared" si="218"/>
        <v>-1093.4769574429374</v>
      </c>
      <c r="CL149" s="175">
        <f t="shared" si="218"/>
        <v>-280.94837660971098</v>
      </c>
      <c r="CM149" s="175">
        <f t="shared" si="218"/>
        <v>-868.41564577631652</v>
      </c>
      <c r="CN149" s="175">
        <f t="shared" si="218"/>
        <v>1195.1570875570178</v>
      </c>
      <c r="CO149" s="175">
        <f t="shared" si="218"/>
        <v>16462.755754223559</v>
      </c>
      <c r="CP149" s="175">
        <f t="shared" si="218"/>
        <v>2683.9906111664604</v>
      </c>
      <c r="CQ149" s="175">
        <f t="shared" si="218"/>
        <v>37754.497211166658</v>
      </c>
      <c r="CR149" s="175"/>
      <c r="CS149" s="175"/>
      <c r="CU149" s="175">
        <f>SUM(Y149:AC149)+SUM(BS149:BY149)</f>
        <v>12786825.578730162</v>
      </c>
      <c r="CV149" s="175">
        <v>12809839.179988667</v>
      </c>
      <c r="CW149" s="175">
        <f>SUM(AV149:BG149)</f>
        <v>12593528.597287815</v>
      </c>
    </row>
    <row r="150" spans="2:101" outlineLevel="1">
      <c r="B150" s="97" t="s">
        <v>601</v>
      </c>
      <c r="C150" s="97" t="s">
        <v>9</v>
      </c>
      <c r="D150" s="97" t="s">
        <v>8</v>
      </c>
      <c r="F150" s="67" t="s">
        <v>8</v>
      </c>
      <c r="G150" s="175">
        <v>330919</v>
      </c>
      <c r="H150" s="175">
        <v>331096</v>
      </c>
      <c r="I150" s="175">
        <v>332816</v>
      </c>
      <c r="J150" s="175">
        <v>306366</v>
      </c>
      <c r="K150" s="175">
        <v>331414</v>
      </c>
      <c r="L150" s="175">
        <v>331336.24</v>
      </c>
      <c r="M150" s="175">
        <v>332542.62000000005</v>
      </c>
      <c r="N150" s="175">
        <v>333791.08000000007</v>
      </c>
      <c r="O150" s="175">
        <v>338322.54999999993</v>
      </c>
      <c r="P150" s="175">
        <v>337586.27000000014</v>
      </c>
      <c r="Q150" s="175">
        <v>339424.32</v>
      </c>
      <c r="R150" s="175">
        <v>340919.32999999996</v>
      </c>
      <c r="S150" s="177">
        <f ca="1">SUM(G150:OFFSET(G150,0,$F$2-1))</f>
        <v>3986533.4099999997</v>
      </c>
      <c r="T150" s="419">
        <f t="shared" si="200"/>
        <v>994831</v>
      </c>
      <c r="U150" s="419">
        <f t="shared" si="201"/>
        <v>969116.24</v>
      </c>
      <c r="V150" s="419">
        <f t="shared" si="202"/>
        <v>1004656.2500000001</v>
      </c>
      <c r="W150" s="419">
        <f t="shared" si="203"/>
        <v>1017929.92</v>
      </c>
      <c r="X150" s="178"/>
      <c r="Y150" s="179">
        <v>346501.51999999996</v>
      </c>
      <c r="Z150" s="179">
        <v>347269.13000000012</v>
      </c>
      <c r="AA150" s="179">
        <v>327844.26</v>
      </c>
      <c r="AB150" s="179">
        <v>342075.88</v>
      </c>
      <c r="AC150" s="179">
        <v>342458.69999999995</v>
      </c>
      <c r="AD150" s="179">
        <v>344984.41000000003</v>
      </c>
      <c r="AE150" s="179">
        <v>345330.02000000008</v>
      </c>
      <c r="AF150" s="179">
        <v>344875.69999999995</v>
      </c>
      <c r="AG150" s="179">
        <v>343850.91999999993</v>
      </c>
      <c r="AH150" s="179">
        <v>346860.39999999997</v>
      </c>
      <c r="AI150" s="179">
        <v>345514.91000000003</v>
      </c>
      <c r="AJ150" s="179">
        <v>345646.8</v>
      </c>
      <c r="AK150" s="177">
        <f ca="1">SUM(Y150:OFFSET(Y150,0,$F$2-1))</f>
        <v>4123212.65</v>
      </c>
      <c r="AL150" s="97"/>
      <c r="AM150" s="97" t="s">
        <v>8</v>
      </c>
      <c r="AN150" s="177"/>
      <c r="AO150" s="177"/>
      <c r="AP150" s="177"/>
      <c r="AQ150" s="419">
        <f t="shared" si="204"/>
        <v>1021614.9100000001</v>
      </c>
      <c r="AR150" s="419">
        <f t="shared" si="205"/>
        <v>1029518.99</v>
      </c>
      <c r="AS150" s="419">
        <f t="shared" si="206"/>
        <v>1034056.6399999999</v>
      </c>
      <c r="AT150" s="419">
        <f t="shared" si="207"/>
        <v>1038022.1100000001</v>
      </c>
      <c r="AU150" s="181"/>
      <c r="AV150" s="175">
        <v>344774.01973166666</v>
      </c>
      <c r="AW150" s="175">
        <v>344524.77305666672</v>
      </c>
      <c r="AX150" s="175">
        <v>344274.3099933333</v>
      </c>
      <c r="AY150" s="175">
        <v>344024.63639</v>
      </c>
      <c r="AZ150" s="175">
        <v>343774.74639833334</v>
      </c>
      <c r="BA150" s="175">
        <v>343523.64001833333</v>
      </c>
      <c r="BB150" s="175">
        <v>343273.32309833332</v>
      </c>
      <c r="BC150" s="175">
        <v>343021.79563833331</v>
      </c>
      <c r="BD150" s="175">
        <v>342770.05179</v>
      </c>
      <c r="BE150" s="175">
        <v>342519.09740166669</v>
      </c>
      <c r="BF150" s="175">
        <v>342267.92662499996</v>
      </c>
      <c r="BG150" s="175">
        <v>342016.53361166664</v>
      </c>
      <c r="BH150" s="177">
        <f ca="1">SUM(AV150:OFFSET(AV150,0,$F$2-1))</f>
        <v>4120764.853753333</v>
      </c>
      <c r="BI150" s="419">
        <f t="shared" si="208"/>
        <v>1033573.1027816667</v>
      </c>
      <c r="BJ150" s="419">
        <f t="shared" si="209"/>
        <v>1031323.0228066667</v>
      </c>
      <c r="BK150" s="419">
        <f t="shared" si="210"/>
        <v>1029065.1705266666</v>
      </c>
      <c r="BL150" s="419">
        <f t="shared" si="211"/>
        <v>1026803.5576383333</v>
      </c>
      <c r="BM150" s="178"/>
      <c r="BN150" s="175"/>
      <c r="BO150" s="175"/>
      <c r="BP150" s="175">
        <v>345044.45133256941</v>
      </c>
      <c r="BQ150" s="175">
        <v>340050.59093000001</v>
      </c>
      <c r="BR150" s="175">
        <v>340660.41008604865</v>
      </c>
      <c r="BS150" s="175">
        <v>343200.09025604866</v>
      </c>
      <c r="BT150" s="175">
        <v>342947.46040521533</v>
      </c>
      <c r="BU150" s="175">
        <v>342616.06135771528</v>
      </c>
      <c r="BV150" s="175">
        <v>343404.33772271534</v>
      </c>
      <c r="BW150" s="175">
        <v>343090.81588354864</v>
      </c>
      <c r="BX150" s="175">
        <v>343698.78301104868</v>
      </c>
      <c r="BY150" s="175">
        <v>343741.59703521529</v>
      </c>
      <c r="BZ150" s="177">
        <f ca="1">SUM(BN150:OFFSET(BN150,0,$F$2-1))</f>
        <v>3428454.5980201252</v>
      </c>
      <c r="CA150" s="419">
        <f t="shared" si="212"/>
        <v>345044.45133256941</v>
      </c>
      <c r="CB150" s="419">
        <f t="shared" si="213"/>
        <v>1023911.0912720973</v>
      </c>
      <c r="CC150" s="419">
        <f t="shared" si="214"/>
        <v>1028967.8594856459</v>
      </c>
      <c r="CD150" s="419">
        <f t="shared" si="215"/>
        <v>1030531.1959298125</v>
      </c>
      <c r="CE150" s="178"/>
      <c r="CF150" s="97" t="s">
        <v>601</v>
      </c>
      <c r="CH150" s="175"/>
      <c r="CI150" s="175"/>
      <c r="CJ150" s="175">
        <f t="shared" si="218"/>
        <v>-17200.191332569404</v>
      </c>
      <c r="CK150" s="175">
        <f t="shared" si="218"/>
        <v>2025.2890699999989</v>
      </c>
      <c r="CL150" s="175">
        <f t="shared" si="218"/>
        <v>1798.2899139513029</v>
      </c>
      <c r="CM150" s="175">
        <f t="shared" si="218"/>
        <v>1784.3197439513751</v>
      </c>
      <c r="CN150" s="175">
        <f t="shared" si="218"/>
        <v>2382.5595947847469</v>
      </c>
      <c r="CO150" s="175">
        <f t="shared" si="218"/>
        <v>2259.6386422846699</v>
      </c>
      <c r="CP150" s="175">
        <f t="shared" si="218"/>
        <v>446.58227728458587</v>
      </c>
      <c r="CQ150" s="175">
        <f t="shared" si="218"/>
        <v>3769.5841164513258</v>
      </c>
      <c r="CR150" s="175"/>
      <c r="CS150" s="175"/>
      <c r="CU150" s="175">
        <f>SUM(Y150:AC150)+SUM(BS150:BY150)</f>
        <v>4108848.6356715076</v>
      </c>
      <c r="CV150" s="175" t="e">
        <v>#VALUE!</v>
      </c>
      <c r="CW150" s="175">
        <f>SUM(AV150:BG150)</f>
        <v>4120764.853753333</v>
      </c>
    </row>
    <row r="151" spans="2:101" outlineLevel="1">
      <c r="B151" s="97" t="s">
        <v>602</v>
      </c>
      <c r="C151" s="97" t="s">
        <v>9</v>
      </c>
      <c r="D151" s="97" t="s">
        <v>4</v>
      </c>
      <c r="F151" s="67" t="s">
        <v>4</v>
      </c>
      <c r="G151" s="175">
        <v>0</v>
      </c>
      <c r="H151" s="175">
        <v>0</v>
      </c>
      <c r="I151" s="175">
        <v>0</v>
      </c>
      <c r="J151" s="175">
        <v>0</v>
      </c>
      <c r="K151" s="175">
        <v>0</v>
      </c>
      <c r="L151" s="175">
        <v>0</v>
      </c>
      <c r="M151" s="175">
        <v>0</v>
      </c>
      <c r="N151" s="175">
        <v>0</v>
      </c>
      <c r="O151" s="175">
        <v>0</v>
      </c>
      <c r="P151" s="175">
        <v>0</v>
      </c>
      <c r="Q151" s="175">
        <v>0</v>
      </c>
      <c r="R151" s="175">
        <v>0</v>
      </c>
      <c r="S151" s="375">
        <f ca="1">SUM(G151:OFFSET(G151,0,$F$2-1))</f>
        <v>0</v>
      </c>
      <c r="T151" s="419">
        <f t="shared" si="200"/>
        <v>0</v>
      </c>
      <c r="U151" s="419">
        <f t="shared" si="201"/>
        <v>0</v>
      </c>
      <c r="V151" s="419">
        <f t="shared" si="202"/>
        <v>0</v>
      </c>
      <c r="W151" s="419">
        <f t="shared" si="203"/>
        <v>0</v>
      </c>
      <c r="X151" s="178"/>
      <c r="Y151" s="179">
        <v>0</v>
      </c>
      <c r="Z151" s="179">
        <v>0</v>
      </c>
      <c r="AA151" s="179">
        <v>0</v>
      </c>
      <c r="AB151" s="179">
        <v>0</v>
      </c>
      <c r="AC151" s="179">
        <v>0</v>
      </c>
      <c r="AD151" s="179">
        <v>0</v>
      </c>
      <c r="AE151" s="179">
        <v>0</v>
      </c>
      <c r="AF151" s="179">
        <v>0</v>
      </c>
      <c r="AG151" s="179">
        <v>0</v>
      </c>
      <c r="AH151" s="179">
        <v>0</v>
      </c>
      <c r="AI151" s="179">
        <v>0</v>
      </c>
      <c r="AJ151" s="179">
        <v>0</v>
      </c>
      <c r="AK151" s="375">
        <f ca="1">SUM(Y151:OFFSET(Y151,0,$F$2-1))</f>
        <v>0</v>
      </c>
      <c r="AL151" s="97"/>
      <c r="AM151" s="97" t="s">
        <v>4</v>
      </c>
      <c r="AN151" s="375"/>
      <c r="AO151" s="375"/>
      <c r="AP151" s="375"/>
      <c r="AQ151" s="419">
        <f t="shared" si="204"/>
        <v>0</v>
      </c>
      <c r="AR151" s="419">
        <f t="shared" si="205"/>
        <v>0</v>
      </c>
      <c r="AS151" s="419">
        <f t="shared" si="206"/>
        <v>0</v>
      </c>
      <c r="AT151" s="419">
        <f t="shared" si="207"/>
        <v>0</v>
      </c>
      <c r="AU151" s="181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375">
        <f ca="1">SUM(AV151:OFFSET(AV151,0,$F$2-1))</f>
        <v>0</v>
      </c>
      <c r="BI151" s="419">
        <f t="shared" si="208"/>
        <v>0</v>
      </c>
      <c r="BJ151" s="419">
        <f t="shared" si="209"/>
        <v>0</v>
      </c>
      <c r="BK151" s="419">
        <f t="shared" si="210"/>
        <v>0</v>
      </c>
      <c r="BL151" s="419">
        <f t="shared" si="211"/>
        <v>0</v>
      </c>
      <c r="BM151" s="178"/>
      <c r="BN151" s="175"/>
      <c r="BO151" s="175"/>
      <c r="BP151" s="175">
        <v>0</v>
      </c>
      <c r="BQ151" s="175">
        <v>0</v>
      </c>
      <c r="BR151" s="175">
        <v>0</v>
      </c>
      <c r="BS151" s="175">
        <v>0</v>
      </c>
      <c r="BT151" s="175">
        <v>0</v>
      </c>
      <c r="BU151" s="175">
        <v>0</v>
      </c>
      <c r="BV151" s="175">
        <v>0</v>
      </c>
      <c r="BW151" s="175">
        <v>0</v>
      </c>
      <c r="BX151" s="175">
        <v>0</v>
      </c>
      <c r="BY151" s="175">
        <v>0</v>
      </c>
      <c r="BZ151" s="375">
        <f ca="1">SUM(BN151:OFFSET(BN151,0,$F$2-1))</f>
        <v>0</v>
      </c>
      <c r="CA151" s="419">
        <f t="shared" si="212"/>
        <v>0</v>
      </c>
      <c r="CB151" s="419">
        <f t="shared" si="213"/>
        <v>0</v>
      </c>
      <c r="CC151" s="419">
        <f t="shared" si="214"/>
        <v>0</v>
      </c>
      <c r="CD151" s="419">
        <f t="shared" si="215"/>
        <v>0</v>
      </c>
      <c r="CE151" s="178"/>
      <c r="CF151" s="97" t="s">
        <v>602</v>
      </c>
      <c r="CH151" s="175"/>
      <c r="CI151" s="175"/>
      <c r="CJ151" s="175">
        <f t="shared" si="218"/>
        <v>0</v>
      </c>
      <c r="CK151" s="175">
        <f t="shared" si="218"/>
        <v>0</v>
      </c>
      <c r="CL151" s="175">
        <f t="shared" si="218"/>
        <v>0</v>
      </c>
      <c r="CM151" s="175">
        <f t="shared" si="218"/>
        <v>0</v>
      </c>
      <c r="CN151" s="175">
        <f t="shared" si="218"/>
        <v>0</v>
      </c>
      <c r="CO151" s="175">
        <f t="shared" si="218"/>
        <v>0</v>
      </c>
      <c r="CP151" s="175">
        <f t="shared" si="218"/>
        <v>0</v>
      </c>
      <c r="CQ151" s="175">
        <f t="shared" si="218"/>
        <v>0</v>
      </c>
      <c r="CR151" s="175"/>
      <c r="CS151" s="175"/>
      <c r="CU151" s="175">
        <f>SUM(Y151:AC151)+SUM(BS151:BY151)</f>
        <v>0</v>
      </c>
      <c r="CV151" s="175" t="e">
        <v>#VALUE!</v>
      </c>
      <c r="CW151" s="175">
        <f>SUM(AV151:BG151)</f>
        <v>0</v>
      </c>
    </row>
    <row r="152" spans="2:101" outlineLevel="1">
      <c r="B152" s="97" t="s">
        <v>603</v>
      </c>
      <c r="C152" s="97" t="s">
        <v>9</v>
      </c>
      <c r="D152" s="97" t="s">
        <v>5</v>
      </c>
      <c r="F152" s="67" t="s">
        <v>5</v>
      </c>
      <c r="G152" s="175">
        <v>2012</v>
      </c>
      <c r="H152" s="175">
        <v>2011</v>
      </c>
      <c r="I152" s="175">
        <v>2005</v>
      </c>
      <c r="J152" s="175">
        <v>2578</v>
      </c>
      <c r="K152" s="175">
        <v>2135</v>
      </c>
      <c r="L152" s="175">
        <v>2132.9499999999998</v>
      </c>
      <c r="M152" s="175">
        <v>2130.9900000000002</v>
      </c>
      <c r="N152" s="175">
        <v>2126.4699999999998</v>
      </c>
      <c r="O152" s="175">
        <v>2125.44</v>
      </c>
      <c r="P152" s="175">
        <v>2125.0299999999997</v>
      </c>
      <c r="Q152" s="175">
        <v>2125.92</v>
      </c>
      <c r="R152" s="175">
        <v>2268.67</v>
      </c>
      <c r="S152" s="375">
        <f ca="1">SUM(G152:OFFSET(G152,0,$F$2-1))</f>
        <v>25776.469999999994</v>
      </c>
      <c r="T152" s="419">
        <f t="shared" si="200"/>
        <v>6028</v>
      </c>
      <c r="U152" s="419">
        <f t="shared" si="201"/>
        <v>6845.95</v>
      </c>
      <c r="V152" s="419">
        <f t="shared" si="202"/>
        <v>6382.9</v>
      </c>
      <c r="W152" s="419">
        <f t="shared" si="203"/>
        <v>6519.62</v>
      </c>
      <c r="X152" s="178"/>
      <c r="Y152" s="179">
        <v>2113.92</v>
      </c>
      <c r="Z152" s="179">
        <v>2109.85</v>
      </c>
      <c r="AA152" s="179">
        <v>1941.1</v>
      </c>
      <c r="AB152" s="179">
        <v>2048.58</v>
      </c>
      <c r="AC152" s="179">
        <v>2044.71</v>
      </c>
      <c r="AD152" s="179">
        <v>2053.7400000000002</v>
      </c>
      <c r="AE152" s="179">
        <v>2060.48</v>
      </c>
      <c r="AF152" s="179">
        <v>1998.0500000000002</v>
      </c>
      <c r="AG152" s="179">
        <v>2032.24</v>
      </c>
      <c r="AH152" s="179">
        <v>2031.06</v>
      </c>
      <c r="AI152" s="179">
        <v>2031.2399999999998</v>
      </c>
      <c r="AJ152" s="179">
        <v>2031.6699999999998</v>
      </c>
      <c r="AK152" s="375">
        <f ca="1">SUM(Y152:OFFSET(Y152,0,$F$2-1))</f>
        <v>24496.639999999999</v>
      </c>
      <c r="AL152" s="97"/>
      <c r="AM152" s="97" t="s">
        <v>5</v>
      </c>
      <c r="AN152" s="375"/>
      <c r="AO152" s="375"/>
      <c r="AP152" s="375"/>
      <c r="AQ152" s="419">
        <f t="shared" si="204"/>
        <v>6164.8700000000008</v>
      </c>
      <c r="AR152" s="419">
        <f t="shared" si="205"/>
        <v>6147.0300000000007</v>
      </c>
      <c r="AS152" s="419">
        <f t="shared" si="206"/>
        <v>6090.77</v>
      </c>
      <c r="AT152" s="419">
        <f t="shared" si="207"/>
        <v>6093.9699999999993</v>
      </c>
      <c r="AU152" s="181"/>
      <c r="AV152" s="175">
        <v>2097.7058999999999</v>
      </c>
      <c r="AW152" s="175">
        <v>2095.2244500000002</v>
      </c>
      <c r="AX152" s="175">
        <v>2092.7429999999999</v>
      </c>
      <c r="AY152" s="175">
        <v>2090.2615500000002</v>
      </c>
      <c r="AZ152" s="175">
        <v>2087.7800999999999</v>
      </c>
      <c r="BA152" s="175">
        <v>2085.2986500000002</v>
      </c>
      <c r="BB152" s="175">
        <v>2082.8172000000004</v>
      </c>
      <c r="BC152" s="175">
        <v>2080.3357500000002</v>
      </c>
      <c r="BD152" s="175">
        <v>2077.8543</v>
      </c>
      <c r="BE152" s="175">
        <v>2075.3728500000002</v>
      </c>
      <c r="BF152" s="175">
        <v>2072.8914</v>
      </c>
      <c r="BG152" s="175">
        <v>2070.4099500000002</v>
      </c>
      <c r="BH152" s="375">
        <f ca="1">SUM(AV152:OFFSET(AV152,0,$F$2-1))</f>
        <v>25008.695100000004</v>
      </c>
      <c r="BI152" s="419">
        <f t="shared" si="208"/>
        <v>6285.6733500000009</v>
      </c>
      <c r="BJ152" s="419">
        <f t="shared" si="209"/>
        <v>6263.3402999999998</v>
      </c>
      <c r="BK152" s="419">
        <f t="shared" si="210"/>
        <v>6241.0072500000006</v>
      </c>
      <c r="BL152" s="419">
        <f t="shared" si="211"/>
        <v>6218.6742000000004</v>
      </c>
      <c r="BM152" s="178"/>
      <c r="BN152" s="175"/>
      <c r="BO152" s="175"/>
      <c r="BP152" s="175">
        <v>2091.7610284473958</v>
      </c>
      <c r="BQ152" s="175">
        <v>2036.1342833333333</v>
      </c>
      <c r="BR152" s="175">
        <v>2033.7615666666666</v>
      </c>
      <c r="BS152" s="175">
        <v>2031.3888499999998</v>
      </c>
      <c r="BT152" s="175">
        <v>2029.0161333333333</v>
      </c>
      <c r="BU152" s="175">
        <v>2026.6434166666666</v>
      </c>
      <c r="BV152" s="175">
        <v>2024.2706999999998</v>
      </c>
      <c r="BW152" s="175">
        <v>2021.8979833333333</v>
      </c>
      <c r="BX152" s="175">
        <v>2019.5252666666665</v>
      </c>
      <c r="BY152" s="175">
        <v>2017.15255</v>
      </c>
      <c r="BZ152" s="375">
        <f ca="1">SUM(BN152:OFFSET(BN152,0,$F$2-1))</f>
        <v>20331.551778447392</v>
      </c>
      <c r="CA152" s="419">
        <f t="shared" si="212"/>
        <v>2091.7610284473958</v>
      </c>
      <c r="CB152" s="419">
        <f t="shared" si="213"/>
        <v>6101.2847000000002</v>
      </c>
      <c r="CC152" s="419">
        <f t="shared" si="214"/>
        <v>6079.9302499999994</v>
      </c>
      <c r="CD152" s="419">
        <f t="shared" si="215"/>
        <v>6058.5757999999996</v>
      </c>
      <c r="CE152" s="178"/>
      <c r="CF152" s="97" t="s">
        <v>603</v>
      </c>
      <c r="CH152" s="175"/>
      <c r="CI152" s="175"/>
      <c r="CJ152" s="175">
        <f t="shared" si="218"/>
        <v>-150.66102844739589</v>
      </c>
      <c r="CK152" s="175">
        <f t="shared" si="218"/>
        <v>12.445716666666613</v>
      </c>
      <c r="CL152" s="175">
        <f t="shared" si="218"/>
        <v>10.948433333333469</v>
      </c>
      <c r="CM152" s="175">
        <f t="shared" si="218"/>
        <v>22.351150000000416</v>
      </c>
      <c r="CN152" s="175">
        <f t="shared" si="218"/>
        <v>31.463866666666718</v>
      </c>
      <c r="CO152" s="175">
        <f t="shared" si="218"/>
        <v>-28.593416666666371</v>
      </c>
      <c r="CP152" s="175">
        <f t="shared" si="218"/>
        <v>7.969300000000203</v>
      </c>
      <c r="CQ152" s="175">
        <f t="shared" si="218"/>
        <v>9.1620166666666591</v>
      </c>
      <c r="CR152" s="175"/>
      <c r="CS152" s="175"/>
      <c r="CU152" s="175">
        <f>SUM(Y152:AC152)+SUM(BS152:BY152)</f>
        <v>24428.054900000003</v>
      </c>
      <c r="CV152" s="175" t="e">
        <v>#VALUE!</v>
      </c>
      <c r="CW152" s="175">
        <f>SUM(AV152:BG152)</f>
        <v>25008.695100000004</v>
      </c>
    </row>
    <row r="153" spans="2:101" outlineLevel="1">
      <c r="B153" s="97"/>
      <c r="C153" s="97"/>
      <c r="D153" s="97" t="s">
        <v>532</v>
      </c>
      <c r="F153" s="417" t="s">
        <v>14</v>
      </c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375">
        <f ca="1">SUM(G153:OFFSET(G153,0,$F$2-1))</f>
        <v>0</v>
      </c>
      <c r="T153" s="419">
        <f t="shared" si="200"/>
        <v>0</v>
      </c>
      <c r="U153" s="419">
        <f t="shared" si="201"/>
        <v>0</v>
      </c>
      <c r="V153" s="419">
        <f t="shared" si="202"/>
        <v>0</v>
      </c>
      <c r="W153" s="419">
        <f t="shared" si="203"/>
        <v>0</v>
      </c>
      <c r="X153" s="178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375"/>
      <c r="AN153" s="375"/>
      <c r="AO153" s="375"/>
      <c r="AP153" s="375"/>
      <c r="AQ153" s="419"/>
      <c r="AR153" s="419"/>
      <c r="AS153" s="419"/>
      <c r="AT153" s="419"/>
      <c r="AU153" s="181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375">
        <f ca="1">SUM(AV153:OFFSET(AV153,0,$F$2-1))</f>
        <v>0</v>
      </c>
      <c r="BI153" s="419">
        <f t="shared" si="208"/>
        <v>0</v>
      </c>
      <c r="BJ153" s="419">
        <f t="shared" si="209"/>
        <v>0</v>
      </c>
      <c r="BK153" s="419">
        <f t="shared" si="210"/>
        <v>0</v>
      </c>
      <c r="BL153" s="419">
        <f t="shared" si="211"/>
        <v>0</v>
      </c>
      <c r="BM153" s="178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375">
        <f ca="1">SUM(BN153:OFFSET(BN153,0,$F$2-1))</f>
        <v>0</v>
      </c>
      <c r="CA153" s="419">
        <f t="shared" si="212"/>
        <v>0</v>
      </c>
      <c r="CB153" s="419">
        <f t="shared" si="213"/>
        <v>0</v>
      </c>
      <c r="CC153" s="419">
        <f t="shared" si="214"/>
        <v>0</v>
      </c>
      <c r="CD153" s="419">
        <f t="shared" si="215"/>
        <v>0</v>
      </c>
      <c r="CE153" s="178"/>
      <c r="CF153" s="97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U153" s="175"/>
      <c r="CV153" s="175"/>
      <c r="CW153" s="175"/>
    </row>
    <row r="154" spans="2:101" outlineLevel="1">
      <c r="B154" s="97" t="s">
        <v>604</v>
      </c>
      <c r="C154" s="97" t="s">
        <v>9</v>
      </c>
      <c r="D154" s="97" t="s">
        <v>7</v>
      </c>
      <c r="F154" s="67" t="s">
        <v>7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176">
        <v>0</v>
      </c>
      <c r="M154" s="176">
        <v>0</v>
      </c>
      <c r="N154" s="176">
        <v>0</v>
      </c>
      <c r="O154" s="176">
        <v>0</v>
      </c>
      <c r="P154" s="176">
        <v>0</v>
      </c>
      <c r="Q154" s="176">
        <v>0</v>
      </c>
      <c r="R154" s="176">
        <v>0</v>
      </c>
      <c r="S154" s="177">
        <f ca="1">SUM(G154:OFFSET(G154,0,$F$2-1))</f>
        <v>0</v>
      </c>
      <c r="T154" s="419">
        <f t="shared" si="200"/>
        <v>0</v>
      </c>
      <c r="U154" s="419">
        <f t="shared" si="201"/>
        <v>0</v>
      </c>
      <c r="V154" s="419">
        <f t="shared" si="202"/>
        <v>0</v>
      </c>
      <c r="W154" s="419">
        <f t="shared" si="203"/>
        <v>0</v>
      </c>
      <c r="X154" s="378"/>
      <c r="Y154" s="398">
        <v>0</v>
      </c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177">
        <f ca="1">SUM(Y154:OFFSET(Y154,0,$F$2-1))</f>
        <v>0</v>
      </c>
      <c r="AL154" s="97" t="s">
        <v>241</v>
      </c>
      <c r="AM154" s="97"/>
      <c r="AN154" s="177"/>
      <c r="AO154" s="177"/>
      <c r="AP154" s="177"/>
      <c r="AQ154" s="419">
        <f t="shared" si="204"/>
        <v>0</v>
      </c>
      <c r="AR154" s="419">
        <f t="shared" si="205"/>
        <v>0</v>
      </c>
      <c r="AS154" s="419">
        <f t="shared" si="206"/>
        <v>0</v>
      </c>
      <c r="AT154" s="419">
        <f t="shared" si="207"/>
        <v>0</v>
      </c>
      <c r="AU154" s="181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7">
        <f ca="1">SUM(AV154:OFFSET(AV154,0,$F$2-1))</f>
        <v>0</v>
      </c>
      <c r="BI154" s="419">
        <f t="shared" si="208"/>
        <v>0</v>
      </c>
      <c r="BJ154" s="419">
        <f t="shared" si="209"/>
        <v>0</v>
      </c>
      <c r="BK154" s="419">
        <f t="shared" si="210"/>
        <v>0</v>
      </c>
      <c r="BL154" s="419">
        <f t="shared" si="211"/>
        <v>0</v>
      </c>
      <c r="BM154" s="378"/>
      <c r="BN154" s="176"/>
      <c r="BO154" s="176"/>
      <c r="BP154" s="176"/>
      <c r="BQ154" s="176"/>
      <c r="BR154" s="176"/>
      <c r="BS154" s="176"/>
      <c r="BT154" s="424"/>
      <c r="BU154" s="424"/>
      <c r="BV154" s="424"/>
      <c r="BW154" s="424"/>
      <c r="BX154" s="424"/>
      <c r="BY154" s="424"/>
      <c r="BZ154" s="177">
        <f ca="1">SUM(BN154:OFFSET(BN154,0,$F$2-1))</f>
        <v>0</v>
      </c>
      <c r="CA154" s="419">
        <f t="shared" si="212"/>
        <v>0</v>
      </c>
      <c r="CB154" s="419">
        <f t="shared" si="213"/>
        <v>0</v>
      </c>
      <c r="CC154" s="419">
        <f t="shared" si="214"/>
        <v>0</v>
      </c>
      <c r="CD154" s="419">
        <f t="shared" si="215"/>
        <v>0</v>
      </c>
      <c r="CE154" s="378"/>
      <c r="CF154" s="97" t="s">
        <v>604</v>
      </c>
      <c r="CH154" s="424"/>
      <c r="CI154" s="424"/>
      <c r="CJ154" s="424"/>
      <c r="CK154" s="424"/>
      <c r="CL154" s="424"/>
      <c r="CM154" s="424"/>
      <c r="CN154" s="424"/>
      <c r="CO154" s="424"/>
      <c r="CP154" s="424"/>
      <c r="CQ154" s="424"/>
      <c r="CR154" s="424"/>
      <c r="CS154" s="424"/>
      <c r="CU154" s="424">
        <f>SUM(Y154:AC154)+SUM(BS154:BY154)</f>
        <v>0</v>
      </c>
      <c r="CV154" s="424">
        <v>0</v>
      </c>
      <c r="CW154" s="424">
        <f>SUM(AV154:BG154)</f>
        <v>0</v>
      </c>
    </row>
    <row r="155" spans="2:101" outlineLevel="1">
      <c r="B155" s="97" t="s">
        <v>605</v>
      </c>
      <c r="C155" s="97" t="s">
        <v>9</v>
      </c>
      <c r="D155" s="97" t="s">
        <v>8</v>
      </c>
      <c r="F155" s="67" t="s">
        <v>8</v>
      </c>
      <c r="G155" s="175"/>
      <c r="H155" s="175">
        <v>0</v>
      </c>
      <c r="I155" s="175">
        <v>350000</v>
      </c>
      <c r="J155" s="175">
        <v>0</v>
      </c>
      <c r="K155" s="175">
        <v>0</v>
      </c>
      <c r="L155" s="175">
        <v>0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0</v>
      </c>
      <c r="S155" s="177">
        <f ca="1">SUM(G155:OFFSET(G155,0,$F$2-1))</f>
        <v>350000</v>
      </c>
      <c r="T155" s="419">
        <f t="shared" si="200"/>
        <v>350000</v>
      </c>
      <c r="U155" s="419">
        <f t="shared" si="201"/>
        <v>0</v>
      </c>
      <c r="V155" s="419">
        <f t="shared" si="202"/>
        <v>0</v>
      </c>
      <c r="W155" s="419">
        <f t="shared" si="203"/>
        <v>0</v>
      </c>
      <c r="X155" s="178"/>
      <c r="Y155" s="179">
        <v>0</v>
      </c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7">
        <f ca="1">SUM(Y155:OFFSET(Y155,0,$F$2-1))</f>
        <v>0</v>
      </c>
      <c r="AL155" s="97" t="s">
        <v>8</v>
      </c>
      <c r="AM155" s="97"/>
      <c r="AN155" s="177"/>
      <c r="AO155" s="177"/>
      <c r="AP155" s="177"/>
      <c r="AQ155" s="419">
        <f t="shared" si="204"/>
        <v>0</v>
      </c>
      <c r="AR155" s="419">
        <f t="shared" si="205"/>
        <v>0</v>
      </c>
      <c r="AS155" s="419">
        <f t="shared" si="206"/>
        <v>0</v>
      </c>
      <c r="AT155" s="419">
        <f t="shared" si="207"/>
        <v>0</v>
      </c>
      <c r="AU155" s="181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7">
        <f ca="1">SUM(AV155:OFFSET(AV155,0,$F$2-1))</f>
        <v>0</v>
      </c>
      <c r="BI155" s="419">
        <f t="shared" si="208"/>
        <v>0</v>
      </c>
      <c r="BJ155" s="419">
        <f t="shared" si="209"/>
        <v>0</v>
      </c>
      <c r="BK155" s="419">
        <f t="shared" si="210"/>
        <v>0</v>
      </c>
      <c r="BL155" s="419">
        <f t="shared" si="211"/>
        <v>0</v>
      </c>
      <c r="BM155" s="178"/>
      <c r="BN155" s="175"/>
      <c r="BO155" s="175"/>
      <c r="BP155" s="175"/>
      <c r="BQ155" s="175"/>
      <c r="BR155" s="175"/>
      <c r="BS155" s="175"/>
      <c r="BT155" s="424"/>
      <c r="BU155" s="424"/>
      <c r="BV155" s="425"/>
      <c r="BW155" s="424"/>
      <c r="BX155" s="424"/>
      <c r="BY155" s="424"/>
      <c r="BZ155" s="177">
        <f ca="1">SUM(BN155:OFFSET(BN155,0,$F$2-1))</f>
        <v>0</v>
      </c>
      <c r="CA155" s="419">
        <f t="shared" si="212"/>
        <v>0</v>
      </c>
      <c r="CB155" s="419">
        <f t="shared" si="213"/>
        <v>0</v>
      </c>
      <c r="CC155" s="419">
        <f t="shared" si="214"/>
        <v>0</v>
      </c>
      <c r="CD155" s="419">
        <f t="shared" si="215"/>
        <v>0</v>
      </c>
      <c r="CE155" s="178"/>
      <c r="CF155" s="97" t="s">
        <v>605</v>
      </c>
      <c r="CH155" s="424"/>
      <c r="CI155" s="424"/>
      <c r="CJ155" s="424"/>
      <c r="CK155" s="424"/>
      <c r="CL155" s="424"/>
      <c r="CM155" s="424"/>
      <c r="CN155" s="424"/>
      <c r="CO155" s="424"/>
      <c r="CP155" s="424"/>
      <c r="CQ155" s="424"/>
      <c r="CR155" s="424"/>
      <c r="CS155" s="424"/>
      <c r="CU155" s="424">
        <f>SUM(Y155:AC155)+SUM(BS155:BY155)</f>
        <v>0</v>
      </c>
      <c r="CV155" s="424" t="e">
        <v>#VALUE!</v>
      </c>
      <c r="CW155" s="424">
        <f>SUM(AV155:BG155)</f>
        <v>0</v>
      </c>
    </row>
    <row r="156" spans="2:101" outlineLevel="1">
      <c r="B156" s="97"/>
      <c r="C156" s="97"/>
      <c r="D156" s="97" t="s">
        <v>4</v>
      </c>
      <c r="F156" s="67" t="s">
        <v>4</v>
      </c>
      <c r="G156" s="176">
        <v>0</v>
      </c>
      <c r="H156" s="176">
        <v>0</v>
      </c>
      <c r="I156" s="176">
        <v>0</v>
      </c>
      <c r="J156" s="176">
        <v>0</v>
      </c>
      <c r="K156" s="176">
        <v>0</v>
      </c>
      <c r="L156" s="176">
        <v>0</v>
      </c>
      <c r="M156" s="176">
        <v>0</v>
      </c>
      <c r="N156" s="176">
        <v>0</v>
      </c>
      <c r="O156" s="176">
        <v>0</v>
      </c>
      <c r="P156" s="176">
        <v>0</v>
      </c>
      <c r="Q156" s="176">
        <v>0</v>
      </c>
      <c r="R156" s="176">
        <v>0</v>
      </c>
      <c r="S156" s="375">
        <f ca="1">SUM(G156:OFFSET(G156,0,$F$2-1))</f>
        <v>0</v>
      </c>
      <c r="T156" s="419">
        <f t="shared" si="200"/>
        <v>0</v>
      </c>
      <c r="U156" s="419">
        <f t="shared" si="201"/>
        <v>0</v>
      </c>
      <c r="V156" s="419">
        <f t="shared" si="202"/>
        <v>0</v>
      </c>
      <c r="W156" s="419">
        <f t="shared" si="203"/>
        <v>0</v>
      </c>
      <c r="X156" s="378"/>
      <c r="Y156" s="398">
        <v>0</v>
      </c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75">
        <f ca="1">SUM(Y156:OFFSET(Y156,0,$F$2-1))</f>
        <v>0</v>
      </c>
      <c r="AL156" s="97" t="s">
        <v>4</v>
      </c>
      <c r="AM156" s="97"/>
      <c r="AN156" s="375"/>
      <c r="AO156" s="375"/>
      <c r="AP156" s="375"/>
      <c r="AQ156" s="419">
        <f t="shared" si="204"/>
        <v>0</v>
      </c>
      <c r="AR156" s="419">
        <f t="shared" si="205"/>
        <v>0</v>
      </c>
      <c r="AS156" s="419">
        <f t="shared" si="206"/>
        <v>0</v>
      </c>
      <c r="AT156" s="419">
        <f t="shared" si="207"/>
        <v>0</v>
      </c>
      <c r="AU156" s="181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375">
        <f ca="1">SUM(AV156:OFFSET(AV156,0,$F$2-1))</f>
        <v>0</v>
      </c>
      <c r="BI156" s="419">
        <f t="shared" si="208"/>
        <v>0</v>
      </c>
      <c r="BJ156" s="419">
        <f t="shared" si="209"/>
        <v>0</v>
      </c>
      <c r="BK156" s="419">
        <f t="shared" si="210"/>
        <v>0</v>
      </c>
      <c r="BL156" s="419">
        <f t="shared" si="211"/>
        <v>0</v>
      </c>
      <c r="BM156" s="378"/>
      <c r="BN156" s="176"/>
      <c r="BO156" s="176"/>
      <c r="BP156" s="176"/>
      <c r="BQ156" s="176"/>
      <c r="BR156" s="176"/>
      <c r="BS156" s="176"/>
      <c r="BT156" s="424"/>
      <c r="BU156" s="424"/>
      <c r="BV156" s="424"/>
      <c r="BW156" s="424"/>
      <c r="BX156" s="424"/>
      <c r="BY156" s="424"/>
      <c r="BZ156" s="375">
        <f ca="1">SUM(BN156:OFFSET(BN156,0,$F$2-1))</f>
        <v>0</v>
      </c>
      <c r="CA156" s="419">
        <f t="shared" si="212"/>
        <v>0</v>
      </c>
      <c r="CB156" s="419">
        <f t="shared" si="213"/>
        <v>0</v>
      </c>
      <c r="CC156" s="419">
        <f t="shared" si="214"/>
        <v>0</v>
      </c>
      <c r="CD156" s="419">
        <f t="shared" si="215"/>
        <v>0</v>
      </c>
      <c r="CE156" s="378"/>
      <c r="CF156" s="97"/>
      <c r="CH156" s="424"/>
      <c r="CI156" s="424"/>
      <c r="CJ156" s="424"/>
      <c r="CK156" s="424"/>
      <c r="CL156" s="424"/>
      <c r="CM156" s="424"/>
      <c r="CN156" s="424"/>
      <c r="CO156" s="424"/>
      <c r="CP156" s="424"/>
      <c r="CQ156" s="424"/>
      <c r="CR156" s="424"/>
      <c r="CS156" s="424"/>
      <c r="CU156" s="424">
        <f>SUM(Y156:AC156)+SUM(BS156:BY156)</f>
        <v>0</v>
      </c>
      <c r="CV156" s="424" t="e">
        <v>#VALUE!</v>
      </c>
      <c r="CW156" s="424">
        <f>SUM(AV156:BG156)</f>
        <v>0</v>
      </c>
    </row>
    <row r="157" spans="2:101" outlineLevel="1">
      <c r="B157" s="97"/>
      <c r="C157" s="97"/>
      <c r="D157" s="97" t="s">
        <v>5</v>
      </c>
      <c r="F157" s="67" t="s">
        <v>5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0</v>
      </c>
      <c r="M157" s="176">
        <v>0</v>
      </c>
      <c r="N157" s="176">
        <v>0</v>
      </c>
      <c r="O157" s="176">
        <v>0</v>
      </c>
      <c r="P157" s="176">
        <v>0</v>
      </c>
      <c r="Q157" s="176">
        <v>0</v>
      </c>
      <c r="R157" s="176">
        <v>0</v>
      </c>
      <c r="S157" s="375">
        <f ca="1">SUM(G157:OFFSET(G157,0,$F$2-1))</f>
        <v>0</v>
      </c>
      <c r="T157" s="419">
        <f t="shared" si="200"/>
        <v>0</v>
      </c>
      <c r="U157" s="419">
        <f t="shared" si="201"/>
        <v>0</v>
      </c>
      <c r="V157" s="419">
        <f t="shared" si="202"/>
        <v>0</v>
      </c>
      <c r="W157" s="419">
        <f t="shared" si="203"/>
        <v>0</v>
      </c>
      <c r="X157" s="378"/>
      <c r="Y157" s="398">
        <v>0</v>
      </c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75">
        <f ca="1">SUM(Y157:OFFSET(Y157,0,$F$2-1))</f>
        <v>0</v>
      </c>
      <c r="AL157" s="97" t="s">
        <v>245</v>
      </c>
      <c r="AM157" s="97"/>
      <c r="AN157" s="375"/>
      <c r="AO157" s="375"/>
      <c r="AP157" s="375"/>
      <c r="AQ157" s="419">
        <f t="shared" si="204"/>
        <v>0</v>
      </c>
      <c r="AR157" s="419">
        <f t="shared" si="205"/>
        <v>0</v>
      </c>
      <c r="AS157" s="419">
        <f t="shared" si="206"/>
        <v>0</v>
      </c>
      <c r="AT157" s="419">
        <f t="shared" si="207"/>
        <v>0</v>
      </c>
      <c r="AU157" s="181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375">
        <f ca="1">SUM(AV157:OFFSET(AV157,0,$F$2-1))</f>
        <v>0</v>
      </c>
      <c r="BI157" s="419">
        <f t="shared" si="208"/>
        <v>0</v>
      </c>
      <c r="BJ157" s="419">
        <f t="shared" si="209"/>
        <v>0</v>
      </c>
      <c r="BK157" s="419">
        <f t="shared" si="210"/>
        <v>0</v>
      </c>
      <c r="BL157" s="419">
        <f t="shared" si="211"/>
        <v>0</v>
      </c>
      <c r="BM157" s="378"/>
      <c r="BN157" s="176"/>
      <c r="BO157" s="176"/>
      <c r="BP157" s="176"/>
      <c r="BQ157" s="176"/>
      <c r="BR157" s="176"/>
      <c r="BS157" s="176"/>
      <c r="BT157" s="424"/>
      <c r="BU157" s="424"/>
      <c r="BV157" s="424"/>
      <c r="BW157" s="424"/>
      <c r="BX157" s="424"/>
      <c r="BY157" s="424"/>
      <c r="BZ157" s="375">
        <f ca="1">SUM(BN157:OFFSET(BN157,0,$F$2-1))</f>
        <v>0</v>
      </c>
      <c r="CA157" s="419">
        <f t="shared" si="212"/>
        <v>0</v>
      </c>
      <c r="CB157" s="419">
        <f t="shared" si="213"/>
        <v>0</v>
      </c>
      <c r="CC157" s="419">
        <f t="shared" si="214"/>
        <v>0</v>
      </c>
      <c r="CD157" s="419">
        <f t="shared" si="215"/>
        <v>0</v>
      </c>
      <c r="CE157" s="378"/>
      <c r="CF157" s="97"/>
      <c r="CH157" s="424"/>
      <c r="CI157" s="424"/>
      <c r="CJ157" s="424"/>
      <c r="CK157" s="424"/>
      <c r="CL157" s="424"/>
      <c r="CM157" s="424"/>
      <c r="CN157" s="424"/>
      <c r="CO157" s="424"/>
      <c r="CP157" s="424"/>
      <c r="CQ157" s="424"/>
      <c r="CR157" s="424"/>
      <c r="CS157" s="424"/>
      <c r="CU157" s="424">
        <f>SUM(Y157:AC157)+SUM(BS157:BY157)</f>
        <v>0</v>
      </c>
      <c r="CV157" s="424" t="e">
        <v>#VALUE!</v>
      </c>
      <c r="CW157" s="424">
        <f>SUM(AV157:BG157)</f>
        <v>0</v>
      </c>
    </row>
    <row r="158" spans="2:101" outlineLevel="1">
      <c r="B158" s="97"/>
      <c r="C158" s="97"/>
      <c r="D158" s="97"/>
      <c r="F158" s="426" t="s">
        <v>606</v>
      </c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375"/>
      <c r="T158" s="419"/>
      <c r="U158" s="419"/>
      <c r="V158" s="419"/>
      <c r="W158" s="419"/>
      <c r="X158" s="37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75"/>
      <c r="AL158" s="375"/>
      <c r="AM158" s="375"/>
      <c r="AN158" s="375"/>
      <c r="AO158" s="375"/>
      <c r="AP158" s="375"/>
      <c r="AQ158" s="419"/>
      <c r="AR158" s="419"/>
      <c r="AS158" s="419"/>
      <c r="AT158" s="419"/>
      <c r="AU158" s="181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375"/>
      <c r="BI158" s="419"/>
      <c r="BJ158" s="419"/>
      <c r="BK158" s="419"/>
      <c r="BL158" s="419"/>
      <c r="BM158" s="378"/>
      <c r="BN158" s="176"/>
      <c r="BO158" s="176"/>
      <c r="BP158" s="176"/>
      <c r="BQ158" s="176"/>
      <c r="BR158" s="176"/>
      <c r="BS158" s="176"/>
      <c r="BT158" s="424"/>
      <c r="BU158" s="424"/>
      <c r="BV158" s="424"/>
      <c r="BW158" s="424"/>
      <c r="BX158" s="424"/>
      <c r="BY158" s="424"/>
      <c r="BZ158" s="375">
        <f ca="1">SUM(BN158:OFFSET(BN158,0,$F$2-1))</f>
        <v>0</v>
      </c>
      <c r="CA158" s="419">
        <f t="shared" si="212"/>
        <v>0</v>
      </c>
      <c r="CB158" s="419">
        <f t="shared" si="213"/>
        <v>0</v>
      </c>
      <c r="CC158" s="419">
        <f t="shared" si="214"/>
        <v>0</v>
      </c>
      <c r="CD158" s="419">
        <f t="shared" si="215"/>
        <v>0</v>
      </c>
      <c r="CE158" s="378"/>
      <c r="CF158" s="97"/>
      <c r="CH158" s="424"/>
      <c r="CI158" s="424"/>
      <c r="CJ158" s="424"/>
      <c r="CK158" s="424"/>
      <c r="CL158" s="424"/>
      <c r="CM158" s="424"/>
      <c r="CN158" s="424"/>
      <c r="CO158" s="424"/>
      <c r="CP158" s="424"/>
      <c r="CQ158" s="424"/>
      <c r="CR158" s="424"/>
      <c r="CS158" s="424"/>
      <c r="CU158" s="424"/>
      <c r="CV158" s="424"/>
      <c r="CW158" s="424"/>
    </row>
    <row r="159" spans="2:101" outlineLevel="1">
      <c r="B159" s="97" t="s">
        <v>607</v>
      </c>
      <c r="C159" s="97" t="s">
        <v>542</v>
      </c>
      <c r="D159" s="97" t="s">
        <v>7</v>
      </c>
      <c r="F159" s="67" t="s">
        <v>7</v>
      </c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375"/>
      <c r="T159" s="419"/>
      <c r="U159" s="419"/>
      <c r="V159" s="419"/>
      <c r="W159" s="419"/>
      <c r="X159" s="378"/>
      <c r="Y159" s="398">
        <v>0</v>
      </c>
      <c r="Z159" s="398">
        <v>0</v>
      </c>
      <c r="AA159" s="398">
        <v>0</v>
      </c>
      <c r="AB159" s="398">
        <v>0</v>
      </c>
      <c r="AC159" s="398">
        <v>0</v>
      </c>
      <c r="AD159" s="398">
        <v>0</v>
      </c>
      <c r="AE159" s="398">
        <v>0</v>
      </c>
      <c r="AF159" s="398">
        <v>0</v>
      </c>
      <c r="AG159" s="398">
        <v>0</v>
      </c>
      <c r="AH159" s="398">
        <v>0</v>
      </c>
      <c r="AI159" s="398">
        <v>0</v>
      </c>
      <c r="AJ159" s="398">
        <v>0</v>
      </c>
      <c r="AK159" s="375"/>
      <c r="AL159" s="375"/>
      <c r="AM159" s="375"/>
      <c r="AN159" s="375"/>
      <c r="AO159" s="375"/>
      <c r="AP159" s="375"/>
      <c r="AQ159" s="419"/>
      <c r="AR159" s="419"/>
      <c r="AS159" s="419"/>
      <c r="AT159" s="419"/>
      <c r="AU159" s="181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375"/>
      <c r="BI159" s="419"/>
      <c r="BJ159" s="419"/>
      <c r="BK159" s="419"/>
      <c r="BL159" s="419"/>
      <c r="BM159" s="378"/>
      <c r="BN159" s="176"/>
      <c r="BO159" s="176"/>
      <c r="BP159" s="176">
        <v>-125000</v>
      </c>
      <c r="BQ159" s="176">
        <v>-51000</v>
      </c>
      <c r="BR159" s="176">
        <v>-33000</v>
      </c>
      <c r="BS159" s="176">
        <v>-41000</v>
      </c>
      <c r="BT159" s="424">
        <v>-20000</v>
      </c>
      <c r="BU159" s="424">
        <v>-10000</v>
      </c>
      <c r="BV159" s="424">
        <v>0</v>
      </c>
      <c r="BW159" s="424">
        <v>0</v>
      </c>
      <c r="BX159" s="424">
        <v>0</v>
      </c>
      <c r="BY159" s="424">
        <v>0</v>
      </c>
      <c r="BZ159" s="375">
        <f ca="1">SUM(BN159:OFFSET(BN159,0,$F$2-1))</f>
        <v>-280000</v>
      </c>
      <c r="CA159" s="419">
        <f t="shared" si="212"/>
        <v>-125000</v>
      </c>
      <c r="CB159" s="419">
        <f t="shared" si="213"/>
        <v>-125000</v>
      </c>
      <c r="CC159" s="419">
        <f t="shared" si="214"/>
        <v>-30000</v>
      </c>
      <c r="CD159" s="419">
        <f t="shared" si="215"/>
        <v>0</v>
      </c>
      <c r="CE159" s="378"/>
      <c r="CF159" s="97" t="s">
        <v>607</v>
      </c>
      <c r="CH159" s="424"/>
      <c r="CI159" s="424"/>
      <c r="CJ159" s="424">
        <f t="shared" ref="CJ159:CQ162" si="219">AA159-BP159</f>
        <v>125000</v>
      </c>
      <c r="CK159" s="424">
        <f t="shared" si="219"/>
        <v>51000</v>
      </c>
      <c r="CL159" s="424">
        <f t="shared" si="219"/>
        <v>33000</v>
      </c>
      <c r="CM159" s="424">
        <f t="shared" si="219"/>
        <v>41000</v>
      </c>
      <c r="CN159" s="424">
        <f t="shared" si="219"/>
        <v>20000</v>
      </c>
      <c r="CO159" s="424">
        <f t="shared" si="219"/>
        <v>10000</v>
      </c>
      <c r="CP159" s="424">
        <f t="shared" si="219"/>
        <v>0</v>
      </c>
      <c r="CQ159" s="424">
        <f t="shared" si="219"/>
        <v>0</v>
      </c>
      <c r="CR159" s="424"/>
      <c r="CS159" s="424"/>
      <c r="CU159" s="424">
        <f>SUM(Y159:AC159)+SUM(BS159:BY159)</f>
        <v>-71000</v>
      </c>
      <c r="CV159" s="424">
        <v>0</v>
      </c>
      <c r="CW159" s="424">
        <f>SUM(AV159:BG159)</f>
        <v>0</v>
      </c>
    </row>
    <row r="160" spans="2:101" outlineLevel="1">
      <c r="B160" s="97" t="s">
        <v>608</v>
      </c>
      <c r="C160" s="97" t="s">
        <v>542</v>
      </c>
      <c r="D160" s="97" t="s">
        <v>8</v>
      </c>
      <c r="F160" s="67" t="s">
        <v>8</v>
      </c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375"/>
      <c r="T160" s="419"/>
      <c r="U160" s="419"/>
      <c r="V160" s="419"/>
      <c r="W160" s="419"/>
      <c r="X160" s="378"/>
      <c r="Y160" s="398">
        <v>0</v>
      </c>
      <c r="Z160" s="398">
        <v>0</v>
      </c>
      <c r="AA160" s="398">
        <v>0</v>
      </c>
      <c r="AB160" s="398">
        <v>0</v>
      </c>
      <c r="AC160" s="398">
        <v>0</v>
      </c>
      <c r="AD160" s="398">
        <v>0</v>
      </c>
      <c r="AE160" s="398">
        <v>0</v>
      </c>
      <c r="AF160" s="398">
        <v>0</v>
      </c>
      <c r="AG160" s="398">
        <v>0</v>
      </c>
      <c r="AH160" s="398">
        <v>0</v>
      </c>
      <c r="AI160" s="398">
        <v>0</v>
      </c>
      <c r="AJ160" s="398">
        <v>0</v>
      </c>
      <c r="AK160" s="375"/>
      <c r="AL160" s="375"/>
      <c r="AM160" s="375"/>
      <c r="AN160" s="375"/>
      <c r="AO160" s="375"/>
      <c r="AP160" s="375"/>
      <c r="AQ160" s="419"/>
      <c r="AR160" s="419"/>
      <c r="AS160" s="419"/>
      <c r="AT160" s="419"/>
      <c r="AU160" s="181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375"/>
      <c r="BI160" s="419"/>
      <c r="BJ160" s="419"/>
      <c r="BK160" s="419"/>
      <c r="BL160" s="419"/>
      <c r="BM160" s="378"/>
      <c r="BN160" s="176"/>
      <c r="BO160" s="176"/>
      <c r="BP160" s="176">
        <v>-17000</v>
      </c>
      <c r="BQ160" s="176">
        <v>-6000</v>
      </c>
      <c r="BR160" s="176">
        <v>-6000</v>
      </c>
      <c r="BS160" s="176">
        <v>-8000</v>
      </c>
      <c r="BT160" s="424">
        <v>-5000</v>
      </c>
      <c r="BU160" s="424">
        <v>-3000</v>
      </c>
      <c r="BV160" s="424">
        <v>0</v>
      </c>
      <c r="BW160" s="424">
        <v>0</v>
      </c>
      <c r="BX160" s="424">
        <v>0</v>
      </c>
      <c r="BY160" s="424">
        <v>0</v>
      </c>
      <c r="BZ160" s="375">
        <f ca="1">SUM(BN160:OFFSET(BN160,0,$F$2-1))</f>
        <v>-45000</v>
      </c>
      <c r="CA160" s="419">
        <f t="shared" si="212"/>
        <v>-17000</v>
      </c>
      <c r="CB160" s="419">
        <f t="shared" si="213"/>
        <v>-20000</v>
      </c>
      <c r="CC160" s="419">
        <f t="shared" si="214"/>
        <v>-8000</v>
      </c>
      <c r="CD160" s="419">
        <f t="shared" si="215"/>
        <v>0</v>
      </c>
      <c r="CE160" s="378"/>
      <c r="CF160" s="97" t="s">
        <v>608</v>
      </c>
      <c r="CH160" s="424"/>
      <c r="CI160" s="424"/>
      <c r="CJ160" s="424">
        <f t="shared" si="219"/>
        <v>17000</v>
      </c>
      <c r="CK160" s="424">
        <f t="shared" si="219"/>
        <v>6000</v>
      </c>
      <c r="CL160" s="424">
        <f t="shared" si="219"/>
        <v>6000</v>
      </c>
      <c r="CM160" s="424">
        <f t="shared" si="219"/>
        <v>8000</v>
      </c>
      <c r="CN160" s="424">
        <f t="shared" si="219"/>
        <v>5000</v>
      </c>
      <c r="CO160" s="424">
        <f t="shared" si="219"/>
        <v>3000</v>
      </c>
      <c r="CP160" s="424">
        <f t="shared" si="219"/>
        <v>0</v>
      </c>
      <c r="CQ160" s="424">
        <f t="shared" si="219"/>
        <v>0</v>
      </c>
      <c r="CR160" s="424"/>
      <c r="CS160" s="424"/>
      <c r="CU160" s="424">
        <f>SUM(Y160:AC160)+SUM(BS160:BY160)</f>
        <v>-16000</v>
      </c>
      <c r="CV160" s="424" t="e">
        <v>#VALUE!</v>
      </c>
      <c r="CW160" s="424">
        <f>SUM(AV160:BG160)</f>
        <v>0</v>
      </c>
    </row>
    <row r="161" spans="2:101" outlineLevel="1">
      <c r="B161" s="97"/>
      <c r="C161" s="97" t="s">
        <v>609</v>
      </c>
      <c r="D161" s="97" t="s">
        <v>4</v>
      </c>
      <c r="F161" s="67" t="s">
        <v>4</v>
      </c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375"/>
      <c r="T161" s="419"/>
      <c r="U161" s="419"/>
      <c r="V161" s="419"/>
      <c r="W161" s="419"/>
      <c r="X161" s="378"/>
      <c r="Y161" s="398">
        <v>0</v>
      </c>
      <c r="Z161" s="398">
        <v>0</v>
      </c>
      <c r="AA161" s="398">
        <v>0</v>
      </c>
      <c r="AB161" s="398">
        <v>0</v>
      </c>
      <c r="AC161" s="398">
        <v>0</v>
      </c>
      <c r="AD161" s="398">
        <v>0</v>
      </c>
      <c r="AE161" s="398">
        <v>0</v>
      </c>
      <c r="AF161" s="398">
        <v>0</v>
      </c>
      <c r="AG161" s="398">
        <v>0</v>
      </c>
      <c r="AH161" s="398">
        <v>0</v>
      </c>
      <c r="AI161" s="398">
        <v>0</v>
      </c>
      <c r="AJ161" s="398">
        <v>0</v>
      </c>
      <c r="AK161" s="375"/>
      <c r="AL161" s="375"/>
      <c r="AM161" s="375"/>
      <c r="AN161" s="375"/>
      <c r="AO161" s="375"/>
      <c r="AP161" s="375"/>
      <c r="AQ161" s="419"/>
      <c r="AR161" s="419"/>
      <c r="AS161" s="419"/>
      <c r="AT161" s="419"/>
      <c r="AU161" s="181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375"/>
      <c r="BI161" s="419"/>
      <c r="BJ161" s="419"/>
      <c r="BK161" s="419"/>
      <c r="BL161" s="419"/>
      <c r="BM161" s="378"/>
      <c r="BN161" s="176"/>
      <c r="BO161" s="176"/>
      <c r="BP161" s="176"/>
      <c r="BQ161" s="176"/>
      <c r="BR161" s="176">
        <v>0</v>
      </c>
      <c r="BS161" s="176">
        <v>0</v>
      </c>
      <c r="BT161" s="424">
        <v>0</v>
      </c>
      <c r="BU161" s="424">
        <v>0</v>
      </c>
      <c r="BV161" s="424">
        <v>0</v>
      </c>
      <c r="BW161" s="424">
        <v>0</v>
      </c>
      <c r="BX161" s="424">
        <v>0</v>
      </c>
      <c r="BY161" s="424">
        <v>0</v>
      </c>
      <c r="BZ161" s="375">
        <f ca="1">SUM(BN161:OFFSET(BN161,0,$F$2-1))</f>
        <v>0</v>
      </c>
      <c r="CA161" s="419">
        <f t="shared" si="212"/>
        <v>0</v>
      </c>
      <c r="CB161" s="419">
        <f t="shared" si="213"/>
        <v>0</v>
      </c>
      <c r="CC161" s="419">
        <f t="shared" si="214"/>
        <v>0</v>
      </c>
      <c r="CD161" s="419">
        <f t="shared" si="215"/>
        <v>0</v>
      </c>
      <c r="CE161" s="378"/>
      <c r="CF161" s="97"/>
      <c r="CH161" s="424"/>
      <c r="CI161" s="424"/>
      <c r="CJ161" s="424">
        <f t="shared" si="219"/>
        <v>0</v>
      </c>
      <c r="CK161" s="424">
        <f t="shared" si="219"/>
        <v>0</v>
      </c>
      <c r="CL161" s="424">
        <f t="shared" si="219"/>
        <v>0</v>
      </c>
      <c r="CM161" s="424">
        <f t="shared" si="219"/>
        <v>0</v>
      </c>
      <c r="CN161" s="424">
        <f t="shared" si="219"/>
        <v>0</v>
      </c>
      <c r="CO161" s="424">
        <f t="shared" si="219"/>
        <v>0</v>
      </c>
      <c r="CP161" s="424">
        <f t="shared" si="219"/>
        <v>0</v>
      </c>
      <c r="CQ161" s="424">
        <f t="shared" si="219"/>
        <v>0</v>
      </c>
      <c r="CR161" s="424"/>
      <c r="CS161" s="424"/>
      <c r="CU161" s="424">
        <f>SUM(Y161:AC161)+SUM(BS161:BY161)</f>
        <v>0</v>
      </c>
      <c r="CV161" s="424" t="e">
        <v>#VALUE!</v>
      </c>
      <c r="CW161" s="424">
        <f>SUM(AV161:BG161)</f>
        <v>0</v>
      </c>
    </row>
    <row r="162" spans="2:101" outlineLevel="1">
      <c r="B162" s="97"/>
      <c r="C162" s="97" t="s">
        <v>609</v>
      </c>
      <c r="D162" s="97" t="s">
        <v>5</v>
      </c>
      <c r="F162" s="67" t="s">
        <v>5</v>
      </c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375"/>
      <c r="T162" s="419"/>
      <c r="U162" s="419"/>
      <c r="V162" s="419"/>
      <c r="W162" s="419"/>
      <c r="X162" s="378"/>
      <c r="Y162" s="398">
        <v>0</v>
      </c>
      <c r="Z162" s="398">
        <v>0</v>
      </c>
      <c r="AA162" s="398">
        <v>0</v>
      </c>
      <c r="AB162" s="398">
        <v>0</v>
      </c>
      <c r="AC162" s="398">
        <v>0</v>
      </c>
      <c r="AD162" s="398">
        <v>0</v>
      </c>
      <c r="AE162" s="398">
        <v>0</v>
      </c>
      <c r="AF162" s="398">
        <v>0</v>
      </c>
      <c r="AG162" s="398">
        <v>0</v>
      </c>
      <c r="AH162" s="398">
        <v>0</v>
      </c>
      <c r="AI162" s="398">
        <v>0</v>
      </c>
      <c r="AJ162" s="398">
        <v>0</v>
      </c>
      <c r="AK162" s="375"/>
      <c r="AL162" s="375"/>
      <c r="AM162" s="375"/>
      <c r="AN162" s="375"/>
      <c r="AO162" s="375"/>
      <c r="AP162" s="375"/>
      <c r="AQ162" s="419"/>
      <c r="AR162" s="419"/>
      <c r="AS162" s="419"/>
      <c r="AT162" s="419"/>
      <c r="AU162" s="181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375"/>
      <c r="BI162" s="419"/>
      <c r="BJ162" s="419"/>
      <c r="BK162" s="419"/>
      <c r="BL162" s="419"/>
      <c r="BM162" s="378"/>
      <c r="BN162" s="176"/>
      <c r="BO162" s="176"/>
      <c r="BP162" s="176"/>
      <c r="BQ162" s="176"/>
      <c r="BR162" s="176">
        <v>0</v>
      </c>
      <c r="BS162" s="176">
        <v>0</v>
      </c>
      <c r="BT162" s="424">
        <v>0</v>
      </c>
      <c r="BU162" s="424">
        <v>0</v>
      </c>
      <c r="BV162" s="424">
        <v>0</v>
      </c>
      <c r="BW162" s="424">
        <v>0</v>
      </c>
      <c r="BX162" s="424">
        <v>0</v>
      </c>
      <c r="BY162" s="424">
        <v>0</v>
      </c>
      <c r="BZ162" s="375">
        <f ca="1">SUM(BN162:OFFSET(BN162,0,$F$2-1))</f>
        <v>0</v>
      </c>
      <c r="CA162" s="419">
        <f t="shared" si="212"/>
        <v>0</v>
      </c>
      <c r="CB162" s="419">
        <f t="shared" si="213"/>
        <v>0</v>
      </c>
      <c r="CC162" s="419">
        <f t="shared" si="214"/>
        <v>0</v>
      </c>
      <c r="CD162" s="419">
        <f t="shared" si="215"/>
        <v>0</v>
      </c>
      <c r="CE162" s="378"/>
      <c r="CF162" s="97"/>
      <c r="CH162" s="424"/>
      <c r="CI162" s="424"/>
      <c r="CJ162" s="424">
        <f t="shared" si="219"/>
        <v>0</v>
      </c>
      <c r="CK162" s="424">
        <f t="shared" si="219"/>
        <v>0</v>
      </c>
      <c r="CL162" s="424">
        <f t="shared" si="219"/>
        <v>0</v>
      </c>
      <c r="CM162" s="424">
        <f t="shared" si="219"/>
        <v>0</v>
      </c>
      <c r="CN162" s="424">
        <f t="shared" si="219"/>
        <v>0</v>
      </c>
      <c r="CO162" s="424">
        <f t="shared" si="219"/>
        <v>0</v>
      </c>
      <c r="CP162" s="424">
        <f t="shared" si="219"/>
        <v>0</v>
      </c>
      <c r="CQ162" s="424">
        <f t="shared" si="219"/>
        <v>0</v>
      </c>
      <c r="CR162" s="424"/>
      <c r="CS162" s="424"/>
      <c r="CU162" s="424">
        <f>SUM(Y162:AC162)+SUM(BS162:BY162)</f>
        <v>0</v>
      </c>
      <c r="CV162" s="424" t="e">
        <v>#VALUE!</v>
      </c>
      <c r="CW162" s="424">
        <f>SUM(AV162:BG162)</f>
        <v>0</v>
      </c>
    </row>
    <row r="163" spans="2:101" outlineLevel="1">
      <c r="B163" s="97"/>
      <c r="C163" s="97"/>
      <c r="D163" s="97" t="s">
        <v>532</v>
      </c>
      <c r="F163" s="417" t="s">
        <v>236</v>
      </c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7">
        <f ca="1">SUM(G163:OFFSET(G163,0,$F$2-1))</f>
        <v>0</v>
      </c>
      <c r="T163" s="419">
        <f t="shared" si="200"/>
        <v>0</v>
      </c>
      <c r="U163" s="419">
        <f t="shared" si="201"/>
        <v>0</v>
      </c>
      <c r="V163" s="419">
        <f t="shared" si="202"/>
        <v>0</v>
      </c>
      <c r="W163" s="419">
        <f t="shared" si="203"/>
        <v>0</v>
      </c>
      <c r="X163" s="178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7"/>
      <c r="AL163" s="177"/>
      <c r="AM163" s="177"/>
      <c r="AN163" s="177"/>
      <c r="AO163" s="177"/>
      <c r="AP163" s="177"/>
      <c r="AQ163" s="419"/>
      <c r="AR163" s="419"/>
      <c r="AS163" s="419"/>
      <c r="AT163" s="419"/>
      <c r="AU163" s="181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7">
        <f ca="1">SUM(AV163:OFFSET(AV163,0,$F$2-1))</f>
        <v>0</v>
      </c>
      <c r="BI163" s="419">
        <f t="shared" si="208"/>
        <v>0</v>
      </c>
      <c r="BJ163" s="419">
        <f t="shared" si="209"/>
        <v>0</v>
      </c>
      <c r="BK163" s="419">
        <f t="shared" si="210"/>
        <v>0</v>
      </c>
      <c r="BL163" s="419">
        <f t="shared" si="211"/>
        <v>0</v>
      </c>
      <c r="BM163" s="178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7">
        <f ca="1">SUM(BN163:OFFSET(BN163,0,$F$2-1))</f>
        <v>0</v>
      </c>
      <c r="CA163" s="419">
        <f t="shared" si="212"/>
        <v>0</v>
      </c>
      <c r="CB163" s="419">
        <f t="shared" si="213"/>
        <v>0</v>
      </c>
      <c r="CC163" s="419">
        <f t="shared" si="214"/>
        <v>0</v>
      </c>
      <c r="CD163" s="419">
        <f t="shared" si="215"/>
        <v>0</v>
      </c>
      <c r="CE163" s="178"/>
      <c r="CF163" s="97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U163" s="175"/>
      <c r="CV163" s="175"/>
      <c r="CW163" s="175"/>
    </row>
    <row r="164" spans="2:101" outlineLevel="1">
      <c r="B164" s="97" t="s">
        <v>610</v>
      </c>
      <c r="C164" s="97" t="s">
        <v>9</v>
      </c>
      <c r="D164" s="97" t="s">
        <v>7</v>
      </c>
      <c r="F164" s="67" t="s">
        <v>7</v>
      </c>
      <c r="G164" s="175">
        <v>17513</v>
      </c>
      <c r="H164" s="175">
        <v>15033</v>
      </c>
      <c r="I164" s="175">
        <v>12022</v>
      </c>
      <c r="J164" s="175">
        <v>9483</v>
      </c>
      <c r="K164" s="175">
        <v>11436</v>
      </c>
      <c r="L164" s="175">
        <v>9748</v>
      </c>
      <c r="M164" s="175">
        <v>9939</v>
      </c>
      <c r="N164" s="175">
        <v>9011</v>
      </c>
      <c r="O164" s="175">
        <v>9626</v>
      </c>
      <c r="P164" s="175">
        <v>10574</v>
      </c>
      <c r="Q164" s="175">
        <v>13878</v>
      </c>
      <c r="R164" s="421">
        <v>19901</v>
      </c>
      <c r="S164" s="177">
        <f ca="1">SUM(G164:OFFSET(G164,0,$F$2-1))</f>
        <v>148164</v>
      </c>
      <c r="T164" s="419">
        <f t="shared" si="200"/>
        <v>44568</v>
      </c>
      <c r="U164" s="419">
        <f t="shared" si="201"/>
        <v>30667</v>
      </c>
      <c r="V164" s="419">
        <f t="shared" si="202"/>
        <v>28576</v>
      </c>
      <c r="W164" s="419">
        <f t="shared" si="203"/>
        <v>44353</v>
      </c>
      <c r="X164" s="422"/>
      <c r="Y164" s="179">
        <v>25516</v>
      </c>
      <c r="Z164" s="179">
        <v>21016</v>
      </c>
      <c r="AA164" s="179">
        <v>18838</v>
      </c>
      <c r="AB164" s="388">
        <v>25182.5</v>
      </c>
      <c r="AC164" s="179">
        <v>16223</v>
      </c>
      <c r="AD164" s="179">
        <v>12483</v>
      </c>
      <c r="AE164" s="179">
        <v>12528</v>
      </c>
      <c r="AF164" s="179">
        <v>10596</v>
      </c>
      <c r="AG164" s="179">
        <v>12485</v>
      </c>
      <c r="AH164" s="179">
        <v>11289</v>
      </c>
      <c r="AI164" s="179">
        <v>13070</v>
      </c>
      <c r="AJ164" s="423">
        <v>17841.100000004655</v>
      </c>
      <c r="AK164" s="177">
        <f ca="1">SUM(Y164:OFFSET(Y164,0,$F$2-1))</f>
        <v>197067.60000000466</v>
      </c>
      <c r="AL164" s="177"/>
      <c r="AM164" s="177"/>
      <c r="AN164" s="177"/>
      <c r="AO164" s="177"/>
      <c r="AP164" s="177"/>
      <c r="AQ164" s="419">
        <f t="shared" si="204"/>
        <v>65370</v>
      </c>
      <c r="AR164" s="419">
        <f t="shared" si="205"/>
        <v>53888.5</v>
      </c>
      <c r="AS164" s="419">
        <f t="shared" si="206"/>
        <v>35609</v>
      </c>
      <c r="AT164" s="419">
        <f t="shared" si="207"/>
        <v>42200.100000004655</v>
      </c>
      <c r="AU164" s="397"/>
      <c r="AV164" s="389">
        <v>41907.040524424665</v>
      </c>
      <c r="AW164" s="389">
        <v>41907.040524424665</v>
      </c>
      <c r="AX164" s="389">
        <v>41907.040524424665</v>
      </c>
      <c r="AY164" s="389">
        <v>41907.040524424665</v>
      </c>
      <c r="AZ164" s="389">
        <v>41907.040524424665</v>
      </c>
      <c r="BA164" s="389">
        <v>41907.040524424665</v>
      </c>
      <c r="BB164" s="389">
        <v>41907.040524424665</v>
      </c>
      <c r="BC164" s="389">
        <v>41907.040524424665</v>
      </c>
      <c r="BD164" s="389">
        <v>41907.040524424665</v>
      </c>
      <c r="BE164" s="389">
        <v>41907.040524424665</v>
      </c>
      <c r="BF164" s="389">
        <v>41907.040524424665</v>
      </c>
      <c r="BG164" s="427">
        <v>41907.040524424665</v>
      </c>
      <c r="BH164" s="177">
        <f ca="1">SUM(AV164:OFFSET(AV164,0,$F$2-1))</f>
        <v>502884.48629309586</v>
      </c>
      <c r="BI164" s="419">
        <f t="shared" si="208"/>
        <v>125721.12157327399</v>
      </c>
      <c r="BJ164" s="419">
        <f t="shared" si="209"/>
        <v>125721.12157327399</v>
      </c>
      <c r="BK164" s="419">
        <f t="shared" si="210"/>
        <v>125721.12157327399</v>
      </c>
      <c r="BL164" s="419">
        <f t="shared" si="211"/>
        <v>125721.12157327399</v>
      </c>
      <c r="BM164" s="428" t="s">
        <v>611</v>
      </c>
      <c r="BN164" s="175"/>
      <c r="BO164" s="175"/>
      <c r="BP164" s="175">
        <v>12356.437715116426</v>
      </c>
      <c r="BQ164" s="175">
        <v>10528.82363298772</v>
      </c>
      <c r="BR164" s="175">
        <v>12021.686416256329</v>
      </c>
      <c r="BS164" s="175">
        <v>10366.284613643997</v>
      </c>
      <c r="BT164" s="175">
        <v>10058.747194922018</v>
      </c>
      <c r="BU164" s="175">
        <v>9399.4538236967946</v>
      </c>
      <c r="BV164" s="175">
        <v>10172.630535013024</v>
      </c>
      <c r="BW164" s="175">
        <v>10938.45529579375</v>
      </c>
      <c r="BX164" s="175">
        <v>14494.33655743348</v>
      </c>
      <c r="BY164" s="421">
        <v>20309.74492219097</v>
      </c>
      <c r="BZ164" s="177">
        <f ca="1">SUM(BN164:OFFSET(BN164,0,$F$2-1))</f>
        <v>120646.60070705452</v>
      </c>
      <c r="CA164" s="419">
        <f t="shared" si="212"/>
        <v>12356.437715116426</v>
      </c>
      <c r="CB164" s="419">
        <f t="shared" si="213"/>
        <v>32916.794662888045</v>
      </c>
      <c r="CC164" s="419">
        <f t="shared" si="214"/>
        <v>29630.831553631837</v>
      </c>
      <c r="CD164" s="419">
        <f t="shared" si="215"/>
        <v>45742.536775418201</v>
      </c>
      <c r="CE164" s="422"/>
      <c r="CF164" s="97" t="s">
        <v>610</v>
      </c>
      <c r="CH164" s="421"/>
      <c r="CI164" s="421"/>
      <c r="CJ164" s="421">
        <f t="shared" ref="CJ164:CQ167" si="220">AA164-BP164</f>
        <v>6481.5622848835737</v>
      </c>
      <c r="CK164" s="421">
        <f t="shared" si="220"/>
        <v>14653.67636701228</v>
      </c>
      <c r="CL164" s="421">
        <f t="shared" si="220"/>
        <v>4201.3135837436712</v>
      </c>
      <c r="CM164" s="421">
        <f t="shared" si="220"/>
        <v>2116.7153863560034</v>
      </c>
      <c r="CN164" s="421">
        <f t="shared" si="220"/>
        <v>2469.252805077982</v>
      </c>
      <c r="CO164" s="421">
        <f t="shared" si="220"/>
        <v>1196.5461763032054</v>
      </c>
      <c r="CP164" s="421">
        <f t="shared" si="220"/>
        <v>2312.3694649869758</v>
      </c>
      <c r="CQ164" s="421">
        <f t="shared" si="220"/>
        <v>350.54470420624966</v>
      </c>
      <c r="CR164" s="421"/>
      <c r="CS164" s="421"/>
      <c r="CU164" s="421">
        <f>SUM(Y164:AC164)+SUM(BS164:BY164)</f>
        <v>192515.15294269403</v>
      </c>
      <c r="CV164" s="421">
        <v>198298.03731044714</v>
      </c>
      <c r="CW164" s="421">
        <f>SUM(AV164:BG164)</f>
        <v>502884.48629309586</v>
      </c>
    </row>
    <row r="165" spans="2:101" outlineLevel="1">
      <c r="B165" s="97" t="s">
        <v>612</v>
      </c>
      <c r="C165" s="97" t="s">
        <v>9</v>
      </c>
      <c r="D165" s="97" t="s">
        <v>8</v>
      </c>
      <c r="F165" s="67" t="s">
        <v>8</v>
      </c>
      <c r="G165" s="175">
        <v>3459</v>
      </c>
      <c r="H165" s="175">
        <v>3261</v>
      </c>
      <c r="I165" s="175">
        <v>3370</v>
      </c>
      <c r="J165" s="175">
        <v>2948</v>
      </c>
      <c r="K165" s="175">
        <v>3028</v>
      </c>
      <c r="L165" s="175">
        <v>2870</v>
      </c>
      <c r="M165" s="175">
        <v>2904</v>
      </c>
      <c r="N165" s="175">
        <v>3002</v>
      </c>
      <c r="O165" s="175">
        <v>2913</v>
      </c>
      <c r="P165" s="175">
        <v>3066</v>
      </c>
      <c r="Q165" s="175">
        <v>3021</v>
      </c>
      <c r="R165" s="175">
        <v>3509</v>
      </c>
      <c r="S165" s="177">
        <f ca="1">SUM(G165:OFFSET(G165,0,$F$2-1))</f>
        <v>37351</v>
      </c>
      <c r="T165" s="419">
        <f t="shared" si="200"/>
        <v>10090</v>
      </c>
      <c r="U165" s="419">
        <f t="shared" si="201"/>
        <v>8846</v>
      </c>
      <c r="V165" s="419">
        <f t="shared" si="202"/>
        <v>8819</v>
      </c>
      <c r="W165" s="419">
        <f t="shared" si="203"/>
        <v>9596</v>
      </c>
      <c r="X165" s="178"/>
      <c r="Y165" s="179">
        <v>4745</v>
      </c>
      <c r="Z165" s="179">
        <v>4172</v>
      </c>
      <c r="AA165" s="179">
        <v>4501</v>
      </c>
      <c r="AB165" s="179">
        <v>4333</v>
      </c>
      <c r="AC165" s="179">
        <v>4020</v>
      </c>
      <c r="AD165" s="179">
        <v>3701</v>
      </c>
      <c r="AE165" s="179">
        <v>3891</v>
      </c>
      <c r="AF165" s="179">
        <v>3807</v>
      </c>
      <c r="AG165" s="179">
        <v>1483</v>
      </c>
      <c r="AH165" s="179">
        <v>4045</v>
      </c>
      <c r="AI165" s="179">
        <v>4516</v>
      </c>
      <c r="AJ165" s="179">
        <v>4541.6499999997486</v>
      </c>
      <c r="AK165" s="177">
        <f ca="1">SUM(Y165:OFFSET(Y165,0,$F$2-1))</f>
        <v>47755.649999999747</v>
      </c>
      <c r="AL165" s="177"/>
      <c r="AM165" s="177"/>
      <c r="AN165" s="177"/>
      <c r="AO165" s="177"/>
      <c r="AP165" s="177"/>
      <c r="AQ165" s="419">
        <f t="shared" si="204"/>
        <v>13418</v>
      </c>
      <c r="AR165" s="419">
        <f t="shared" si="205"/>
        <v>12054</v>
      </c>
      <c r="AS165" s="419">
        <f t="shared" si="206"/>
        <v>9181</v>
      </c>
      <c r="AT165" s="419">
        <f t="shared" si="207"/>
        <v>13102.649999999749</v>
      </c>
      <c r="AU165" s="397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7">
        <f ca="1">SUM(AV165:OFFSET(AV165,0,$F$2-1))</f>
        <v>0</v>
      </c>
      <c r="BI165" s="419">
        <f t="shared" si="208"/>
        <v>0</v>
      </c>
      <c r="BJ165" s="419">
        <f t="shared" si="209"/>
        <v>0</v>
      </c>
      <c r="BK165" s="419">
        <f t="shared" si="210"/>
        <v>0</v>
      </c>
      <c r="BL165" s="419">
        <f t="shared" si="211"/>
        <v>0</v>
      </c>
      <c r="BM165" s="178"/>
      <c r="BN165" s="175"/>
      <c r="BO165" s="175"/>
      <c r="BP165" s="175">
        <v>3463.7493844570249</v>
      </c>
      <c r="BQ165" s="175">
        <v>3273.1173753082144</v>
      </c>
      <c r="BR165" s="175">
        <v>3183.0768160566781</v>
      </c>
      <c r="BS165" s="175">
        <v>3052.0349652398718</v>
      </c>
      <c r="BT165" s="175">
        <v>2938.9880122802638</v>
      </c>
      <c r="BU165" s="175">
        <v>3131.412759819973</v>
      </c>
      <c r="BV165" s="175">
        <v>3078.4201899535569</v>
      </c>
      <c r="BW165" s="175">
        <v>3171.6761809063396</v>
      </c>
      <c r="BX165" s="175">
        <v>3155.1657832545429</v>
      </c>
      <c r="BY165" s="175">
        <v>3581.0710482874283</v>
      </c>
      <c r="BZ165" s="177">
        <f ca="1">SUM(BN165:OFFSET(BN165,0,$F$2-1))</f>
        <v>32028.712515563893</v>
      </c>
      <c r="CA165" s="419">
        <f t="shared" si="212"/>
        <v>3463.7493844570249</v>
      </c>
      <c r="CB165" s="419">
        <f t="shared" si="213"/>
        <v>9508.2291566047643</v>
      </c>
      <c r="CC165" s="419">
        <f t="shared" si="214"/>
        <v>9148.8209620537928</v>
      </c>
      <c r="CD165" s="419">
        <f t="shared" si="215"/>
        <v>9907.9130124483108</v>
      </c>
      <c r="CE165" s="178"/>
      <c r="CF165" s="97" t="s">
        <v>612</v>
      </c>
      <c r="CH165" s="175"/>
      <c r="CI165" s="175"/>
      <c r="CJ165" s="175">
        <f t="shared" si="220"/>
        <v>1037.2506155429751</v>
      </c>
      <c r="CK165" s="175">
        <f t="shared" si="220"/>
        <v>1059.8826246917856</v>
      </c>
      <c r="CL165" s="175">
        <f t="shared" si="220"/>
        <v>836.92318394332187</v>
      </c>
      <c r="CM165" s="175">
        <f t="shared" si="220"/>
        <v>648.96503476012822</v>
      </c>
      <c r="CN165" s="175">
        <f t="shared" si="220"/>
        <v>952.01198771973623</v>
      </c>
      <c r="CO165" s="175">
        <f t="shared" si="220"/>
        <v>675.58724018002704</v>
      </c>
      <c r="CP165" s="175">
        <f t="shared" si="220"/>
        <v>-1595.4201899535569</v>
      </c>
      <c r="CQ165" s="175">
        <f t="shared" si="220"/>
        <v>873.3238190936604</v>
      </c>
      <c r="CR165" s="175"/>
      <c r="CS165" s="175"/>
      <c r="CU165" s="175">
        <f>SUM(Y165:AC165)+SUM(BS165:BY165)</f>
        <v>43879.768939741974</v>
      </c>
      <c r="CV165" s="175" t="e">
        <v>#VALUE!</v>
      </c>
      <c r="CW165" s="175">
        <f>SUM(AV165:BG165)</f>
        <v>0</v>
      </c>
    </row>
    <row r="166" spans="2:101" outlineLevel="1">
      <c r="B166" s="97" t="s">
        <v>613</v>
      </c>
      <c r="C166" s="97" t="s">
        <v>9</v>
      </c>
      <c r="D166" s="97" t="s">
        <v>4</v>
      </c>
      <c r="F166" s="67" t="s">
        <v>4</v>
      </c>
      <c r="G166" s="175">
        <v>13</v>
      </c>
      <c r="H166" s="175">
        <v>11</v>
      </c>
      <c r="I166" s="175">
        <v>10</v>
      </c>
      <c r="J166" s="175">
        <v>10</v>
      </c>
      <c r="K166" s="175">
        <v>11</v>
      </c>
      <c r="L166" s="175">
        <v>10</v>
      </c>
      <c r="M166" s="175">
        <v>10</v>
      </c>
      <c r="N166" s="175">
        <v>9</v>
      </c>
      <c r="O166" s="175">
        <v>10</v>
      </c>
      <c r="P166" s="175">
        <v>10</v>
      </c>
      <c r="Q166" s="175">
        <v>11</v>
      </c>
      <c r="R166" s="175">
        <v>12</v>
      </c>
      <c r="S166" s="375">
        <f ca="1">SUM(G166:OFFSET(G166,0,$F$2-1))</f>
        <v>127</v>
      </c>
      <c r="T166" s="419">
        <f t="shared" si="200"/>
        <v>34</v>
      </c>
      <c r="U166" s="419">
        <f t="shared" si="201"/>
        <v>31</v>
      </c>
      <c r="V166" s="419">
        <f t="shared" si="202"/>
        <v>29</v>
      </c>
      <c r="W166" s="419">
        <f t="shared" si="203"/>
        <v>33</v>
      </c>
      <c r="X166" s="178"/>
      <c r="Y166" s="179">
        <v>15</v>
      </c>
      <c r="Z166" s="179">
        <v>13</v>
      </c>
      <c r="AA166" s="179">
        <v>13</v>
      </c>
      <c r="AB166" s="179">
        <v>12</v>
      </c>
      <c r="AC166" s="179">
        <v>12</v>
      </c>
      <c r="AD166" s="179">
        <v>12</v>
      </c>
      <c r="AE166" s="179">
        <v>13</v>
      </c>
      <c r="AF166" s="179">
        <v>11</v>
      </c>
      <c r="AG166" s="179">
        <v>12</v>
      </c>
      <c r="AH166" s="179">
        <v>12</v>
      </c>
      <c r="AI166" s="179">
        <v>11</v>
      </c>
      <c r="AJ166" s="179">
        <v>15.340000000000344</v>
      </c>
      <c r="AK166" s="375">
        <f ca="1">SUM(Y166:OFFSET(Y166,0,$F$2-1))</f>
        <v>151.34000000000034</v>
      </c>
      <c r="AL166" s="375"/>
      <c r="AM166" s="375"/>
      <c r="AN166" s="375"/>
      <c r="AO166" s="375"/>
      <c r="AP166" s="375"/>
      <c r="AQ166" s="419">
        <f t="shared" si="204"/>
        <v>41</v>
      </c>
      <c r="AR166" s="419">
        <f t="shared" si="205"/>
        <v>36</v>
      </c>
      <c r="AS166" s="419">
        <f t="shared" si="206"/>
        <v>36</v>
      </c>
      <c r="AT166" s="419">
        <f t="shared" si="207"/>
        <v>38.340000000000344</v>
      </c>
      <c r="AU166" s="429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375">
        <f ca="1">SUM(AV166:OFFSET(AV166,0,$F$2-1))</f>
        <v>0</v>
      </c>
      <c r="BI166" s="419">
        <f t="shared" si="208"/>
        <v>0</v>
      </c>
      <c r="BJ166" s="419">
        <f t="shared" si="209"/>
        <v>0</v>
      </c>
      <c r="BK166" s="419">
        <f t="shared" si="210"/>
        <v>0</v>
      </c>
      <c r="BL166" s="419">
        <f t="shared" si="211"/>
        <v>0</v>
      </c>
      <c r="BM166" s="178"/>
      <c r="BN166" s="175"/>
      <c r="BO166" s="175"/>
      <c r="BP166" s="175">
        <v>10.27818808444221</v>
      </c>
      <c r="BQ166" s="175">
        <v>11.10284048612013</v>
      </c>
      <c r="BR166" s="175">
        <v>11.563356993600877</v>
      </c>
      <c r="BS166" s="175">
        <v>10.634268171567498</v>
      </c>
      <c r="BT166" s="175">
        <v>10.12048213595132</v>
      </c>
      <c r="BU166" s="175">
        <v>9.3879796263756674</v>
      </c>
      <c r="BV166" s="175">
        <v>10.567868829226079</v>
      </c>
      <c r="BW166" s="175">
        <v>10.344671170601238</v>
      </c>
      <c r="BX166" s="175">
        <v>11.488521554385956</v>
      </c>
      <c r="BY166" s="175">
        <v>12.246466964790294</v>
      </c>
      <c r="BZ166" s="375">
        <f ca="1">SUM(BN166:OFFSET(BN166,0,$F$2-1))</f>
        <v>107.73464401706127</v>
      </c>
      <c r="CA166" s="419">
        <f t="shared" si="212"/>
        <v>10.27818808444221</v>
      </c>
      <c r="CB166" s="419">
        <f t="shared" si="213"/>
        <v>33.300465651288505</v>
      </c>
      <c r="CC166" s="419">
        <f t="shared" si="214"/>
        <v>30.076330591553067</v>
      </c>
      <c r="CD166" s="419">
        <f t="shared" si="215"/>
        <v>34.079659689777486</v>
      </c>
      <c r="CE166" s="178"/>
      <c r="CF166" s="97" t="s">
        <v>613</v>
      </c>
      <c r="CH166" s="175"/>
      <c r="CI166" s="175"/>
      <c r="CJ166" s="175">
        <f t="shared" si="220"/>
        <v>2.7218119155577902</v>
      </c>
      <c r="CK166" s="175">
        <f t="shared" si="220"/>
        <v>0.89715951387987047</v>
      </c>
      <c r="CL166" s="175">
        <f t="shared" si="220"/>
        <v>0.43664300639912312</v>
      </c>
      <c r="CM166" s="175">
        <f t="shared" si="220"/>
        <v>1.3657318284325015</v>
      </c>
      <c r="CN166" s="175">
        <f t="shared" si="220"/>
        <v>2.8795178640486796</v>
      </c>
      <c r="CO166" s="175">
        <f t="shared" si="220"/>
        <v>1.6120203736243326</v>
      </c>
      <c r="CP166" s="175">
        <f t="shared" si="220"/>
        <v>1.4321311707739213</v>
      </c>
      <c r="CQ166" s="175">
        <f t="shared" si="220"/>
        <v>1.655328829398762</v>
      </c>
      <c r="CR166" s="175"/>
      <c r="CS166" s="175"/>
      <c r="CU166" s="175">
        <f>SUM(Y166:AC166)+SUM(BS166:BY166)</f>
        <v>139.79025845289806</v>
      </c>
      <c r="CV166" s="175" t="e">
        <v>#VALUE!</v>
      </c>
      <c r="CW166" s="175">
        <f>SUM(AV166:BG166)</f>
        <v>0</v>
      </c>
    </row>
    <row r="167" spans="2:101" outlineLevel="1">
      <c r="B167" s="97" t="s">
        <v>614</v>
      </c>
      <c r="C167" s="97" t="s">
        <v>9</v>
      </c>
      <c r="D167" s="97" t="s">
        <v>5</v>
      </c>
      <c r="F167" s="67" t="s">
        <v>5</v>
      </c>
      <c r="G167" s="175">
        <v>-665</v>
      </c>
      <c r="H167" s="175">
        <v>-805</v>
      </c>
      <c r="I167" s="175">
        <v>67</v>
      </c>
      <c r="J167" s="175">
        <v>332</v>
      </c>
      <c r="K167" s="175">
        <v>51</v>
      </c>
      <c r="L167" s="175">
        <v>42</v>
      </c>
      <c r="M167" s="175">
        <v>1384</v>
      </c>
      <c r="N167" s="175">
        <v>37</v>
      </c>
      <c r="O167" s="175">
        <v>45</v>
      </c>
      <c r="P167" s="175">
        <v>52</v>
      </c>
      <c r="Q167" s="175">
        <v>61</v>
      </c>
      <c r="R167" s="175">
        <v>103</v>
      </c>
      <c r="S167" s="375">
        <f ca="1">SUM(G167:OFFSET(G167,0,$F$2-1))</f>
        <v>704</v>
      </c>
      <c r="T167" s="419">
        <f t="shared" si="200"/>
        <v>-1403</v>
      </c>
      <c r="U167" s="419">
        <f t="shared" si="201"/>
        <v>425</v>
      </c>
      <c r="V167" s="419">
        <f t="shared" si="202"/>
        <v>1466</v>
      </c>
      <c r="W167" s="419">
        <f t="shared" si="203"/>
        <v>216</v>
      </c>
      <c r="X167" s="178"/>
      <c r="Y167" s="179">
        <v>116</v>
      </c>
      <c r="Z167" s="179">
        <v>107</v>
      </c>
      <c r="AA167" s="179">
        <v>82</v>
      </c>
      <c r="AB167" s="179">
        <v>81</v>
      </c>
      <c r="AC167" s="179">
        <v>22</v>
      </c>
      <c r="AD167" s="179">
        <v>46</v>
      </c>
      <c r="AE167" s="179">
        <v>31</v>
      </c>
      <c r="AF167" s="179">
        <v>33</v>
      </c>
      <c r="AG167" s="179">
        <v>34</v>
      </c>
      <c r="AH167" s="179">
        <v>29</v>
      </c>
      <c r="AI167" s="179">
        <v>41</v>
      </c>
      <c r="AJ167" s="179">
        <v>71.770000000000039</v>
      </c>
      <c r="AK167" s="375">
        <f ca="1">SUM(Y167:OFFSET(Y167,0,$F$2-1))</f>
        <v>693.77</v>
      </c>
      <c r="AL167" s="375"/>
      <c r="AM167" s="375"/>
      <c r="AN167" s="375"/>
      <c r="AO167" s="375"/>
      <c r="AP167" s="375"/>
      <c r="AQ167" s="419">
        <f t="shared" si="204"/>
        <v>305</v>
      </c>
      <c r="AR167" s="419">
        <f t="shared" si="205"/>
        <v>149</v>
      </c>
      <c r="AS167" s="419">
        <f t="shared" si="206"/>
        <v>98</v>
      </c>
      <c r="AT167" s="419">
        <f t="shared" si="207"/>
        <v>141.77000000000004</v>
      </c>
      <c r="AU167" s="181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375">
        <f ca="1">SUM(AV167:OFFSET(AV167,0,$F$2-1))</f>
        <v>0</v>
      </c>
      <c r="BI167" s="419">
        <f t="shared" si="208"/>
        <v>0</v>
      </c>
      <c r="BJ167" s="419">
        <f t="shared" si="209"/>
        <v>0</v>
      </c>
      <c r="BK167" s="419">
        <f t="shared" si="210"/>
        <v>0</v>
      </c>
      <c r="BL167" s="419">
        <f t="shared" si="211"/>
        <v>0</v>
      </c>
      <c r="BM167" s="178"/>
      <c r="BN167" s="175"/>
      <c r="BO167" s="175"/>
      <c r="BP167" s="175"/>
      <c r="BQ167" s="175"/>
      <c r="BR167" s="175">
        <v>0</v>
      </c>
      <c r="BS167" s="175">
        <v>0</v>
      </c>
      <c r="BT167" s="175">
        <v>0</v>
      </c>
      <c r="BU167" s="175">
        <v>0</v>
      </c>
      <c r="BV167" s="175">
        <v>0</v>
      </c>
      <c r="BW167" s="175">
        <v>0</v>
      </c>
      <c r="BX167" s="175">
        <v>0</v>
      </c>
      <c r="BY167" s="175">
        <v>0</v>
      </c>
      <c r="BZ167" s="375">
        <f ca="1">SUM(BN167:OFFSET(BN167,0,$F$2-1))</f>
        <v>0</v>
      </c>
      <c r="CA167" s="419">
        <f t="shared" si="212"/>
        <v>0</v>
      </c>
      <c r="CB167" s="419">
        <f t="shared" si="213"/>
        <v>0</v>
      </c>
      <c r="CC167" s="419">
        <f t="shared" si="214"/>
        <v>0</v>
      </c>
      <c r="CD167" s="419">
        <f t="shared" si="215"/>
        <v>0</v>
      </c>
      <c r="CE167" s="178"/>
      <c r="CF167" s="97" t="s">
        <v>614</v>
      </c>
      <c r="CH167" s="175"/>
      <c r="CI167" s="175"/>
      <c r="CJ167" s="175">
        <f t="shared" si="220"/>
        <v>82</v>
      </c>
      <c r="CK167" s="175">
        <f t="shared" si="220"/>
        <v>81</v>
      </c>
      <c r="CL167" s="175">
        <f t="shared" si="220"/>
        <v>22</v>
      </c>
      <c r="CM167" s="175">
        <f t="shared" si="220"/>
        <v>46</v>
      </c>
      <c r="CN167" s="175">
        <f t="shared" si="220"/>
        <v>31</v>
      </c>
      <c r="CO167" s="175">
        <f t="shared" si="220"/>
        <v>33</v>
      </c>
      <c r="CP167" s="175">
        <f t="shared" si="220"/>
        <v>34</v>
      </c>
      <c r="CQ167" s="175">
        <f t="shared" si="220"/>
        <v>29</v>
      </c>
      <c r="CR167" s="175"/>
      <c r="CS167" s="175"/>
      <c r="CU167" s="175">
        <f>SUM(Y167:AC167)+SUM(BS167:BY167)</f>
        <v>408</v>
      </c>
      <c r="CV167" s="175" t="e">
        <v>#VALUE!</v>
      </c>
      <c r="CW167" s="175">
        <f>SUM(AV167:BG167)</f>
        <v>0</v>
      </c>
    </row>
    <row r="168" spans="2:101" outlineLevel="1">
      <c r="B168" s="97"/>
      <c r="C168" s="97"/>
      <c r="D168" s="97" t="s">
        <v>532</v>
      </c>
      <c r="F168" s="417" t="s">
        <v>15</v>
      </c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375">
        <f ca="1">SUM(G168:OFFSET(G168,0,$F$2-1))</f>
        <v>0</v>
      </c>
      <c r="T168" s="419">
        <f t="shared" si="200"/>
        <v>0</v>
      </c>
      <c r="U168" s="419">
        <f t="shared" si="201"/>
        <v>0</v>
      </c>
      <c r="V168" s="419">
        <f t="shared" si="202"/>
        <v>0</v>
      </c>
      <c r="W168" s="419">
        <f t="shared" si="203"/>
        <v>0</v>
      </c>
      <c r="X168" s="178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375"/>
      <c r="AL168" s="375"/>
      <c r="AM168" s="375"/>
      <c r="AN168" s="375"/>
      <c r="AO168" s="375"/>
      <c r="AP168" s="375"/>
      <c r="AQ168" s="419"/>
      <c r="AR168" s="419"/>
      <c r="AS168" s="419"/>
      <c r="AT168" s="419"/>
      <c r="AU168" s="181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375">
        <f ca="1">SUM(AV168:OFFSET(AV168,0,$F$2-1))</f>
        <v>0</v>
      </c>
      <c r="BI168" s="419">
        <f t="shared" si="208"/>
        <v>0</v>
      </c>
      <c r="BJ168" s="419">
        <f t="shared" si="209"/>
        <v>0</v>
      </c>
      <c r="BK168" s="419">
        <f t="shared" si="210"/>
        <v>0</v>
      </c>
      <c r="BL168" s="419">
        <f t="shared" si="211"/>
        <v>0</v>
      </c>
      <c r="BM168" s="178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>
        <v>0</v>
      </c>
      <c r="BZ168" s="375">
        <f ca="1">SUM(BN168:OFFSET(BN168,0,$F$2-1))</f>
        <v>0</v>
      </c>
      <c r="CA168" s="419">
        <f t="shared" si="212"/>
        <v>0</v>
      </c>
      <c r="CB168" s="419">
        <f t="shared" si="213"/>
        <v>0</v>
      </c>
      <c r="CC168" s="419">
        <f t="shared" si="214"/>
        <v>0</v>
      </c>
      <c r="CD168" s="419">
        <f t="shared" si="215"/>
        <v>0</v>
      </c>
      <c r="CE168" s="178"/>
      <c r="CF168" s="97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U168" s="175"/>
      <c r="CV168" s="175"/>
      <c r="CW168" s="175"/>
    </row>
    <row r="169" spans="2:101" outlineLevel="1">
      <c r="B169" s="97" t="s">
        <v>615</v>
      </c>
      <c r="C169" s="97" t="s">
        <v>9</v>
      </c>
      <c r="D169" s="97" t="s">
        <v>7</v>
      </c>
      <c r="F169" s="67" t="s">
        <v>7</v>
      </c>
      <c r="G169" s="175">
        <v>-11665</v>
      </c>
      <c r="H169" s="175">
        <v>-17556</v>
      </c>
      <c r="I169" s="175">
        <v>-14247</v>
      </c>
      <c r="J169" s="175">
        <v>-9748</v>
      </c>
      <c r="K169" s="175">
        <v>-11477</v>
      </c>
      <c r="L169" s="175">
        <v>-7143.92</v>
      </c>
      <c r="M169" s="175">
        <v>-8734.5499999999993</v>
      </c>
      <c r="N169" s="175">
        <v>-10224.459999999999</v>
      </c>
      <c r="O169" s="175">
        <v>-11511.17</v>
      </c>
      <c r="P169" s="175">
        <v>-11525.88</v>
      </c>
      <c r="Q169" s="175">
        <v>-15204.76</v>
      </c>
      <c r="R169" s="175">
        <v>-14591.58</v>
      </c>
      <c r="S169" s="375">
        <f ca="1">SUM(G169:OFFSET(G169,0,$F$2-1))</f>
        <v>-143629.31999999998</v>
      </c>
      <c r="T169" s="419">
        <f t="shared" si="200"/>
        <v>-43468</v>
      </c>
      <c r="U169" s="419">
        <f t="shared" si="201"/>
        <v>-28368.92</v>
      </c>
      <c r="V169" s="419">
        <f t="shared" si="202"/>
        <v>-30470.18</v>
      </c>
      <c r="W169" s="419">
        <f t="shared" si="203"/>
        <v>-41322.22</v>
      </c>
      <c r="X169" s="178"/>
      <c r="Y169" s="179">
        <v>-20106.560000000001</v>
      </c>
      <c r="Z169" s="179">
        <v>-19844.66</v>
      </c>
      <c r="AA169" s="179">
        <v>-17120.47</v>
      </c>
      <c r="AB169" s="179">
        <v>292545.93999999994</v>
      </c>
      <c r="AC169" s="179">
        <v>-14524.25</v>
      </c>
      <c r="AD169" s="179">
        <v>-11237.96</v>
      </c>
      <c r="AE169" s="179">
        <v>-12119.05</v>
      </c>
      <c r="AF169" s="179">
        <v>-13219.29</v>
      </c>
      <c r="AG169" s="179">
        <v>-117614.23999999999</v>
      </c>
      <c r="AH169" s="179">
        <f>242959.33-272365</f>
        <v>-29405.670000000013</v>
      </c>
      <c r="AI169" s="179">
        <v>-27292.91</v>
      </c>
      <c r="AJ169" s="179">
        <v>-29079</v>
      </c>
      <c r="AK169" s="375">
        <f ca="1">SUM(Y169:OFFSET(Y169,0,$F$2-1))</f>
        <v>-19018.12000000005</v>
      </c>
      <c r="AL169" s="375"/>
      <c r="AM169" s="375"/>
      <c r="AN169" s="375"/>
      <c r="AO169" s="375"/>
      <c r="AP169" s="375"/>
      <c r="AQ169" s="419">
        <f t="shared" si="204"/>
        <v>-57071.69</v>
      </c>
      <c r="AR169" s="419">
        <f t="shared" si="205"/>
        <v>266783.72999999992</v>
      </c>
      <c r="AS169" s="419">
        <f t="shared" si="206"/>
        <v>-142952.57999999999</v>
      </c>
      <c r="AT169" s="419">
        <f t="shared" si="207"/>
        <v>-85777.580000000016</v>
      </c>
      <c r="AU169" s="181"/>
      <c r="AV169" s="175">
        <v>-7143.92</v>
      </c>
      <c r="AW169" s="175">
        <v>-7143.92</v>
      </c>
      <c r="AX169" s="175">
        <v>-7143.92</v>
      </c>
      <c r="AY169" s="175">
        <v>-7143.92</v>
      </c>
      <c r="AZ169" s="175">
        <v>-7143.92</v>
      </c>
      <c r="BA169" s="175">
        <v>-7143.92</v>
      </c>
      <c r="BB169" s="175">
        <v>-7143.92</v>
      </c>
      <c r="BC169" s="175">
        <v>-7143.92</v>
      </c>
      <c r="BD169" s="175">
        <v>-7143.92</v>
      </c>
      <c r="BE169" s="175">
        <v>-7143.92</v>
      </c>
      <c r="BF169" s="175">
        <v>-7143.92</v>
      </c>
      <c r="BG169" s="175">
        <v>-7143.92</v>
      </c>
      <c r="BH169" s="375">
        <f ca="1">SUM(AV169:OFFSET(AV169,0,$F$2-1))</f>
        <v>-85727.039999999994</v>
      </c>
      <c r="BI169" s="419">
        <f t="shared" si="208"/>
        <v>-21431.760000000002</v>
      </c>
      <c r="BJ169" s="419">
        <f t="shared" si="209"/>
        <v>-21431.760000000002</v>
      </c>
      <c r="BK169" s="419">
        <f t="shared" si="210"/>
        <v>-21431.760000000002</v>
      </c>
      <c r="BL169" s="419">
        <f t="shared" si="211"/>
        <v>-21431.760000000002</v>
      </c>
      <c r="BM169" s="178"/>
      <c r="BN169" s="175"/>
      <c r="BO169" s="175"/>
      <c r="BP169" s="175">
        <v>-19975.61</v>
      </c>
      <c r="BQ169" s="175">
        <v>-17120.47</v>
      </c>
      <c r="BR169" s="175">
        <v>-15068.82732423852</v>
      </c>
      <c r="BS169" s="175">
        <v>-11379.672117990247</v>
      </c>
      <c r="BT169" s="175">
        <v>-11468.103659922241</v>
      </c>
      <c r="BU169" s="175">
        <v>-13424.293998743902</v>
      </c>
      <c r="BV169" s="175">
        <v>-15113.691123983161</v>
      </c>
      <c r="BW169" s="175">
        <v>-15133.004746875862</v>
      </c>
      <c r="BX169" s="175">
        <v>-32346.237000000016</v>
      </c>
      <c r="BY169" s="175">
        <v>-30022.201000000001</v>
      </c>
      <c r="BZ169" s="375">
        <f ca="1">SUM(BN169:OFFSET(BN169,0,$F$2-1))</f>
        <v>-181052.11097175392</v>
      </c>
      <c r="CA169" s="419">
        <f t="shared" si="212"/>
        <v>-19975.61</v>
      </c>
      <c r="CB169" s="419">
        <f t="shared" si="213"/>
        <v>-43568.969442228765</v>
      </c>
      <c r="CC169" s="419">
        <f t="shared" si="214"/>
        <v>-40006.088782649305</v>
      </c>
      <c r="CD169" s="419">
        <f t="shared" si="215"/>
        <v>-77501.44274687588</v>
      </c>
      <c r="CE169" s="178"/>
      <c r="CF169" s="97" t="s">
        <v>615</v>
      </c>
      <c r="CH169" s="175"/>
      <c r="CI169" s="175"/>
      <c r="CJ169" s="175">
        <f t="shared" ref="CJ169:CQ172" si="221">AA169-BP169</f>
        <v>2855.1399999999994</v>
      </c>
      <c r="CK169" s="175">
        <f t="shared" si="221"/>
        <v>309666.40999999992</v>
      </c>
      <c r="CL169" s="175">
        <f t="shared" si="221"/>
        <v>544.5773242385203</v>
      </c>
      <c r="CM169" s="175">
        <f t="shared" si="221"/>
        <v>141.71211799024786</v>
      </c>
      <c r="CN169" s="175">
        <f t="shared" si="221"/>
        <v>-650.94634007775858</v>
      </c>
      <c r="CO169" s="175">
        <f t="shared" si="221"/>
        <v>205.00399874390132</v>
      </c>
      <c r="CP169" s="175">
        <f t="shared" si="221"/>
        <v>-102500.54887601684</v>
      </c>
      <c r="CQ169" s="175">
        <f t="shared" si="221"/>
        <v>-14272.665253124151</v>
      </c>
      <c r="CR169" s="175"/>
      <c r="CS169" s="175"/>
      <c r="CU169" s="175">
        <f>SUM(Y169:AC169)+SUM(BS169:BY169)</f>
        <v>92062.796352484525</v>
      </c>
      <c r="CV169" s="175">
        <v>115005.63945594226</v>
      </c>
      <c r="CW169" s="175">
        <f>SUM(AV169:BG169)</f>
        <v>-85727.039999999994</v>
      </c>
    </row>
    <row r="170" spans="2:101" outlineLevel="1">
      <c r="B170" s="97" t="s">
        <v>616</v>
      </c>
      <c r="C170" s="97" t="s">
        <v>9</v>
      </c>
      <c r="D170" s="97" t="s">
        <v>8</v>
      </c>
      <c r="F170" s="67" t="s">
        <v>8</v>
      </c>
      <c r="G170" s="175">
        <v>-18626</v>
      </c>
      <c r="H170" s="175">
        <v>-6870</v>
      </c>
      <c r="I170" s="175">
        <v>-6414</v>
      </c>
      <c r="J170" s="175">
        <v>-6860</v>
      </c>
      <c r="K170" s="175">
        <v>-6446</v>
      </c>
      <c r="L170" s="175">
        <v>-5033.3999999999996</v>
      </c>
      <c r="M170" s="175">
        <v>-6158.59</v>
      </c>
      <c r="N170" s="175">
        <v>-6357.24</v>
      </c>
      <c r="O170" s="175">
        <v>-8147.03</v>
      </c>
      <c r="P170" s="175">
        <v>-6405.8</v>
      </c>
      <c r="Q170" s="175">
        <v>-6865.72</v>
      </c>
      <c r="R170" s="175">
        <v>-2356.21</v>
      </c>
      <c r="S170" s="375">
        <f ca="1">SUM(G170:OFFSET(G170,0,$F$2-1))</f>
        <v>-86539.99000000002</v>
      </c>
      <c r="T170" s="419">
        <f t="shared" si="200"/>
        <v>-31910</v>
      </c>
      <c r="U170" s="419">
        <f t="shared" si="201"/>
        <v>-18339.400000000001</v>
      </c>
      <c r="V170" s="419">
        <f t="shared" si="202"/>
        <v>-20662.86</v>
      </c>
      <c r="W170" s="419">
        <f t="shared" si="203"/>
        <v>-15627.73</v>
      </c>
      <c r="X170" s="178"/>
      <c r="Y170" s="179">
        <v>-6388.36</v>
      </c>
      <c r="Z170" s="179">
        <v>-5493.43</v>
      </c>
      <c r="AA170" s="179">
        <v>-8865.5400000000009</v>
      </c>
      <c r="AB170" s="179">
        <v>142928.90000000002</v>
      </c>
      <c r="AC170" s="179">
        <v>-5452.46</v>
      </c>
      <c r="AD170" s="179">
        <v>-4986.6400000000003</v>
      </c>
      <c r="AE170" s="179">
        <v>-7320.88</v>
      </c>
      <c r="AF170" s="179">
        <v>-6537.94</v>
      </c>
      <c r="AG170" s="179">
        <v>-47784.87</v>
      </c>
      <c r="AH170" s="179">
        <f>101733.82-114220</f>
        <v>-12486.179999999993</v>
      </c>
      <c r="AI170" s="179">
        <v>-7844.42</v>
      </c>
      <c r="AJ170" s="179">
        <v>-11007.12</v>
      </c>
      <c r="AK170" s="375">
        <f ca="1">SUM(Y170:OFFSET(Y170,0,$F$2-1))</f>
        <v>18761.060000000012</v>
      </c>
      <c r="AL170" s="375"/>
      <c r="AM170" s="375"/>
      <c r="AN170" s="375"/>
      <c r="AO170" s="375"/>
      <c r="AP170" s="375"/>
      <c r="AQ170" s="419">
        <f t="shared" si="204"/>
        <v>-20747.330000000002</v>
      </c>
      <c r="AR170" s="419">
        <f t="shared" si="205"/>
        <v>132489.80000000002</v>
      </c>
      <c r="AS170" s="419">
        <f t="shared" si="206"/>
        <v>-61643.69</v>
      </c>
      <c r="AT170" s="419">
        <f t="shared" si="207"/>
        <v>-31337.719999999994</v>
      </c>
      <c r="AU170" s="181"/>
      <c r="AV170" s="175">
        <v>-5033.3999999999996</v>
      </c>
      <c r="AW170" s="175">
        <v>-5033.3999999999996</v>
      </c>
      <c r="AX170" s="175">
        <v>-5033.3999999999996</v>
      </c>
      <c r="AY170" s="175">
        <v>-5033.3999999999996</v>
      </c>
      <c r="AZ170" s="175">
        <v>-5033.3999999999996</v>
      </c>
      <c r="BA170" s="175">
        <v>-5033.3999999999996</v>
      </c>
      <c r="BB170" s="175">
        <v>-5033.3999999999996</v>
      </c>
      <c r="BC170" s="175">
        <v>-5033.3999999999996</v>
      </c>
      <c r="BD170" s="175">
        <v>-5033.3999999999996</v>
      </c>
      <c r="BE170" s="175">
        <v>-5033.3999999999996</v>
      </c>
      <c r="BF170" s="175">
        <v>-5033.3999999999996</v>
      </c>
      <c r="BG170" s="175">
        <v>-5033.3999999999996</v>
      </c>
      <c r="BH170" s="375">
        <f ca="1">SUM(AV170:OFFSET(AV170,0,$F$2-1))</f>
        <v>-60400.80000000001</v>
      </c>
      <c r="BI170" s="419">
        <f t="shared" si="208"/>
        <v>-15100.199999999999</v>
      </c>
      <c r="BJ170" s="419">
        <f t="shared" si="209"/>
        <v>-15100.199999999999</v>
      </c>
      <c r="BK170" s="419">
        <f t="shared" si="210"/>
        <v>-15100.199999999999</v>
      </c>
      <c r="BL170" s="419">
        <f t="shared" si="211"/>
        <v>-15100.199999999999</v>
      </c>
      <c r="BM170" s="178"/>
      <c r="BN170" s="175"/>
      <c r="BO170" s="175"/>
      <c r="BP170" s="175">
        <v>-5940.8950000000004</v>
      </c>
      <c r="BQ170" s="175">
        <v>-8865.5400000000009</v>
      </c>
      <c r="BR170" s="175">
        <v>-8866</v>
      </c>
      <c r="BS170" s="175">
        <v>-8865.5400000000009</v>
      </c>
      <c r="BT170" s="175">
        <v>-8865.5400000000009</v>
      </c>
      <c r="BU170" s="175">
        <v>-8865.5400000000009</v>
      </c>
      <c r="BV170" s="175">
        <v>-6537.94</v>
      </c>
      <c r="BW170" s="175">
        <v>-6537.94</v>
      </c>
      <c r="BX170" s="175">
        <v>-13734.797999999993</v>
      </c>
      <c r="BY170" s="175">
        <v>-8628.862000000001</v>
      </c>
      <c r="BZ170" s="375">
        <f ca="1">SUM(BN170:OFFSET(BN170,0,$F$2-1))</f>
        <v>-85708.595000000001</v>
      </c>
      <c r="CA170" s="419">
        <f t="shared" si="212"/>
        <v>-5940.8950000000004</v>
      </c>
      <c r="CB170" s="419">
        <f t="shared" si="213"/>
        <v>-26597.08</v>
      </c>
      <c r="CC170" s="419">
        <f t="shared" si="214"/>
        <v>-24269.02</v>
      </c>
      <c r="CD170" s="419">
        <f t="shared" si="215"/>
        <v>-28901.599999999995</v>
      </c>
      <c r="CE170" s="178"/>
      <c r="CF170" s="97" t="s">
        <v>616</v>
      </c>
      <c r="CH170" s="175"/>
      <c r="CI170" s="175"/>
      <c r="CJ170" s="175">
        <f t="shared" si="221"/>
        <v>-2924.6450000000004</v>
      </c>
      <c r="CK170" s="175">
        <f t="shared" si="221"/>
        <v>151794.44000000003</v>
      </c>
      <c r="CL170" s="175">
        <f t="shared" si="221"/>
        <v>3413.54</v>
      </c>
      <c r="CM170" s="175">
        <f t="shared" si="221"/>
        <v>3878.9000000000005</v>
      </c>
      <c r="CN170" s="175">
        <f t="shared" si="221"/>
        <v>1544.6600000000008</v>
      </c>
      <c r="CO170" s="175">
        <f t="shared" si="221"/>
        <v>2327.6000000000013</v>
      </c>
      <c r="CP170" s="175">
        <f t="shared" si="221"/>
        <v>-41246.93</v>
      </c>
      <c r="CQ170" s="175">
        <f t="shared" si="221"/>
        <v>-5948.2399999999934</v>
      </c>
      <c r="CR170" s="175"/>
      <c r="CS170" s="175"/>
      <c r="CU170" s="175">
        <f>SUM(Y170:AC170)+SUM(BS170:BY170)</f>
        <v>54692.950000000012</v>
      </c>
      <c r="CV170" s="175" t="e">
        <v>#VALUE!</v>
      </c>
      <c r="CW170" s="175">
        <f>SUM(AV170:BG170)</f>
        <v>-60400.80000000001</v>
      </c>
    </row>
    <row r="171" spans="2:101" outlineLevel="1">
      <c r="B171" s="97" t="s">
        <v>617</v>
      </c>
      <c r="C171" s="97" t="s">
        <v>9</v>
      </c>
      <c r="D171" s="97" t="s">
        <v>4</v>
      </c>
      <c r="F171" s="67" t="s">
        <v>4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v>0</v>
      </c>
      <c r="Q171" s="175">
        <v>0</v>
      </c>
      <c r="R171" s="175">
        <v>0</v>
      </c>
      <c r="S171" s="375">
        <f ca="1">SUM(G171:OFFSET(G171,0,$F$2-1))</f>
        <v>0</v>
      </c>
      <c r="T171" s="419">
        <f t="shared" si="200"/>
        <v>0</v>
      </c>
      <c r="U171" s="419">
        <f t="shared" si="201"/>
        <v>0</v>
      </c>
      <c r="V171" s="419">
        <f t="shared" si="202"/>
        <v>0</v>
      </c>
      <c r="W171" s="419">
        <f t="shared" si="203"/>
        <v>0</v>
      </c>
      <c r="X171" s="178"/>
      <c r="Y171" s="179">
        <v>0</v>
      </c>
      <c r="Z171" s="179">
        <v>0</v>
      </c>
      <c r="AA171" s="179">
        <v>0</v>
      </c>
      <c r="AB171" s="179">
        <v>0</v>
      </c>
      <c r="AC171" s="179">
        <v>0</v>
      </c>
      <c r="AD171" s="179">
        <v>0</v>
      </c>
      <c r="AE171" s="179">
        <v>0</v>
      </c>
      <c r="AF171" s="179">
        <v>0</v>
      </c>
      <c r="AG171" s="179">
        <v>0</v>
      </c>
      <c r="AH171" s="179">
        <v>0</v>
      </c>
      <c r="AI171" s="179">
        <v>0</v>
      </c>
      <c r="AJ171" s="179">
        <v>0</v>
      </c>
      <c r="AK171" s="375">
        <f ca="1">SUM(Y171:OFFSET(Y171,0,$F$2-1))</f>
        <v>0</v>
      </c>
      <c r="AL171" s="375"/>
      <c r="AM171" s="375"/>
      <c r="AN171" s="375"/>
      <c r="AO171" s="375"/>
      <c r="AP171" s="375"/>
      <c r="AQ171" s="419">
        <f t="shared" si="204"/>
        <v>0</v>
      </c>
      <c r="AR171" s="419">
        <f t="shared" si="205"/>
        <v>0</v>
      </c>
      <c r="AS171" s="419">
        <f t="shared" si="206"/>
        <v>0</v>
      </c>
      <c r="AT171" s="419">
        <f t="shared" si="207"/>
        <v>0</v>
      </c>
      <c r="AU171" s="181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375">
        <f ca="1">SUM(AV171:OFFSET(AV171,0,$F$2-1))</f>
        <v>0</v>
      </c>
      <c r="BI171" s="419">
        <f t="shared" si="208"/>
        <v>0</v>
      </c>
      <c r="BJ171" s="419">
        <f t="shared" si="209"/>
        <v>0</v>
      </c>
      <c r="BK171" s="419">
        <f t="shared" si="210"/>
        <v>0</v>
      </c>
      <c r="BL171" s="419">
        <f t="shared" si="211"/>
        <v>0</v>
      </c>
      <c r="BM171" s="178"/>
      <c r="BN171" s="175"/>
      <c r="BO171" s="175"/>
      <c r="BP171" s="175">
        <v>0</v>
      </c>
      <c r="BQ171" s="175">
        <v>0</v>
      </c>
      <c r="BR171" s="175">
        <v>0</v>
      </c>
      <c r="BS171" s="175">
        <v>0</v>
      </c>
      <c r="BT171" s="175">
        <v>0</v>
      </c>
      <c r="BU171" s="175">
        <v>0</v>
      </c>
      <c r="BV171" s="175">
        <v>0</v>
      </c>
      <c r="BW171" s="175">
        <v>0</v>
      </c>
      <c r="BX171" s="175">
        <v>0</v>
      </c>
      <c r="BY171" s="175">
        <v>0</v>
      </c>
      <c r="BZ171" s="375">
        <f ca="1">SUM(BN171:OFFSET(BN171,0,$F$2-1))</f>
        <v>0</v>
      </c>
      <c r="CA171" s="419">
        <f t="shared" si="212"/>
        <v>0</v>
      </c>
      <c r="CB171" s="419">
        <f t="shared" si="213"/>
        <v>0</v>
      </c>
      <c r="CC171" s="419">
        <f t="shared" si="214"/>
        <v>0</v>
      </c>
      <c r="CD171" s="419">
        <f t="shared" si="215"/>
        <v>0</v>
      </c>
      <c r="CE171" s="178"/>
      <c r="CF171" s="97" t="s">
        <v>617</v>
      </c>
      <c r="CH171" s="175"/>
      <c r="CI171" s="175"/>
      <c r="CJ171" s="175">
        <f t="shared" si="221"/>
        <v>0</v>
      </c>
      <c r="CK171" s="175">
        <f t="shared" si="221"/>
        <v>0</v>
      </c>
      <c r="CL171" s="175">
        <f t="shared" si="221"/>
        <v>0</v>
      </c>
      <c r="CM171" s="175">
        <f t="shared" si="221"/>
        <v>0</v>
      </c>
      <c r="CN171" s="175">
        <f t="shared" si="221"/>
        <v>0</v>
      </c>
      <c r="CO171" s="175">
        <f t="shared" si="221"/>
        <v>0</v>
      </c>
      <c r="CP171" s="175">
        <f t="shared" si="221"/>
        <v>0</v>
      </c>
      <c r="CQ171" s="175">
        <f t="shared" si="221"/>
        <v>0</v>
      </c>
      <c r="CR171" s="175"/>
      <c r="CS171" s="175"/>
      <c r="CU171" s="175">
        <f>SUM(Y171:AC171)+SUM(BS171:BY171)</f>
        <v>0</v>
      </c>
      <c r="CV171" s="175" t="e">
        <v>#VALUE!</v>
      </c>
      <c r="CW171" s="175">
        <f>SUM(AV171:BG171)</f>
        <v>0</v>
      </c>
    </row>
    <row r="172" spans="2:101" outlineLevel="1">
      <c r="B172" s="97" t="s">
        <v>618</v>
      </c>
      <c r="C172" s="97" t="s">
        <v>9</v>
      </c>
      <c r="D172" s="97" t="s">
        <v>5</v>
      </c>
      <c r="F172" s="67" t="s">
        <v>5</v>
      </c>
      <c r="G172" s="175">
        <v>0</v>
      </c>
      <c r="H172" s="175">
        <v>0</v>
      </c>
      <c r="I172" s="175">
        <v>0</v>
      </c>
      <c r="J172" s="175">
        <v>0</v>
      </c>
      <c r="K172" s="175">
        <v>0</v>
      </c>
      <c r="L172" s="175">
        <v>0</v>
      </c>
      <c r="M172" s="175">
        <v>0</v>
      </c>
      <c r="N172" s="175">
        <v>0</v>
      </c>
      <c r="O172" s="175">
        <v>0</v>
      </c>
      <c r="P172" s="175">
        <v>0</v>
      </c>
      <c r="Q172" s="175">
        <v>0</v>
      </c>
      <c r="R172" s="175">
        <v>0</v>
      </c>
      <c r="S172" s="375">
        <f ca="1">SUM(G172:OFFSET(G172,0,$F$2-1))</f>
        <v>0</v>
      </c>
      <c r="T172" s="419">
        <f t="shared" si="200"/>
        <v>0</v>
      </c>
      <c r="U172" s="419">
        <f t="shared" si="201"/>
        <v>0</v>
      </c>
      <c r="V172" s="419">
        <f t="shared" si="202"/>
        <v>0</v>
      </c>
      <c r="W172" s="419">
        <f t="shared" si="203"/>
        <v>0</v>
      </c>
      <c r="X172" s="178"/>
      <c r="Y172" s="179">
        <v>-23.71</v>
      </c>
      <c r="Z172" s="179">
        <v>-66.14</v>
      </c>
      <c r="AA172" s="179">
        <v>-1.6800000000000002</v>
      </c>
      <c r="AB172" s="179">
        <v>-9.44</v>
      </c>
      <c r="AC172" s="179">
        <v>-10.92</v>
      </c>
      <c r="AD172" s="179">
        <v>20.34</v>
      </c>
      <c r="AE172" s="179">
        <v>16.43</v>
      </c>
      <c r="AF172" s="179">
        <v>75.12</v>
      </c>
      <c r="AG172" s="179">
        <v>0</v>
      </c>
      <c r="AH172" s="179">
        <v>0</v>
      </c>
      <c r="AI172" s="179">
        <v>-17.75</v>
      </c>
      <c r="AJ172" s="179">
        <v>-73.09</v>
      </c>
      <c r="AK172" s="375">
        <f ca="1">SUM(Y172:OFFSET(Y172,0,$F$2-1))</f>
        <v>-90.84</v>
      </c>
      <c r="AL172" s="375"/>
      <c r="AM172" s="375"/>
      <c r="AN172" s="375"/>
      <c r="AO172" s="375"/>
      <c r="AP172" s="375"/>
      <c r="AQ172" s="419">
        <f t="shared" si="204"/>
        <v>-91.53</v>
      </c>
      <c r="AR172" s="419">
        <f t="shared" si="205"/>
        <v>-1.9999999999999574E-2</v>
      </c>
      <c r="AS172" s="419">
        <f t="shared" si="206"/>
        <v>91.550000000000011</v>
      </c>
      <c r="AT172" s="419">
        <f t="shared" si="207"/>
        <v>-90.84</v>
      </c>
      <c r="AU172" s="181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375">
        <f ca="1">SUM(AV172:OFFSET(AV172,0,$F$2-1))</f>
        <v>0</v>
      </c>
      <c r="BI172" s="419">
        <f t="shared" si="208"/>
        <v>0</v>
      </c>
      <c r="BJ172" s="419">
        <f t="shared" si="209"/>
        <v>0</v>
      </c>
      <c r="BK172" s="419">
        <f t="shared" si="210"/>
        <v>0</v>
      </c>
      <c r="BL172" s="419">
        <f t="shared" si="211"/>
        <v>0</v>
      </c>
      <c r="BM172" s="178"/>
      <c r="BN172" s="175"/>
      <c r="BO172" s="175"/>
      <c r="BP172" s="175">
        <v>-44.924999999999997</v>
      </c>
      <c r="BQ172" s="175">
        <v>-30.51</v>
      </c>
      <c r="BR172" s="175">
        <v>-30.51</v>
      </c>
      <c r="BS172" s="175">
        <v>-23.71</v>
      </c>
      <c r="BT172" s="175">
        <v>-23.71</v>
      </c>
      <c r="BU172" s="175">
        <v>-23.71</v>
      </c>
      <c r="BV172" s="175">
        <v>0</v>
      </c>
      <c r="BW172" s="175">
        <v>0</v>
      </c>
      <c r="BX172" s="175">
        <v>0</v>
      </c>
      <c r="BY172" s="175">
        <v>0</v>
      </c>
      <c r="BZ172" s="375">
        <f ca="1">SUM(BN172:OFFSET(BN172,0,$F$2-1))</f>
        <v>-177.07500000000002</v>
      </c>
      <c r="CA172" s="419">
        <f t="shared" si="212"/>
        <v>-44.924999999999997</v>
      </c>
      <c r="CB172" s="419">
        <f t="shared" si="213"/>
        <v>-84.73</v>
      </c>
      <c r="CC172" s="419">
        <f t="shared" si="214"/>
        <v>-47.42</v>
      </c>
      <c r="CD172" s="419">
        <f t="shared" si="215"/>
        <v>0</v>
      </c>
      <c r="CE172" s="178"/>
      <c r="CF172" s="97" t="s">
        <v>618</v>
      </c>
      <c r="CH172" s="175"/>
      <c r="CI172" s="175"/>
      <c r="CJ172" s="175">
        <f t="shared" si="221"/>
        <v>43.244999999999997</v>
      </c>
      <c r="CK172" s="175">
        <f t="shared" si="221"/>
        <v>21.07</v>
      </c>
      <c r="CL172" s="175">
        <f t="shared" si="221"/>
        <v>19.590000000000003</v>
      </c>
      <c r="CM172" s="175">
        <f t="shared" si="221"/>
        <v>44.05</v>
      </c>
      <c r="CN172" s="175">
        <f t="shared" si="221"/>
        <v>40.14</v>
      </c>
      <c r="CO172" s="175">
        <f t="shared" si="221"/>
        <v>98.830000000000013</v>
      </c>
      <c r="CP172" s="175">
        <f t="shared" si="221"/>
        <v>0</v>
      </c>
      <c r="CQ172" s="175">
        <f t="shared" si="221"/>
        <v>0</v>
      </c>
      <c r="CR172" s="175"/>
      <c r="CS172" s="175"/>
      <c r="CU172" s="175">
        <f>SUM(Y172:AC172)+SUM(BS172:BY172)</f>
        <v>-183.01999999999998</v>
      </c>
      <c r="CV172" s="175" t="e">
        <v>#VALUE!</v>
      </c>
      <c r="CW172" s="175">
        <f>SUM(AV172:BG172)</f>
        <v>0</v>
      </c>
    </row>
    <row r="173" spans="2:101">
      <c r="B173" s="97"/>
      <c r="C173" s="97"/>
      <c r="D173" s="97" t="s">
        <v>532</v>
      </c>
      <c r="F173" s="406" t="s">
        <v>237</v>
      </c>
      <c r="G173" s="407">
        <f t="shared" ref="G173:R173" si="222">SUM(G134:G172)</f>
        <v>1372329</v>
      </c>
      <c r="H173" s="407">
        <f t="shared" si="222"/>
        <v>1421901</v>
      </c>
      <c r="I173" s="407">
        <f t="shared" si="222"/>
        <v>2015593</v>
      </c>
      <c r="J173" s="407">
        <f t="shared" si="222"/>
        <v>1111257</v>
      </c>
      <c r="K173" s="407">
        <f t="shared" si="222"/>
        <v>1315034</v>
      </c>
      <c r="L173" s="407">
        <f t="shared" si="222"/>
        <v>1380307.8100000003</v>
      </c>
      <c r="M173" s="407">
        <f t="shared" si="222"/>
        <v>1302177.8899999999</v>
      </c>
      <c r="N173" s="407">
        <f t="shared" si="222"/>
        <v>1465895.1300000001</v>
      </c>
      <c r="O173" s="407">
        <f t="shared" si="222"/>
        <v>1530007.2699999998</v>
      </c>
      <c r="P173" s="407">
        <f t="shared" si="222"/>
        <v>1688229.1600000001</v>
      </c>
      <c r="Q173" s="407">
        <f t="shared" si="222"/>
        <v>1624183.2</v>
      </c>
      <c r="R173" s="407">
        <f t="shared" si="222"/>
        <v>1750404.08</v>
      </c>
      <c r="S173" s="407">
        <f ca="1">SUM(S134:S172)</f>
        <v>17977318.539999999</v>
      </c>
      <c r="T173" s="407">
        <f>SUM(T134:T172)</f>
        <v>4809823</v>
      </c>
      <c r="U173" s="407">
        <f>SUM(U134:U172)</f>
        <v>3806598.810000001</v>
      </c>
      <c r="V173" s="407">
        <f>SUM(V134:V172)</f>
        <v>4298080.29</v>
      </c>
      <c r="W173" s="407">
        <f>SUM(W134:W172)</f>
        <v>5062816.4400000004</v>
      </c>
      <c r="X173" s="178"/>
      <c r="Y173" s="430">
        <f t="shared" ref="Y173:AJ173" si="223">SUM(Y134:Y172)</f>
        <v>1423190.9999999998</v>
      </c>
      <c r="Z173" s="430">
        <f t="shared" si="223"/>
        <v>1656872.8000000005</v>
      </c>
      <c r="AA173" s="430">
        <f t="shared" si="223"/>
        <v>1668186.1800000002</v>
      </c>
      <c r="AB173" s="430">
        <f t="shared" si="223"/>
        <v>1979294.7200000002</v>
      </c>
      <c r="AC173" s="430">
        <f t="shared" si="223"/>
        <v>1618918.39</v>
      </c>
      <c r="AD173" s="430">
        <f t="shared" si="223"/>
        <v>1634700.4500000004</v>
      </c>
      <c r="AE173" s="430">
        <f t="shared" si="223"/>
        <v>1638218.4600000002</v>
      </c>
      <c r="AF173" s="430">
        <f t="shared" si="223"/>
        <v>1853721.06</v>
      </c>
      <c r="AG173" s="430">
        <f>SUM(AG134:AG172)</f>
        <v>1426501.2399999998</v>
      </c>
      <c r="AH173" s="430">
        <f t="shared" si="223"/>
        <v>1983372.07</v>
      </c>
      <c r="AI173" s="430">
        <f t="shared" si="223"/>
        <v>2054567.06</v>
      </c>
      <c r="AJ173" s="430">
        <f t="shared" si="223"/>
        <v>1750579.4100000043</v>
      </c>
      <c r="AK173" s="407">
        <f ca="1">SUM(AK134:AK172)</f>
        <v>20688122.839999996</v>
      </c>
      <c r="AL173" s="407"/>
      <c r="AM173" s="407"/>
      <c r="AN173" s="407"/>
      <c r="AO173" s="407"/>
      <c r="AP173" s="407"/>
      <c r="AQ173" s="407">
        <f>SUM(AQ134:AQ172)</f>
        <v>4748249.9799999995</v>
      </c>
      <c r="AR173" s="407">
        <f>SUM(AR134:AR172)</f>
        <v>5232913.5600000005</v>
      </c>
      <c r="AS173" s="407">
        <f>SUM(AS134:AS172)</f>
        <v>4918440.7599999988</v>
      </c>
      <c r="AT173" s="407">
        <f>SUM(AT134:AT172)</f>
        <v>5788518.5400000038</v>
      </c>
      <c r="AU173" s="181"/>
      <c r="AV173" s="407">
        <f t="shared" ref="AV173:BG173" si="224">SUM(AV134:AV172)</f>
        <v>1559564.1983363265</v>
      </c>
      <c r="AW173" s="407">
        <f t="shared" si="224"/>
        <v>1507741.6093141043</v>
      </c>
      <c r="AX173" s="407">
        <f t="shared" si="224"/>
        <v>1847177.9029702153</v>
      </c>
      <c r="AY173" s="407">
        <f t="shared" si="224"/>
        <v>1498984.5475446598</v>
      </c>
      <c r="AZ173" s="407">
        <f t="shared" si="224"/>
        <v>1606126.7847974377</v>
      </c>
      <c r="BA173" s="407">
        <f t="shared" si="224"/>
        <v>1670855.9822594128</v>
      </c>
      <c r="BB173" s="407">
        <f t="shared" si="224"/>
        <v>1681225.2177097867</v>
      </c>
      <c r="BC173" s="407">
        <f t="shared" si="224"/>
        <v>1750965.1572985179</v>
      </c>
      <c r="BD173" s="407">
        <f t="shared" si="224"/>
        <v>1693852.0590100267</v>
      </c>
      <c r="BE173" s="407">
        <f t="shared" si="224"/>
        <v>1842358.2666761857</v>
      </c>
      <c r="BF173" s="407">
        <f t="shared" si="224"/>
        <v>1894660.7630663638</v>
      </c>
      <c r="BG173" s="407">
        <f t="shared" si="224"/>
        <v>1925020.4920152391</v>
      </c>
      <c r="BH173" s="407">
        <f ca="1">SUM(BH134:BH172)</f>
        <v>20478532.980998266</v>
      </c>
      <c r="BI173" s="407">
        <f>SUM(BI134:BI172)</f>
        <v>4914483.7106206454</v>
      </c>
      <c r="BJ173" s="407">
        <f>SUM(BJ134:BJ172)</f>
        <v>4775967.3146015098</v>
      </c>
      <c r="BK173" s="407">
        <f>SUM(BK134:BK172)</f>
        <v>5126042.4340183306</v>
      </c>
      <c r="BL173" s="407">
        <f>SUM(BL134:BL172)</f>
        <v>5662039.521757788</v>
      </c>
      <c r="BM173" s="178"/>
      <c r="BN173" s="407">
        <f t="shared" ref="BN173:BY173" si="225">SUM(BN134:BN172)</f>
        <v>0</v>
      </c>
      <c r="BO173" s="407">
        <f t="shared" si="225"/>
        <v>0</v>
      </c>
      <c r="BP173" s="407">
        <f t="shared" si="225"/>
        <v>1615893.7306044507</v>
      </c>
      <c r="BQ173" s="407">
        <f t="shared" si="225"/>
        <v>1498156.2518220274</v>
      </c>
      <c r="BR173" s="407">
        <f t="shared" si="225"/>
        <v>1577237.1109199072</v>
      </c>
      <c r="BS173" s="407">
        <f t="shared" si="225"/>
        <v>1550020.537530273</v>
      </c>
      <c r="BT173" s="407">
        <f t="shared" si="225"/>
        <v>1637222.3713569511</v>
      </c>
      <c r="BU173" s="407">
        <f t="shared" si="225"/>
        <v>1712427.9232471092</v>
      </c>
      <c r="BV173" s="407">
        <f t="shared" si="225"/>
        <v>1727774.9228533779</v>
      </c>
      <c r="BW173" s="407">
        <f t="shared" si="225"/>
        <v>1785920.1860402494</v>
      </c>
      <c r="BX173" s="407">
        <f t="shared" si="225"/>
        <v>1762590.4771353959</v>
      </c>
      <c r="BY173" s="407">
        <f t="shared" si="225"/>
        <v>1695678.7317510287</v>
      </c>
      <c r="BZ173" s="407">
        <f ca="1">SUM(BZ134:BZ172)</f>
        <v>16562922.243260771</v>
      </c>
      <c r="CA173" s="407">
        <f>SUM(CA134:CA172)</f>
        <v>1615893.7306044507</v>
      </c>
      <c r="CB173" s="407">
        <f>SUM(CB134:CB172)</f>
        <v>4625413.9002722064</v>
      </c>
      <c r="CC173" s="407">
        <f>SUM(CC134:CC172)</f>
        <v>5077425.2174574379</v>
      </c>
      <c r="CD173" s="407">
        <f>SUM(CD134:CD172)</f>
        <v>5244189.3949266747</v>
      </c>
      <c r="CE173" s="178"/>
      <c r="CF173" s="97"/>
      <c r="CH173" s="407"/>
      <c r="CI173" s="407"/>
      <c r="CJ173" s="407">
        <f t="shared" ref="CJ173:CS173" si="226">SUM(CJ134:CJ172)</f>
        <v>52292.449395549025</v>
      </c>
      <c r="CK173" s="407">
        <f t="shared" si="226"/>
        <v>481138.46817797254</v>
      </c>
      <c r="CL173" s="407">
        <f t="shared" si="226"/>
        <v>41681.279080092427</v>
      </c>
      <c r="CM173" s="407">
        <f t="shared" si="226"/>
        <v>84679.912469727133</v>
      </c>
      <c r="CN173" s="407">
        <f t="shared" si="226"/>
        <v>996.08864304923588</v>
      </c>
      <c r="CO173" s="407">
        <f>SUM(CO134:CO172)</f>
        <v>141293.13675289083</v>
      </c>
      <c r="CP173" s="407">
        <f>SUM(CP134:CP172)</f>
        <v>-301273.68285337806</v>
      </c>
      <c r="CQ173" s="407">
        <f>SUM(CQ134:CQ172)</f>
        <v>197451.88395975076</v>
      </c>
      <c r="CR173" s="407">
        <f t="shared" si="226"/>
        <v>0</v>
      </c>
      <c r="CS173" s="407">
        <f t="shared" si="226"/>
        <v>0</v>
      </c>
      <c r="CU173" s="407">
        <f>SUM(CU134:CU172)</f>
        <v>20218098.239914384</v>
      </c>
      <c r="CV173" s="407" t="e">
        <f>SUM(CV134:CV172)</f>
        <v>#VALUE!</v>
      </c>
      <c r="CW173" s="407">
        <f>SUM(CW134:CW172)</f>
        <v>20478532.980998266</v>
      </c>
    </row>
    <row r="174" spans="2:101">
      <c r="B174" s="97"/>
      <c r="C174" s="97"/>
      <c r="D174" s="97" t="s">
        <v>532</v>
      </c>
      <c r="F174" s="289" t="s">
        <v>238</v>
      </c>
      <c r="G174" s="407">
        <f t="shared" ref="G174:R174" si="227">+G104+G115+G173</f>
        <v>7303773.3749999879</v>
      </c>
      <c r="H174" s="407">
        <f t="shared" si="227"/>
        <v>7024762.6000000099</v>
      </c>
      <c r="I174" s="407">
        <f t="shared" si="227"/>
        <v>7441239.2699999753</v>
      </c>
      <c r="J174" s="407">
        <f t="shared" si="227"/>
        <v>5871804.6099999631</v>
      </c>
      <c r="K174" s="407">
        <f t="shared" si="227"/>
        <v>6028328.2399999741</v>
      </c>
      <c r="L174" s="407">
        <f t="shared" si="227"/>
        <v>5901105.1999999974</v>
      </c>
      <c r="M174" s="407">
        <f t="shared" si="227"/>
        <v>5872823.0800000001</v>
      </c>
      <c r="N174" s="407">
        <f t="shared" si="227"/>
        <v>5968085.769999993</v>
      </c>
      <c r="O174" s="407">
        <f t="shared" si="227"/>
        <v>5991493.0799999945</v>
      </c>
      <c r="P174" s="407">
        <f t="shared" si="227"/>
        <v>6293461.72000001</v>
      </c>
      <c r="Q174" s="407">
        <f t="shared" si="227"/>
        <v>6558316.609999991</v>
      </c>
      <c r="R174" s="407">
        <f t="shared" si="227"/>
        <v>7548269.7099999813</v>
      </c>
      <c r="S174" s="407">
        <f ca="1">SUM(S130,S173)</f>
        <v>77803463.264999866</v>
      </c>
      <c r="T174" s="407">
        <f>SUM(T130,T173)</f>
        <v>21769775.244999979</v>
      </c>
      <c r="U174" s="407">
        <f>SUM(U130,U173)</f>
        <v>17801238.049999934</v>
      </c>
      <c r="V174" s="407">
        <f>SUM(V130,V173)</f>
        <v>17832401.929999989</v>
      </c>
      <c r="W174" s="407">
        <f>SUM(W130,W173)</f>
        <v>20400048.039999977</v>
      </c>
      <c r="X174" s="386"/>
      <c r="Y174" s="407">
        <f t="shared" ref="Y174:AJ174" si="228">+Y104+Y115+Y173</f>
        <v>7813498.3599999957</v>
      </c>
      <c r="Z174" s="407">
        <f t="shared" si="228"/>
        <v>7366038.3499999912</v>
      </c>
      <c r="AA174" s="407">
        <f t="shared" si="228"/>
        <v>7304735.9099999871</v>
      </c>
      <c r="AB174" s="407">
        <f t="shared" si="228"/>
        <v>7575409.2899999823</v>
      </c>
      <c r="AC174" s="407">
        <f t="shared" si="228"/>
        <v>6788603.3699999852</v>
      </c>
      <c r="AD174" s="407">
        <f t="shared" si="228"/>
        <v>6490848.1599999918</v>
      </c>
      <c r="AE174" s="407">
        <f t="shared" si="228"/>
        <v>6566677.0099999961</v>
      </c>
      <c r="AF174" s="407">
        <f t="shared" si="228"/>
        <v>6595948.109999992</v>
      </c>
      <c r="AG174" s="407">
        <f>+AG104+AG115+AG173</f>
        <v>6277975.9699999895</v>
      </c>
      <c r="AH174" s="407">
        <f t="shared" si="228"/>
        <v>6930754.5699999845</v>
      </c>
      <c r="AI174" s="407">
        <f t="shared" si="228"/>
        <v>7334626.5199999921</v>
      </c>
      <c r="AJ174" s="407">
        <f t="shared" si="228"/>
        <v>7578010.9800000023</v>
      </c>
      <c r="AK174" s="407">
        <f ca="1">SUM(AK130,AK173)</f>
        <v>84623126.599999875</v>
      </c>
      <c r="AL174" s="407"/>
      <c r="AM174" s="407"/>
      <c r="AN174" s="407"/>
      <c r="AO174" s="407"/>
      <c r="AP174" s="407"/>
      <c r="AQ174" s="407">
        <f>SUM(AQ130,AQ173)</f>
        <v>22484272.619999971</v>
      </c>
      <c r="AR174" s="407">
        <f>SUM(AR130,AR173)</f>
        <v>20854860.819999963</v>
      </c>
      <c r="AS174" s="407">
        <f>SUM(AS130,AS173)</f>
        <v>19440601.089999977</v>
      </c>
      <c r="AT174" s="407">
        <f>SUM(AT130,AT173)</f>
        <v>21843392.069999978</v>
      </c>
      <c r="AU174" s="181"/>
      <c r="AV174" s="407">
        <f>+AV104+AV115+AV173</f>
        <v>7915129.0886098845</v>
      </c>
      <c r="AW174" s="407">
        <f>+AW104+AW115+AW173</f>
        <v>7308554.6576946937</v>
      </c>
      <c r="AX174" s="407">
        <f>+AX104+AX115+AX173</f>
        <v>7437862.635394969</v>
      </c>
      <c r="AY174" s="407">
        <f>+AY104+AY115+AY173</f>
        <v>6853600.8134252895</v>
      </c>
      <c r="AZ174" s="407">
        <f>+AZ104+AZ115+AZ173</f>
        <v>6624242.8563052621</v>
      </c>
      <c r="BA174" s="407">
        <f t="shared" ref="BA174:BG174" si="229">+BA104+BA115+BA173</f>
        <v>6525021.5562846959</v>
      </c>
      <c r="BB174" s="407">
        <f t="shared" si="229"/>
        <v>6412253.1286152564</v>
      </c>
      <c r="BC174" s="407">
        <f t="shared" si="229"/>
        <v>6541029.7906686533</v>
      </c>
      <c r="BD174" s="407">
        <f t="shared" si="229"/>
        <v>6452967.6277330173</v>
      </c>
      <c r="BE174" s="407">
        <f t="shared" si="229"/>
        <v>6687610.1799906436</v>
      </c>
      <c r="BF174" s="407">
        <f t="shared" si="229"/>
        <v>7208928.9777520765</v>
      </c>
      <c r="BG174" s="407">
        <f t="shared" si="229"/>
        <v>7893277.735874651</v>
      </c>
      <c r="BH174" s="407">
        <f ca="1">SUM(BH130,BH173)</f>
        <v>83860479.048349082</v>
      </c>
      <c r="BI174" s="407">
        <f>SUM(BI130,BI173)</f>
        <v>22661546.381699547</v>
      </c>
      <c r="BJ174" s="407">
        <f>SUM(BJ130,BJ173)</f>
        <v>20002865.226015247</v>
      </c>
      <c r="BK174" s="407">
        <f>SUM(BK130,BK173)</f>
        <v>19406250.547016926</v>
      </c>
      <c r="BL174" s="407">
        <f>SUM(BL130,BL173)</f>
        <v>21789816.893617373</v>
      </c>
      <c r="BM174" s="386"/>
      <c r="BN174" s="407">
        <f t="shared" ref="BN174:BY174" si="230">+BN104+BN115+BN173</f>
        <v>0</v>
      </c>
      <c r="BO174" s="407">
        <f t="shared" si="230"/>
        <v>0</v>
      </c>
      <c r="BP174" s="407">
        <f t="shared" si="230"/>
        <v>7171112.679784758</v>
      </c>
      <c r="BQ174" s="407">
        <f t="shared" si="230"/>
        <v>6965050.3240252165</v>
      </c>
      <c r="BR174" s="407">
        <f t="shared" si="230"/>
        <v>6650781.8548365124</v>
      </c>
      <c r="BS174" s="407">
        <f t="shared" si="230"/>
        <v>6431814.8260371713</v>
      </c>
      <c r="BT174" s="407">
        <f t="shared" si="230"/>
        <v>6295478.7037622817</v>
      </c>
      <c r="BU174" s="407">
        <f t="shared" si="230"/>
        <v>6446998.4293462085</v>
      </c>
      <c r="BV174" s="407">
        <f t="shared" si="230"/>
        <v>6452526.9768577572</v>
      </c>
      <c r="BW174" s="407">
        <f t="shared" si="230"/>
        <v>6580997.0675785039</v>
      </c>
      <c r="BX174" s="407">
        <f t="shared" si="230"/>
        <v>7041485.3777001156</v>
      </c>
      <c r="BY174" s="407">
        <f t="shared" si="230"/>
        <v>7630177.3259028923</v>
      </c>
      <c r="BZ174" s="407">
        <f ca="1">SUM(BZ130,BZ173)</f>
        <v>67666423.565831423</v>
      </c>
      <c r="CA174" s="407">
        <f>SUM(CA130,CA173)</f>
        <v>7171112.679784758</v>
      </c>
      <c r="CB174" s="407">
        <f>SUM(CB130,CB173)</f>
        <v>20047647.004898895</v>
      </c>
      <c r="CC174" s="407">
        <f>SUM(CC130,CC173)</f>
        <v>19195004.109966248</v>
      </c>
      <c r="CD174" s="407">
        <f>SUM(CD130,CD173)</f>
        <v>21252659.771181516</v>
      </c>
      <c r="CE174" s="386"/>
      <c r="CF174" s="97"/>
      <c r="CH174" s="407"/>
      <c r="CI174" s="407"/>
      <c r="CJ174" s="407">
        <f t="shared" ref="CJ174:CS174" si="231">+CJ104+CJ115+CJ173</f>
        <v>133623.23021522828</v>
      </c>
      <c r="CK174" s="407">
        <f t="shared" si="231"/>
        <v>610358.96597476571</v>
      </c>
      <c r="CL174" s="407">
        <f t="shared" si="231"/>
        <v>137821.51516347326</v>
      </c>
      <c r="CM174" s="407">
        <f t="shared" si="231"/>
        <v>59033.333962820427</v>
      </c>
      <c r="CN174" s="407">
        <f t="shared" si="231"/>
        <v>271198.30623771308</v>
      </c>
      <c r="CO174" s="407">
        <f t="shared" si="231"/>
        <v>148949.68065378422</v>
      </c>
      <c r="CP174" s="407">
        <f t="shared" si="231"/>
        <v>-174551.00685776849</v>
      </c>
      <c r="CQ174" s="407">
        <f t="shared" si="231"/>
        <v>349757.50242148072</v>
      </c>
      <c r="CR174" s="407">
        <f t="shared" si="231"/>
        <v>0</v>
      </c>
      <c r="CS174" s="407">
        <f t="shared" si="231"/>
        <v>0</v>
      </c>
      <c r="CU174" s="407">
        <f>+CU104+CU115+CU173</f>
        <v>48333247.347226411</v>
      </c>
      <c r="CV174" s="407" t="e">
        <f>+CV104+CV115+CV173</f>
        <v>#VALUE!</v>
      </c>
      <c r="CW174" s="407">
        <f>+CW104+CW115+CW173</f>
        <v>47989989.401051879</v>
      </c>
    </row>
    <row r="175" spans="2:101">
      <c r="B175" s="97"/>
      <c r="C175" s="97"/>
      <c r="D175" s="97" t="s">
        <v>532</v>
      </c>
      <c r="F175" s="284" t="s">
        <v>239</v>
      </c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284"/>
      <c r="T175" s="97"/>
      <c r="U175" s="97"/>
      <c r="V175" s="97"/>
      <c r="W175" s="9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284"/>
      <c r="AL175" s="284"/>
      <c r="AM175" s="284"/>
      <c r="AN175" s="284"/>
      <c r="AO175" s="284"/>
      <c r="AP175" s="284"/>
      <c r="AQ175" s="97"/>
      <c r="AR175" s="97"/>
      <c r="AS175" s="97"/>
      <c r="AT175" s="97"/>
      <c r="AU175" s="181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284"/>
      <c r="BI175" s="97"/>
      <c r="BJ175" s="97"/>
      <c r="BK175" s="97"/>
      <c r="BL175" s="97"/>
      <c r="BM175" s="36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284"/>
      <c r="CA175" s="97"/>
      <c r="CB175" s="97"/>
      <c r="CC175" s="97"/>
      <c r="CD175" s="97"/>
      <c r="CE175" s="367"/>
      <c r="CF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U175" s="97"/>
      <c r="CV175" s="97"/>
      <c r="CW175" s="97"/>
    </row>
    <row r="176" spans="2:101" outlineLevel="1">
      <c r="B176" s="97" t="s">
        <v>619</v>
      </c>
      <c r="C176" s="97" t="s">
        <v>620</v>
      </c>
      <c r="D176" s="97" t="s">
        <v>7</v>
      </c>
      <c r="F176" s="431" t="s">
        <v>240</v>
      </c>
      <c r="G176" s="175">
        <v>47470</v>
      </c>
      <c r="H176" s="175">
        <v>44948</v>
      </c>
      <c r="I176" s="175">
        <v>42566</v>
      </c>
      <c r="J176" s="175">
        <v>34180</v>
      </c>
      <c r="K176" s="175">
        <v>33887</v>
      </c>
      <c r="L176" s="175">
        <v>31557.08</v>
      </c>
      <c r="M176" s="175">
        <v>31076.07</v>
      </c>
      <c r="N176" s="175">
        <v>30663</v>
      </c>
      <c r="O176" s="175">
        <v>31691</v>
      </c>
      <c r="P176" s="175">
        <v>33540.400000000001</v>
      </c>
      <c r="Q176" s="175">
        <v>38533.78</v>
      </c>
      <c r="R176" s="175">
        <v>49153</v>
      </c>
      <c r="S176" s="375">
        <f ca="1">SUM(G176:OFFSET(G176,0,$F$2-1))</f>
        <v>449265.33000000007</v>
      </c>
      <c r="T176" s="175">
        <f>SUM(G176:I176)</f>
        <v>134984</v>
      </c>
      <c r="U176" s="175">
        <f>SUM(J176:L176)</f>
        <v>99624.08</v>
      </c>
      <c r="V176" s="175">
        <f>SUM(M176:O176)</f>
        <v>93430.07</v>
      </c>
      <c r="W176" s="175">
        <f>SUM(P176:R176)</f>
        <v>121227.18</v>
      </c>
      <c r="X176" s="178"/>
      <c r="Y176" s="179">
        <v>56404</v>
      </c>
      <c r="Z176" s="179">
        <v>49172</v>
      </c>
      <c r="AA176" s="179">
        <v>46856</v>
      </c>
      <c r="AB176" s="179">
        <v>48246</v>
      </c>
      <c r="AC176" s="179">
        <v>42109</v>
      </c>
      <c r="AD176" s="179">
        <v>36848</v>
      </c>
      <c r="AE176" s="179">
        <v>36763</v>
      </c>
      <c r="AF176" s="179">
        <v>35131</v>
      </c>
      <c r="AG176" s="179">
        <v>36132</v>
      </c>
      <c r="AH176" s="179">
        <v>37545</v>
      </c>
      <c r="AI176" s="179">
        <v>41265</v>
      </c>
      <c r="AJ176" s="179">
        <v>47279.35</v>
      </c>
      <c r="AK176" s="375">
        <f ca="1">SUM(Y176:OFFSET(Y176,0,$F$2-1))</f>
        <v>513750.35</v>
      </c>
      <c r="AL176" s="375"/>
      <c r="AM176" s="375"/>
      <c r="AN176" s="375"/>
      <c r="AO176" s="375"/>
      <c r="AP176" s="375"/>
      <c r="AQ176" s="175">
        <f>SUM(Y176:AA176)</f>
        <v>152432</v>
      </c>
      <c r="AR176" s="175">
        <f>SUM(AB176:AD176)</f>
        <v>127203</v>
      </c>
      <c r="AS176" s="175">
        <f>SUM(AE176:AG176)</f>
        <v>108026</v>
      </c>
      <c r="AT176" s="175">
        <f>SUM(AH176:AJ176)</f>
        <v>126089.35</v>
      </c>
      <c r="AU176" s="397"/>
      <c r="AV176" s="175">
        <v>36334.666666666664</v>
      </c>
      <c r="AW176" s="175">
        <v>36334.666666666664</v>
      </c>
      <c r="AX176" s="175">
        <v>36334.666666666664</v>
      </c>
      <c r="AY176" s="175">
        <v>36334.666666666664</v>
      </c>
      <c r="AZ176" s="175">
        <v>36334.666666666664</v>
      </c>
      <c r="BA176" s="175">
        <v>36334.666666666664</v>
      </c>
      <c r="BB176" s="175">
        <v>36334.666666666664</v>
      </c>
      <c r="BC176" s="175">
        <v>36334.666666666664</v>
      </c>
      <c r="BD176" s="175">
        <v>36334.666666666664</v>
      </c>
      <c r="BE176" s="175">
        <v>36334.666666666664</v>
      </c>
      <c r="BF176" s="175">
        <v>36334.666666666664</v>
      </c>
      <c r="BG176" s="175">
        <v>36334.666666666664</v>
      </c>
      <c r="BH176" s="375">
        <f ca="1">SUM(AV176:OFFSET(AV176,0,$F$2-1))</f>
        <v>436016.00000000006</v>
      </c>
      <c r="BI176" s="175">
        <f>SUM(AV176:AX176)</f>
        <v>109004</v>
      </c>
      <c r="BJ176" s="175">
        <f>SUM(AY176:BA176)</f>
        <v>109004</v>
      </c>
      <c r="BK176" s="175">
        <f>SUM(BB176:BD176)</f>
        <v>109004</v>
      </c>
      <c r="BL176" s="175">
        <f>SUM(BE176:BG176)</f>
        <v>109004</v>
      </c>
      <c r="BM176" s="178"/>
      <c r="BN176" s="175"/>
      <c r="BO176" s="175"/>
      <c r="BP176" s="175">
        <v>43750.135400236708</v>
      </c>
      <c r="BQ176" s="175">
        <v>37949.508781558601</v>
      </c>
      <c r="BR176" s="175">
        <v>35622.498040195722</v>
      </c>
      <c r="BS176" s="175">
        <v>33558.645143160924</v>
      </c>
      <c r="BT176" s="175">
        <v>31450.481129057276</v>
      </c>
      <c r="BU176" s="175">
        <v>31984.846587061897</v>
      </c>
      <c r="BV176" s="175">
        <v>33490.63310670037</v>
      </c>
      <c r="BW176" s="175">
        <v>34696.440893043378</v>
      </c>
      <c r="BX176" s="175">
        <v>40245.10564563331</v>
      </c>
      <c r="BY176" s="175">
        <v>50162.549226694777</v>
      </c>
      <c r="BZ176" s="375">
        <f ca="1">SUM(BN176:OFFSET(BN176,0,$F$2-1))</f>
        <v>372910.84395334293</v>
      </c>
      <c r="CA176" s="175">
        <f>SUM(BN176:BP176)</f>
        <v>43750.135400236708</v>
      </c>
      <c r="CB176" s="175">
        <f>SUM(BQ176:BS176)</f>
        <v>107130.65196491525</v>
      </c>
      <c r="CC176" s="175">
        <f>SUM(BT176:BV176)</f>
        <v>96925.960822819543</v>
      </c>
      <c r="CD176" s="175">
        <f>SUM(BW176:BY176)</f>
        <v>125104.09576537146</v>
      </c>
      <c r="CE176" s="178"/>
      <c r="CF176" s="97" t="s">
        <v>619</v>
      </c>
      <c r="CH176" s="175"/>
      <c r="CI176" s="175"/>
      <c r="CJ176" s="175">
        <f t="shared" ref="CJ176:CQ179" si="232">AA176-BP176</f>
        <v>3105.8645997632921</v>
      </c>
      <c r="CK176" s="175">
        <f t="shared" si="232"/>
        <v>10296.491218441399</v>
      </c>
      <c r="CL176" s="175">
        <f t="shared" si="232"/>
        <v>6486.5019598042782</v>
      </c>
      <c r="CM176" s="175">
        <f t="shared" si="232"/>
        <v>3289.3548568390761</v>
      </c>
      <c r="CN176" s="175">
        <f t="shared" si="232"/>
        <v>5312.5188709427239</v>
      </c>
      <c r="CO176" s="175">
        <f t="shared" si="232"/>
        <v>3146.1534129381034</v>
      </c>
      <c r="CP176" s="175">
        <f t="shared" si="232"/>
        <v>2641.3668932996297</v>
      </c>
      <c r="CQ176" s="175">
        <f t="shared" si="232"/>
        <v>2848.5591069566217</v>
      </c>
      <c r="CR176" s="175"/>
      <c r="CS176" s="175"/>
      <c r="CU176" s="175">
        <f>SUM(Y176:AC176)+SUM(BS176:BY176)</f>
        <v>498375.7017313519</v>
      </c>
      <c r="CV176" s="175">
        <v>510123.72887207184</v>
      </c>
      <c r="CW176" s="175">
        <f>SUM(AV176:BG176)</f>
        <v>436016.00000000006</v>
      </c>
    </row>
    <row r="177" spans="2:103" outlineLevel="1">
      <c r="B177" s="97" t="s">
        <v>621</v>
      </c>
      <c r="C177" s="97" t="s">
        <v>620</v>
      </c>
      <c r="D177" s="97" t="s">
        <v>8</v>
      </c>
      <c r="F177" s="431" t="s">
        <v>242</v>
      </c>
      <c r="G177" s="175">
        <v>14382</v>
      </c>
      <c r="H177" s="175">
        <v>13043</v>
      </c>
      <c r="I177" s="175">
        <v>13614</v>
      </c>
      <c r="J177" s="175">
        <v>12158</v>
      </c>
      <c r="K177" s="175">
        <v>12328</v>
      </c>
      <c r="L177" s="175">
        <v>11705.75</v>
      </c>
      <c r="M177" s="175">
        <v>12066.82</v>
      </c>
      <c r="N177" s="175">
        <v>12246</v>
      </c>
      <c r="O177" s="175">
        <v>11923</v>
      </c>
      <c r="P177" s="175">
        <v>12766</v>
      </c>
      <c r="Q177" s="175">
        <v>12610.46</v>
      </c>
      <c r="R177" s="175">
        <v>13861</v>
      </c>
      <c r="S177" s="375">
        <f ca="1">SUM(G177:OFFSET(G177,0,$F$2-1))</f>
        <v>152704.03</v>
      </c>
      <c r="T177" s="175">
        <f>SUM(G177:I177)</f>
        <v>41039</v>
      </c>
      <c r="U177" s="175">
        <f>SUM(J177:L177)</f>
        <v>36191.75</v>
      </c>
      <c r="V177" s="175">
        <f>SUM(M177:O177)</f>
        <v>36235.82</v>
      </c>
      <c r="W177" s="175">
        <f>SUM(P177:R177)</f>
        <v>39237.46</v>
      </c>
      <c r="X177" s="178"/>
      <c r="Y177" s="179">
        <v>15654</v>
      </c>
      <c r="Z177" s="179">
        <v>14530</v>
      </c>
      <c r="AA177" s="179">
        <v>15000</v>
      </c>
      <c r="AB177" s="179">
        <v>14552</v>
      </c>
      <c r="AC177" s="179">
        <v>13763</v>
      </c>
      <c r="AD177" s="179">
        <v>13254</v>
      </c>
      <c r="AE177" s="179">
        <v>14320</v>
      </c>
      <c r="AF177" s="179">
        <v>13651</v>
      </c>
      <c r="AG177" s="179">
        <v>13183</v>
      </c>
      <c r="AH177" s="179">
        <v>14006</v>
      </c>
      <c r="AI177" s="179">
        <v>14373</v>
      </c>
      <c r="AJ177" s="179">
        <v>15063.42</v>
      </c>
      <c r="AK177" s="375">
        <f ca="1">SUM(Y177:OFFSET(Y177,0,$F$2-1))</f>
        <v>171349.42</v>
      </c>
      <c r="AL177" s="375"/>
      <c r="AM177" s="375"/>
      <c r="AN177" s="375"/>
      <c r="AO177" s="375"/>
      <c r="AP177" s="375"/>
      <c r="AQ177" s="175">
        <f>SUM(Y177:AA177)</f>
        <v>45184</v>
      </c>
      <c r="AR177" s="175">
        <f>SUM(AB177:AD177)</f>
        <v>41569</v>
      </c>
      <c r="AS177" s="175">
        <f>SUM(AE177:AG177)</f>
        <v>41154</v>
      </c>
      <c r="AT177" s="175">
        <f>SUM(AH177:AJ177)</f>
        <v>43442.42</v>
      </c>
      <c r="AU177" s="397"/>
      <c r="AV177" s="175">
        <v>12120.083333333334</v>
      </c>
      <c r="AW177" s="175">
        <v>12120.083333333334</v>
      </c>
      <c r="AX177" s="175">
        <v>12120.083333333334</v>
      </c>
      <c r="AY177" s="175">
        <v>12120.083333333334</v>
      </c>
      <c r="AZ177" s="175">
        <v>12120.083333333334</v>
      </c>
      <c r="BA177" s="175">
        <v>12120.083333333334</v>
      </c>
      <c r="BB177" s="175">
        <v>12120.083333333334</v>
      </c>
      <c r="BC177" s="175">
        <v>12120.083333333334</v>
      </c>
      <c r="BD177" s="175">
        <v>12120.083333333334</v>
      </c>
      <c r="BE177" s="175">
        <v>12120.083333333334</v>
      </c>
      <c r="BF177" s="175">
        <v>12120.083333333334</v>
      </c>
      <c r="BG177" s="175">
        <v>12120.083333333334</v>
      </c>
      <c r="BH177" s="375">
        <f ca="1">SUM(AV177:OFFSET(AV177,0,$F$2-1))</f>
        <v>145441</v>
      </c>
      <c r="BI177" s="175">
        <f>SUM(AV177:AX177)</f>
        <v>36360.25</v>
      </c>
      <c r="BJ177" s="175">
        <f>SUM(AY177:BA177)</f>
        <v>36360.25</v>
      </c>
      <c r="BK177" s="175">
        <f>SUM(BB177:BD177)</f>
        <v>36360.25</v>
      </c>
      <c r="BL177" s="175">
        <f>SUM(BE177:BG177)</f>
        <v>36360.25</v>
      </c>
      <c r="BM177" s="178"/>
      <c r="BN177" s="175"/>
      <c r="BO177" s="175"/>
      <c r="BP177" s="175">
        <v>13992.725258159624</v>
      </c>
      <c r="BQ177" s="175">
        <v>13498.833463024856</v>
      </c>
      <c r="BR177" s="175">
        <v>12959.369547010147</v>
      </c>
      <c r="BS177" s="175">
        <v>12448.208464932624</v>
      </c>
      <c r="BT177" s="175">
        <v>12212.203624774011</v>
      </c>
      <c r="BU177" s="175">
        <v>12773.910944955158</v>
      </c>
      <c r="BV177" s="175">
        <v>12600.070005086252</v>
      </c>
      <c r="BW177" s="175">
        <v>13206.00721638954</v>
      </c>
      <c r="BX177" s="175">
        <v>13170.503774611081</v>
      </c>
      <c r="BY177" s="175">
        <v>14145.689883246521</v>
      </c>
      <c r="BZ177" s="375">
        <f ca="1">SUM(BN177:OFFSET(BN177,0,$F$2-1))</f>
        <v>131007.5221821898</v>
      </c>
      <c r="CA177" s="175">
        <f>SUM(BN177:BP177)</f>
        <v>13992.725258159624</v>
      </c>
      <c r="CB177" s="175">
        <f>SUM(BQ177:BS177)</f>
        <v>38906.411474967623</v>
      </c>
      <c r="CC177" s="175">
        <f>SUM(BT177:BV177)</f>
        <v>37586.184574815423</v>
      </c>
      <c r="CD177" s="175">
        <f>SUM(BW177:BY177)</f>
        <v>40522.200874247144</v>
      </c>
      <c r="CE177" s="178"/>
      <c r="CF177" s="97" t="s">
        <v>621</v>
      </c>
      <c r="CH177" s="175"/>
      <c r="CI177" s="175"/>
      <c r="CJ177" s="175">
        <f t="shared" si="232"/>
        <v>1007.274741840376</v>
      </c>
      <c r="CK177" s="175">
        <f t="shared" si="232"/>
        <v>1053.1665369751445</v>
      </c>
      <c r="CL177" s="175">
        <f t="shared" si="232"/>
        <v>803.63045298985344</v>
      </c>
      <c r="CM177" s="175">
        <f t="shared" si="232"/>
        <v>805.79153506737566</v>
      </c>
      <c r="CN177" s="175">
        <f t="shared" si="232"/>
        <v>2107.7963752259893</v>
      </c>
      <c r="CO177" s="175">
        <f t="shared" si="232"/>
        <v>877.0890550448421</v>
      </c>
      <c r="CP177" s="175">
        <f t="shared" si="232"/>
        <v>582.92999491374758</v>
      </c>
      <c r="CQ177" s="175">
        <f t="shared" si="232"/>
        <v>799.99278361045981</v>
      </c>
      <c r="CR177" s="175"/>
      <c r="CS177" s="175"/>
      <c r="CU177" s="175">
        <f>SUM(Y177:AC177)+SUM(BS177:BY177)</f>
        <v>164055.5939139952</v>
      </c>
      <c r="CV177" s="175">
        <v>167846.2708793334</v>
      </c>
      <c r="CW177" s="175">
        <f>SUM(AV177:BG177)</f>
        <v>145441</v>
      </c>
    </row>
    <row r="178" spans="2:103" outlineLevel="1">
      <c r="B178" s="97" t="s">
        <v>622</v>
      </c>
      <c r="C178" s="97" t="s">
        <v>620</v>
      </c>
      <c r="D178" s="97" t="s">
        <v>4</v>
      </c>
      <c r="F178" s="431" t="s">
        <v>243</v>
      </c>
      <c r="G178" s="175">
        <v>115</v>
      </c>
      <c r="H178" s="175">
        <v>108</v>
      </c>
      <c r="I178" s="175">
        <v>110</v>
      </c>
      <c r="J178" s="175">
        <v>109</v>
      </c>
      <c r="K178" s="176">
        <v>107</v>
      </c>
      <c r="L178" s="176">
        <v>103.99</v>
      </c>
      <c r="M178" s="176">
        <v>107.73</v>
      </c>
      <c r="N178" s="176">
        <v>95</v>
      </c>
      <c r="O178" s="175">
        <v>104</v>
      </c>
      <c r="P178" s="175">
        <v>103.04</v>
      </c>
      <c r="Q178" s="175">
        <v>108.45</v>
      </c>
      <c r="R178" s="175">
        <v>112</v>
      </c>
      <c r="S178" s="375">
        <f ca="1">SUM(G178:OFFSET(G178,0,$F$2-1))</f>
        <v>1283.21</v>
      </c>
      <c r="T178" s="175">
        <f>SUM(G178:I178)</f>
        <v>333</v>
      </c>
      <c r="U178" s="175">
        <f>SUM(J178:L178)</f>
        <v>319.99</v>
      </c>
      <c r="V178" s="175">
        <f>SUM(M178:O178)</f>
        <v>306.73</v>
      </c>
      <c r="W178" s="175">
        <f>SUM(P178:R178)</f>
        <v>323.49</v>
      </c>
      <c r="X178" s="178"/>
      <c r="Y178" s="179">
        <v>122</v>
      </c>
      <c r="Z178" s="179">
        <v>11</v>
      </c>
      <c r="AA178" s="179">
        <v>77</v>
      </c>
      <c r="AB178" s="179">
        <v>75</v>
      </c>
      <c r="AC178" s="179">
        <v>71</v>
      </c>
      <c r="AD178" s="398">
        <v>73</v>
      </c>
      <c r="AE178" s="398">
        <v>72</v>
      </c>
      <c r="AF178" s="398">
        <v>68</v>
      </c>
      <c r="AG178" s="398">
        <v>73</v>
      </c>
      <c r="AH178" s="179">
        <v>69</v>
      </c>
      <c r="AI178" s="179">
        <v>71</v>
      </c>
      <c r="AJ178" s="179">
        <v>81.22</v>
      </c>
      <c r="AK178" s="375">
        <f ca="1">SUM(Y178:OFFSET(Y178,0,$F$2-1))</f>
        <v>863.22</v>
      </c>
      <c r="AL178" s="375"/>
      <c r="AM178" s="375"/>
      <c r="AN178" s="375"/>
      <c r="AO178" s="375"/>
      <c r="AP178" s="375"/>
      <c r="AQ178" s="175">
        <f>SUM(Y178:AA178)</f>
        <v>210</v>
      </c>
      <c r="AR178" s="175">
        <f>SUM(AB178:AD178)</f>
        <v>219</v>
      </c>
      <c r="AS178" s="175">
        <f>SUM(AE178:AG178)</f>
        <v>213</v>
      </c>
      <c r="AT178" s="175">
        <f>SUM(AH178:AJ178)</f>
        <v>221.22</v>
      </c>
      <c r="AU178" s="181"/>
      <c r="AV178" s="175">
        <v>91.666666666666671</v>
      </c>
      <c r="AW178" s="175">
        <v>91.666666666666671</v>
      </c>
      <c r="AX178" s="175">
        <v>91.666666666666671</v>
      </c>
      <c r="AY178" s="175">
        <v>91.666666666666671</v>
      </c>
      <c r="AZ178" s="176">
        <v>91.666666666666671</v>
      </c>
      <c r="BA178" s="176">
        <v>91.666666666666671</v>
      </c>
      <c r="BB178" s="176">
        <v>91.666666666666671</v>
      </c>
      <c r="BC178" s="176">
        <v>91.666666666666671</v>
      </c>
      <c r="BD178" s="175">
        <v>91.666666666666671</v>
      </c>
      <c r="BE178" s="175">
        <v>91.666666666666671</v>
      </c>
      <c r="BF178" s="175">
        <v>91.666666666666671</v>
      </c>
      <c r="BG178" s="175">
        <v>91.666666666666671</v>
      </c>
      <c r="BH178" s="375">
        <f ca="1">SUM(AV178:OFFSET(AV178,0,$F$2-1))</f>
        <v>1099.9999999999998</v>
      </c>
      <c r="BI178" s="175">
        <f>SUM(AV178:AX178)</f>
        <v>275</v>
      </c>
      <c r="BJ178" s="175">
        <f>SUM(AY178:BA178)</f>
        <v>275</v>
      </c>
      <c r="BK178" s="175">
        <f>SUM(BB178:BD178)</f>
        <v>275</v>
      </c>
      <c r="BL178" s="175">
        <f>SUM(BE178:BG178)</f>
        <v>275</v>
      </c>
      <c r="BM178" s="178"/>
      <c r="BN178" s="175"/>
      <c r="BO178" s="175"/>
      <c r="BP178" s="175">
        <v>113.0600689288643</v>
      </c>
      <c r="BQ178" s="175">
        <v>121.02096129870942</v>
      </c>
      <c r="BR178" s="176">
        <v>112.47992711957217</v>
      </c>
      <c r="BS178" s="176">
        <v>110.58575471613041</v>
      </c>
      <c r="BT178" s="176">
        <v>109.02795405060358</v>
      </c>
      <c r="BU178" s="176">
        <v>99.095340500632034</v>
      </c>
      <c r="BV178" s="175">
        <v>109.90583582395121</v>
      </c>
      <c r="BW178" s="175">
        <v>106.59149174187517</v>
      </c>
      <c r="BX178" s="175">
        <v>113.26637841574153</v>
      </c>
      <c r="BY178" s="175">
        <v>114.30035833804276</v>
      </c>
      <c r="BZ178" s="375">
        <f ca="1">SUM(BN178:OFFSET(BN178,0,$F$2-1))</f>
        <v>1109.3340709341226</v>
      </c>
      <c r="CA178" s="175">
        <f>SUM(BN178:BP178)</f>
        <v>113.0600689288643</v>
      </c>
      <c r="CB178" s="175">
        <f>SUM(BQ178:BS178)</f>
        <v>344.08664313441199</v>
      </c>
      <c r="CC178" s="175">
        <f>SUM(BT178:BV178)</f>
        <v>318.02913037518681</v>
      </c>
      <c r="CD178" s="175">
        <f>SUM(BW178:BY178)</f>
        <v>334.15822849565944</v>
      </c>
      <c r="CE178" s="178"/>
      <c r="CF178" s="97" t="s">
        <v>622</v>
      </c>
      <c r="CH178" s="175"/>
      <c r="CI178" s="175"/>
      <c r="CJ178" s="175">
        <f t="shared" si="232"/>
        <v>-36.060068928864297</v>
      </c>
      <c r="CK178" s="175">
        <f t="shared" si="232"/>
        <v>-46.020961298709423</v>
      </c>
      <c r="CL178" s="175">
        <f t="shared" si="232"/>
        <v>-41.479927119572167</v>
      </c>
      <c r="CM178" s="175">
        <f t="shared" si="232"/>
        <v>-37.58575471613041</v>
      </c>
      <c r="CN178" s="175">
        <f t="shared" si="232"/>
        <v>-37.027954050603583</v>
      </c>
      <c r="CO178" s="175">
        <f t="shared" si="232"/>
        <v>-31.095340500632034</v>
      </c>
      <c r="CP178" s="175">
        <f t="shared" si="232"/>
        <v>-36.905835823951207</v>
      </c>
      <c r="CQ178" s="175">
        <f t="shared" si="232"/>
        <v>-37.591491741875174</v>
      </c>
      <c r="CR178" s="175"/>
      <c r="CS178" s="175"/>
      <c r="CU178" s="175">
        <f>SUM(Y178:AC178)+SUM(BS178:BY178)</f>
        <v>1118.7731135869767</v>
      </c>
      <c r="CV178" s="175">
        <v>1013.0640643196107</v>
      </c>
      <c r="CW178" s="175">
        <f>SUM(AV178:BG178)</f>
        <v>1099.9999999999998</v>
      </c>
    </row>
    <row r="179" spans="2:103" outlineLevel="1">
      <c r="B179" s="97" t="s">
        <v>623</v>
      </c>
      <c r="C179" s="97" t="s">
        <v>620</v>
      </c>
      <c r="D179" s="97" t="s">
        <v>5</v>
      </c>
      <c r="F179" s="431" t="s">
        <v>244</v>
      </c>
      <c r="G179" s="175">
        <v>148</v>
      </c>
      <c r="H179" s="175">
        <v>212</v>
      </c>
      <c r="I179" s="175">
        <v>205</v>
      </c>
      <c r="J179" s="175">
        <v>145</v>
      </c>
      <c r="K179" s="176">
        <v>130</v>
      </c>
      <c r="L179" s="176">
        <v>119.34</v>
      </c>
      <c r="M179" s="176">
        <v>117</v>
      </c>
      <c r="N179" s="176">
        <v>110</v>
      </c>
      <c r="O179" s="175">
        <v>123</v>
      </c>
      <c r="P179" s="175">
        <v>142.16</v>
      </c>
      <c r="Q179" s="175">
        <v>154.66</v>
      </c>
      <c r="R179" s="175">
        <v>240</v>
      </c>
      <c r="S179" s="375">
        <f ca="1">SUM(G179:OFFSET(G179,0,$F$2-1))</f>
        <v>1846.1600000000003</v>
      </c>
      <c r="T179" s="175">
        <f>SUM(G179:I179)</f>
        <v>565</v>
      </c>
      <c r="U179" s="175">
        <f>SUM(J179:L179)</f>
        <v>394.34000000000003</v>
      </c>
      <c r="V179" s="175">
        <f>SUM(M179:O179)</f>
        <v>350</v>
      </c>
      <c r="W179" s="175">
        <f>SUM(P179:R179)</f>
        <v>536.81999999999994</v>
      </c>
      <c r="X179" s="178"/>
      <c r="Y179" s="179">
        <v>241</v>
      </c>
      <c r="Z179" s="179">
        <v>243</v>
      </c>
      <c r="AA179" s="179">
        <v>193</v>
      </c>
      <c r="AB179" s="179">
        <v>185</v>
      </c>
      <c r="AC179" s="179">
        <v>165</v>
      </c>
      <c r="AD179" s="398">
        <v>140</v>
      </c>
      <c r="AE179" s="398">
        <v>116</v>
      </c>
      <c r="AF179" s="398">
        <v>140</v>
      </c>
      <c r="AG179" s="398">
        <v>125</v>
      </c>
      <c r="AH179" s="179">
        <v>141</v>
      </c>
      <c r="AI179" s="179">
        <v>171</v>
      </c>
      <c r="AJ179" s="179">
        <v>215.06</v>
      </c>
      <c r="AK179" s="375">
        <f ca="1">SUM(Y179:OFFSET(Y179,0,$F$2-1))</f>
        <v>2075.06</v>
      </c>
      <c r="AL179" s="375"/>
      <c r="AM179" s="375"/>
      <c r="AN179" s="375"/>
      <c r="AO179" s="375"/>
      <c r="AP179" s="375"/>
      <c r="AQ179" s="175">
        <f>SUM(Y179:AA179)</f>
        <v>677</v>
      </c>
      <c r="AR179" s="175">
        <f>SUM(AB179:AD179)</f>
        <v>490</v>
      </c>
      <c r="AS179" s="175">
        <f>SUM(AE179:AG179)</f>
        <v>381</v>
      </c>
      <c r="AT179" s="175">
        <f>SUM(AH179:AJ179)</f>
        <v>527.05999999999995</v>
      </c>
      <c r="AU179" s="181"/>
      <c r="AV179" s="175">
        <v>141.15166666666667</v>
      </c>
      <c r="AW179" s="175">
        <v>141.15166666666667</v>
      </c>
      <c r="AX179" s="175">
        <v>141.15166666666667</v>
      </c>
      <c r="AY179" s="175">
        <v>141.15166666666667</v>
      </c>
      <c r="AZ179" s="176">
        <v>141.15166666666667</v>
      </c>
      <c r="BA179" s="176">
        <v>141.15166666666667</v>
      </c>
      <c r="BB179" s="176">
        <v>141.15166666666667</v>
      </c>
      <c r="BC179" s="176">
        <v>141.15166666666667</v>
      </c>
      <c r="BD179" s="175">
        <v>141.15166666666667</v>
      </c>
      <c r="BE179" s="175">
        <v>141.15166666666667</v>
      </c>
      <c r="BF179" s="175">
        <v>141.15166666666667</v>
      </c>
      <c r="BG179" s="175">
        <v>141.15166666666667</v>
      </c>
      <c r="BH179" s="375">
        <f ca="1">SUM(AV179:OFFSET(AV179,0,$F$2-1))</f>
        <v>1693.82</v>
      </c>
      <c r="BI179" s="175">
        <f>SUM(AV179:AX179)</f>
        <v>423.45500000000004</v>
      </c>
      <c r="BJ179" s="175">
        <f>SUM(AY179:BA179)</f>
        <v>423.45500000000004</v>
      </c>
      <c r="BK179" s="175">
        <f>SUM(BB179:BD179)</f>
        <v>423.45500000000004</v>
      </c>
      <c r="BL179" s="175">
        <f>SUM(BE179:BG179)</f>
        <v>423.45500000000004</v>
      </c>
      <c r="BM179" s="178"/>
      <c r="BN179" s="175"/>
      <c r="BO179" s="175"/>
      <c r="BP179" s="175">
        <v>210.70285573106531</v>
      </c>
      <c r="BQ179" s="175">
        <v>160.99118704874189</v>
      </c>
      <c r="BR179" s="176">
        <v>136.65785537891946</v>
      </c>
      <c r="BS179" s="176">
        <v>126.90935635948652</v>
      </c>
      <c r="BT179" s="176">
        <v>118.40964099063045</v>
      </c>
      <c r="BU179" s="176">
        <v>114.74197321125816</v>
      </c>
      <c r="BV179" s="175">
        <v>129.98478659948077</v>
      </c>
      <c r="BW179" s="175">
        <v>147.05984536126718</v>
      </c>
      <c r="BX179" s="175">
        <v>161.52861305466652</v>
      </c>
      <c r="BY179" s="175">
        <v>244.92933929580587</v>
      </c>
      <c r="BZ179" s="375">
        <f ca="1">SUM(BN179:OFFSET(BN179,0,$F$2-1))</f>
        <v>1551.9154530313222</v>
      </c>
      <c r="CA179" s="175">
        <f>SUM(BN179:BP179)</f>
        <v>210.70285573106531</v>
      </c>
      <c r="CB179" s="175">
        <f>SUM(BQ179:BS179)</f>
        <v>424.55839878714789</v>
      </c>
      <c r="CC179" s="175">
        <f>SUM(BT179:BV179)</f>
        <v>363.1364008013694</v>
      </c>
      <c r="CD179" s="175">
        <f>SUM(BW179:BY179)</f>
        <v>553.5177977117396</v>
      </c>
      <c r="CE179" s="178"/>
      <c r="CF179" s="97" t="s">
        <v>623</v>
      </c>
      <c r="CH179" s="175"/>
      <c r="CI179" s="175"/>
      <c r="CJ179" s="175">
        <f t="shared" si="232"/>
        <v>-17.702855731065313</v>
      </c>
      <c r="CK179" s="175">
        <f t="shared" si="232"/>
        <v>24.008812951258108</v>
      </c>
      <c r="CL179" s="175">
        <f t="shared" si="232"/>
        <v>28.342144621080536</v>
      </c>
      <c r="CM179" s="175">
        <f t="shared" si="232"/>
        <v>13.090643640513477</v>
      </c>
      <c r="CN179" s="175">
        <f t="shared" si="232"/>
        <v>-2.4096409906304501</v>
      </c>
      <c r="CO179" s="175">
        <f t="shared" si="232"/>
        <v>25.258026788741844</v>
      </c>
      <c r="CP179" s="175">
        <f t="shared" si="232"/>
        <v>-4.9847865994807705</v>
      </c>
      <c r="CQ179" s="175">
        <f t="shared" si="232"/>
        <v>-6.059845361267179</v>
      </c>
      <c r="CR179" s="175"/>
      <c r="CS179" s="175"/>
      <c r="CU179" s="175">
        <f>SUM(Y179:AC179)+SUM(BS179:BY179)</f>
        <v>2070.5635548725954</v>
      </c>
      <c r="CV179" s="175">
        <v>2106.5025843112203</v>
      </c>
      <c r="CW179" s="175">
        <f>SUM(AV179:BG179)</f>
        <v>1693.82</v>
      </c>
    </row>
    <row r="180" spans="2:103">
      <c r="F180" s="406" t="s">
        <v>246</v>
      </c>
      <c r="G180" s="407">
        <f t="shared" ref="G180:R180" si="233">SUM(G176:G179)</f>
        <v>62115</v>
      </c>
      <c r="H180" s="407">
        <f t="shared" si="233"/>
        <v>58311</v>
      </c>
      <c r="I180" s="407">
        <f t="shared" si="233"/>
        <v>56495</v>
      </c>
      <c r="J180" s="407">
        <f t="shared" si="233"/>
        <v>46592</v>
      </c>
      <c r="K180" s="407">
        <f t="shared" si="233"/>
        <v>46452</v>
      </c>
      <c r="L180" s="407">
        <f t="shared" si="233"/>
        <v>43486.159999999996</v>
      </c>
      <c r="M180" s="407">
        <f t="shared" si="233"/>
        <v>43367.62</v>
      </c>
      <c r="N180" s="407">
        <f t="shared" si="233"/>
        <v>43114</v>
      </c>
      <c r="O180" s="407">
        <f t="shared" si="233"/>
        <v>43841</v>
      </c>
      <c r="P180" s="407">
        <f t="shared" si="233"/>
        <v>46551.600000000006</v>
      </c>
      <c r="Q180" s="407">
        <f t="shared" si="233"/>
        <v>51407.35</v>
      </c>
      <c r="R180" s="407">
        <f t="shared" si="233"/>
        <v>63366</v>
      </c>
      <c r="S180" s="407">
        <f ca="1">SUM(S176:S179)</f>
        <v>605098.7300000001</v>
      </c>
      <c r="T180" s="407">
        <f>SUM(T176:T179)</f>
        <v>176921</v>
      </c>
      <c r="U180" s="407">
        <f>SUM(U176:U179)</f>
        <v>136530.16</v>
      </c>
      <c r="V180" s="407">
        <f>SUM(V176:V179)</f>
        <v>130322.62000000001</v>
      </c>
      <c r="W180" s="407">
        <f>SUM(W176:W179)</f>
        <v>161324.94999999998</v>
      </c>
      <c r="X180" s="386"/>
      <c r="Y180" s="407">
        <f t="shared" ref="Y180:AJ180" si="234">SUM(Y176:Y179)</f>
        <v>72421</v>
      </c>
      <c r="Z180" s="407">
        <f t="shared" si="234"/>
        <v>63956</v>
      </c>
      <c r="AA180" s="407">
        <f t="shared" si="234"/>
        <v>62126</v>
      </c>
      <c r="AB180" s="407">
        <f t="shared" si="234"/>
        <v>63058</v>
      </c>
      <c r="AC180" s="407">
        <f t="shared" si="234"/>
        <v>56108</v>
      </c>
      <c r="AD180" s="407">
        <f t="shared" si="234"/>
        <v>50315</v>
      </c>
      <c r="AE180" s="407">
        <f t="shared" si="234"/>
        <v>51271</v>
      </c>
      <c r="AF180" s="407">
        <f t="shared" si="234"/>
        <v>48990</v>
      </c>
      <c r="AG180" s="407">
        <f>SUM(AG176:AG179)</f>
        <v>49513</v>
      </c>
      <c r="AH180" s="407">
        <f t="shared" si="234"/>
        <v>51761</v>
      </c>
      <c r="AI180" s="407">
        <f t="shared" si="234"/>
        <v>55880</v>
      </c>
      <c r="AJ180" s="407">
        <f t="shared" si="234"/>
        <v>62639.049999999996</v>
      </c>
      <c r="AK180" s="407">
        <f ca="1">SUM(AK176:AK179)</f>
        <v>688038.05</v>
      </c>
      <c r="AL180" s="407"/>
      <c r="AM180" s="407"/>
      <c r="AN180" s="407"/>
      <c r="AO180" s="407"/>
      <c r="AP180" s="407"/>
      <c r="AQ180" s="407">
        <f>SUM(AQ176:AQ179)</f>
        <v>198503</v>
      </c>
      <c r="AR180" s="407">
        <f>SUM(AR176:AR179)</f>
        <v>169481</v>
      </c>
      <c r="AS180" s="407">
        <f>SUM(AS176:AS179)</f>
        <v>149774</v>
      </c>
      <c r="AT180" s="407">
        <f>SUM(AT176:AT179)</f>
        <v>170280.05000000002</v>
      </c>
      <c r="AU180" s="181"/>
      <c r="AV180" s="407">
        <f t="shared" ref="AV180:BG180" si="235">SUM(AV176:AV179)</f>
        <v>48687.568333333329</v>
      </c>
      <c r="AW180" s="407">
        <f t="shared" si="235"/>
        <v>48687.568333333329</v>
      </c>
      <c r="AX180" s="407">
        <f t="shared" si="235"/>
        <v>48687.568333333329</v>
      </c>
      <c r="AY180" s="407">
        <f t="shared" si="235"/>
        <v>48687.568333333329</v>
      </c>
      <c r="AZ180" s="407">
        <f t="shared" si="235"/>
        <v>48687.568333333329</v>
      </c>
      <c r="BA180" s="407">
        <f t="shared" si="235"/>
        <v>48687.568333333329</v>
      </c>
      <c r="BB180" s="407">
        <f t="shared" si="235"/>
        <v>48687.568333333329</v>
      </c>
      <c r="BC180" s="407">
        <f t="shared" si="235"/>
        <v>48687.568333333329</v>
      </c>
      <c r="BD180" s="407">
        <f t="shared" si="235"/>
        <v>48687.568333333329</v>
      </c>
      <c r="BE180" s="407">
        <f t="shared" si="235"/>
        <v>48687.568333333329</v>
      </c>
      <c r="BF180" s="407">
        <f t="shared" si="235"/>
        <v>48687.568333333329</v>
      </c>
      <c r="BG180" s="407">
        <f t="shared" si="235"/>
        <v>48687.568333333329</v>
      </c>
      <c r="BH180" s="407">
        <f ca="1">SUM(BH176:BH179)</f>
        <v>584250.81999999995</v>
      </c>
      <c r="BI180" s="407">
        <f>SUM(BI176:BI179)</f>
        <v>146062.70499999999</v>
      </c>
      <c r="BJ180" s="407">
        <f>SUM(BJ176:BJ179)</f>
        <v>146062.70499999999</v>
      </c>
      <c r="BK180" s="407">
        <f>SUM(BK176:BK179)</f>
        <v>146062.70499999999</v>
      </c>
      <c r="BL180" s="407">
        <f>SUM(BL176:BL179)</f>
        <v>146062.70499999999</v>
      </c>
      <c r="BM180" s="386"/>
      <c r="BN180" s="407">
        <f t="shared" ref="BN180:BY180" si="236">SUM(BN176:BN179)</f>
        <v>0</v>
      </c>
      <c r="BO180" s="407">
        <f t="shared" si="236"/>
        <v>0</v>
      </c>
      <c r="BP180" s="407">
        <f t="shared" si="236"/>
        <v>58066.623583056258</v>
      </c>
      <c r="BQ180" s="407">
        <f t="shared" si="236"/>
        <v>51730.354392930909</v>
      </c>
      <c r="BR180" s="407">
        <f t="shared" si="236"/>
        <v>48831.005369704362</v>
      </c>
      <c r="BS180" s="407">
        <f t="shared" si="236"/>
        <v>46244.34871916916</v>
      </c>
      <c r="BT180" s="407">
        <f t="shared" si="236"/>
        <v>43890.122348872515</v>
      </c>
      <c r="BU180" s="407">
        <f t="shared" si="236"/>
        <v>44972.594845728949</v>
      </c>
      <c r="BV180" s="407">
        <f t="shared" si="236"/>
        <v>46330.593734210051</v>
      </c>
      <c r="BW180" s="407">
        <f t="shared" si="236"/>
        <v>48156.099446536064</v>
      </c>
      <c r="BX180" s="407">
        <f t="shared" si="236"/>
        <v>53690.404411714801</v>
      </c>
      <c r="BY180" s="407">
        <f t="shared" si="236"/>
        <v>64667.468807575147</v>
      </c>
      <c r="BZ180" s="407">
        <f ca="1">SUM(BZ176:BZ179)</f>
        <v>506579.61565949814</v>
      </c>
      <c r="CA180" s="407">
        <f>SUM(CA176:CA179)</f>
        <v>58066.623583056258</v>
      </c>
      <c r="CB180" s="407">
        <f>SUM(CB176:CB179)</f>
        <v>146805.70848180444</v>
      </c>
      <c r="CC180" s="407">
        <f>SUM(CC176:CC179)</f>
        <v>135193.31092881152</v>
      </c>
      <c r="CD180" s="407">
        <f>SUM(CD176:CD179)</f>
        <v>166513.972665826</v>
      </c>
      <c r="CE180" s="386"/>
      <c r="CH180" s="407"/>
      <c r="CI180" s="407"/>
      <c r="CJ180" s="407">
        <f t="shared" ref="CJ180:CS180" si="237">SUM(CJ176:CJ179)</f>
        <v>4059.3764169437381</v>
      </c>
      <c r="CK180" s="407">
        <f t="shared" si="237"/>
        <v>11327.645607069093</v>
      </c>
      <c r="CL180" s="407">
        <f t="shared" si="237"/>
        <v>7276.9946302956396</v>
      </c>
      <c r="CM180" s="407">
        <f t="shared" si="237"/>
        <v>4070.6512808308348</v>
      </c>
      <c r="CN180" s="407">
        <f t="shared" si="237"/>
        <v>7380.8776511274791</v>
      </c>
      <c r="CO180" s="407">
        <f t="shared" si="237"/>
        <v>4017.4051542710554</v>
      </c>
      <c r="CP180" s="407">
        <f t="shared" si="237"/>
        <v>3182.4062657899453</v>
      </c>
      <c r="CQ180" s="407">
        <f t="shared" si="237"/>
        <v>3604.9005534639396</v>
      </c>
      <c r="CR180" s="407">
        <f t="shared" si="237"/>
        <v>0</v>
      </c>
      <c r="CS180" s="407">
        <f t="shared" si="237"/>
        <v>0</v>
      </c>
      <c r="CU180" s="407">
        <f>SUM(CU176:CU179)</f>
        <v>665620.63231380668</v>
      </c>
      <c r="CV180" s="407">
        <f>SUM(CV176:CV179)</f>
        <v>681089.56640003598</v>
      </c>
      <c r="CW180" s="407">
        <f>SUM(CW176:CW179)</f>
        <v>584250.81999999995</v>
      </c>
    </row>
    <row r="181" spans="2:103" ht="13.5" thickBot="1">
      <c r="B181" s="180" t="s">
        <v>624</v>
      </c>
      <c r="F181" s="432" t="s">
        <v>247</v>
      </c>
      <c r="G181" s="433">
        <f>+G174-G180</f>
        <v>7241658.3749999879</v>
      </c>
      <c r="H181" s="433">
        <f>+H174-H180</f>
        <v>6966451.6000000099</v>
      </c>
      <c r="I181" s="433">
        <f>+I174-I180</f>
        <v>7384744.2699999753</v>
      </c>
      <c r="J181" s="433">
        <f t="shared" ref="J181:R181" si="238">+J174-J180</f>
        <v>5825212.6099999631</v>
      </c>
      <c r="K181" s="433">
        <f t="shared" si="238"/>
        <v>5981876.2399999741</v>
      </c>
      <c r="L181" s="433">
        <f t="shared" si="238"/>
        <v>5857619.0399999972</v>
      </c>
      <c r="M181" s="433">
        <f t="shared" si="238"/>
        <v>5829455.46</v>
      </c>
      <c r="N181" s="433">
        <f t="shared" si="238"/>
        <v>5924971.769999993</v>
      </c>
      <c r="O181" s="433">
        <f t="shared" si="238"/>
        <v>5947652.0799999945</v>
      </c>
      <c r="P181" s="433">
        <f t="shared" si="238"/>
        <v>6246910.1200000104</v>
      </c>
      <c r="Q181" s="433">
        <f t="shared" si="238"/>
        <v>6506909.2599999914</v>
      </c>
      <c r="R181" s="433">
        <f t="shared" si="238"/>
        <v>7484903.7099999813</v>
      </c>
      <c r="S181" s="433">
        <f ca="1">S174-S180</f>
        <v>77198364.534999862</v>
      </c>
      <c r="T181" s="433">
        <f>T174-T180</f>
        <v>21592854.244999979</v>
      </c>
      <c r="U181" s="433">
        <f>U174-U180</f>
        <v>17664707.889999934</v>
      </c>
      <c r="V181" s="433">
        <f>V174-V180</f>
        <v>17702079.309999987</v>
      </c>
      <c r="W181" s="433">
        <f>W174-W180</f>
        <v>20238723.089999977</v>
      </c>
      <c r="X181" s="434"/>
      <c r="Y181" s="433">
        <f t="shared" ref="Y181:AJ181" si="239">+Y174-Y180</f>
        <v>7741077.3599999957</v>
      </c>
      <c r="Z181" s="433">
        <f t="shared" si="239"/>
        <v>7302082.3499999912</v>
      </c>
      <c r="AA181" s="433">
        <f>+AA174-AA180</f>
        <v>7242609.9099999871</v>
      </c>
      <c r="AB181" s="433">
        <f t="shared" si="239"/>
        <v>7512351.2899999823</v>
      </c>
      <c r="AC181" s="433">
        <f t="shared" si="239"/>
        <v>6732495.3699999852</v>
      </c>
      <c r="AD181" s="433">
        <f t="shared" si="239"/>
        <v>6440533.1599999918</v>
      </c>
      <c r="AE181" s="433">
        <f t="shared" si="239"/>
        <v>6515406.0099999961</v>
      </c>
      <c r="AF181" s="433">
        <f t="shared" si="239"/>
        <v>6546958.109999992</v>
      </c>
      <c r="AG181" s="433">
        <f>+AG174-AG180</f>
        <v>6228462.9699999895</v>
      </c>
      <c r="AH181" s="433">
        <f t="shared" si="239"/>
        <v>6878993.5699999845</v>
      </c>
      <c r="AI181" s="433">
        <f t="shared" si="239"/>
        <v>7278746.5199999921</v>
      </c>
      <c r="AJ181" s="433">
        <f t="shared" si="239"/>
        <v>7515371.9300000025</v>
      </c>
      <c r="AK181" s="433">
        <f ca="1">AK174-AK180</f>
        <v>83935088.549999878</v>
      </c>
      <c r="AL181" s="433"/>
      <c r="AM181" s="433"/>
      <c r="AN181" s="433"/>
      <c r="AO181" s="433"/>
      <c r="AP181" s="433"/>
      <c r="AQ181" s="433">
        <f>AQ174-AQ180</f>
        <v>22285769.619999971</v>
      </c>
      <c r="AR181" s="433">
        <f>AR174-AR180</f>
        <v>20685379.819999963</v>
      </c>
      <c r="AS181" s="433">
        <f>AS174-AS180</f>
        <v>19290827.089999977</v>
      </c>
      <c r="AT181" s="433">
        <f>AT174-AT180</f>
        <v>21673112.019999977</v>
      </c>
      <c r="AU181" s="181"/>
      <c r="AV181" s="433">
        <f>+AV174-AV180</f>
        <v>7866441.5202765511</v>
      </c>
      <c r="AW181" s="433">
        <f>+AW174-AW180</f>
        <v>7259867.0893613603</v>
      </c>
      <c r="AX181" s="433">
        <f>+AX174-AX180</f>
        <v>7389175.0670616357</v>
      </c>
      <c r="AY181" s="433">
        <f t="shared" ref="AY181:BG181" si="240">+AY174-AY180</f>
        <v>6804913.2450919561</v>
      </c>
      <c r="AZ181" s="433">
        <f t="shared" si="240"/>
        <v>6575555.2879719287</v>
      </c>
      <c r="BA181" s="433">
        <f t="shared" si="240"/>
        <v>6476333.9879513625</v>
      </c>
      <c r="BB181" s="433">
        <f t="shared" si="240"/>
        <v>6363565.560281923</v>
      </c>
      <c r="BC181" s="433">
        <f t="shared" si="240"/>
        <v>6492342.22233532</v>
      </c>
      <c r="BD181" s="433">
        <f t="shared" si="240"/>
        <v>6404280.059399684</v>
      </c>
      <c r="BE181" s="433">
        <f t="shared" si="240"/>
        <v>6638922.6116573103</v>
      </c>
      <c r="BF181" s="433">
        <f t="shared" si="240"/>
        <v>7160241.4094187431</v>
      </c>
      <c r="BG181" s="433">
        <f t="shared" si="240"/>
        <v>7844590.1675413176</v>
      </c>
      <c r="BH181" s="433">
        <f ca="1">BH174-BH180</f>
        <v>83276228.22834909</v>
      </c>
      <c r="BI181" s="433">
        <f>BI174-BI180</f>
        <v>22515483.676699549</v>
      </c>
      <c r="BJ181" s="433">
        <f>BJ174-BJ180</f>
        <v>19856802.521015249</v>
      </c>
      <c r="BK181" s="433">
        <f>BK174-BK180</f>
        <v>19260187.842016928</v>
      </c>
      <c r="BL181" s="433">
        <f>BL174-BL180</f>
        <v>21643754.188617375</v>
      </c>
      <c r="BM181" s="434"/>
      <c r="BN181" s="433">
        <f>+BN174-BN180</f>
        <v>0</v>
      </c>
      <c r="BO181" s="433">
        <f>+BO174-BO180</f>
        <v>0</v>
      </c>
      <c r="BP181" s="433">
        <f>+BP174-BP180</f>
        <v>7113046.056201702</v>
      </c>
      <c r="BQ181" s="433">
        <f t="shared" ref="BQ181:BY181" si="241">+BQ174-BQ180</f>
        <v>6913319.9696322856</v>
      </c>
      <c r="BR181" s="433">
        <f t="shared" si="241"/>
        <v>6601950.8494668081</v>
      </c>
      <c r="BS181" s="433">
        <f t="shared" si="241"/>
        <v>6385570.4773180019</v>
      </c>
      <c r="BT181" s="433">
        <f t="shared" si="241"/>
        <v>6251588.5814134087</v>
      </c>
      <c r="BU181" s="433">
        <f t="shared" si="241"/>
        <v>6402025.8345004795</v>
      </c>
      <c r="BV181" s="433">
        <f t="shared" si="241"/>
        <v>6406196.3831235468</v>
      </c>
      <c r="BW181" s="433">
        <f t="shared" si="241"/>
        <v>6532840.9681319678</v>
      </c>
      <c r="BX181" s="433">
        <f t="shared" si="241"/>
        <v>6987794.973288401</v>
      </c>
      <c r="BY181" s="433">
        <f t="shared" si="241"/>
        <v>7565509.857095317</v>
      </c>
      <c r="BZ181" s="433">
        <f ca="1">BZ174-BZ180</f>
        <v>67159843.950171918</v>
      </c>
      <c r="CA181" s="433">
        <f>CA174-CA180</f>
        <v>7113046.056201702</v>
      </c>
      <c r="CB181" s="433">
        <f>CB174-CB180</f>
        <v>19900841.296417091</v>
      </c>
      <c r="CC181" s="433">
        <f>CC174-CC180</f>
        <v>19059810.799037438</v>
      </c>
      <c r="CD181" s="433">
        <f>CD174-CD180</f>
        <v>21086145.798515689</v>
      </c>
      <c r="CE181" s="434"/>
      <c r="CH181" s="433"/>
      <c r="CI181" s="433"/>
      <c r="CJ181" s="433">
        <f t="shared" ref="CJ181:CS181" si="242">+CJ174-CJ180</f>
        <v>129563.85379828454</v>
      </c>
      <c r="CK181" s="433">
        <f t="shared" si="242"/>
        <v>599031.32036769658</v>
      </c>
      <c r="CL181" s="433">
        <f t="shared" si="242"/>
        <v>130544.52053317762</v>
      </c>
      <c r="CM181" s="433">
        <f t="shared" si="242"/>
        <v>54962.682681989594</v>
      </c>
      <c r="CN181" s="433">
        <f t="shared" si="242"/>
        <v>263817.42858658562</v>
      </c>
      <c r="CO181" s="433">
        <f t="shared" si="242"/>
        <v>144932.27549951317</v>
      </c>
      <c r="CP181" s="433">
        <f t="shared" si="242"/>
        <v>-177733.41312355842</v>
      </c>
      <c r="CQ181" s="433">
        <f t="shared" si="242"/>
        <v>346152.60186801676</v>
      </c>
      <c r="CR181" s="433">
        <f t="shared" si="242"/>
        <v>0</v>
      </c>
      <c r="CS181" s="433">
        <f t="shared" si="242"/>
        <v>0</v>
      </c>
      <c r="CU181" s="433">
        <f>+CU174-CU180</f>
        <v>47667626.714912601</v>
      </c>
      <c r="CV181" s="433" t="e">
        <f>+CV174-CV180</f>
        <v>#VALUE!</v>
      </c>
      <c r="CW181" s="433">
        <f>+CW174-CW180</f>
        <v>47405738.581051879</v>
      </c>
    </row>
    <row r="182" spans="2:103" ht="13.5" thickTop="1"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CE182" s="181"/>
      <c r="CH182" s="181"/>
      <c r="CI182" s="181"/>
      <c r="CJ182" s="181"/>
      <c r="CK182" s="181"/>
      <c r="CL182" s="181"/>
      <c r="CM182" s="181"/>
      <c r="CN182" s="181"/>
      <c r="CO182" s="181"/>
      <c r="CP182" s="181"/>
      <c r="CQ182" s="181"/>
      <c r="CR182" s="181"/>
      <c r="CS182" s="181"/>
      <c r="CU182" s="181"/>
      <c r="CV182" s="181"/>
      <c r="CW182" s="181"/>
    </row>
    <row r="183" spans="2:103">
      <c r="X183" s="181"/>
      <c r="Y183" s="181"/>
      <c r="Z183" s="397"/>
      <c r="AA183" s="397"/>
      <c r="AB183" s="397"/>
      <c r="AC183" s="397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CE183" s="181"/>
      <c r="CH183" s="181"/>
      <c r="CI183" s="181"/>
      <c r="CJ183" s="181"/>
      <c r="CK183" s="181"/>
      <c r="CL183" s="181"/>
      <c r="CM183" s="181"/>
      <c r="CN183" s="181"/>
      <c r="CO183" s="181"/>
      <c r="CP183" s="181"/>
      <c r="CQ183" s="181"/>
      <c r="CR183" s="181"/>
      <c r="CS183" s="181"/>
      <c r="CU183" s="181"/>
      <c r="CV183" s="181"/>
      <c r="CW183" s="181"/>
    </row>
    <row r="184" spans="2:103">
      <c r="X184" s="181"/>
      <c r="Y184" s="181"/>
      <c r="Z184" s="181"/>
      <c r="AA184" s="181"/>
      <c r="AB184" s="397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BM184" s="181"/>
      <c r="BN184" s="181"/>
      <c r="BO184" s="181"/>
      <c r="BP184" s="181"/>
      <c r="BQ184" s="181"/>
      <c r="BR184" s="181"/>
      <c r="BS184" s="181"/>
      <c r="BT184" s="181"/>
      <c r="BU184" s="181"/>
      <c r="BV184" s="181"/>
      <c r="BW184" s="181"/>
      <c r="BX184" s="181"/>
      <c r="BY184" s="181"/>
      <c r="CE184" s="181"/>
      <c r="CH184" s="181"/>
      <c r="CI184" s="181"/>
      <c r="CJ184" s="181"/>
      <c r="CK184" s="181"/>
      <c r="CL184" s="181"/>
      <c r="CM184" s="181"/>
      <c r="CN184" s="181"/>
      <c r="CO184" s="181"/>
      <c r="CP184" s="181"/>
      <c r="CQ184" s="181"/>
      <c r="CR184" s="181"/>
      <c r="CS184" s="181"/>
      <c r="CU184" s="181"/>
      <c r="CV184" s="181"/>
      <c r="CW184" s="181"/>
    </row>
    <row r="185" spans="2:103"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BM185" s="181"/>
      <c r="BN185" s="181"/>
      <c r="BO185" s="181"/>
      <c r="BP185" s="181"/>
      <c r="BQ185" s="181"/>
      <c r="BR185" s="181"/>
      <c r="BS185" s="181"/>
      <c r="BT185" s="181"/>
      <c r="BU185" s="181"/>
      <c r="BV185" s="181"/>
      <c r="BW185" s="181"/>
      <c r="BX185" s="181"/>
      <c r="BY185" s="181"/>
      <c r="CE185" s="181"/>
      <c r="CH185" s="181"/>
      <c r="CI185" s="181"/>
      <c r="CJ185" s="181"/>
      <c r="CK185" s="181"/>
      <c r="CL185" s="181"/>
      <c r="CM185" s="181"/>
      <c r="CN185" s="181"/>
      <c r="CO185" s="181"/>
      <c r="CP185" s="181"/>
      <c r="CQ185" s="181"/>
      <c r="CR185" s="181"/>
      <c r="CS185" s="181"/>
      <c r="CU185" s="181"/>
      <c r="CV185" s="181"/>
      <c r="CW185" s="181"/>
    </row>
    <row r="186" spans="2:103" outlineLevel="1">
      <c r="C186" s="97" t="s">
        <v>0</v>
      </c>
      <c r="D186" s="284" t="s">
        <v>625</v>
      </c>
      <c r="F186" s="320" t="str">
        <f>CONCATENATE(C186, " - ",D186)</f>
        <v>Residential - NGD</v>
      </c>
      <c r="G186" s="175">
        <f t="shared" ref="G186:W192" si="243">SUMIFS(G$5:G$181,$C$5:$C$181,$C186)</f>
        <v>2139178.2699999893</v>
      </c>
      <c r="H186" s="175">
        <f t="shared" si="243"/>
        <v>2016055.1100000113</v>
      </c>
      <c r="I186" s="175">
        <f t="shared" si="243"/>
        <v>1931242.2199999769</v>
      </c>
      <c r="J186" s="175">
        <f t="shared" si="243"/>
        <v>1822194.2899999665</v>
      </c>
      <c r="K186" s="175">
        <f t="shared" si="243"/>
        <v>1761150.1099999761</v>
      </c>
      <c r="L186" s="175">
        <f t="shared" si="243"/>
        <v>1585511.2199999969</v>
      </c>
      <c r="M186" s="175">
        <f t="shared" si="243"/>
        <v>1525365.949999999</v>
      </c>
      <c r="N186" s="175">
        <f t="shared" si="243"/>
        <v>1471146.7299999944</v>
      </c>
      <c r="O186" s="175">
        <f t="shared" si="243"/>
        <v>1477912.6899999978</v>
      </c>
      <c r="P186" s="175">
        <f t="shared" si="243"/>
        <v>1520828.6200000097</v>
      </c>
      <c r="Q186" s="175">
        <f t="shared" si="243"/>
        <v>1728238.679999989</v>
      </c>
      <c r="R186" s="175">
        <f t="shared" si="243"/>
        <v>2186540.2999999807</v>
      </c>
      <c r="S186" s="375">
        <f t="shared" ca="1" si="243"/>
        <v>21165364.18999989</v>
      </c>
      <c r="T186" s="175">
        <f t="shared" si="243"/>
        <v>6086475.5999999782</v>
      </c>
      <c r="U186" s="175">
        <f t="shared" si="243"/>
        <v>5168855.6199999396</v>
      </c>
      <c r="V186" s="175">
        <f t="shared" si="243"/>
        <v>4474425.3699999908</v>
      </c>
      <c r="W186" s="175">
        <f t="shared" si="243"/>
        <v>5435607.5999999791</v>
      </c>
      <c r="X186" s="181"/>
      <c r="Y186" s="175">
        <f t="shared" ref="Y186:AT192" si="244">SUMIFS(Y$5:Y$181,$C$5:$C$181,$C186)</f>
        <v>2531092.4199999967</v>
      </c>
      <c r="Z186" s="175">
        <f t="shared" si="244"/>
        <v>2179270.0999999931</v>
      </c>
      <c r="AA186" s="175">
        <f t="shared" si="244"/>
        <v>2030296.349999988</v>
      </c>
      <c r="AB186" s="175">
        <f t="shared" si="244"/>
        <v>2009998.6999999881</v>
      </c>
      <c r="AC186" s="175">
        <f t="shared" si="244"/>
        <v>1753356.8099999889</v>
      </c>
      <c r="AD186" s="175">
        <f t="shared" si="244"/>
        <v>1631440.8199999928</v>
      </c>
      <c r="AE186" s="175">
        <f t="shared" si="244"/>
        <v>1592261.4199999976</v>
      </c>
      <c r="AF186" s="175">
        <f t="shared" si="244"/>
        <v>1516487.6099999929</v>
      </c>
      <c r="AG186" s="175">
        <f t="shared" si="244"/>
        <v>1559571.6999999913</v>
      </c>
      <c r="AH186" s="175">
        <f t="shared" si="244"/>
        <v>1586457.0799999856</v>
      </c>
      <c r="AI186" s="175">
        <f t="shared" si="244"/>
        <v>1799231.6999999951</v>
      </c>
      <c r="AJ186" s="175">
        <f t="shared" si="244"/>
        <v>2131608.5899999985</v>
      </c>
      <c r="AK186" s="375">
        <f t="shared" si="244"/>
        <v>22321073.299999911</v>
      </c>
      <c r="AL186" s="375"/>
      <c r="AM186" s="375"/>
      <c r="AN186" s="375"/>
      <c r="AO186" s="375"/>
      <c r="AP186" s="375"/>
      <c r="AQ186" s="175">
        <f t="shared" si="244"/>
        <v>6740658.8699999778</v>
      </c>
      <c r="AR186" s="175">
        <f t="shared" si="244"/>
        <v>5394796.3299999703</v>
      </c>
      <c r="AS186" s="175">
        <f t="shared" si="244"/>
        <v>4668320.7299999828</v>
      </c>
      <c r="AT186" s="175">
        <f t="shared" si="244"/>
        <v>5517297.3699999796</v>
      </c>
      <c r="AU186" s="181"/>
      <c r="AV186" s="175">
        <f t="shared" ref="AV186:BL192" si="245">SUMIFS(AV$5:AV$181,$C$5:$C$181,$C186)</f>
        <v>2410890.8733662977</v>
      </c>
      <c r="AW186" s="175">
        <f t="shared" si="245"/>
        <v>2105255.2847037045</v>
      </c>
      <c r="AX186" s="175">
        <f t="shared" si="245"/>
        <v>1968818.5588258209</v>
      </c>
      <c r="AY186" s="175">
        <f t="shared" si="245"/>
        <v>1938265.2779852326</v>
      </c>
      <c r="AZ186" s="175">
        <f t="shared" si="245"/>
        <v>1713820.2842925757</v>
      </c>
      <c r="BA186" s="175">
        <f t="shared" si="245"/>
        <v>1606829.2437348121</v>
      </c>
      <c r="BB186" s="175">
        <f t="shared" si="245"/>
        <v>1509263.4454052628</v>
      </c>
      <c r="BC186" s="175">
        <f t="shared" si="245"/>
        <v>1508248.0314304694</v>
      </c>
      <c r="BD186" s="175">
        <f t="shared" si="245"/>
        <v>1542756.0811762146</v>
      </c>
      <c r="BE186" s="175">
        <f t="shared" si="245"/>
        <v>1541905.1391437761</v>
      </c>
      <c r="BF186" s="175">
        <f t="shared" si="245"/>
        <v>1755242.3289666907</v>
      </c>
      <c r="BG186" s="175">
        <f t="shared" si="245"/>
        <v>2137581.9712307258</v>
      </c>
      <c r="BH186" s="375">
        <f t="shared" ca="1" si="245"/>
        <v>21738876.520261586</v>
      </c>
      <c r="BI186" s="175">
        <f t="shared" si="245"/>
        <v>6484964.7168958234</v>
      </c>
      <c r="BJ186" s="175">
        <f t="shared" si="245"/>
        <v>5258914.8060126202</v>
      </c>
      <c r="BK186" s="175">
        <f t="shared" si="245"/>
        <v>4560267.5580119472</v>
      </c>
      <c r="BL186" s="175">
        <f t="shared" si="245"/>
        <v>5434729.439341194</v>
      </c>
      <c r="BM186" s="181"/>
      <c r="BN186" s="175">
        <f t="shared" ref="BN186:CD192" si="246">SUMIFS(BN$5:BN$181,$C$5:$C$181,$C186)</f>
        <v>0</v>
      </c>
      <c r="BO186" s="175">
        <f t="shared" si="246"/>
        <v>0</v>
      </c>
      <c r="BP186" s="175">
        <f t="shared" si="246"/>
        <v>1972884.0294930458</v>
      </c>
      <c r="BQ186" s="175">
        <f t="shared" si="246"/>
        <v>1942169.8777447494</v>
      </c>
      <c r="BR186" s="175">
        <f t="shared" si="246"/>
        <v>1717246.5840120735</v>
      </c>
      <c r="BS186" s="175">
        <f t="shared" si="246"/>
        <v>1594152.0422908501</v>
      </c>
      <c r="BT186" s="175">
        <f t="shared" si="246"/>
        <v>1497779.7540931844</v>
      </c>
      <c r="BU186" s="175">
        <f t="shared" si="246"/>
        <v>1497948.9110305938</v>
      </c>
      <c r="BV186" s="175">
        <f t="shared" si="246"/>
        <v>1553167.7430336683</v>
      </c>
      <c r="BW186" s="175">
        <f t="shared" si="246"/>
        <v>1552068.2584901536</v>
      </c>
      <c r="BX186" s="175">
        <f t="shared" si="246"/>
        <v>1774748.2519923134</v>
      </c>
      <c r="BY186" s="175">
        <f t="shared" si="246"/>
        <v>2163635.8280823021</v>
      </c>
      <c r="BZ186" s="375">
        <f t="shared" ca="1" si="246"/>
        <v>17265801.280262936</v>
      </c>
      <c r="CA186" s="175">
        <f t="shared" si="246"/>
        <v>1972884.0294930458</v>
      </c>
      <c r="CB186" s="175">
        <f t="shared" si="246"/>
        <v>5253568.5040476732</v>
      </c>
      <c r="CC186" s="175">
        <f t="shared" si="246"/>
        <v>4548896.4081574464</v>
      </c>
      <c r="CD186" s="175">
        <f t="shared" si="246"/>
        <v>5490452.3385647684</v>
      </c>
      <c r="CE186" s="181"/>
      <c r="CH186" s="175"/>
      <c r="CI186" s="175"/>
      <c r="CJ186" s="175">
        <f t="shared" ref="CJ186:CW192" si="247">SUMIFS(CJ$5:CJ$181,$C$5:$C$181,$C186)</f>
        <v>57412.320506941905</v>
      </c>
      <c r="CK186" s="175">
        <f t="shared" si="247"/>
        <v>67828.822255238643</v>
      </c>
      <c r="CL186" s="175">
        <f t="shared" si="247"/>
        <v>36110.225987915481</v>
      </c>
      <c r="CM186" s="175">
        <f t="shared" si="247"/>
        <v>37288.777709142414</v>
      </c>
      <c r="CN186" s="175">
        <f t="shared" si="247"/>
        <v>94481.665906813185</v>
      </c>
      <c r="CO186" s="175">
        <f t="shared" si="247"/>
        <v>18538.698969398956</v>
      </c>
      <c r="CP186" s="175">
        <f t="shared" si="247"/>
        <v>6403.9569663228258</v>
      </c>
      <c r="CQ186" s="175">
        <f t="shared" si="247"/>
        <v>34388.821509832254</v>
      </c>
      <c r="CR186" s="175">
        <f t="shared" si="247"/>
        <v>0</v>
      </c>
      <c r="CS186" s="175">
        <f t="shared" si="247"/>
        <v>0</v>
      </c>
      <c r="CU186" s="175">
        <f t="shared" si="247"/>
        <v>22137515.169013023</v>
      </c>
      <c r="CV186" s="175" t="e">
        <f t="shared" si="247"/>
        <v>#VALUE!</v>
      </c>
      <c r="CW186" s="175">
        <f t="shared" si="247"/>
        <v>21738876.520261586</v>
      </c>
      <c r="CX186" s="435" t="e">
        <f>CV186-CU186</f>
        <v>#VALUE!</v>
      </c>
      <c r="CY186" s="435" t="e">
        <f>CV186-CW186</f>
        <v>#VALUE!</v>
      </c>
    </row>
    <row r="187" spans="2:103" outlineLevel="1">
      <c r="C187" s="97" t="s">
        <v>534</v>
      </c>
      <c r="D187" s="284" t="s">
        <v>625</v>
      </c>
      <c r="F187" s="320" t="str">
        <f t="shared" ref="F187:F229" si="248">CONCATENATE(C187, " - ",D187)</f>
        <v>Residential - Experimental - NGD</v>
      </c>
      <c r="G187" s="175">
        <f t="shared" si="243"/>
        <v>8433.4399999999987</v>
      </c>
      <c r="H187" s="175">
        <f t="shared" si="243"/>
        <v>8414.77</v>
      </c>
      <c r="I187" s="175">
        <f t="shared" si="243"/>
        <v>8388</v>
      </c>
      <c r="J187" s="175">
        <f t="shared" si="243"/>
        <v>8375.8700000000008</v>
      </c>
      <c r="K187" s="175">
        <f t="shared" si="243"/>
        <v>8320.93</v>
      </c>
      <c r="L187" s="175">
        <f t="shared" si="243"/>
        <v>8317.0299999999988</v>
      </c>
      <c r="M187" s="175">
        <f t="shared" si="243"/>
        <v>8309.93</v>
      </c>
      <c r="N187" s="175">
        <f t="shared" si="243"/>
        <v>8301.77</v>
      </c>
      <c r="O187" s="175">
        <f t="shared" si="243"/>
        <v>8310.4699999999993</v>
      </c>
      <c r="P187" s="175">
        <f t="shared" si="243"/>
        <v>8299.5099999999984</v>
      </c>
      <c r="Q187" s="175">
        <f t="shared" si="243"/>
        <v>8308.2799999999988</v>
      </c>
      <c r="R187" s="175">
        <f t="shared" si="243"/>
        <v>8401.27</v>
      </c>
      <c r="S187" s="375">
        <f t="shared" ca="1" si="243"/>
        <v>100181.27</v>
      </c>
      <c r="T187" s="175">
        <f t="shared" si="243"/>
        <v>25236.21</v>
      </c>
      <c r="U187" s="175">
        <f t="shared" si="243"/>
        <v>25013.829999999998</v>
      </c>
      <c r="V187" s="175">
        <f t="shared" si="243"/>
        <v>24922.17</v>
      </c>
      <c r="W187" s="175">
        <f t="shared" si="243"/>
        <v>25009.06</v>
      </c>
      <c r="X187" s="181"/>
      <c r="Y187" s="175">
        <f t="shared" si="244"/>
        <v>8198.73</v>
      </c>
      <c r="Z187" s="175">
        <f t="shared" si="244"/>
        <v>8333.1</v>
      </c>
      <c r="AA187" s="175">
        <f t="shared" si="244"/>
        <v>8217.1</v>
      </c>
      <c r="AB187" s="175">
        <f t="shared" si="244"/>
        <v>8243.9</v>
      </c>
      <c r="AC187" s="175">
        <f t="shared" si="244"/>
        <v>8162.4299999999994</v>
      </c>
      <c r="AD187" s="175">
        <f t="shared" si="244"/>
        <v>8157.87</v>
      </c>
      <c r="AE187" s="175">
        <f t="shared" si="244"/>
        <v>8094.17</v>
      </c>
      <c r="AF187" s="175">
        <f t="shared" si="244"/>
        <v>8166.0100000000011</v>
      </c>
      <c r="AG187" s="175">
        <f t="shared" si="244"/>
        <v>8096.4299999999994</v>
      </c>
      <c r="AH187" s="175">
        <f t="shared" si="244"/>
        <v>7984.6799999999994</v>
      </c>
      <c r="AI187" s="175">
        <f t="shared" si="244"/>
        <v>8044.6</v>
      </c>
      <c r="AJ187" s="175">
        <f t="shared" si="244"/>
        <v>8161.6</v>
      </c>
      <c r="AK187" s="375">
        <f t="shared" si="244"/>
        <v>97860.62000000001</v>
      </c>
      <c r="AL187" s="375"/>
      <c r="AM187" s="375"/>
      <c r="AN187" s="375"/>
      <c r="AO187" s="375"/>
      <c r="AP187" s="375"/>
      <c r="AQ187" s="175">
        <f t="shared" si="244"/>
        <v>24748.93</v>
      </c>
      <c r="AR187" s="175">
        <f t="shared" si="244"/>
        <v>24564.2</v>
      </c>
      <c r="AS187" s="175">
        <f t="shared" si="244"/>
        <v>24356.61</v>
      </c>
      <c r="AT187" s="175">
        <f t="shared" si="244"/>
        <v>24190.880000000001</v>
      </c>
      <c r="AU187" s="181"/>
      <c r="AV187" s="175">
        <f t="shared" si="245"/>
        <v>8395</v>
      </c>
      <c r="AW187" s="175">
        <f t="shared" si="245"/>
        <v>8424</v>
      </c>
      <c r="AX187" s="175">
        <f t="shared" si="245"/>
        <v>8441</v>
      </c>
      <c r="AY187" s="175">
        <f t="shared" si="245"/>
        <v>8474</v>
      </c>
      <c r="AZ187" s="175">
        <f t="shared" si="245"/>
        <v>8383</v>
      </c>
      <c r="BA187" s="175">
        <f t="shared" si="245"/>
        <v>8370</v>
      </c>
      <c r="BB187" s="175">
        <f t="shared" si="245"/>
        <v>8330</v>
      </c>
      <c r="BC187" s="175">
        <f t="shared" si="245"/>
        <v>8388</v>
      </c>
      <c r="BD187" s="175">
        <f t="shared" si="245"/>
        <v>8342</v>
      </c>
      <c r="BE187" s="175">
        <f t="shared" si="245"/>
        <v>8323</v>
      </c>
      <c r="BF187" s="175">
        <f t="shared" si="245"/>
        <v>8394</v>
      </c>
      <c r="BG187" s="175">
        <f t="shared" si="245"/>
        <v>8434</v>
      </c>
      <c r="BH187" s="375">
        <f t="shared" ca="1" si="245"/>
        <v>100698</v>
      </c>
      <c r="BI187" s="175">
        <f t="shared" si="245"/>
        <v>25260</v>
      </c>
      <c r="BJ187" s="175">
        <f t="shared" si="245"/>
        <v>25227</v>
      </c>
      <c r="BK187" s="175">
        <f t="shared" si="245"/>
        <v>25060</v>
      </c>
      <c r="BL187" s="175">
        <f t="shared" si="245"/>
        <v>25151</v>
      </c>
      <c r="BM187" s="181"/>
      <c r="BN187" s="175">
        <f t="shared" si="246"/>
        <v>0</v>
      </c>
      <c r="BO187" s="175">
        <f t="shared" si="246"/>
        <v>0</v>
      </c>
      <c r="BP187" s="175">
        <f t="shared" si="246"/>
        <v>8394</v>
      </c>
      <c r="BQ187" s="175">
        <f t="shared" si="246"/>
        <v>8278</v>
      </c>
      <c r="BR187" s="175">
        <f t="shared" si="246"/>
        <v>8324</v>
      </c>
      <c r="BS187" s="175">
        <f t="shared" si="246"/>
        <v>8295</v>
      </c>
      <c r="BT187" s="175">
        <f t="shared" si="246"/>
        <v>8295</v>
      </c>
      <c r="BU187" s="175">
        <f t="shared" si="246"/>
        <v>8295</v>
      </c>
      <c r="BV187" s="175">
        <f t="shared" si="246"/>
        <v>8196</v>
      </c>
      <c r="BW187" s="175">
        <f t="shared" si="246"/>
        <v>8196</v>
      </c>
      <c r="BX187" s="175">
        <f t="shared" si="246"/>
        <v>8127</v>
      </c>
      <c r="BY187" s="175">
        <f t="shared" si="246"/>
        <v>8093</v>
      </c>
      <c r="BZ187" s="375">
        <f t="shared" ca="1" si="246"/>
        <v>82493</v>
      </c>
      <c r="CA187" s="175">
        <f t="shared" si="246"/>
        <v>8394</v>
      </c>
      <c r="CB187" s="175">
        <f t="shared" si="246"/>
        <v>24897</v>
      </c>
      <c r="CC187" s="175">
        <f t="shared" si="246"/>
        <v>24786</v>
      </c>
      <c r="CD187" s="175">
        <f t="shared" si="246"/>
        <v>24416</v>
      </c>
      <c r="CE187" s="181"/>
      <c r="CH187" s="175"/>
      <c r="CI187" s="175"/>
      <c r="CJ187" s="175">
        <f t="shared" si="247"/>
        <v>-176.89999999999998</v>
      </c>
      <c r="CK187" s="175">
        <f t="shared" si="247"/>
        <v>-34.10000000000025</v>
      </c>
      <c r="CL187" s="175">
        <f t="shared" si="247"/>
        <v>-161.57000000000039</v>
      </c>
      <c r="CM187" s="175">
        <f t="shared" si="247"/>
        <v>-137.12999999999994</v>
      </c>
      <c r="CN187" s="175">
        <f t="shared" si="247"/>
        <v>-200.82999999999998</v>
      </c>
      <c r="CO187" s="175">
        <f t="shared" si="247"/>
        <v>-128.98999999999961</v>
      </c>
      <c r="CP187" s="175">
        <f t="shared" si="247"/>
        <v>-99.570000000000391</v>
      </c>
      <c r="CQ187" s="175">
        <f t="shared" si="247"/>
        <v>-211.32000000000005</v>
      </c>
      <c r="CR187" s="175">
        <f t="shared" si="247"/>
        <v>0</v>
      </c>
      <c r="CS187" s="175">
        <f t="shared" si="247"/>
        <v>0</v>
      </c>
      <c r="CU187" s="175">
        <f t="shared" si="247"/>
        <v>98652.26</v>
      </c>
      <c r="CV187" s="175" t="e">
        <f t="shared" si="247"/>
        <v>#VALUE!</v>
      </c>
      <c r="CW187" s="175">
        <f t="shared" si="247"/>
        <v>100698</v>
      </c>
      <c r="CX187" s="435" t="e">
        <f t="shared" ref="CX187:CX192" si="249">CV187-CU187</f>
        <v>#VALUE!</v>
      </c>
      <c r="CY187" s="435" t="e">
        <f t="shared" ref="CY187:CY192" si="250">CV187-CW187</f>
        <v>#VALUE!</v>
      </c>
    </row>
    <row r="188" spans="2:103" outlineLevel="1">
      <c r="C188" s="97" t="s">
        <v>542</v>
      </c>
      <c r="D188" s="284" t="s">
        <v>625</v>
      </c>
      <c r="F188" s="320" t="str">
        <f t="shared" si="248"/>
        <v>Non-Residential - NGD</v>
      </c>
      <c r="G188" s="175">
        <f t="shared" si="243"/>
        <v>3400089.38</v>
      </c>
      <c r="H188" s="175">
        <f t="shared" si="243"/>
        <v>3219527.3099999982</v>
      </c>
      <c r="I188" s="175">
        <f t="shared" si="243"/>
        <v>3108316.4699999988</v>
      </c>
      <c r="J188" s="175">
        <f t="shared" si="243"/>
        <v>2556046.069999997</v>
      </c>
      <c r="K188" s="175">
        <f t="shared" si="243"/>
        <v>2545345.8299999977</v>
      </c>
      <c r="L188" s="175">
        <f t="shared" si="243"/>
        <v>2534101.2499999991</v>
      </c>
      <c r="M188" s="175">
        <f t="shared" si="243"/>
        <v>2637395.7200000011</v>
      </c>
      <c r="N188" s="175">
        <f t="shared" si="243"/>
        <v>2622952.8199999984</v>
      </c>
      <c r="O188" s="175">
        <f t="shared" si="243"/>
        <v>2612306.0499999975</v>
      </c>
      <c r="P188" s="175">
        <f t="shared" si="243"/>
        <v>2682324.65</v>
      </c>
      <c r="Q188" s="175">
        <f t="shared" si="243"/>
        <v>2801807.3300000015</v>
      </c>
      <c r="R188" s="175">
        <f t="shared" si="243"/>
        <v>3093584.79</v>
      </c>
      <c r="S188" s="375">
        <f t="shared" ca="1" si="243"/>
        <v>33813797.669999987</v>
      </c>
      <c r="T188" s="175">
        <f t="shared" si="243"/>
        <v>9727933.1600000001</v>
      </c>
      <c r="U188" s="175">
        <f t="shared" si="243"/>
        <v>7635493.1499999939</v>
      </c>
      <c r="V188" s="175">
        <f t="shared" si="243"/>
        <v>7872654.5899999971</v>
      </c>
      <c r="W188" s="175">
        <f t="shared" si="243"/>
        <v>8577716.7699999996</v>
      </c>
      <c r="X188" s="181"/>
      <c r="Y188" s="175">
        <f t="shared" si="244"/>
        <v>3346950.7199999993</v>
      </c>
      <c r="Z188" s="175">
        <f t="shared" si="244"/>
        <v>3056218.3699999982</v>
      </c>
      <c r="AA188" s="175">
        <f t="shared" si="244"/>
        <v>3102800.189999999</v>
      </c>
      <c r="AB188" s="175">
        <f t="shared" si="244"/>
        <v>3099285.6699999948</v>
      </c>
      <c r="AC188" s="175">
        <f t="shared" si="244"/>
        <v>2914971.7099999962</v>
      </c>
      <c r="AD188" s="175">
        <f t="shared" si="244"/>
        <v>2723785.2199999988</v>
      </c>
      <c r="AE188" s="175">
        <f t="shared" si="244"/>
        <v>2833302.2499999977</v>
      </c>
      <c r="AF188" s="175">
        <f t="shared" si="244"/>
        <v>2721724.6099999994</v>
      </c>
      <c r="AG188" s="175">
        <f t="shared" si="244"/>
        <v>2791752.2699999982</v>
      </c>
      <c r="AH188" s="175">
        <f t="shared" si="244"/>
        <v>2847880.0599999977</v>
      </c>
      <c r="AI188" s="175">
        <f t="shared" si="244"/>
        <v>2974500.3299999968</v>
      </c>
      <c r="AJ188" s="175">
        <f t="shared" si="244"/>
        <v>3181223.6399999992</v>
      </c>
      <c r="AK188" s="375">
        <f t="shared" si="244"/>
        <v>35594395.039999969</v>
      </c>
      <c r="AL188" s="375"/>
      <c r="AM188" s="375"/>
      <c r="AN188" s="375"/>
      <c r="AO188" s="375"/>
      <c r="AP188" s="375"/>
      <c r="AQ188" s="175">
        <f t="shared" si="244"/>
        <v>9505969.2799999937</v>
      </c>
      <c r="AR188" s="175">
        <f t="shared" si="244"/>
        <v>8738042.5999999922</v>
      </c>
      <c r="AS188" s="175">
        <f t="shared" si="244"/>
        <v>8346779.1299999962</v>
      </c>
      <c r="AT188" s="175">
        <f t="shared" si="244"/>
        <v>9003604.0299999937</v>
      </c>
      <c r="AU188" s="181"/>
      <c r="AV188" s="175">
        <f t="shared" si="245"/>
        <v>3460066.3619072605</v>
      </c>
      <c r="AW188" s="175">
        <f t="shared" si="245"/>
        <v>3243083.3836768847</v>
      </c>
      <c r="AX188" s="175">
        <f t="shared" si="245"/>
        <v>3141289.2235989324</v>
      </c>
      <c r="AY188" s="175">
        <f t="shared" si="245"/>
        <v>2942555.6378953974</v>
      </c>
      <c r="AZ188" s="175">
        <f t="shared" si="245"/>
        <v>2802541.6178662456</v>
      </c>
      <c r="BA188" s="175">
        <f t="shared" si="245"/>
        <v>2754302.5109414663</v>
      </c>
      <c r="BB188" s="175">
        <f t="shared" si="245"/>
        <v>2749356.9811512036</v>
      </c>
      <c r="BC188" s="175">
        <f t="shared" si="245"/>
        <v>2802394.4675906622</v>
      </c>
      <c r="BD188" s="175">
        <f t="shared" si="245"/>
        <v>2749409.6431977721</v>
      </c>
      <c r="BE188" s="175">
        <f t="shared" si="245"/>
        <v>2815895.4898216785</v>
      </c>
      <c r="BF188" s="175">
        <f t="shared" si="245"/>
        <v>3074949.1913700183</v>
      </c>
      <c r="BG188" s="175">
        <f t="shared" si="245"/>
        <v>3334645.1382796834</v>
      </c>
      <c r="BH188" s="375">
        <f t="shared" ca="1" si="245"/>
        <v>35870489.647297196</v>
      </c>
      <c r="BI188" s="175">
        <f t="shared" si="245"/>
        <v>9844438.9691830799</v>
      </c>
      <c r="BJ188" s="175">
        <f t="shared" si="245"/>
        <v>8499399.7667031083</v>
      </c>
      <c r="BK188" s="175">
        <f t="shared" si="245"/>
        <v>8301161.0919396365</v>
      </c>
      <c r="BL188" s="175">
        <f t="shared" si="245"/>
        <v>9225489.8194713797</v>
      </c>
      <c r="BM188" s="181"/>
      <c r="BN188" s="175">
        <f t="shared" si="246"/>
        <v>0</v>
      </c>
      <c r="BO188" s="175">
        <f t="shared" si="246"/>
        <v>0</v>
      </c>
      <c r="BP188" s="175">
        <f t="shared" si="246"/>
        <v>2941747.6183539284</v>
      </c>
      <c r="BQ188" s="175">
        <f t="shared" si="246"/>
        <v>2975324.5577917732</v>
      </c>
      <c r="BR188" s="175">
        <f t="shared" si="246"/>
        <v>2824980.3972221939</v>
      </c>
      <c r="BS188" s="175">
        <f t="shared" si="246"/>
        <v>2749324.2697160477</v>
      </c>
      <c r="BT188" s="175">
        <f t="shared" si="246"/>
        <v>2637513.4292621468</v>
      </c>
      <c r="BU188" s="175">
        <f t="shared" si="246"/>
        <v>2732228.9827735056</v>
      </c>
      <c r="BV188" s="175">
        <f t="shared" si="246"/>
        <v>2678376.4304707111</v>
      </c>
      <c r="BW188" s="175">
        <f t="shared" si="246"/>
        <v>2738212.1538941003</v>
      </c>
      <c r="BX188" s="175">
        <f t="shared" si="246"/>
        <v>2996914.2646524068</v>
      </c>
      <c r="BY188" s="175">
        <f t="shared" si="246"/>
        <v>3254720.4491895619</v>
      </c>
      <c r="BZ188" s="375">
        <f t="shared" ca="1" si="246"/>
        <v>28529342.553326376</v>
      </c>
      <c r="CA188" s="175">
        <f t="shared" si="246"/>
        <v>2941747.6183539284</v>
      </c>
      <c r="CB188" s="175">
        <f t="shared" si="246"/>
        <v>8549629.2247300129</v>
      </c>
      <c r="CC188" s="175">
        <f t="shared" si="246"/>
        <v>8048118.8425063649</v>
      </c>
      <c r="CD188" s="175">
        <f t="shared" si="246"/>
        <v>8989846.8677360732</v>
      </c>
      <c r="CE188" s="181"/>
      <c r="CH188" s="175"/>
      <c r="CI188" s="175"/>
      <c r="CJ188" s="175">
        <f t="shared" si="247"/>
        <v>161052.57164607069</v>
      </c>
      <c r="CK188" s="175">
        <f t="shared" si="247"/>
        <v>123961.11220822128</v>
      </c>
      <c r="CL188" s="175">
        <f t="shared" si="247"/>
        <v>89991.312777802552</v>
      </c>
      <c r="CM188" s="175">
        <f t="shared" si="247"/>
        <v>-25539.049716049121</v>
      </c>
      <c r="CN188" s="175">
        <f t="shared" si="247"/>
        <v>195788.82073785056</v>
      </c>
      <c r="CO188" s="175">
        <f t="shared" si="247"/>
        <v>-10504.372773505576</v>
      </c>
      <c r="CP188" s="175">
        <f t="shared" si="247"/>
        <v>113375.83952928674</v>
      </c>
      <c r="CQ188" s="175">
        <f t="shared" si="247"/>
        <v>109667.90610589767</v>
      </c>
      <c r="CR188" s="175">
        <f t="shared" si="247"/>
        <v>0</v>
      </c>
      <c r="CS188" s="175">
        <f t="shared" si="247"/>
        <v>0</v>
      </c>
      <c r="CU188" s="175">
        <f t="shared" si="247"/>
        <v>35307516.639958471</v>
      </c>
      <c r="CV188" s="175" t="e">
        <f t="shared" si="247"/>
        <v>#VALUE!</v>
      </c>
      <c r="CW188" s="175">
        <f t="shared" si="247"/>
        <v>35870489.647297196</v>
      </c>
      <c r="CX188" s="435" t="e">
        <f t="shared" si="249"/>
        <v>#VALUE!</v>
      </c>
      <c r="CY188" s="435" t="e">
        <f t="shared" si="250"/>
        <v>#VALUE!</v>
      </c>
    </row>
    <row r="189" spans="2:103" outlineLevel="1">
      <c r="C189" s="97" t="s">
        <v>579</v>
      </c>
      <c r="D189" s="284" t="s">
        <v>625</v>
      </c>
      <c r="F189" s="320" t="str">
        <f t="shared" si="248"/>
        <v>Non-Residential-Experimental - NGD</v>
      </c>
      <c r="G189" s="175">
        <f t="shared" si="243"/>
        <v>7122.6</v>
      </c>
      <c r="H189" s="175">
        <f t="shared" si="243"/>
        <v>7144</v>
      </c>
      <c r="I189" s="175">
        <f t="shared" si="243"/>
        <v>7155.6</v>
      </c>
      <c r="J189" s="175">
        <f t="shared" si="243"/>
        <v>7202</v>
      </c>
      <c r="K189" s="175">
        <f t="shared" si="243"/>
        <v>7007.53</v>
      </c>
      <c r="L189" s="175">
        <f t="shared" si="243"/>
        <v>6933.4</v>
      </c>
      <c r="M189" s="175">
        <f t="shared" si="243"/>
        <v>6976.6</v>
      </c>
      <c r="N189" s="175">
        <f t="shared" si="243"/>
        <v>6937.3</v>
      </c>
      <c r="O189" s="175">
        <f t="shared" si="243"/>
        <v>6893.8</v>
      </c>
      <c r="P189" s="175">
        <f t="shared" si="243"/>
        <v>6771.33</v>
      </c>
      <c r="Q189" s="175">
        <f t="shared" si="243"/>
        <v>7071.43</v>
      </c>
      <c r="R189" s="175">
        <f t="shared" si="243"/>
        <v>6895.57</v>
      </c>
      <c r="S189" s="375">
        <f t="shared" ca="1" si="243"/>
        <v>84111.16</v>
      </c>
      <c r="T189" s="175">
        <f t="shared" si="243"/>
        <v>21422.199999999997</v>
      </c>
      <c r="U189" s="175">
        <f t="shared" si="243"/>
        <v>21142.93</v>
      </c>
      <c r="V189" s="175">
        <f t="shared" si="243"/>
        <v>20807.7</v>
      </c>
      <c r="W189" s="175">
        <f t="shared" si="243"/>
        <v>20738.330000000002</v>
      </c>
      <c r="X189" s="181"/>
      <c r="Y189" s="175">
        <f t="shared" si="244"/>
        <v>7189.5</v>
      </c>
      <c r="Z189" s="175">
        <f t="shared" si="244"/>
        <v>7023</v>
      </c>
      <c r="AA189" s="175">
        <f t="shared" si="244"/>
        <v>7055.87</v>
      </c>
      <c r="AB189" s="175">
        <f t="shared" si="244"/>
        <v>7100.33</v>
      </c>
      <c r="AC189" s="175">
        <f t="shared" si="244"/>
        <v>7081</v>
      </c>
      <c r="AD189" s="175">
        <f t="shared" si="244"/>
        <v>7081</v>
      </c>
      <c r="AE189" s="175">
        <f t="shared" si="244"/>
        <v>7062.9</v>
      </c>
      <c r="AF189" s="175">
        <f t="shared" si="244"/>
        <v>7064.9</v>
      </c>
      <c r="AG189" s="175">
        <f t="shared" si="244"/>
        <v>6985.7999999999993</v>
      </c>
      <c r="AH189" s="175">
        <f t="shared" si="244"/>
        <v>6770</v>
      </c>
      <c r="AI189" s="175">
        <f t="shared" si="244"/>
        <v>6653.2</v>
      </c>
      <c r="AJ189" s="175">
        <f t="shared" si="244"/>
        <v>6730.77</v>
      </c>
      <c r="AK189" s="375">
        <f t="shared" si="244"/>
        <v>83798.27</v>
      </c>
      <c r="AL189" s="375"/>
      <c r="AM189" s="375"/>
      <c r="AN189" s="375"/>
      <c r="AO189" s="375"/>
      <c r="AP189" s="375"/>
      <c r="AQ189" s="175">
        <f t="shared" si="244"/>
        <v>21268.37</v>
      </c>
      <c r="AR189" s="175">
        <f t="shared" si="244"/>
        <v>21262.33</v>
      </c>
      <c r="AS189" s="175">
        <f t="shared" si="244"/>
        <v>21113.599999999999</v>
      </c>
      <c r="AT189" s="175">
        <f t="shared" si="244"/>
        <v>20153.97</v>
      </c>
      <c r="AU189" s="181"/>
      <c r="AV189" s="175">
        <f t="shared" si="245"/>
        <v>7040</v>
      </c>
      <c r="AW189" s="175">
        <f t="shared" si="245"/>
        <v>7040</v>
      </c>
      <c r="AX189" s="175">
        <f t="shared" si="245"/>
        <v>7040</v>
      </c>
      <c r="AY189" s="175">
        <f t="shared" si="245"/>
        <v>7127</v>
      </c>
      <c r="AZ189" s="175">
        <f t="shared" si="245"/>
        <v>7318</v>
      </c>
      <c r="BA189" s="175">
        <f t="shared" si="245"/>
        <v>7233</v>
      </c>
      <c r="BB189" s="175">
        <f t="shared" si="245"/>
        <v>7453</v>
      </c>
      <c r="BC189" s="175">
        <f t="shared" si="245"/>
        <v>7424</v>
      </c>
      <c r="BD189" s="175">
        <f t="shared" si="245"/>
        <v>7366</v>
      </c>
      <c r="BE189" s="175">
        <f t="shared" si="245"/>
        <v>7453</v>
      </c>
      <c r="BF189" s="175">
        <f t="shared" si="245"/>
        <v>7453</v>
      </c>
      <c r="BG189" s="175">
        <f t="shared" si="245"/>
        <v>7511</v>
      </c>
      <c r="BH189" s="375">
        <f t="shared" ca="1" si="245"/>
        <v>87458</v>
      </c>
      <c r="BI189" s="175">
        <f t="shared" si="245"/>
        <v>21120</v>
      </c>
      <c r="BJ189" s="175">
        <f t="shared" si="245"/>
        <v>21678</v>
      </c>
      <c r="BK189" s="175">
        <f t="shared" si="245"/>
        <v>22243</v>
      </c>
      <c r="BL189" s="175">
        <f t="shared" si="245"/>
        <v>22417</v>
      </c>
      <c r="BM189" s="181"/>
      <c r="BN189" s="175">
        <f t="shared" si="246"/>
        <v>0</v>
      </c>
      <c r="BO189" s="175">
        <f t="shared" si="246"/>
        <v>0</v>
      </c>
      <c r="BP189" s="175">
        <f t="shared" si="246"/>
        <v>7023</v>
      </c>
      <c r="BQ189" s="175">
        <f t="shared" si="246"/>
        <v>7139</v>
      </c>
      <c r="BR189" s="175">
        <f t="shared" si="246"/>
        <v>7081</v>
      </c>
      <c r="BS189" s="175">
        <f t="shared" si="246"/>
        <v>7081</v>
      </c>
      <c r="BT189" s="175">
        <f t="shared" si="246"/>
        <v>7081</v>
      </c>
      <c r="BU189" s="175">
        <f t="shared" si="246"/>
        <v>7081</v>
      </c>
      <c r="BV189" s="175">
        <f t="shared" si="246"/>
        <v>7149</v>
      </c>
      <c r="BW189" s="175">
        <f t="shared" si="246"/>
        <v>7149</v>
      </c>
      <c r="BX189" s="175">
        <f t="shared" si="246"/>
        <v>6770</v>
      </c>
      <c r="BY189" s="175">
        <f t="shared" si="246"/>
        <v>6799</v>
      </c>
      <c r="BZ189" s="375">
        <f t="shared" ca="1" si="246"/>
        <v>70353</v>
      </c>
      <c r="CA189" s="175">
        <f t="shared" si="246"/>
        <v>7023</v>
      </c>
      <c r="CB189" s="175">
        <f t="shared" si="246"/>
        <v>21301</v>
      </c>
      <c r="CC189" s="175">
        <f t="shared" si="246"/>
        <v>21311</v>
      </c>
      <c r="CD189" s="175">
        <f t="shared" si="246"/>
        <v>20718</v>
      </c>
      <c r="CE189" s="181"/>
      <c r="CH189" s="175"/>
      <c r="CI189" s="175"/>
      <c r="CJ189" s="175">
        <f t="shared" si="247"/>
        <v>32.870000000000118</v>
      </c>
      <c r="CK189" s="175">
        <f t="shared" si="247"/>
        <v>-38.670000000000073</v>
      </c>
      <c r="CL189" s="175">
        <f t="shared" si="247"/>
        <v>0</v>
      </c>
      <c r="CM189" s="175">
        <f t="shared" si="247"/>
        <v>0</v>
      </c>
      <c r="CN189" s="175">
        <f t="shared" si="247"/>
        <v>-18.100000000000051</v>
      </c>
      <c r="CO189" s="175">
        <f t="shared" si="247"/>
        <v>-16.100000000000023</v>
      </c>
      <c r="CP189" s="175">
        <f t="shared" si="247"/>
        <v>-163.19999999999982</v>
      </c>
      <c r="CQ189" s="175">
        <f t="shared" si="247"/>
        <v>-379</v>
      </c>
      <c r="CR189" s="175">
        <f t="shared" si="247"/>
        <v>0</v>
      </c>
      <c r="CS189" s="175">
        <f t="shared" si="247"/>
        <v>0</v>
      </c>
      <c r="CU189" s="175">
        <f t="shared" si="247"/>
        <v>84559.7</v>
      </c>
      <c r="CV189" s="175" t="e">
        <f t="shared" si="247"/>
        <v>#VALUE!</v>
      </c>
      <c r="CW189" s="175">
        <f t="shared" si="247"/>
        <v>87458</v>
      </c>
      <c r="CX189" s="435" t="e">
        <f t="shared" si="249"/>
        <v>#VALUE!</v>
      </c>
      <c r="CY189" s="435" t="e">
        <f t="shared" si="250"/>
        <v>#VALUE!</v>
      </c>
    </row>
    <row r="190" spans="2:103" outlineLevel="1">
      <c r="C190" s="97" t="s">
        <v>586</v>
      </c>
      <c r="D190" s="284" t="s">
        <v>625</v>
      </c>
      <c r="F190" s="320" t="str">
        <f t="shared" si="248"/>
        <v>Industrial - NGD</v>
      </c>
      <c r="G190" s="175">
        <f t="shared" si="243"/>
        <v>376620.68499999994</v>
      </c>
      <c r="H190" s="175">
        <f t="shared" si="243"/>
        <v>351720.41</v>
      </c>
      <c r="I190" s="175">
        <f t="shared" si="243"/>
        <v>370543.98</v>
      </c>
      <c r="J190" s="175">
        <f t="shared" si="243"/>
        <v>366729.38</v>
      </c>
      <c r="K190" s="175">
        <f t="shared" si="243"/>
        <v>391469.84</v>
      </c>
      <c r="L190" s="175">
        <f t="shared" si="243"/>
        <v>385934.49</v>
      </c>
      <c r="M190" s="175">
        <f t="shared" si="243"/>
        <v>392596.98999999993</v>
      </c>
      <c r="N190" s="175">
        <f t="shared" si="243"/>
        <v>392852.01999999996</v>
      </c>
      <c r="O190" s="175">
        <f t="shared" si="243"/>
        <v>356062.79999999993</v>
      </c>
      <c r="P190" s="175">
        <f t="shared" si="243"/>
        <v>387008.45</v>
      </c>
      <c r="Q190" s="175">
        <f t="shared" si="243"/>
        <v>388707.69</v>
      </c>
      <c r="R190" s="175">
        <f t="shared" si="243"/>
        <v>502443.7</v>
      </c>
      <c r="S190" s="375">
        <f t="shared" ca="1" si="243"/>
        <v>4662690.4349999996</v>
      </c>
      <c r="T190" s="175">
        <f t="shared" si="243"/>
        <v>1098885.075</v>
      </c>
      <c r="U190" s="175">
        <f t="shared" si="243"/>
        <v>1144133.71</v>
      </c>
      <c r="V190" s="175">
        <f t="shared" si="243"/>
        <v>1141511.8099999998</v>
      </c>
      <c r="W190" s="175">
        <f t="shared" si="243"/>
        <v>1278159.8399999999</v>
      </c>
      <c r="X190" s="181"/>
      <c r="Y190" s="175">
        <f t="shared" si="244"/>
        <v>496875.98999999993</v>
      </c>
      <c r="Z190" s="175">
        <f t="shared" si="244"/>
        <v>458320.98000000004</v>
      </c>
      <c r="AA190" s="175">
        <f t="shared" si="244"/>
        <v>488180.22</v>
      </c>
      <c r="AB190" s="175">
        <f t="shared" si="244"/>
        <v>471485.97</v>
      </c>
      <c r="AC190" s="175">
        <f t="shared" si="244"/>
        <v>486113.02999999997</v>
      </c>
      <c r="AD190" s="175">
        <f t="shared" si="244"/>
        <v>485682.80000000005</v>
      </c>
      <c r="AE190" s="175">
        <f t="shared" si="244"/>
        <v>487737.81</v>
      </c>
      <c r="AF190" s="175">
        <f t="shared" si="244"/>
        <v>488783.92</v>
      </c>
      <c r="AG190" s="175">
        <f t="shared" si="244"/>
        <v>485068.53</v>
      </c>
      <c r="AH190" s="175">
        <f t="shared" si="244"/>
        <v>498290.68000000005</v>
      </c>
      <c r="AI190" s="175">
        <f t="shared" si="244"/>
        <v>491629.63</v>
      </c>
      <c r="AJ190" s="175">
        <f t="shared" si="244"/>
        <v>499706.97</v>
      </c>
      <c r="AK190" s="375">
        <f t="shared" ca="1" si="244"/>
        <v>5837876.5299999993</v>
      </c>
      <c r="AL190" s="375"/>
      <c r="AM190" s="375"/>
      <c r="AN190" s="375"/>
      <c r="AO190" s="375"/>
      <c r="AP190" s="375"/>
      <c r="AQ190" s="175">
        <f t="shared" si="244"/>
        <v>1443377.19</v>
      </c>
      <c r="AR190" s="175">
        <f t="shared" si="244"/>
        <v>1443281.7999999998</v>
      </c>
      <c r="AS190" s="175">
        <f t="shared" si="244"/>
        <v>1461590.2599999998</v>
      </c>
      <c r="AT190" s="175">
        <f t="shared" si="244"/>
        <v>1489627.28</v>
      </c>
      <c r="AU190" s="181"/>
      <c r="AV190" s="175">
        <f t="shared" si="245"/>
        <v>469172.65499999997</v>
      </c>
      <c r="AW190" s="175">
        <f t="shared" si="245"/>
        <v>437010.38</v>
      </c>
      <c r="AX190" s="175">
        <f t="shared" si="245"/>
        <v>465095.95</v>
      </c>
      <c r="AY190" s="175">
        <f t="shared" si="245"/>
        <v>458194.35000000003</v>
      </c>
      <c r="AZ190" s="175">
        <f t="shared" si="245"/>
        <v>486053.16934900387</v>
      </c>
      <c r="BA190" s="175">
        <f t="shared" si="245"/>
        <v>477430.81934900384</v>
      </c>
      <c r="BB190" s="175">
        <f t="shared" si="245"/>
        <v>456624.48434900388</v>
      </c>
      <c r="BC190" s="175">
        <f t="shared" si="245"/>
        <v>463610.13434900384</v>
      </c>
      <c r="BD190" s="175">
        <f t="shared" si="245"/>
        <v>451241.84434900386</v>
      </c>
      <c r="BE190" s="175">
        <f t="shared" si="245"/>
        <v>471675.28434900386</v>
      </c>
      <c r="BF190" s="175">
        <f t="shared" si="245"/>
        <v>468229.69434900384</v>
      </c>
      <c r="BG190" s="175">
        <f t="shared" si="245"/>
        <v>480085.13434900384</v>
      </c>
      <c r="BH190" s="375">
        <f t="shared" ca="1" si="245"/>
        <v>5584423.8997920305</v>
      </c>
      <c r="BI190" s="175">
        <f t="shared" si="245"/>
        <v>1371278.9849999999</v>
      </c>
      <c r="BJ190" s="175">
        <f t="shared" si="245"/>
        <v>1421678.3386980076</v>
      </c>
      <c r="BK190" s="175">
        <f t="shared" si="245"/>
        <v>1371476.4630470118</v>
      </c>
      <c r="BL190" s="175">
        <f t="shared" si="245"/>
        <v>1419990.1130470117</v>
      </c>
      <c r="BM190" s="181"/>
      <c r="BN190" s="175">
        <f t="shared" si="246"/>
        <v>0</v>
      </c>
      <c r="BO190" s="175">
        <f t="shared" si="246"/>
        <v>0</v>
      </c>
      <c r="BP190" s="175">
        <f t="shared" si="246"/>
        <v>483170.30133333337</v>
      </c>
      <c r="BQ190" s="175">
        <f t="shared" si="246"/>
        <v>476982.63666666672</v>
      </c>
      <c r="BR190" s="175">
        <f t="shared" si="246"/>
        <v>476912.76268233726</v>
      </c>
      <c r="BS190" s="175">
        <f t="shared" si="246"/>
        <v>473941.97649999999</v>
      </c>
      <c r="BT190" s="175">
        <f t="shared" si="246"/>
        <v>482587.14905000001</v>
      </c>
      <c r="BU190" s="175">
        <f t="shared" si="246"/>
        <v>476016.612295</v>
      </c>
      <c r="BV190" s="175">
        <f t="shared" si="246"/>
        <v>477862.88049999997</v>
      </c>
      <c r="BW190" s="175">
        <f t="shared" si="246"/>
        <v>489451.46915399999</v>
      </c>
      <c r="BX190" s="175">
        <f t="shared" si="246"/>
        <v>492335.38391999999</v>
      </c>
      <c r="BY190" s="175">
        <f t="shared" si="246"/>
        <v>501250.31687999994</v>
      </c>
      <c r="BZ190" s="375">
        <f t="shared" ca="1" si="246"/>
        <v>4830511.4889813373</v>
      </c>
      <c r="CA190" s="175">
        <f t="shared" si="246"/>
        <v>483170.30133333337</v>
      </c>
      <c r="CB190" s="175">
        <f t="shared" si="246"/>
        <v>1427837.3758490039</v>
      </c>
      <c r="CC190" s="175">
        <f t="shared" si="246"/>
        <v>1436466.641845</v>
      </c>
      <c r="CD190" s="175">
        <f t="shared" si="246"/>
        <v>1483037.169954</v>
      </c>
      <c r="CE190" s="181"/>
      <c r="CH190" s="175"/>
      <c r="CI190" s="175"/>
      <c r="CJ190" s="175">
        <f t="shared" si="247"/>
        <v>5009.9186666666737</v>
      </c>
      <c r="CK190" s="175">
        <f t="shared" si="247"/>
        <v>-5496.6666666666679</v>
      </c>
      <c r="CL190" s="175">
        <f t="shared" si="247"/>
        <v>9200.2673176627868</v>
      </c>
      <c r="CM190" s="175">
        <f t="shared" si="247"/>
        <v>11740.823499999995</v>
      </c>
      <c r="CN190" s="175">
        <f t="shared" si="247"/>
        <v>5150.6609500000004</v>
      </c>
      <c r="CO190" s="175">
        <f t="shared" si="247"/>
        <v>12767.307704999997</v>
      </c>
      <c r="CP190" s="175">
        <f t="shared" si="247"/>
        <v>7205.649500000005</v>
      </c>
      <c r="CQ190" s="175">
        <f t="shared" si="247"/>
        <v>8839.2108460000054</v>
      </c>
      <c r="CR190" s="175">
        <f t="shared" si="247"/>
        <v>0</v>
      </c>
      <c r="CS190" s="175">
        <f t="shared" si="247"/>
        <v>0</v>
      </c>
      <c r="CU190" s="175">
        <f t="shared" si="247"/>
        <v>5794421.9782989994</v>
      </c>
      <c r="CV190" s="175" t="e">
        <f t="shared" si="247"/>
        <v>#VALUE!</v>
      </c>
      <c r="CW190" s="175">
        <f t="shared" si="247"/>
        <v>5584423.8997920305</v>
      </c>
      <c r="CX190" s="435" t="e">
        <f t="shared" si="249"/>
        <v>#VALUE!</v>
      </c>
      <c r="CY190" s="435" t="e">
        <f t="shared" si="250"/>
        <v>#VALUE!</v>
      </c>
    </row>
    <row r="191" spans="2:103" outlineLevel="1">
      <c r="C191" s="97" t="s">
        <v>9</v>
      </c>
      <c r="D191" s="284" t="s">
        <v>625</v>
      </c>
      <c r="F191" s="320" t="str">
        <f t="shared" si="248"/>
        <v>Miscellaneous Revenues - NGD</v>
      </c>
      <c r="G191" s="175">
        <f t="shared" si="243"/>
        <v>1372329</v>
      </c>
      <c r="H191" s="175">
        <f t="shared" si="243"/>
        <v>1421901</v>
      </c>
      <c r="I191" s="175">
        <f t="shared" si="243"/>
        <v>2015593</v>
      </c>
      <c r="J191" s="175">
        <f t="shared" si="243"/>
        <v>1111257</v>
      </c>
      <c r="K191" s="175">
        <f t="shared" si="243"/>
        <v>1315034</v>
      </c>
      <c r="L191" s="175">
        <f t="shared" si="243"/>
        <v>1380307.8100000003</v>
      </c>
      <c r="M191" s="175">
        <f t="shared" si="243"/>
        <v>1302177.8899999999</v>
      </c>
      <c r="N191" s="175">
        <f t="shared" si="243"/>
        <v>1465895.1300000001</v>
      </c>
      <c r="O191" s="175">
        <f t="shared" si="243"/>
        <v>1530007.2699999998</v>
      </c>
      <c r="P191" s="175">
        <f t="shared" si="243"/>
        <v>1688229.1600000001</v>
      </c>
      <c r="Q191" s="175">
        <f t="shared" si="243"/>
        <v>1624183.2</v>
      </c>
      <c r="R191" s="175">
        <f t="shared" si="243"/>
        <v>1750404.08</v>
      </c>
      <c r="S191" s="375">
        <f t="shared" ca="1" si="243"/>
        <v>17977318.539999999</v>
      </c>
      <c r="T191" s="175">
        <f t="shared" si="243"/>
        <v>4809823</v>
      </c>
      <c r="U191" s="175">
        <f t="shared" si="243"/>
        <v>3806598.810000001</v>
      </c>
      <c r="V191" s="175">
        <f t="shared" si="243"/>
        <v>4298080.29</v>
      </c>
      <c r="W191" s="175">
        <f t="shared" si="243"/>
        <v>5062816.4400000004</v>
      </c>
      <c r="X191" s="181"/>
      <c r="Y191" s="175">
        <f t="shared" si="244"/>
        <v>1423190.9999999998</v>
      </c>
      <c r="Z191" s="175">
        <f t="shared" si="244"/>
        <v>1656872.8000000005</v>
      </c>
      <c r="AA191" s="175">
        <f t="shared" si="244"/>
        <v>1668186.1800000002</v>
      </c>
      <c r="AB191" s="175">
        <f t="shared" si="244"/>
        <v>1979294.7200000002</v>
      </c>
      <c r="AC191" s="175">
        <f t="shared" si="244"/>
        <v>1618918.39</v>
      </c>
      <c r="AD191" s="175">
        <f t="shared" si="244"/>
        <v>1634700.4500000004</v>
      </c>
      <c r="AE191" s="175">
        <f t="shared" si="244"/>
        <v>1638218.4600000002</v>
      </c>
      <c r="AF191" s="175">
        <f t="shared" si="244"/>
        <v>1853721.06</v>
      </c>
      <c r="AG191" s="175">
        <f t="shared" si="244"/>
        <v>1426501.2399999998</v>
      </c>
      <c r="AH191" s="175">
        <f t="shared" si="244"/>
        <v>1983372.07</v>
      </c>
      <c r="AI191" s="175">
        <f t="shared" si="244"/>
        <v>2054567.06</v>
      </c>
      <c r="AJ191" s="175">
        <f t="shared" si="244"/>
        <v>1750579.4100000043</v>
      </c>
      <c r="AK191" s="375">
        <f t="shared" ca="1" si="244"/>
        <v>20688122.839999996</v>
      </c>
      <c r="AL191" s="375"/>
      <c r="AM191" s="375"/>
      <c r="AN191" s="375"/>
      <c r="AO191" s="375"/>
      <c r="AP191" s="375"/>
      <c r="AQ191" s="175">
        <f t="shared" si="244"/>
        <v>4748249.9799999995</v>
      </c>
      <c r="AR191" s="175">
        <f t="shared" si="244"/>
        <v>5232913.5600000005</v>
      </c>
      <c r="AS191" s="175">
        <f t="shared" si="244"/>
        <v>4918440.7599999988</v>
      </c>
      <c r="AT191" s="175">
        <f t="shared" si="244"/>
        <v>5788518.5400000038</v>
      </c>
      <c r="AU191" s="181"/>
      <c r="AV191" s="175">
        <f t="shared" si="245"/>
        <v>1559564.1983363265</v>
      </c>
      <c r="AW191" s="175">
        <f t="shared" si="245"/>
        <v>1507741.6093141043</v>
      </c>
      <c r="AX191" s="175">
        <f t="shared" si="245"/>
        <v>1847177.9029702153</v>
      </c>
      <c r="AY191" s="175">
        <f t="shared" si="245"/>
        <v>1498984.5475446598</v>
      </c>
      <c r="AZ191" s="175">
        <f t="shared" si="245"/>
        <v>1606126.7847974377</v>
      </c>
      <c r="BA191" s="175">
        <f t="shared" si="245"/>
        <v>1670855.9822594128</v>
      </c>
      <c r="BB191" s="175">
        <f t="shared" si="245"/>
        <v>1681225.2177097867</v>
      </c>
      <c r="BC191" s="175">
        <f t="shared" si="245"/>
        <v>1750965.1572985179</v>
      </c>
      <c r="BD191" s="175">
        <f t="shared" si="245"/>
        <v>1693852.0590100267</v>
      </c>
      <c r="BE191" s="175">
        <f t="shared" si="245"/>
        <v>1842358.2666761857</v>
      </c>
      <c r="BF191" s="175">
        <f t="shared" si="245"/>
        <v>1894660.7630663638</v>
      </c>
      <c r="BG191" s="175">
        <f t="shared" si="245"/>
        <v>1925020.4920152391</v>
      </c>
      <c r="BH191" s="375">
        <f t="shared" ca="1" si="245"/>
        <v>20478532.980998266</v>
      </c>
      <c r="BI191" s="175">
        <f t="shared" si="245"/>
        <v>4914483.7106206454</v>
      </c>
      <c r="BJ191" s="175">
        <f t="shared" si="245"/>
        <v>4775967.3146015098</v>
      </c>
      <c r="BK191" s="175">
        <f t="shared" si="245"/>
        <v>5126042.4340183306</v>
      </c>
      <c r="BL191" s="175">
        <f t="shared" si="245"/>
        <v>5662039.521757788</v>
      </c>
      <c r="BM191" s="181"/>
      <c r="BN191" s="175">
        <f t="shared" si="246"/>
        <v>0</v>
      </c>
      <c r="BO191" s="175">
        <f t="shared" si="246"/>
        <v>0</v>
      </c>
      <c r="BP191" s="175">
        <f t="shared" si="246"/>
        <v>1757893.7306044507</v>
      </c>
      <c r="BQ191" s="175">
        <f t="shared" si="246"/>
        <v>1555156.2518220274</v>
      </c>
      <c r="BR191" s="175">
        <f t="shared" si="246"/>
        <v>1616237.1109199072</v>
      </c>
      <c r="BS191" s="175">
        <f t="shared" si="246"/>
        <v>1599020.537530273</v>
      </c>
      <c r="BT191" s="175">
        <f t="shared" si="246"/>
        <v>1662222.3713569511</v>
      </c>
      <c r="BU191" s="175">
        <f t="shared" si="246"/>
        <v>1725427.9232471092</v>
      </c>
      <c r="BV191" s="175">
        <f t="shared" si="246"/>
        <v>1727774.9228533779</v>
      </c>
      <c r="BW191" s="175">
        <f t="shared" si="246"/>
        <v>1785920.1860402494</v>
      </c>
      <c r="BX191" s="175">
        <f t="shared" si="246"/>
        <v>1762590.4771353959</v>
      </c>
      <c r="BY191" s="175">
        <f t="shared" si="246"/>
        <v>1695678.7317510287</v>
      </c>
      <c r="BZ191" s="375">
        <f t="shared" ca="1" si="246"/>
        <v>16887922.243260775</v>
      </c>
      <c r="CA191" s="175">
        <f t="shared" si="246"/>
        <v>1757893.7306044507</v>
      </c>
      <c r="CB191" s="175">
        <f t="shared" si="246"/>
        <v>4770413.9002722064</v>
      </c>
      <c r="CC191" s="175">
        <f t="shared" si="246"/>
        <v>5115425.2174574379</v>
      </c>
      <c r="CD191" s="175">
        <f t="shared" si="246"/>
        <v>5244189.3949266747</v>
      </c>
      <c r="CE191" s="181"/>
      <c r="CH191" s="175"/>
      <c r="CI191" s="175"/>
      <c r="CJ191" s="175">
        <f t="shared" si="247"/>
        <v>-89707.550604450982</v>
      </c>
      <c r="CK191" s="175">
        <f t="shared" si="247"/>
        <v>424138.46817797254</v>
      </c>
      <c r="CL191" s="175">
        <f t="shared" si="247"/>
        <v>2681.2790800924363</v>
      </c>
      <c r="CM191" s="175">
        <f t="shared" si="247"/>
        <v>35679.912469727133</v>
      </c>
      <c r="CN191" s="175">
        <f t="shared" si="247"/>
        <v>-24003.911356950764</v>
      </c>
      <c r="CO191" s="175">
        <f t="shared" si="247"/>
        <v>128293.13675289084</v>
      </c>
      <c r="CP191" s="175">
        <f t="shared" si="247"/>
        <v>-301273.68285337806</v>
      </c>
      <c r="CQ191" s="175">
        <f t="shared" si="247"/>
        <v>197451.88395975076</v>
      </c>
      <c r="CR191" s="175">
        <f t="shared" si="247"/>
        <v>0</v>
      </c>
      <c r="CS191" s="175">
        <f t="shared" si="247"/>
        <v>0</v>
      </c>
      <c r="CU191" s="175">
        <f t="shared" si="247"/>
        <v>20305098.239914384</v>
      </c>
      <c r="CV191" s="175" t="e">
        <f t="shared" si="247"/>
        <v>#VALUE!</v>
      </c>
      <c r="CW191" s="175">
        <f t="shared" si="247"/>
        <v>20478532.980998266</v>
      </c>
      <c r="CX191" s="435" t="e">
        <f t="shared" si="249"/>
        <v>#VALUE!</v>
      </c>
      <c r="CY191" s="435" t="e">
        <f t="shared" si="250"/>
        <v>#VALUE!</v>
      </c>
    </row>
    <row r="192" spans="2:103" outlineLevel="1">
      <c r="C192" s="97" t="s">
        <v>620</v>
      </c>
      <c r="D192" s="284" t="s">
        <v>625</v>
      </c>
      <c r="F192" s="320" t="str">
        <f t="shared" si="248"/>
        <v>COGS - NGD</v>
      </c>
      <c r="G192" s="175">
        <f t="shared" si="243"/>
        <v>62115</v>
      </c>
      <c r="H192" s="175">
        <f t="shared" si="243"/>
        <v>58311</v>
      </c>
      <c r="I192" s="175">
        <f t="shared" si="243"/>
        <v>56495</v>
      </c>
      <c r="J192" s="175">
        <f t="shared" si="243"/>
        <v>46592</v>
      </c>
      <c r="K192" s="175">
        <f t="shared" si="243"/>
        <v>46452</v>
      </c>
      <c r="L192" s="175">
        <f t="shared" si="243"/>
        <v>43486.159999999996</v>
      </c>
      <c r="M192" s="175">
        <f t="shared" si="243"/>
        <v>43367.62</v>
      </c>
      <c r="N192" s="175">
        <f t="shared" si="243"/>
        <v>43114</v>
      </c>
      <c r="O192" s="175">
        <f t="shared" si="243"/>
        <v>43841</v>
      </c>
      <c r="P192" s="175">
        <f t="shared" si="243"/>
        <v>46551.600000000006</v>
      </c>
      <c r="Q192" s="175">
        <f t="shared" si="243"/>
        <v>51407.35</v>
      </c>
      <c r="R192" s="175">
        <f t="shared" si="243"/>
        <v>63366</v>
      </c>
      <c r="S192" s="375">
        <f t="shared" ca="1" si="243"/>
        <v>605098.7300000001</v>
      </c>
      <c r="T192" s="175">
        <f t="shared" si="243"/>
        <v>176921</v>
      </c>
      <c r="U192" s="175">
        <f t="shared" si="243"/>
        <v>136530.16</v>
      </c>
      <c r="V192" s="175">
        <f t="shared" si="243"/>
        <v>130322.62000000001</v>
      </c>
      <c r="W192" s="175">
        <f t="shared" si="243"/>
        <v>161324.94999999998</v>
      </c>
      <c r="X192" s="181"/>
      <c r="Y192" s="175">
        <f t="shared" si="244"/>
        <v>72421</v>
      </c>
      <c r="Z192" s="175">
        <f t="shared" si="244"/>
        <v>63956</v>
      </c>
      <c r="AA192" s="175">
        <f t="shared" si="244"/>
        <v>62126</v>
      </c>
      <c r="AB192" s="175">
        <f t="shared" si="244"/>
        <v>63058</v>
      </c>
      <c r="AC192" s="175">
        <f t="shared" si="244"/>
        <v>56108</v>
      </c>
      <c r="AD192" s="175">
        <f t="shared" si="244"/>
        <v>50315</v>
      </c>
      <c r="AE192" s="175">
        <f t="shared" si="244"/>
        <v>51271</v>
      </c>
      <c r="AF192" s="175">
        <f t="shared" si="244"/>
        <v>48990</v>
      </c>
      <c r="AG192" s="175">
        <f t="shared" si="244"/>
        <v>49513</v>
      </c>
      <c r="AH192" s="175">
        <f t="shared" si="244"/>
        <v>51761</v>
      </c>
      <c r="AI192" s="175">
        <f t="shared" si="244"/>
        <v>55880</v>
      </c>
      <c r="AJ192" s="175">
        <f t="shared" si="244"/>
        <v>62639.049999999996</v>
      </c>
      <c r="AK192" s="375">
        <f t="shared" ca="1" si="244"/>
        <v>688038.05</v>
      </c>
      <c r="AL192" s="375"/>
      <c r="AM192" s="375"/>
      <c r="AN192" s="375"/>
      <c r="AO192" s="375"/>
      <c r="AP192" s="375"/>
      <c r="AQ192" s="175">
        <f t="shared" si="244"/>
        <v>198503</v>
      </c>
      <c r="AR192" s="175">
        <f t="shared" si="244"/>
        <v>169481</v>
      </c>
      <c r="AS192" s="175">
        <f t="shared" si="244"/>
        <v>149774</v>
      </c>
      <c r="AT192" s="175">
        <f t="shared" si="244"/>
        <v>170280.05000000002</v>
      </c>
      <c r="AU192" s="181"/>
      <c r="AV192" s="175">
        <f t="shared" si="245"/>
        <v>48687.568333333329</v>
      </c>
      <c r="AW192" s="175">
        <f t="shared" si="245"/>
        <v>48687.568333333329</v>
      </c>
      <c r="AX192" s="175">
        <f t="shared" si="245"/>
        <v>48687.568333333329</v>
      </c>
      <c r="AY192" s="175">
        <f t="shared" si="245"/>
        <v>48687.568333333329</v>
      </c>
      <c r="AZ192" s="175">
        <f t="shared" si="245"/>
        <v>48687.568333333329</v>
      </c>
      <c r="BA192" s="175">
        <f t="shared" si="245"/>
        <v>48687.568333333329</v>
      </c>
      <c r="BB192" s="175">
        <f t="shared" si="245"/>
        <v>48687.568333333329</v>
      </c>
      <c r="BC192" s="175">
        <f t="shared" si="245"/>
        <v>48687.568333333329</v>
      </c>
      <c r="BD192" s="175">
        <f t="shared" si="245"/>
        <v>48687.568333333329</v>
      </c>
      <c r="BE192" s="175">
        <f t="shared" si="245"/>
        <v>48687.568333333329</v>
      </c>
      <c r="BF192" s="175">
        <f t="shared" si="245"/>
        <v>48687.568333333329</v>
      </c>
      <c r="BG192" s="175">
        <f t="shared" si="245"/>
        <v>48687.568333333329</v>
      </c>
      <c r="BH192" s="375">
        <f t="shared" ca="1" si="245"/>
        <v>584250.81999999995</v>
      </c>
      <c r="BI192" s="175">
        <f t="shared" si="245"/>
        <v>146062.70499999999</v>
      </c>
      <c r="BJ192" s="175">
        <f t="shared" si="245"/>
        <v>146062.70499999999</v>
      </c>
      <c r="BK192" s="175">
        <f t="shared" si="245"/>
        <v>146062.70499999999</v>
      </c>
      <c r="BL192" s="175">
        <f t="shared" si="245"/>
        <v>146062.70499999999</v>
      </c>
      <c r="BM192" s="181"/>
      <c r="BN192" s="175">
        <f t="shared" si="246"/>
        <v>0</v>
      </c>
      <c r="BO192" s="175">
        <f t="shared" si="246"/>
        <v>0</v>
      </c>
      <c r="BP192" s="175">
        <f t="shared" si="246"/>
        <v>58066.623583056258</v>
      </c>
      <c r="BQ192" s="175">
        <f t="shared" si="246"/>
        <v>51730.354392930909</v>
      </c>
      <c r="BR192" s="175">
        <f t="shared" si="246"/>
        <v>48831.005369704362</v>
      </c>
      <c r="BS192" s="175">
        <f t="shared" si="246"/>
        <v>46244.34871916916</v>
      </c>
      <c r="BT192" s="175">
        <f t="shared" si="246"/>
        <v>43890.122348872515</v>
      </c>
      <c r="BU192" s="175">
        <f t="shared" si="246"/>
        <v>44972.594845728949</v>
      </c>
      <c r="BV192" s="175">
        <f t="shared" si="246"/>
        <v>46330.593734210051</v>
      </c>
      <c r="BW192" s="175">
        <f t="shared" si="246"/>
        <v>48156.099446536064</v>
      </c>
      <c r="BX192" s="175">
        <f t="shared" si="246"/>
        <v>53690.404411714801</v>
      </c>
      <c r="BY192" s="175">
        <f t="shared" si="246"/>
        <v>64667.468807575147</v>
      </c>
      <c r="BZ192" s="375">
        <f t="shared" ca="1" si="246"/>
        <v>506579.61565949814</v>
      </c>
      <c r="CA192" s="175">
        <f t="shared" si="246"/>
        <v>58066.623583056258</v>
      </c>
      <c r="CB192" s="175">
        <f t="shared" si="246"/>
        <v>146805.70848180444</v>
      </c>
      <c r="CC192" s="175">
        <f t="shared" si="246"/>
        <v>135193.31092881152</v>
      </c>
      <c r="CD192" s="175">
        <f t="shared" si="246"/>
        <v>166513.972665826</v>
      </c>
      <c r="CE192" s="181"/>
      <c r="CH192" s="175"/>
      <c r="CI192" s="175"/>
      <c r="CJ192" s="175">
        <f t="shared" si="247"/>
        <v>4059.3764169437381</v>
      </c>
      <c r="CK192" s="175">
        <f t="shared" si="247"/>
        <v>11327.645607069093</v>
      </c>
      <c r="CL192" s="175">
        <f t="shared" si="247"/>
        <v>7276.9946302956396</v>
      </c>
      <c r="CM192" s="175">
        <f t="shared" si="247"/>
        <v>4070.6512808308348</v>
      </c>
      <c r="CN192" s="175">
        <f t="shared" si="247"/>
        <v>7380.8776511274791</v>
      </c>
      <c r="CO192" s="175">
        <f t="shared" si="247"/>
        <v>4017.4051542710554</v>
      </c>
      <c r="CP192" s="175">
        <f t="shared" si="247"/>
        <v>3182.4062657899453</v>
      </c>
      <c r="CQ192" s="175">
        <f t="shared" si="247"/>
        <v>3604.9005534639396</v>
      </c>
      <c r="CR192" s="175">
        <f t="shared" si="247"/>
        <v>0</v>
      </c>
      <c r="CS192" s="175">
        <f t="shared" si="247"/>
        <v>0</v>
      </c>
      <c r="CU192" s="175">
        <f t="shared" si="247"/>
        <v>665620.63231380668</v>
      </c>
      <c r="CV192" s="175">
        <f t="shared" si="247"/>
        <v>681089.56640003598</v>
      </c>
      <c r="CW192" s="175">
        <f t="shared" si="247"/>
        <v>584250.81999999995</v>
      </c>
      <c r="CX192" s="435">
        <f t="shared" si="249"/>
        <v>15468.934086229303</v>
      </c>
      <c r="CY192" s="435">
        <f t="shared" si="250"/>
        <v>96838.746400036034</v>
      </c>
    </row>
    <row r="193" spans="3:103">
      <c r="C193" s="250" t="s">
        <v>214</v>
      </c>
      <c r="D193" s="284" t="s">
        <v>625</v>
      </c>
      <c r="F193" s="293" t="str">
        <f t="shared" si="248"/>
        <v>TOTAL - NGD</v>
      </c>
      <c r="G193" s="375">
        <f>SUM(G186:G191)-G192</f>
        <v>7241658.3749999879</v>
      </c>
      <c r="H193" s="375">
        <f t="shared" ref="H193:W193" si="251">SUM(H186:H191)-H192</f>
        <v>6966451.6000000099</v>
      </c>
      <c r="I193" s="375">
        <f t="shared" si="251"/>
        <v>7384744.2699999753</v>
      </c>
      <c r="J193" s="375">
        <f t="shared" si="251"/>
        <v>5825212.6099999631</v>
      </c>
      <c r="K193" s="375">
        <f t="shared" si="251"/>
        <v>5981876.2399999741</v>
      </c>
      <c r="L193" s="375">
        <f t="shared" si="251"/>
        <v>5857619.0399999963</v>
      </c>
      <c r="M193" s="375">
        <f t="shared" si="251"/>
        <v>5829455.46</v>
      </c>
      <c r="N193" s="375">
        <f t="shared" si="251"/>
        <v>5924971.7699999921</v>
      </c>
      <c r="O193" s="375">
        <f t="shared" si="251"/>
        <v>5947652.0799999945</v>
      </c>
      <c r="P193" s="375">
        <f t="shared" si="251"/>
        <v>6246910.1200000104</v>
      </c>
      <c r="Q193" s="375">
        <f t="shared" si="251"/>
        <v>6506909.2599999914</v>
      </c>
      <c r="R193" s="375">
        <f t="shared" si="251"/>
        <v>7484903.7099999813</v>
      </c>
      <c r="S193" s="375">
        <f t="shared" ca="1" si="251"/>
        <v>77198364.534999862</v>
      </c>
      <c r="T193" s="375">
        <f t="shared" si="251"/>
        <v>21592854.244999979</v>
      </c>
      <c r="U193" s="375">
        <f t="shared" si="251"/>
        <v>17664707.889999937</v>
      </c>
      <c r="V193" s="375">
        <f t="shared" si="251"/>
        <v>17702079.309999987</v>
      </c>
      <c r="W193" s="375">
        <f t="shared" si="251"/>
        <v>20238723.089999977</v>
      </c>
      <c r="X193" s="181"/>
      <c r="Y193" s="375">
        <f t="shared" ref="Y193:AT193" si="252">SUM(Y186:Y191)-Y192</f>
        <v>7741077.3599999957</v>
      </c>
      <c r="Z193" s="375">
        <f t="shared" si="252"/>
        <v>7302082.3499999922</v>
      </c>
      <c r="AA193" s="375">
        <f t="shared" si="252"/>
        <v>7242609.9099999871</v>
      </c>
      <c r="AB193" s="375">
        <f t="shared" si="252"/>
        <v>7512351.2899999823</v>
      </c>
      <c r="AC193" s="375">
        <f t="shared" si="252"/>
        <v>6732495.3699999852</v>
      </c>
      <c r="AD193" s="375">
        <f t="shared" si="252"/>
        <v>6440533.1599999918</v>
      </c>
      <c r="AE193" s="375">
        <f t="shared" si="252"/>
        <v>6515406.0099999951</v>
      </c>
      <c r="AF193" s="375">
        <f t="shared" si="252"/>
        <v>6546958.109999992</v>
      </c>
      <c r="AG193" s="375">
        <f t="shared" si="252"/>
        <v>6228462.9699999895</v>
      </c>
      <c r="AH193" s="375">
        <f t="shared" si="252"/>
        <v>6878993.5699999835</v>
      </c>
      <c r="AI193" s="375">
        <f t="shared" si="252"/>
        <v>7278746.5199999921</v>
      </c>
      <c r="AJ193" s="375">
        <f t="shared" si="252"/>
        <v>7515371.9300000025</v>
      </c>
      <c r="AK193" s="375">
        <f t="shared" ca="1" si="252"/>
        <v>83935088.549999878</v>
      </c>
      <c r="AL193" s="375"/>
      <c r="AM193" s="375"/>
      <c r="AN193" s="375"/>
      <c r="AO193" s="375"/>
      <c r="AP193" s="375"/>
      <c r="AQ193" s="375">
        <f t="shared" si="252"/>
        <v>22285769.619999971</v>
      </c>
      <c r="AR193" s="375">
        <f t="shared" si="252"/>
        <v>20685379.819999963</v>
      </c>
      <c r="AS193" s="375">
        <f t="shared" si="252"/>
        <v>19290827.089999977</v>
      </c>
      <c r="AT193" s="375">
        <f t="shared" si="252"/>
        <v>21673112.019999977</v>
      </c>
      <c r="AU193" s="181"/>
      <c r="AV193" s="375">
        <f t="shared" ref="AV193:BL193" si="253">SUM(AV186:AV191)-AV192</f>
        <v>7866441.5202765521</v>
      </c>
      <c r="AW193" s="375">
        <f t="shared" si="253"/>
        <v>7259867.0893613603</v>
      </c>
      <c r="AX193" s="375">
        <f t="shared" si="253"/>
        <v>7389175.0670616357</v>
      </c>
      <c r="AY193" s="375">
        <f t="shared" si="253"/>
        <v>6804913.2450919561</v>
      </c>
      <c r="AZ193" s="375">
        <f t="shared" si="253"/>
        <v>6575555.2879719287</v>
      </c>
      <c r="BA193" s="375">
        <f t="shared" si="253"/>
        <v>6476333.9879513625</v>
      </c>
      <c r="BB193" s="375">
        <f t="shared" si="253"/>
        <v>6363565.560281923</v>
      </c>
      <c r="BC193" s="375">
        <f t="shared" si="253"/>
        <v>6492342.22233532</v>
      </c>
      <c r="BD193" s="375">
        <f t="shared" si="253"/>
        <v>6404280.0593996849</v>
      </c>
      <c r="BE193" s="375">
        <f t="shared" si="253"/>
        <v>6638922.6116573103</v>
      </c>
      <c r="BF193" s="375">
        <f t="shared" si="253"/>
        <v>7160241.4094187431</v>
      </c>
      <c r="BG193" s="375">
        <f t="shared" si="253"/>
        <v>7844590.1675413176</v>
      </c>
      <c r="BH193" s="375">
        <f t="shared" ca="1" si="253"/>
        <v>83276228.22834909</v>
      </c>
      <c r="BI193" s="375">
        <f t="shared" si="253"/>
        <v>22515483.676699549</v>
      </c>
      <c r="BJ193" s="375">
        <f t="shared" si="253"/>
        <v>19856802.521015249</v>
      </c>
      <c r="BK193" s="375">
        <f t="shared" si="253"/>
        <v>19260187.842016928</v>
      </c>
      <c r="BL193" s="375">
        <f t="shared" si="253"/>
        <v>21643754.188617375</v>
      </c>
      <c r="BM193" s="181"/>
      <c r="BN193" s="375">
        <f>SUM(BN186:BN191)-BN192</f>
        <v>0</v>
      </c>
      <c r="BO193" s="375">
        <f>SUM(BO186:BO191)-BO192</f>
        <v>0</v>
      </c>
      <c r="BP193" s="375">
        <f>SUM(BP186:BP191)-BP192</f>
        <v>7113046.056201702</v>
      </c>
      <c r="BQ193" s="375">
        <f t="shared" ref="BQ193:CD193" si="254">SUM(BQ186:BQ191)-BQ192</f>
        <v>6913319.9696322856</v>
      </c>
      <c r="BR193" s="375">
        <f t="shared" si="254"/>
        <v>6601950.8494668081</v>
      </c>
      <c r="BS193" s="375">
        <f t="shared" si="254"/>
        <v>6385570.4773180019</v>
      </c>
      <c r="BT193" s="375">
        <f t="shared" si="254"/>
        <v>6251588.5814134097</v>
      </c>
      <c r="BU193" s="375">
        <f t="shared" si="254"/>
        <v>6402025.8345004795</v>
      </c>
      <c r="BV193" s="375">
        <f t="shared" si="254"/>
        <v>6406196.3831235468</v>
      </c>
      <c r="BW193" s="375">
        <f t="shared" si="254"/>
        <v>6532840.9681319678</v>
      </c>
      <c r="BX193" s="375">
        <f t="shared" si="254"/>
        <v>6987794.973288401</v>
      </c>
      <c r="BY193" s="375">
        <f t="shared" si="254"/>
        <v>7565509.857095317</v>
      </c>
      <c r="BZ193" s="375">
        <f t="shared" ca="1" si="254"/>
        <v>67159843.950171918</v>
      </c>
      <c r="CA193" s="375">
        <f t="shared" si="254"/>
        <v>7113046.056201702</v>
      </c>
      <c r="CB193" s="375">
        <f t="shared" si="254"/>
        <v>19900841.296417091</v>
      </c>
      <c r="CC193" s="375">
        <f t="shared" si="254"/>
        <v>19059810.799037438</v>
      </c>
      <c r="CD193" s="375">
        <f t="shared" si="254"/>
        <v>21086145.798515689</v>
      </c>
      <c r="CE193" s="181"/>
      <c r="CH193" s="375"/>
      <c r="CI193" s="375"/>
      <c r="CJ193" s="375">
        <f t="shared" ref="CJ193:CS193" si="255">SUM(CJ186:CJ191)-CJ192</f>
        <v>129563.85379828454</v>
      </c>
      <c r="CK193" s="375">
        <f t="shared" si="255"/>
        <v>599031.3203676967</v>
      </c>
      <c r="CL193" s="375">
        <f t="shared" si="255"/>
        <v>130544.52053317762</v>
      </c>
      <c r="CM193" s="375">
        <f t="shared" si="255"/>
        <v>54962.682681989594</v>
      </c>
      <c r="CN193" s="375">
        <f t="shared" si="255"/>
        <v>263817.42858658556</v>
      </c>
      <c r="CO193" s="375">
        <f>SUM(CO186:CO191)-CO192</f>
        <v>144932.27549951317</v>
      </c>
      <c r="CP193" s="375">
        <f t="shared" si="255"/>
        <v>-177733.41312355845</v>
      </c>
      <c r="CQ193" s="375">
        <f t="shared" si="255"/>
        <v>346152.60186801676</v>
      </c>
      <c r="CR193" s="375">
        <f t="shared" si="255"/>
        <v>0</v>
      </c>
      <c r="CS193" s="375">
        <f t="shared" si="255"/>
        <v>0</v>
      </c>
      <c r="CU193" s="375">
        <f>SUM(CU186:CU191)-CU192</f>
        <v>83062143.354871079</v>
      </c>
      <c r="CV193" s="375" t="e">
        <f>SUM(CV186:CV191)-CV192</f>
        <v>#VALUE!</v>
      </c>
      <c r="CW193" s="375">
        <f>SUM(CW186:CW191)-CW192</f>
        <v>83276228.22834909</v>
      </c>
      <c r="CX193" s="436" t="e">
        <f>SUM(CX186:CX191)-CX192</f>
        <v>#VALUE!</v>
      </c>
      <c r="CY193" s="436" t="e">
        <f>SUM(CY186:CY191)-CY192</f>
        <v>#VALUE!</v>
      </c>
    </row>
    <row r="194" spans="3:103">
      <c r="F194" s="97"/>
      <c r="X194" s="181"/>
      <c r="AU194" s="181"/>
      <c r="BM194" s="181"/>
      <c r="CE194" s="181"/>
    </row>
    <row r="195" spans="3:103" outlineLevel="1">
      <c r="C195" s="97" t="s">
        <v>0</v>
      </c>
      <c r="D195" s="284" t="s">
        <v>7</v>
      </c>
      <c r="F195" s="320" t="str">
        <f>CONCATENATE(C195, " - ",D195)</f>
        <v>Residential - FPU</v>
      </c>
      <c r="G195" s="175">
        <f t="shared" ref="G195:W201" si="256">SUMIFS(G$5:G$181,$C$5:$C$181,$C195,$D$5:$D$181,$D195)</f>
        <v>1581631.0899999922</v>
      </c>
      <c r="H195" s="175">
        <f t="shared" si="256"/>
        <v>1477740.0100000093</v>
      </c>
      <c r="I195" s="175">
        <f t="shared" si="256"/>
        <v>1397979.6099999787</v>
      </c>
      <c r="J195" s="175">
        <f t="shared" si="256"/>
        <v>1343880.2799999686</v>
      </c>
      <c r="K195" s="175">
        <f t="shared" si="256"/>
        <v>1298610.8499999819</v>
      </c>
      <c r="L195" s="175">
        <f t="shared" si="256"/>
        <v>1143090.5699999977</v>
      </c>
      <c r="M195" s="175">
        <f t="shared" si="256"/>
        <v>1077961.2900000026</v>
      </c>
      <c r="N195" s="175">
        <f t="shared" si="256"/>
        <v>1036003.4299999984</v>
      </c>
      <c r="O195" s="175">
        <f t="shared" si="256"/>
        <v>1036807.6799999983</v>
      </c>
      <c r="P195" s="175">
        <f t="shared" si="256"/>
        <v>1072374.3700000008</v>
      </c>
      <c r="Q195" s="175">
        <f t="shared" si="256"/>
        <v>1250230.2699999851</v>
      </c>
      <c r="R195" s="175">
        <f t="shared" si="256"/>
        <v>1611668.4199999778</v>
      </c>
      <c r="S195" s="375">
        <f t="shared" ca="1" si="256"/>
        <v>15327977.869999893</v>
      </c>
      <c r="T195" s="175">
        <f t="shared" si="256"/>
        <v>4457350.7099999804</v>
      </c>
      <c r="U195" s="175">
        <f t="shared" si="256"/>
        <v>3785581.699999948</v>
      </c>
      <c r="V195" s="175">
        <f t="shared" si="256"/>
        <v>3150772.399999999</v>
      </c>
      <c r="W195" s="175">
        <f t="shared" si="256"/>
        <v>3934273.0599999633</v>
      </c>
      <c r="X195" s="181"/>
      <c r="Y195" s="175">
        <f t="shared" ref="Y195:AT201" si="257">SUMIFS(Y$5:Y$181,$C$5:$C$181,$C195,$D$5:$D$181,$D195)</f>
        <v>1915919.4499999902</v>
      </c>
      <c r="Z195" s="175">
        <f t="shared" si="257"/>
        <v>1632617.3999999873</v>
      </c>
      <c r="AA195" s="175">
        <f t="shared" si="257"/>
        <v>1495236.1099999743</v>
      </c>
      <c r="AB195" s="175">
        <f t="shared" si="257"/>
        <v>1463956.1099999889</v>
      </c>
      <c r="AC195" s="175">
        <f t="shared" si="257"/>
        <v>1269635.229999996</v>
      </c>
      <c r="AD195" s="175">
        <f t="shared" si="257"/>
        <v>1158071.3499999915</v>
      </c>
      <c r="AE195" s="175">
        <f t="shared" si="257"/>
        <v>1121796.4599999983</v>
      </c>
      <c r="AF195" s="175">
        <f t="shared" si="257"/>
        <v>1061004.179999989</v>
      </c>
      <c r="AG195" s="175">
        <f t="shared" si="257"/>
        <v>1099399.489999993</v>
      </c>
      <c r="AH195" s="175">
        <f t="shared" si="257"/>
        <v>1120301.6999999876</v>
      </c>
      <c r="AI195" s="175">
        <f t="shared" si="257"/>
        <v>1302733.389999995</v>
      </c>
      <c r="AJ195" s="175">
        <f t="shared" si="257"/>
        <v>1552830.4699999918</v>
      </c>
      <c r="AK195" s="456">
        <f t="shared" si="257"/>
        <v>16193501.339999883</v>
      </c>
      <c r="AL195" s="375"/>
      <c r="AM195" s="375"/>
      <c r="AN195" s="375"/>
      <c r="AO195" s="375"/>
      <c r="AP195" s="375"/>
      <c r="AQ195" s="175">
        <f t="shared" si="257"/>
        <v>5043772.9599999515</v>
      </c>
      <c r="AR195" s="175">
        <f t="shared" si="257"/>
        <v>3891662.6899999767</v>
      </c>
      <c r="AS195" s="175">
        <f t="shared" si="257"/>
        <v>3282200.1299999808</v>
      </c>
      <c r="AT195" s="175">
        <f t="shared" si="257"/>
        <v>3975865.559999974</v>
      </c>
      <c r="AU195" s="181"/>
      <c r="AV195" s="175">
        <f t="shared" ref="AV195:BL201" si="258">SUMIFS(AV$5:AV$181,$C$5:$C$181,$C195,$D$5:$D$181,$D195)</f>
        <v>1790719.6083430792</v>
      </c>
      <c r="AW195" s="175">
        <f t="shared" si="258"/>
        <v>1543909.2148660088</v>
      </c>
      <c r="AX195" s="175">
        <f t="shared" si="258"/>
        <v>1419855.6548716342</v>
      </c>
      <c r="AY195" s="175">
        <f t="shared" si="258"/>
        <v>1394479.1313529208</v>
      </c>
      <c r="AZ195" s="175">
        <f t="shared" si="258"/>
        <v>1221043.979637312</v>
      </c>
      <c r="BA195" s="175">
        <f t="shared" si="258"/>
        <v>1131668.2618111197</v>
      </c>
      <c r="BB195" s="175">
        <f t="shared" si="258"/>
        <v>1049843.1033318534</v>
      </c>
      <c r="BC195" s="175">
        <f t="shared" si="258"/>
        <v>1043632.5265877389</v>
      </c>
      <c r="BD195" s="175">
        <f t="shared" si="258"/>
        <v>1078353.0238114663</v>
      </c>
      <c r="BE195" s="175">
        <f t="shared" si="258"/>
        <v>1072938.8304780535</v>
      </c>
      <c r="BF195" s="175">
        <f t="shared" si="258"/>
        <v>1238069.753055098</v>
      </c>
      <c r="BG195" s="175">
        <f t="shared" si="258"/>
        <v>1555579.033236596</v>
      </c>
      <c r="BH195" s="375">
        <f t="shared" ca="1" si="258"/>
        <v>15540092.121382881</v>
      </c>
      <c r="BI195" s="175">
        <f t="shared" si="258"/>
        <v>4754484.4780807225</v>
      </c>
      <c r="BJ195" s="175">
        <f t="shared" si="258"/>
        <v>3747191.3728013523</v>
      </c>
      <c r="BK195" s="175">
        <f t="shared" si="258"/>
        <v>3171828.6537310584</v>
      </c>
      <c r="BL195" s="175">
        <f t="shared" si="258"/>
        <v>3866587.6167697473</v>
      </c>
      <c r="BM195" s="181"/>
      <c r="BN195" s="175">
        <f t="shared" ref="BN195:CD201" si="259">SUMIFS(BN$5:BN$181,$C$5:$C$181,$C195,$D$5:$D$181,$D195)</f>
        <v>0</v>
      </c>
      <c r="BO195" s="175">
        <f t="shared" si="259"/>
        <v>0</v>
      </c>
      <c r="BP195" s="175">
        <f t="shared" si="259"/>
        <v>1424133.8975346433</v>
      </c>
      <c r="BQ195" s="175">
        <f t="shared" si="259"/>
        <v>1398678.432105958</v>
      </c>
      <c r="BR195" s="175">
        <f t="shared" si="259"/>
        <v>1224637.54603491</v>
      </c>
      <c r="BS195" s="175">
        <f t="shared" si="259"/>
        <v>1130131.8873218598</v>
      </c>
      <c r="BT195" s="175">
        <f t="shared" si="259"/>
        <v>1049066.0720239573</v>
      </c>
      <c r="BU195" s="175">
        <f t="shared" si="259"/>
        <v>1044042.4119712518</v>
      </c>
      <c r="BV195" s="175">
        <f t="shared" si="259"/>
        <v>1099440.8545388298</v>
      </c>
      <c r="BW195" s="175">
        <f t="shared" si="259"/>
        <v>1094617.0111914854</v>
      </c>
      <c r="BX195" s="175">
        <f t="shared" si="259"/>
        <v>1269297.6871005369</v>
      </c>
      <c r="BY195" s="175">
        <f t="shared" si="259"/>
        <v>1595000.6406475937</v>
      </c>
      <c r="BZ195" s="375">
        <f t="shared" ca="1" si="259"/>
        <v>12329046.440471027</v>
      </c>
      <c r="CA195" s="175">
        <f t="shared" si="259"/>
        <v>1424133.8975346433</v>
      </c>
      <c r="CB195" s="175">
        <f t="shared" si="259"/>
        <v>3753447.8654627278</v>
      </c>
      <c r="CC195" s="175">
        <f t="shared" si="259"/>
        <v>3192549.338534039</v>
      </c>
      <c r="CD195" s="175">
        <f t="shared" si="259"/>
        <v>3958915.338939616</v>
      </c>
      <c r="CE195" s="181"/>
      <c r="CH195" s="175"/>
      <c r="CI195" s="175"/>
      <c r="CJ195" s="175">
        <f t="shared" ref="CJ195:CW201" si="260">SUMIFS(CJ$5:CJ$181,$C$5:$C$181,$C195,$D$5:$D$181,$D195)</f>
        <v>71102.212465330842</v>
      </c>
      <c r="CK195" s="175">
        <f t="shared" si="260"/>
        <v>65277.677894030894</v>
      </c>
      <c r="CL195" s="175">
        <f t="shared" si="260"/>
        <v>44997.683965086115</v>
      </c>
      <c r="CM195" s="175">
        <f t="shared" si="260"/>
        <v>27939.462678131502</v>
      </c>
      <c r="CN195" s="175">
        <f t="shared" si="260"/>
        <v>72730.387976041064</v>
      </c>
      <c r="CO195" s="175">
        <f t="shared" si="260"/>
        <v>16961.768028737228</v>
      </c>
      <c r="CP195" s="175">
        <f t="shared" si="260"/>
        <v>-41.364538836758584</v>
      </c>
      <c r="CQ195" s="175">
        <f t="shared" si="260"/>
        <v>25684.688808502287</v>
      </c>
      <c r="CR195" s="175">
        <f t="shared" si="260"/>
        <v>0</v>
      </c>
      <c r="CS195" s="175">
        <f t="shared" si="260"/>
        <v>0</v>
      </c>
      <c r="CU195" s="175">
        <f t="shared" si="260"/>
        <v>16058960.864795452</v>
      </c>
      <c r="CV195" s="175" t="e">
        <f t="shared" si="260"/>
        <v>#VALUE!</v>
      </c>
      <c r="CW195" s="175">
        <f t="shared" si="260"/>
        <v>15540092.121382881</v>
      </c>
    </row>
    <row r="196" spans="3:103" outlineLevel="1">
      <c r="C196" s="97" t="s">
        <v>534</v>
      </c>
      <c r="D196" s="284" t="s">
        <v>7</v>
      </c>
      <c r="F196" s="320" t="str">
        <f t="shared" si="248"/>
        <v>Residential - Experimental - FPU</v>
      </c>
      <c r="G196" s="175">
        <f t="shared" si="256"/>
        <v>0</v>
      </c>
      <c r="H196" s="175">
        <f t="shared" si="256"/>
        <v>0</v>
      </c>
      <c r="I196" s="175">
        <f t="shared" si="256"/>
        <v>0</v>
      </c>
      <c r="J196" s="175">
        <f t="shared" si="256"/>
        <v>0</v>
      </c>
      <c r="K196" s="175">
        <f t="shared" si="256"/>
        <v>0</v>
      </c>
      <c r="L196" s="175">
        <f t="shared" si="256"/>
        <v>0</v>
      </c>
      <c r="M196" s="175">
        <f t="shared" si="256"/>
        <v>0</v>
      </c>
      <c r="N196" s="175">
        <f t="shared" si="256"/>
        <v>0</v>
      </c>
      <c r="O196" s="175">
        <f t="shared" si="256"/>
        <v>0</v>
      </c>
      <c r="P196" s="175">
        <f t="shared" si="256"/>
        <v>0</v>
      </c>
      <c r="Q196" s="175">
        <f t="shared" si="256"/>
        <v>0</v>
      </c>
      <c r="R196" s="175">
        <f t="shared" si="256"/>
        <v>0</v>
      </c>
      <c r="S196" s="375">
        <f t="shared" si="256"/>
        <v>0</v>
      </c>
      <c r="T196" s="175">
        <f t="shared" si="256"/>
        <v>0</v>
      </c>
      <c r="U196" s="175">
        <f t="shared" si="256"/>
        <v>0</v>
      </c>
      <c r="V196" s="175">
        <f t="shared" si="256"/>
        <v>0</v>
      </c>
      <c r="W196" s="175">
        <f t="shared" si="256"/>
        <v>0</v>
      </c>
      <c r="X196" s="181"/>
      <c r="Y196" s="175">
        <f t="shared" si="257"/>
        <v>0</v>
      </c>
      <c r="Z196" s="175">
        <f t="shared" si="257"/>
        <v>0</v>
      </c>
      <c r="AA196" s="175">
        <f t="shared" si="257"/>
        <v>0</v>
      </c>
      <c r="AB196" s="175">
        <f t="shared" si="257"/>
        <v>0</v>
      </c>
      <c r="AC196" s="175">
        <f t="shared" si="257"/>
        <v>0</v>
      </c>
      <c r="AD196" s="175">
        <f t="shared" si="257"/>
        <v>0</v>
      </c>
      <c r="AE196" s="175">
        <f t="shared" si="257"/>
        <v>0</v>
      </c>
      <c r="AF196" s="175">
        <f t="shared" si="257"/>
        <v>0</v>
      </c>
      <c r="AG196" s="175">
        <f t="shared" si="257"/>
        <v>0</v>
      </c>
      <c r="AH196" s="175">
        <f t="shared" si="257"/>
        <v>0</v>
      </c>
      <c r="AI196" s="175">
        <f t="shared" si="257"/>
        <v>0</v>
      </c>
      <c r="AJ196" s="175">
        <f t="shared" si="257"/>
        <v>0</v>
      </c>
      <c r="AK196" s="456">
        <f t="shared" si="257"/>
        <v>0</v>
      </c>
      <c r="AL196" s="375"/>
      <c r="AM196" s="375"/>
      <c r="AN196" s="375"/>
      <c r="AO196" s="375"/>
      <c r="AP196" s="375"/>
      <c r="AQ196" s="175">
        <f t="shared" si="257"/>
        <v>0</v>
      </c>
      <c r="AR196" s="175">
        <f t="shared" si="257"/>
        <v>0</v>
      </c>
      <c r="AS196" s="175">
        <f t="shared" si="257"/>
        <v>0</v>
      </c>
      <c r="AT196" s="175">
        <f t="shared" si="257"/>
        <v>0</v>
      </c>
      <c r="AU196" s="181"/>
      <c r="AV196" s="175">
        <f t="shared" si="258"/>
        <v>0</v>
      </c>
      <c r="AW196" s="175">
        <f t="shared" si="258"/>
        <v>0</v>
      </c>
      <c r="AX196" s="175">
        <f t="shared" si="258"/>
        <v>0</v>
      </c>
      <c r="AY196" s="175">
        <f t="shared" si="258"/>
        <v>0</v>
      </c>
      <c r="AZ196" s="175">
        <f t="shared" si="258"/>
        <v>0</v>
      </c>
      <c r="BA196" s="175">
        <f t="shared" si="258"/>
        <v>0</v>
      </c>
      <c r="BB196" s="175">
        <f t="shared" si="258"/>
        <v>0</v>
      </c>
      <c r="BC196" s="175">
        <f t="shared" si="258"/>
        <v>0</v>
      </c>
      <c r="BD196" s="175">
        <f t="shared" si="258"/>
        <v>0</v>
      </c>
      <c r="BE196" s="175">
        <f t="shared" si="258"/>
        <v>0</v>
      </c>
      <c r="BF196" s="175">
        <f t="shared" si="258"/>
        <v>0</v>
      </c>
      <c r="BG196" s="175">
        <f t="shared" si="258"/>
        <v>0</v>
      </c>
      <c r="BH196" s="375">
        <f t="shared" si="258"/>
        <v>0</v>
      </c>
      <c r="BI196" s="175">
        <f t="shared" si="258"/>
        <v>0</v>
      </c>
      <c r="BJ196" s="175">
        <f t="shared" si="258"/>
        <v>0</v>
      </c>
      <c r="BK196" s="175">
        <f t="shared" si="258"/>
        <v>0</v>
      </c>
      <c r="BL196" s="175">
        <f t="shared" si="258"/>
        <v>0</v>
      </c>
      <c r="BM196" s="181"/>
      <c r="BN196" s="175">
        <f t="shared" si="259"/>
        <v>0</v>
      </c>
      <c r="BO196" s="175">
        <f t="shared" si="259"/>
        <v>0</v>
      </c>
      <c r="BP196" s="175">
        <f t="shared" si="259"/>
        <v>0</v>
      </c>
      <c r="BQ196" s="175">
        <f t="shared" si="259"/>
        <v>0</v>
      </c>
      <c r="BR196" s="175">
        <f t="shared" si="259"/>
        <v>0</v>
      </c>
      <c r="BS196" s="175">
        <f t="shared" si="259"/>
        <v>0</v>
      </c>
      <c r="BT196" s="175">
        <f t="shared" si="259"/>
        <v>0</v>
      </c>
      <c r="BU196" s="175">
        <f t="shared" si="259"/>
        <v>0</v>
      </c>
      <c r="BV196" s="175">
        <f t="shared" si="259"/>
        <v>0</v>
      </c>
      <c r="BW196" s="175">
        <f t="shared" si="259"/>
        <v>0</v>
      </c>
      <c r="BX196" s="175">
        <f t="shared" si="259"/>
        <v>0</v>
      </c>
      <c r="BY196" s="175">
        <f t="shared" si="259"/>
        <v>0</v>
      </c>
      <c r="BZ196" s="375">
        <f t="shared" si="259"/>
        <v>0</v>
      </c>
      <c r="CA196" s="175">
        <f t="shared" si="259"/>
        <v>0</v>
      </c>
      <c r="CB196" s="175">
        <f t="shared" si="259"/>
        <v>0</v>
      </c>
      <c r="CC196" s="175">
        <f t="shared" si="259"/>
        <v>0</v>
      </c>
      <c r="CD196" s="175">
        <f t="shared" si="259"/>
        <v>0</v>
      </c>
      <c r="CE196" s="181"/>
      <c r="CH196" s="175"/>
      <c r="CI196" s="175"/>
      <c r="CJ196" s="175">
        <f t="shared" si="260"/>
        <v>0</v>
      </c>
      <c r="CK196" s="175">
        <f t="shared" si="260"/>
        <v>0</v>
      </c>
      <c r="CL196" s="175">
        <f t="shared" si="260"/>
        <v>0</v>
      </c>
      <c r="CM196" s="175">
        <f t="shared" si="260"/>
        <v>0</v>
      </c>
      <c r="CN196" s="175">
        <f t="shared" si="260"/>
        <v>0</v>
      </c>
      <c r="CO196" s="175">
        <f t="shared" si="260"/>
        <v>0</v>
      </c>
      <c r="CP196" s="175">
        <f t="shared" si="260"/>
        <v>0</v>
      </c>
      <c r="CQ196" s="175">
        <f t="shared" si="260"/>
        <v>0</v>
      </c>
      <c r="CR196" s="175">
        <f t="shared" si="260"/>
        <v>0</v>
      </c>
      <c r="CS196" s="175">
        <f t="shared" si="260"/>
        <v>0</v>
      </c>
      <c r="CU196" s="175">
        <f t="shared" si="260"/>
        <v>0</v>
      </c>
      <c r="CV196" s="175">
        <f t="shared" si="260"/>
        <v>0</v>
      </c>
      <c r="CW196" s="175">
        <f t="shared" si="260"/>
        <v>0</v>
      </c>
    </row>
    <row r="197" spans="3:103" outlineLevel="1">
      <c r="C197" s="97" t="s">
        <v>542</v>
      </c>
      <c r="D197" s="284" t="s">
        <v>7</v>
      </c>
      <c r="F197" s="320" t="str">
        <f t="shared" si="248"/>
        <v>Non-Residential - FPU</v>
      </c>
      <c r="G197" s="175">
        <f t="shared" si="256"/>
        <v>2642275.1599999997</v>
      </c>
      <c r="H197" s="175">
        <f t="shared" si="256"/>
        <v>2492587.4299999983</v>
      </c>
      <c r="I197" s="175">
        <f t="shared" si="256"/>
        <v>2372172.8699999987</v>
      </c>
      <c r="J197" s="175">
        <f t="shared" si="256"/>
        <v>1909920.2999999966</v>
      </c>
      <c r="K197" s="175">
        <f t="shared" si="256"/>
        <v>1876895.8799999978</v>
      </c>
      <c r="L197" s="175">
        <f t="shared" si="256"/>
        <v>1888084.5799999989</v>
      </c>
      <c r="M197" s="175">
        <f t="shared" si="256"/>
        <v>1993840.0100000012</v>
      </c>
      <c r="N197" s="175">
        <f t="shared" si="256"/>
        <v>1949380.8799999987</v>
      </c>
      <c r="O197" s="175">
        <f t="shared" si="256"/>
        <v>1940984.0599999973</v>
      </c>
      <c r="P197" s="175">
        <f t="shared" si="256"/>
        <v>1993589.9199999997</v>
      </c>
      <c r="Q197" s="175">
        <f t="shared" si="256"/>
        <v>2117240.9600000004</v>
      </c>
      <c r="R197" s="175">
        <f t="shared" si="256"/>
        <v>2339173.3499999996</v>
      </c>
      <c r="S197" s="375">
        <f t="shared" ca="1" si="256"/>
        <v>25516145.399999984</v>
      </c>
      <c r="T197" s="175">
        <f t="shared" si="256"/>
        <v>7507035.4599999981</v>
      </c>
      <c r="U197" s="175">
        <f t="shared" si="256"/>
        <v>5674900.7599999933</v>
      </c>
      <c r="V197" s="175">
        <f t="shared" si="256"/>
        <v>5884204.9499999974</v>
      </c>
      <c r="W197" s="175">
        <f t="shared" si="256"/>
        <v>6450004.2299999995</v>
      </c>
      <c r="X197" s="181"/>
      <c r="Y197" s="175">
        <f t="shared" si="257"/>
        <v>2567214.0599999991</v>
      </c>
      <c r="Z197" s="175">
        <f t="shared" si="257"/>
        <v>2347160.5499999975</v>
      </c>
      <c r="AA197" s="175">
        <f t="shared" si="257"/>
        <v>2350184.4999999991</v>
      </c>
      <c r="AB197" s="175">
        <f t="shared" si="257"/>
        <v>2359988.8999999948</v>
      </c>
      <c r="AC197" s="175">
        <f t="shared" si="257"/>
        <v>2223820.4799999967</v>
      </c>
      <c r="AD197" s="175">
        <f t="shared" si="257"/>
        <v>2063738.9799999986</v>
      </c>
      <c r="AE197" s="175">
        <f t="shared" si="257"/>
        <v>2153697.6199999973</v>
      </c>
      <c r="AF197" s="175">
        <f t="shared" si="257"/>
        <v>2035404.8599999996</v>
      </c>
      <c r="AG197" s="175">
        <f t="shared" si="257"/>
        <v>2126256.819999998</v>
      </c>
      <c r="AH197" s="175">
        <f t="shared" si="257"/>
        <v>2148885.5799999977</v>
      </c>
      <c r="AI197" s="175">
        <f t="shared" si="257"/>
        <v>2256739.8999999962</v>
      </c>
      <c r="AJ197" s="175">
        <f t="shared" si="257"/>
        <v>2422106.84</v>
      </c>
      <c r="AK197" s="456">
        <f t="shared" si="257"/>
        <v>27055199.08999997</v>
      </c>
      <c r="AL197" s="375"/>
      <c r="AM197" s="375"/>
      <c r="AN197" s="375"/>
      <c r="AO197" s="375"/>
      <c r="AP197" s="375"/>
      <c r="AQ197" s="175">
        <f t="shared" si="257"/>
        <v>7264559.1099999966</v>
      </c>
      <c r="AR197" s="175">
        <f t="shared" si="257"/>
        <v>6647548.3599999901</v>
      </c>
      <c r="AS197" s="175">
        <f t="shared" si="257"/>
        <v>6315359.2999999961</v>
      </c>
      <c r="AT197" s="175">
        <f t="shared" si="257"/>
        <v>6827732.3199999928</v>
      </c>
      <c r="AU197" s="181"/>
      <c r="AV197" s="175">
        <f t="shared" si="258"/>
        <v>2680238.4540834678</v>
      </c>
      <c r="AW197" s="175">
        <f t="shared" si="258"/>
        <v>2499587.3369283364</v>
      </c>
      <c r="AX197" s="175">
        <f t="shared" si="258"/>
        <v>2389021.0880225883</v>
      </c>
      <c r="AY197" s="175">
        <f t="shared" si="258"/>
        <v>2227041.8189767799</v>
      </c>
      <c r="AZ197" s="175">
        <f t="shared" si="258"/>
        <v>2103859.0454304735</v>
      </c>
      <c r="BA197" s="175">
        <f t="shared" si="258"/>
        <v>2074401.7416599402</v>
      </c>
      <c r="BB197" s="175">
        <f t="shared" si="258"/>
        <v>2039295.6183446171</v>
      </c>
      <c r="BC197" s="175">
        <f t="shared" si="258"/>
        <v>2080304.8881726959</v>
      </c>
      <c r="BD197" s="175">
        <f t="shared" si="258"/>
        <v>2042822.7774363544</v>
      </c>
      <c r="BE197" s="175">
        <f t="shared" si="258"/>
        <v>2088192.592101312</v>
      </c>
      <c r="BF197" s="175">
        <f t="shared" si="258"/>
        <v>2322799.96962704</v>
      </c>
      <c r="BG197" s="175">
        <f t="shared" si="258"/>
        <v>2555259.4420214323</v>
      </c>
      <c r="BH197" s="375">
        <f t="shared" ca="1" si="258"/>
        <v>27102824.772805043</v>
      </c>
      <c r="BI197" s="175">
        <f t="shared" si="258"/>
        <v>7568846.8790343925</v>
      </c>
      <c r="BJ197" s="175">
        <f t="shared" si="258"/>
        <v>6405302.6060671937</v>
      </c>
      <c r="BK197" s="175">
        <f t="shared" si="258"/>
        <v>6162423.2839536667</v>
      </c>
      <c r="BL197" s="175">
        <f t="shared" si="258"/>
        <v>6966252.0037497841</v>
      </c>
      <c r="BM197" s="181"/>
      <c r="BN197" s="175">
        <f t="shared" si="259"/>
        <v>0</v>
      </c>
      <c r="BO197" s="175">
        <f t="shared" si="259"/>
        <v>0</v>
      </c>
      <c r="BP197" s="175">
        <f t="shared" si="259"/>
        <v>2231772.6107197166</v>
      </c>
      <c r="BQ197" s="175">
        <f t="shared" si="259"/>
        <v>2248584.7924199728</v>
      </c>
      <c r="BR197" s="175">
        <f t="shared" si="259"/>
        <v>2127217.7115496215</v>
      </c>
      <c r="BS197" s="175">
        <f t="shared" si="259"/>
        <v>2067280.8622013666</v>
      </c>
      <c r="BT197" s="175">
        <f t="shared" si="259"/>
        <v>1934931.4530274691</v>
      </c>
      <c r="BU197" s="175">
        <f t="shared" si="259"/>
        <v>2013825.3349959077</v>
      </c>
      <c r="BV197" s="175">
        <f t="shared" si="259"/>
        <v>1990792.6092888128</v>
      </c>
      <c r="BW197" s="175">
        <f t="shared" si="259"/>
        <v>2015739.2415104548</v>
      </c>
      <c r="BX197" s="175">
        <f t="shared" si="259"/>
        <v>2271010.9803267852</v>
      </c>
      <c r="BY197" s="175">
        <f t="shared" si="259"/>
        <v>2497605.1856559925</v>
      </c>
      <c r="BZ197" s="375">
        <f t="shared" ca="1" si="259"/>
        <v>21398760.781696096</v>
      </c>
      <c r="CA197" s="175">
        <f t="shared" si="259"/>
        <v>2231772.6107197166</v>
      </c>
      <c r="CB197" s="175">
        <f t="shared" si="259"/>
        <v>6443083.3661709614</v>
      </c>
      <c r="CC197" s="175">
        <f t="shared" si="259"/>
        <v>5939549.3973121904</v>
      </c>
      <c r="CD197" s="175">
        <f t="shared" si="259"/>
        <v>6784355.4074932318</v>
      </c>
      <c r="CE197" s="181"/>
      <c r="CH197" s="175"/>
      <c r="CI197" s="175"/>
      <c r="CJ197" s="175">
        <f t="shared" si="260"/>
        <v>118411.88928028235</v>
      </c>
      <c r="CK197" s="175">
        <f t="shared" si="260"/>
        <v>111404.10758002225</v>
      </c>
      <c r="CL197" s="175">
        <f t="shared" si="260"/>
        <v>96602.768450375457</v>
      </c>
      <c r="CM197" s="175">
        <f t="shared" si="260"/>
        <v>-3541.8822013679237</v>
      </c>
      <c r="CN197" s="175">
        <f t="shared" si="260"/>
        <v>218766.16697252833</v>
      </c>
      <c r="CO197" s="175">
        <f t="shared" si="260"/>
        <v>21579.525004092076</v>
      </c>
      <c r="CP197" s="175">
        <f t="shared" si="260"/>
        <v>135464.21071118501</v>
      </c>
      <c r="CQ197" s="175">
        <f t="shared" si="260"/>
        <v>133146.33848954274</v>
      </c>
      <c r="CR197" s="175">
        <f t="shared" si="260"/>
        <v>0</v>
      </c>
      <c r="CS197" s="175">
        <f t="shared" si="260"/>
        <v>0</v>
      </c>
      <c r="CU197" s="175">
        <f t="shared" si="260"/>
        <v>26639554.157006778</v>
      </c>
      <c r="CV197" s="175" t="e">
        <f t="shared" si="260"/>
        <v>#VALUE!</v>
      </c>
      <c r="CW197" s="175">
        <f t="shared" si="260"/>
        <v>27102824.772805043</v>
      </c>
    </row>
    <row r="198" spans="3:103" outlineLevel="1">
      <c r="C198" s="97" t="s">
        <v>579</v>
      </c>
      <c r="D198" s="284" t="s">
        <v>7</v>
      </c>
      <c r="F198" s="320" t="str">
        <f t="shared" si="248"/>
        <v>Non-Residential-Experimental - FPU</v>
      </c>
      <c r="G198" s="175">
        <f t="shared" si="256"/>
        <v>0</v>
      </c>
      <c r="H198" s="175">
        <f t="shared" si="256"/>
        <v>0</v>
      </c>
      <c r="I198" s="175">
        <f t="shared" si="256"/>
        <v>0</v>
      </c>
      <c r="J198" s="175">
        <f t="shared" si="256"/>
        <v>0</v>
      </c>
      <c r="K198" s="175">
        <f t="shared" si="256"/>
        <v>0</v>
      </c>
      <c r="L198" s="175">
        <f t="shared" si="256"/>
        <v>0</v>
      </c>
      <c r="M198" s="175">
        <f t="shared" si="256"/>
        <v>0</v>
      </c>
      <c r="N198" s="175">
        <f t="shared" si="256"/>
        <v>0</v>
      </c>
      <c r="O198" s="175">
        <f t="shared" si="256"/>
        <v>0</v>
      </c>
      <c r="P198" s="175">
        <f t="shared" si="256"/>
        <v>0</v>
      </c>
      <c r="Q198" s="175">
        <f t="shared" si="256"/>
        <v>0</v>
      </c>
      <c r="R198" s="175">
        <f t="shared" si="256"/>
        <v>0</v>
      </c>
      <c r="S198" s="375">
        <f t="shared" si="256"/>
        <v>0</v>
      </c>
      <c r="T198" s="175">
        <f t="shared" si="256"/>
        <v>0</v>
      </c>
      <c r="U198" s="175">
        <f t="shared" si="256"/>
        <v>0</v>
      </c>
      <c r="V198" s="175">
        <f t="shared" si="256"/>
        <v>0</v>
      </c>
      <c r="W198" s="175">
        <f t="shared" si="256"/>
        <v>0</v>
      </c>
      <c r="X198" s="181"/>
      <c r="Y198" s="175">
        <f t="shared" si="257"/>
        <v>0</v>
      </c>
      <c r="Z198" s="175">
        <f t="shared" si="257"/>
        <v>0</v>
      </c>
      <c r="AA198" s="175">
        <f t="shared" si="257"/>
        <v>0</v>
      </c>
      <c r="AB198" s="175">
        <f t="shared" si="257"/>
        <v>0</v>
      </c>
      <c r="AC198" s="175">
        <f t="shared" si="257"/>
        <v>0</v>
      </c>
      <c r="AD198" s="175">
        <f t="shared" si="257"/>
        <v>0</v>
      </c>
      <c r="AE198" s="175">
        <f t="shared" si="257"/>
        <v>0</v>
      </c>
      <c r="AF198" s="175">
        <f t="shared" si="257"/>
        <v>0</v>
      </c>
      <c r="AG198" s="175">
        <f t="shared" si="257"/>
        <v>0</v>
      </c>
      <c r="AH198" s="175">
        <f t="shared" si="257"/>
        <v>0</v>
      </c>
      <c r="AI198" s="175">
        <f t="shared" si="257"/>
        <v>0</v>
      </c>
      <c r="AJ198" s="175">
        <f t="shared" si="257"/>
        <v>0</v>
      </c>
      <c r="AK198" s="456">
        <f t="shared" si="257"/>
        <v>0</v>
      </c>
      <c r="AL198" s="375"/>
      <c r="AM198" s="375"/>
      <c r="AN198" s="375"/>
      <c r="AO198" s="375"/>
      <c r="AP198" s="375"/>
      <c r="AQ198" s="175">
        <f t="shared" si="257"/>
        <v>0</v>
      </c>
      <c r="AR198" s="175">
        <f t="shared" si="257"/>
        <v>0</v>
      </c>
      <c r="AS198" s="175">
        <f t="shared" si="257"/>
        <v>0</v>
      </c>
      <c r="AT198" s="175">
        <f t="shared" si="257"/>
        <v>0</v>
      </c>
      <c r="AU198" s="181"/>
      <c r="AV198" s="175">
        <f t="shared" si="258"/>
        <v>0</v>
      </c>
      <c r="AW198" s="175">
        <f t="shared" si="258"/>
        <v>0</v>
      </c>
      <c r="AX198" s="175">
        <f t="shared" si="258"/>
        <v>0</v>
      </c>
      <c r="AY198" s="175">
        <f t="shared" si="258"/>
        <v>0</v>
      </c>
      <c r="AZ198" s="175">
        <f t="shared" si="258"/>
        <v>0</v>
      </c>
      <c r="BA198" s="175">
        <f t="shared" si="258"/>
        <v>0</v>
      </c>
      <c r="BB198" s="175">
        <f t="shared" si="258"/>
        <v>0</v>
      </c>
      <c r="BC198" s="175">
        <f t="shared" si="258"/>
        <v>0</v>
      </c>
      <c r="BD198" s="175">
        <f t="shared" si="258"/>
        <v>0</v>
      </c>
      <c r="BE198" s="175">
        <f t="shared" si="258"/>
        <v>0</v>
      </c>
      <c r="BF198" s="175">
        <f t="shared" si="258"/>
        <v>0</v>
      </c>
      <c r="BG198" s="175">
        <f t="shared" si="258"/>
        <v>0</v>
      </c>
      <c r="BH198" s="375">
        <f t="shared" si="258"/>
        <v>0</v>
      </c>
      <c r="BI198" s="175">
        <f t="shared" si="258"/>
        <v>0</v>
      </c>
      <c r="BJ198" s="175">
        <f t="shared" si="258"/>
        <v>0</v>
      </c>
      <c r="BK198" s="175">
        <f t="shared" si="258"/>
        <v>0</v>
      </c>
      <c r="BL198" s="175">
        <f t="shared" si="258"/>
        <v>0</v>
      </c>
      <c r="BM198" s="181"/>
      <c r="BN198" s="175">
        <f t="shared" si="259"/>
        <v>0</v>
      </c>
      <c r="BO198" s="175">
        <f t="shared" si="259"/>
        <v>0</v>
      </c>
      <c r="BP198" s="175">
        <f t="shared" si="259"/>
        <v>0</v>
      </c>
      <c r="BQ198" s="175">
        <f t="shared" si="259"/>
        <v>0</v>
      </c>
      <c r="BR198" s="175">
        <f t="shared" si="259"/>
        <v>0</v>
      </c>
      <c r="BS198" s="175">
        <f t="shared" si="259"/>
        <v>0</v>
      </c>
      <c r="BT198" s="175">
        <f t="shared" si="259"/>
        <v>0</v>
      </c>
      <c r="BU198" s="175">
        <f t="shared" si="259"/>
        <v>0</v>
      </c>
      <c r="BV198" s="175">
        <f t="shared" si="259"/>
        <v>0</v>
      </c>
      <c r="BW198" s="175">
        <f t="shared" si="259"/>
        <v>0</v>
      </c>
      <c r="BX198" s="175">
        <f t="shared" si="259"/>
        <v>0</v>
      </c>
      <c r="BY198" s="175">
        <f t="shared" si="259"/>
        <v>0</v>
      </c>
      <c r="BZ198" s="375">
        <f t="shared" si="259"/>
        <v>0</v>
      </c>
      <c r="CA198" s="175">
        <f t="shared" si="259"/>
        <v>0</v>
      </c>
      <c r="CB198" s="175">
        <f t="shared" si="259"/>
        <v>0</v>
      </c>
      <c r="CC198" s="175">
        <f t="shared" si="259"/>
        <v>0</v>
      </c>
      <c r="CD198" s="175">
        <f t="shared" si="259"/>
        <v>0</v>
      </c>
      <c r="CE198" s="181"/>
      <c r="CH198" s="175"/>
      <c r="CI198" s="175"/>
      <c r="CJ198" s="175">
        <f t="shared" si="260"/>
        <v>0</v>
      </c>
      <c r="CK198" s="175">
        <f t="shared" si="260"/>
        <v>0</v>
      </c>
      <c r="CL198" s="175">
        <f t="shared" si="260"/>
        <v>0</v>
      </c>
      <c r="CM198" s="175">
        <f t="shared" si="260"/>
        <v>0</v>
      </c>
      <c r="CN198" s="175">
        <f t="shared" si="260"/>
        <v>0</v>
      </c>
      <c r="CO198" s="175">
        <f t="shared" si="260"/>
        <v>0</v>
      </c>
      <c r="CP198" s="175">
        <f t="shared" si="260"/>
        <v>0</v>
      </c>
      <c r="CQ198" s="175">
        <f t="shared" si="260"/>
        <v>0</v>
      </c>
      <c r="CR198" s="175">
        <f t="shared" si="260"/>
        <v>0</v>
      </c>
      <c r="CS198" s="175">
        <f t="shared" si="260"/>
        <v>0</v>
      </c>
      <c r="CU198" s="175">
        <f t="shared" si="260"/>
        <v>0</v>
      </c>
      <c r="CV198" s="175">
        <f t="shared" si="260"/>
        <v>0</v>
      </c>
      <c r="CW198" s="175">
        <f t="shared" si="260"/>
        <v>0</v>
      </c>
    </row>
    <row r="199" spans="3:103" outlineLevel="1">
      <c r="C199" s="97" t="s">
        <v>586</v>
      </c>
      <c r="D199" s="284" t="s">
        <v>7</v>
      </c>
      <c r="F199" s="320" t="str">
        <f t="shared" si="248"/>
        <v>Industrial - FPU</v>
      </c>
      <c r="G199" s="175">
        <f t="shared" si="256"/>
        <v>117734.45</v>
      </c>
      <c r="H199" s="175">
        <f t="shared" si="256"/>
        <v>101233.45</v>
      </c>
      <c r="I199" s="175">
        <f t="shared" si="256"/>
        <v>111063.45</v>
      </c>
      <c r="J199" s="175">
        <f t="shared" si="256"/>
        <v>113217.45</v>
      </c>
      <c r="K199" s="175">
        <f t="shared" si="256"/>
        <v>133798.41999999998</v>
      </c>
      <c r="L199" s="175">
        <f t="shared" si="256"/>
        <v>131705.69</v>
      </c>
      <c r="M199" s="175">
        <f t="shared" si="256"/>
        <v>134459.15999999997</v>
      </c>
      <c r="N199" s="175">
        <f t="shared" si="256"/>
        <v>109182.25</v>
      </c>
      <c r="O199" s="175">
        <f t="shared" si="256"/>
        <v>129394.29</v>
      </c>
      <c r="P199" s="175">
        <f t="shared" si="256"/>
        <v>130685.43999999999</v>
      </c>
      <c r="Q199" s="175">
        <f t="shared" si="256"/>
        <v>135941.21</v>
      </c>
      <c r="R199" s="175">
        <f t="shared" si="256"/>
        <v>242800.21</v>
      </c>
      <c r="S199" s="375">
        <f t="shared" ca="1" si="256"/>
        <v>1591215.4699999997</v>
      </c>
      <c r="T199" s="175">
        <f t="shared" si="256"/>
        <v>330031.34999999998</v>
      </c>
      <c r="U199" s="175">
        <f t="shared" si="256"/>
        <v>378721.56</v>
      </c>
      <c r="V199" s="175">
        <f t="shared" si="256"/>
        <v>373035.69999999995</v>
      </c>
      <c r="W199" s="175">
        <f t="shared" si="256"/>
        <v>509426.86</v>
      </c>
      <c r="X199" s="181"/>
      <c r="Y199" s="175">
        <f t="shared" si="257"/>
        <v>226644.40999999997</v>
      </c>
      <c r="Z199" s="175">
        <f t="shared" si="257"/>
        <v>219807.2</v>
      </c>
      <c r="AA199" s="175">
        <f t="shared" si="257"/>
        <v>228335.44</v>
      </c>
      <c r="AB199" s="175">
        <f t="shared" si="257"/>
        <v>215950.72999999998</v>
      </c>
      <c r="AC199" s="175">
        <f t="shared" si="257"/>
        <v>227612.25</v>
      </c>
      <c r="AD199" s="175">
        <f t="shared" si="257"/>
        <v>230673.13999999998</v>
      </c>
      <c r="AE199" s="175">
        <f t="shared" si="257"/>
        <v>229237.03</v>
      </c>
      <c r="AF199" s="175">
        <f t="shared" si="257"/>
        <v>231742.56</v>
      </c>
      <c r="AG199" s="175">
        <f t="shared" si="257"/>
        <v>231299.01</v>
      </c>
      <c r="AH199" s="175">
        <f t="shared" si="257"/>
        <v>240917.29</v>
      </c>
      <c r="AI199" s="175">
        <f t="shared" si="257"/>
        <v>237873.12</v>
      </c>
      <c r="AJ199" s="175">
        <f t="shared" si="257"/>
        <v>240521.74</v>
      </c>
      <c r="AK199" s="456">
        <f t="shared" ca="1" si="257"/>
        <v>2760613.92</v>
      </c>
      <c r="AL199" s="375">
        <f ca="1">AK195+AK197+AK199</f>
        <v>46009314.349999852</v>
      </c>
      <c r="AM199" s="375"/>
      <c r="AN199" s="375"/>
      <c r="AO199" s="375"/>
      <c r="AP199" s="375"/>
      <c r="AQ199" s="175">
        <f t="shared" si="257"/>
        <v>674787.05</v>
      </c>
      <c r="AR199" s="175">
        <f t="shared" si="257"/>
        <v>674236.12</v>
      </c>
      <c r="AS199" s="175">
        <f t="shared" si="257"/>
        <v>692278.6</v>
      </c>
      <c r="AT199" s="175">
        <f t="shared" si="257"/>
        <v>719312.14999999991</v>
      </c>
      <c r="AU199" s="181"/>
      <c r="AV199" s="175">
        <f t="shared" si="258"/>
        <v>210286.41999999998</v>
      </c>
      <c r="AW199" s="175">
        <f t="shared" si="258"/>
        <v>186523.41999999998</v>
      </c>
      <c r="AX199" s="175">
        <f t="shared" si="258"/>
        <v>205615.41999999998</v>
      </c>
      <c r="AY199" s="175">
        <f t="shared" si="258"/>
        <v>204682.41999999998</v>
      </c>
      <c r="AZ199" s="175">
        <f t="shared" si="258"/>
        <v>228381.74934900389</v>
      </c>
      <c r="BA199" s="175">
        <f t="shared" si="258"/>
        <v>223202.01934900388</v>
      </c>
      <c r="BB199" s="175">
        <f t="shared" si="258"/>
        <v>197204.53934900387</v>
      </c>
      <c r="BC199" s="175">
        <f t="shared" si="258"/>
        <v>205471.09934900387</v>
      </c>
      <c r="BD199" s="175">
        <f t="shared" si="258"/>
        <v>197016.74934900389</v>
      </c>
      <c r="BE199" s="175">
        <f t="shared" si="258"/>
        <v>210384.74934900389</v>
      </c>
      <c r="BF199" s="175">
        <f t="shared" si="258"/>
        <v>210365.74934900389</v>
      </c>
      <c r="BG199" s="175">
        <f t="shared" si="258"/>
        <v>216347.74934900389</v>
      </c>
      <c r="BH199" s="375">
        <f t="shared" ca="1" si="258"/>
        <v>2495482.084792031</v>
      </c>
      <c r="BI199" s="175">
        <f t="shared" si="258"/>
        <v>602425.26</v>
      </c>
      <c r="BJ199" s="175">
        <f t="shared" si="258"/>
        <v>656266.18869800773</v>
      </c>
      <c r="BK199" s="175">
        <f t="shared" si="258"/>
        <v>599692.38804701157</v>
      </c>
      <c r="BL199" s="175">
        <f t="shared" si="258"/>
        <v>637098.24804701167</v>
      </c>
      <c r="BM199" s="181"/>
      <c r="BN199" s="175">
        <f t="shared" si="259"/>
        <v>0</v>
      </c>
      <c r="BO199" s="175">
        <f t="shared" si="259"/>
        <v>0</v>
      </c>
      <c r="BP199" s="175">
        <f t="shared" si="259"/>
        <v>223689.77133333334</v>
      </c>
      <c r="BQ199" s="175">
        <f t="shared" si="259"/>
        <v>223470.70666666667</v>
      </c>
      <c r="BR199" s="175">
        <f t="shared" si="259"/>
        <v>218917.7626823372</v>
      </c>
      <c r="BS199" s="175">
        <f t="shared" si="259"/>
        <v>219389.59650000001</v>
      </c>
      <c r="BT199" s="175">
        <f t="shared" si="259"/>
        <v>224592.49904999998</v>
      </c>
      <c r="BU199" s="175">
        <f t="shared" si="259"/>
        <v>219302.87229500001</v>
      </c>
      <c r="BV199" s="175">
        <f t="shared" si="259"/>
        <v>225063.08049999998</v>
      </c>
      <c r="BW199" s="175">
        <f t="shared" si="259"/>
        <v>233084.229154</v>
      </c>
      <c r="BX199" s="175">
        <f t="shared" si="259"/>
        <v>239394.73392</v>
      </c>
      <c r="BY199" s="175">
        <f t="shared" si="259"/>
        <v>242065.72688</v>
      </c>
      <c r="BZ199" s="375">
        <f t="shared" ca="1" si="259"/>
        <v>2268970.978981337</v>
      </c>
      <c r="CA199" s="175">
        <f t="shared" si="259"/>
        <v>223689.77133333334</v>
      </c>
      <c r="CB199" s="175">
        <f t="shared" si="259"/>
        <v>661778.06584900385</v>
      </c>
      <c r="CC199" s="175">
        <f t="shared" si="259"/>
        <v>668958.45184500003</v>
      </c>
      <c r="CD199" s="175">
        <f t="shared" si="259"/>
        <v>714544.68995399994</v>
      </c>
      <c r="CE199" s="181"/>
      <c r="CH199" s="175"/>
      <c r="CI199" s="175"/>
      <c r="CJ199" s="175">
        <f t="shared" si="260"/>
        <v>4645.6686666666737</v>
      </c>
      <c r="CK199" s="175">
        <f t="shared" si="260"/>
        <v>-7519.9766666666683</v>
      </c>
      <c r="CL199" s="175">
        <f t="shared" si="260"/>
        <v>8694.4873176627862</v>
      </c>
      <c r="CM199" s="175">
        <f t="shared" si="260"/>
        <v>11283.543499999996</v>
      </c>
      <c r="CN199" s="175">
        <f t="shared" si="260"/>
        <v>4644.5309500000003</v>
      </c>
      <c r="CO199" s="175">
        <f t="shared" si="260"/>
        <v>12439.687704999998</v>
      </c>
      <c r="CP199" s="175">
        <f t="shared" si="260"/>
        <v>6235.9295000000056</v>
      </c>
      <c r="CQ199" s="175">
        <f t="shared" si="260"/>
        <v>7833.0608460000067</v>
      </c>
      <c r="CR199" s="175">
        <f t="shared" si="260"/>
        <v>0</v>
      </c>
      <c r="CS199" s="175">
        <f t="shared" si="260"/>
        <v>0</v>
      </c>
      <c r="CU199" s="175">
        <f t="shared" si="260"/>
        <v>2721242.7682990003</v>
      </c>
      <c r="CV199" s="175" t="e">
        <f t="shared" si="260"/>
        <v>#VALUE!</v>
      </c>
      <c r="CW199" s="175">
        <f t="shared" si="260"/>
        <v>2495482.084792031</v>
      </c>
    </row>
    <row r="200" spans="3:103" outlineLevel="1">
      <c r="C200" s="97" t="s">
        <v>9</v>
      </c>
      <c r="D200" s="284" t="s">
        <v>7</v>
      </c>
      <c r="F200" s="320" t="str">
        <f t="shared" si="248"/>
        <v>Miscellaneous Revenues - FPU</v>
      </c>
      <c r="G200" s="175">
        <f t="shared" si="256"/>
        <v>909633</v>
      </c>
      <c r="H200" s="175">
        <f t="shared" si="256"/>
        <v>981435</v>
      </c>
      <c r="I200" s="175">
        <f t="shared" si="256"/>
        <v>1142815</v>
      </c>
      <c r="J200" s="175">
        <f t="shared" si="256"/>
        <v>729008</v>
      </c>
      <c r="K200" s="175">
        <f t="shared" si="256"/>
        <v>847503</v>
      </c>
      <c r="L200" s="175">
        <f t="shared" si="256"/>
        <v>950116.01</v>
      </c>
      <c r="M200" s="175">
        <f t="shared" si="256"/>
        <v>824536.34999999986</v>
      </c>
      <c r="N200" s="175">
        <f t="shared" si="256"/>
        <v>1001134.0599999999</v>
      </c>
      <c r="O200" s="175">
        <f t="shared" si="256"/>
        <v>1080996.04</v>
      </c>
      <c r="P200" s="175">
        <f t="shared" si="256"/>
        <v>1171823.81</v>
      </c>
      <c r="Q200" s="175">
        <f t="shared" si="256"/>
        <v>1150763.44</v>
      </c>
      <c r="R200" s="175">
        <f t="shared" si="256"/>
        <v>1292375.92</v>
      </c>
      <c r="S200" s="375">
        <f t="shared" ca="1" si="256"/>
        <v>12082139.629999999</v>
      </c>
      <c r="T200" s="175">
        <f t="shared" si="256"/>
        <v>3033883</v>
      </c>
      <c r="U200" s="175">
        <f t="shared" si="256"/>
        <v>2526627.0100000002</v>
      </c>
      <c r="V200" s="175">
        <f t="shared" si="256"/>
        <v>2906666.4499999993</v>
      </c>
      <c r="W200" s="175">
        <f t="shared" si="256"/>
        <v>3614963.17</v>
      </c>
      <c r="X200" s="181"/>
      <c r="Y200" s="175">
        <f t="shared" si="257"/>
        <v>1011842.6699999997</v>
      </c>
      <c r="Z200" s="175">
        <f t="shared" si="257"/>
        <v>1127023.8300000003</v>
      </c>
      <c r="AA200" s="175">
        <f t="shared" si="257"/>
        <v>1167202.43</v>
      </c>
      <c r="AB200" s="175">
        <f t="shared" si="257"/>
        <v>1375114.8900000001</v>
      </c>
      <c r="AC200" s="175">
        <f t="shared" si="257"/>
        <v>1146478.3199999998</v>
      </c>
      <c r="AD200" s="175">
        <f t="shared" si="257"/>
        <v>1151288.55</v>
      </c>
      <c r="AE200" s="175">
        <f t="shared" si="257"/>
        <v>1164359.43</v>
      </c>
      <c r="AF200" s="175">
        <f t="shared" si="257"/>
        <v>1328699.6499999999</v>
      </c>
      <c r="AG200" s="175">
        <f t="shared" si="257"/>
        <v>1007245.3399999999</v>
      </c>
      <c r="AH200" s="175">
        <f t="shared" si="257"/>
        <v>1465350.82</v>
      </c>
      <c r="AI200" s="175">
        <f t="shared" si="257"/>
        <v>1523974.99</v>
      </c>
      <c r="AJ200" s="175">
        <f t="shared" si="257"/>
        <v>1291910.3400000047</v>
      </c>
      <c r="AK200" s="375">
        <f t="shared" ca="1" si="257"/>
        <v>14760491.260000004</v>
      </c>
      <c r="AL200" s="375"/>
      <c r="AM200" s="375"/>
      <c r="AN200" s="375"/>
      <c r="AO200" s="375"/>
      <c r="AP200" s="375"/>
      <c r="AQ200" s="175">
        <f t="shared" si="257"/>
        <v>3306068.9299999997</v>
      </c>
      <c r="AR200" s="175">
        <f t="shared" si="257"/>
        <v>3672881.7600000002</v>
      </c>
      <c r="AS200" s="175">
        <f t="shared" si="257"/>
        <v>3500304.42</v>
      </c>
      <c r="AT200" s="175">
        <f t="shared" si="257"/>
        <v>4281236.1500000041</v>
      </c>
      <c r="AU200" s="181"/>
      <c r="AV200" s="175">
        <f t="shared" si="258"/>
        <v>1081153.7727046597</v>
      </c>
      <c r="AW200" s="175">
        <f t="shared" si="258"/>
        <v>1062535.0684741042</v>
      </c>
      <c r="AX200" s="175">
        <f t="shared" si="258"/>
        <v>1314886.6466435485</v>
      </c>
      <c r="AY200" s="175">
        <f t="shared" si="258"/>
        <v>1069915.6546046594</v>
      </c>
      <c r="AZ200" s="175">
        <f t="shared" si="258"/>
        <v>1120903.2599657706</v>
      </c>
      <c r="BA200" s="175">
        <f t="shared" si="258"/>
        <v>1222105.6088997214</v>
      </c>
      <c r="BB200" s="175">
        <f t="shared" si="258"/>
        <v>1228766.4342665938</v>
      </c>
      <c r="BC200" s="175">
        <f t="shared" si="258"/>
        <v>1272188.7120588776</v>
      </c>
      <c r="BD200" s="175">
        <f t="shared" si="258"/>
        <v>1224585.4112635073</v>
      </c>
      <c r="BE200" s="175">
        <f t="shared" si="258"/>
        <v>1360029.4398845977</v>
      </c>
      <c r="BF200" s="175">
        <f t="shared" si="258"/>
        <v>1401014.6520010587</v>
      </c>
      <c r="BG200" s="175">
        <f t="shared" si="258"/>
        <v>1439095.3026080548</v>
      </c>
      <c r="BH200" s="375">
        <f t="shared" ca="1" si="258"/>
        <v>14797179.963375151</v>
      </c>
      <c r="BI200" s="175">
        <f t="shared" si="258"/>
        <v>3458575.4878223124</v>
      </c>
      <c r="BJ200" s="175">
        <f t="shared" si="258"/>
        <v>3412924.5234701512</v>
      </c>
      <c r="BK200" s="175">
        <f t="shared" si="258"/>
        <v>3725540.5575889787</v>
      </c>
      <c r="BL200" s="175">
        <f t="shared" si="258"/>
        <v>4200139.3944937102</v>
      </c>
      <c r="BM200" s="181"/>
      <c r="BN200" s="175">
        <f t="shared" si="259"/>
        <v>0</v>
      </c>
      <c r="BO200" s="175">
        <f t="shared" si="259"/>
        <v>0</v>
      </c>
      <c r="BP200" s="175">
        <f t="shared" si="259"/>
        <v>1235939.3606708925</v>
      </c>
      <c r="BQ200" s="175">
        <f t="shared" si="259"/>
        <v>1116411.5930904308</v>
      </c>
      <c r="BR200" s="175">
        <f t="shared" si="259"/>
        <v>1138174.5491352938</v>
      </c>
      <c r="BS200" s="175">
        <f t="shared" si="259"/>
        <v>1136148.50314143</v>
      </c>
      <c r="BT200" s="175">
        <f t="shared" si="259"/>
        <v>1200073.1897807762</v>
      </c>
      <c r="BU200" s="175">
        <f t="shared" si="259"/>
        <v>1242285.3574040625</v>
      </c>
      <c r="BV200" s="175">
        <f t="shared" si="259"/>
        <v>1258109.3121331967</v>
      </c>
      <c r="BW200" s="175">
        <f t="shared" si="259"/>
        <v>1308003.0550044177</v>
      </c>
      <c r="BX200" s="175">
        <f t="shared" si="259"/>
        <v>1284902.5542812671</v>
      </c>
      <c r="BY200" s="175">
        <f t="shared" si="259"/>
        <v>1254191.7896135245</v>
      </c>
      <c r="BZ200" s="375">
        <f t="shared" ca="1" si="259"/>
        <v>12174239.264255293</v>
      </c>
      <c r="CA200" s="175">
        <f t="shared" si="259"/>
        <v>1235939.3606708925</v>
      </c>
      <c r="CB200" s="175">
        <f t="shared" si="259"/>
        <v>3390734.6453671549</v>
      </c>
      <c r="CC200" s="175">
        <f t="shared" si="259"/>
        <v>3700467.8593180352</v>
      </c>
      <c r="CD200" s="175">
        <f t="shared" si="259"/>
        <v>3847097.3988992088</v>
      </c>
      <c r="CE200" s="181"/>
      <c r="CH200" s="175"/>
      <c r="CI200" s="175"/>
      <c r="CJ200" s="175">
        <f t="shared" si="260"/>
        <v>-68736.930670892689</v>
      </c>
      <c r="CK200" s="175">
        <f t="shared" si="260"/>
        <v>258703.29690956927</v>
      </c>
      <c r="CL200" s="175">
        <f t="shared" si="260"/>
        <v>8303.770864705848</v>
      </c>
      <c r="CM200" s="175">
        <f t="shared" si="260"/>
        <v>15140.046858569924</v>
      </c>
      <c r="CN200" s="175">
        <f t="shared" si="260"/>
        <v>-35713.75978077609</v>
      </c>
      <c r="CO200" s="175">
        <f t="shared" si="260"/>
        <v>86414.292595937324</v>
      </c>
      <c r="CP200" s="175">
        <f t="shared" si="260"/>
        <v>-250863.97213319672</v>
      </c>
      <c r="CQ200" s="175">
        <f t="shared" si="260"/>
        <v>157347.76499558214</v>
      </c>
      <c r="CR200" s="175">
        <f t="shared" si="260"/>
        <v>0</v>
      </c>
      <c r="CS200" s="175">
        <f t="shared" si="260"/>
        <v>0</v>
      </c>
      <c r="CU200" s="175">
        <f t="shared" si="260"/>
        <v>14511375.901358675</v>
      </c>
      <c r="CV200" s="175">
        <f t="shared" si="260"/>
        <v>14826121.158421723</v>
      </c>
      <c r="CW200" s="175">
        <f t="shared" si="260"/>
        <v>14797179.963375151</v>
      </c>
    </row>
    <row r="201" spans="3:103" outlineLevel="1">
      <c r="C201" s="97" t="s">
        <v>620</v>
      </c>
      <c r="D201" s="284" t="s">
        <v>7</v>
      </c>
      <c r="F201" s="320" t="str">
        <f t="shared" si="248"/>
        <v>COGS - FPU</v>
      </c>
      <c r="G201" s="175">
        <f t="shared" si="256"/>
        <v>47470</v>
      </c>
      <c r="H201" s="175">
        <f t="shared" si="256"/>
        <v>44948</v>
      </c>
      <c r="I201" s="175">
        <f t="shared" si="256"/>
        <v>42566</v>
      </c>
      <c r="J201" s="175">
        <f t="shared" si="256"/>
        <v>34180</v>
      </c>
      <c r="K201" s="175">
        <f t="shared" si="256"/>
        <v>33887</v>
      </c>
      <c r="L201" s="175">
        <f t="shared" si="256"/>
        <v>31557.08</v>
      </c>
      <c r="M201" s="175">
        <f t="shared" si="256"/>
        <v>31076.07</v>
      </c>
      <c r="N201" s="175">
        <f t="shared" si="256"/>
        <v>30663</v>
      </c>
      <c r="O201" s="175">
        <f t="shared" si="256"/>
        <v>31691</v>
      </c>
      <c r="P201" s="175">
        <f t="shared" si="256"/>
        <v>33540.400000000001</v>
      </c>
      <c r="Q201" s="175">
        <f t="shared" si="256"/>
        <v>38533.78</v>
      </c>
      <c r="R201" s="175">
        <f t="shared" si="256"/>
        <v>49153</v>
      </c>
      <c r="S201" s="375">
        <f t="shared" ca="1" si="256"/>
        <v>449265.33000000007</v>
      </c>
      <c r="T201" s="175">
        <f t="shared" si="256"/>
        <v>134984</v>
      </c>
      <c r="U201" s="175">
        <f t="shared" si="256"/>
        <v>99624.08</v>
      </c>
      <c r="V201" s="175">
        <f t="shared" si="256"/>
        <v>93430.07</v>
      </c>
      <c r="W201" s="175">
        <f t="shared" si="256"/>
        <v>121227.18</v>
      </c>
      <c r="X201" s="181"/>
      <c r="Y201" s="175">
        <f t="shared" si="257"/>
        <v>56404</v>
      </c>
      <c r="Z201" s="175">
        <f t="shared" si="257"/>
        <v>49172</v>
      </c>
      <c r="AA201" s="175">
        <f t="shared" si="257"/>
        <v>46856</v>
      </c>
      <c r="AB201" s="175">
        <f t="shared" si="257"/>
        <v>48246</v>
      </c>
      <c r="AC201" s="175">
        <f t="shared" si="257"/>
        <v>42109</v>
      </c>
      <c r="AD201" s="175">
        <f t="shared" si="257"/>
        <v>36848</v>
      </c>
      <c r="AE201" s="175">
        <f t="shared" si="257"/>
        <v>36763</v>
      </c>
      <c r="AF201" s="175">
        <f t="shared" si="257"/>
        <v>35131</v>
      </c>
      <c r="AG201" s="175">
        <f t="shared" si="257"/>
        <v>36132</v>
      </c>
      <c r="AH201" s="175">
        <f t="shared" si="257"/>
        <v>37545</v>
      </c>
      <c r="AI201" s="175">
        <f t="shared" si="257"/>
        <v>41265</v>
      </c>
      <c r="AJ201" s="175">
        <f t="shared" si="257"/>
        <v>47279.35</v>
      </c>
      <c r="AK201" s="375">
        <f t="shared" ca="1" si="257"/>
        <v>513750.35</v>
      </c>
      <c r="AL201" s="375"/>
      <c r="AM201" s="375"/>
      <c r="AN201" s="375"/>
      <c r="AO201" s="375"/>
      <c r="AP201" s="375"/>
      <c r="AQ201" s="175">
        <f t="shared" si="257"/>
        <v>152432</v>
      </c>
      <c r="AR201" s="175">
        <f t="shared" si="257"/>
        <v>127203</v>
      </c>
      <c r="AS201" s="175">
        <f t="shared" si="257"/>
        <v>108026</v>
      </c>
      <c r="AT201" s="175">
        <f t="shared" si="257"/>
        <v>126089.35</v>
      </c>
      <c r="AU201" s="181"/>
      <c r="AV201" s="175">
        <f t="shared" si="258"/>
        <v>36334.666666666664</v>
      </c>
      <c r="AW201" s="175">
        <f t="shared" si="258"/>
        <v>36334.666666666664</v>
      </c>
      <c r="AX201" s="175">
        <f t="shared" si="258"/>
        <v>36334.666666666664</v>
      </c>
      <c r="AY201" s="175">
        <f t="shared" si="258"/>
        <v>36334.666666666664</v>
      </c>
      <c r="AZ201" s="175">
        <f t="shared" si="258"/>
        <v>36334.666666666664</v>
      </c>
      <c r="BA201" s="175">
        <f t="shared" si="258"/>
        <v>36334.666666666664</v>
      </c>
      <c r="BB201" s="175">
        <f t="shared" si="258"/>
        <v>36334.666666666664</v>
      </c>
      <c r="BC201" s="175">
        <f t="shared" si="258"/>
        <v>36334.666666666664</v>
      </c>
      <c r="BD201" s="175">
        <f t="shared" si="258"/>
        <v>36334.666666666664</v>
      </c>
      <c r="BE201" s="175">
        <f t="shared" si="258"/>
        <v>36334.666666666664</v>
      </c>
      <c r="BF201" s="175">
        <f t="shared" si="258"/>
        <v>36334.666666666664</v>
      </c>
      <c r="BG201" s="175">
        <f t="shared" si="258"/>
        <v>36334.666666666664</v>
      </c>
      <c r="BH201" s="375">
        <f t="shared" ca="1" si="258"/>
        <v>436016.00000000006</v>
      </c>
      <c r="BI201" s="175">
        <f t="shared" si="258"/>
        <v>109004</v>
      </c>
      <c r="BJ201" s="175">
        <f t="shared" si="258"/>
        <v>109004</v>
      </c>
      <c r="BK201" s="175">
        <f t="shared" si="258"/>
        <v>109004</v>
      </c>
      <c r="BL201" s="175">
        <f t="shared" si="258"/>
        <v>109004</v>
      </c>
      <c r="BM201" s="181"/>
      <c r="BN201" s="175">
        <f t="shared" si="259"/>
        <v>0</v>
      </c>
      <c r="BO201" s="175">
        <f t="shared" si="259"/>
        <v>0</v>
      </c>
      <c r="BP201" s="175">
        <f t="shared" si="259"/>
        <v>43750.135400236708</v>
      </c>
      <c r="BQ201" s="175">
        <f t="shared" si="259"/>
        <v>37949.508781558601</v>
      </c>
      <c r="BR201" s="175">
        <f t="shared" si="259"/>
        <v>35622.498040195722</v>
      </c>
      <c r="BS201" s="175">
        <f t="shared" si="259"/>
        <v>33558.645143160924</v>
      </c>
      <c r="BT201" s="175">
        <f t="shared" si="259"/>
        <v>31450.481129057276</v>
      </c>
      <c r="BU201" s="175">
        <f t="shared" si="259"/>
        <v>31984.846587061897</v>
      </c>
      <c r="BV201" s="175">
        <f t="shared" si="259"/>
        <v>33490.63310670037</v>
      </c>
      <c r="BW201" s="175">
        <f t="shared" si="259"/>
        <v>34696.440893043378</v>
      </c>
      <c r="BX201" s="175">
        <f t="shared" si="259"/>
        <v>40245.10564563331</v>
      </c>
      <c r="BY201" s="175">
        <f t="shared" si="259"/>
        <v>50162.549226694777</v>
      </c>
      <c r="BZ201" s="375">
        <f t="shared" ca="1" si="259"/>
        <v>372910.84395334293</v>
      </c>
      <c r="CA201" s="175">
        <f t="shared" si="259"/>
        <v>43750.135400236708</v>
      </c>
      <c r="CB201" s="175">
        <f t="shared" si="259"/>
        <v>107130.65196491525</v>
      </c>
      <c r="CC201" s="175">
        <f t="shared" si="259"/>
        <v>96925.960822819543</v>
      </c>
      <c r="CD201" s="175">
        <f t="shared" si="259"/>
        <v>125104.09576537146</v>
      </c>
      <c r="CE201" s="181"/>
      <c r="CH201" s="175"/>
      <c r="CI201" s="175"/>
      <c r="CJ201" s="175">
        <f t="shared" si="260"/>
        <v>3105.8645997632921</v>
      </c>
      <c r="CK201" s="175">
        <f t="shared" si="260"/>
        <v>10296.491218441399</v>
      </c>
      <c r="CL201" s="175">
        <f t="shared" si="260"/>
        <v>6486.5019598042782</v>
      </c>
      <c r="CM201" s="175">
        <f t="shared" si="260"/>
        <v>3289.3548568390761</v>
      </c>
      <c r="CN201" s="175">
        <f t="shared" si="260"/>
        <v>5312.5188709427239</v>
      </c>
      <c r="CO201" s="175">
        <f t="shared" si="260"/>
        <v>3146.1534129381034</v>
      </c>
      <c r="CP201" s="175">
        <f t="shared" si="260"/>
        <v>2641.3668932996297</v>
      </c>
      <c r="CQ201" s="175">
        <f t="shared" si="260"/>
        <v>2848.5591069566217</v>
      </c>
      <c r="CR201" s="175">
        <f t="shared" si="260"/>
        <v>0</v>
      </c>
      <c r="CS201" s="175">
        <f t="shared" si="260"/>
        <v>0</v>
      </c>
      <c r="CU201" s="175">
        <f t="shared" si="260"/>
        <v>498375.7017313519</v>
      </c>
      <c r="CV201" s="175">
        <f t="shared" si="260"/>
        <v>510123.72887207184</v>
      </c>
      <c r="CW201" s="175">
        <f t="shared" si="260"/>
        <v>436016.00000000006</v>
      </c>
    </row>
    <row r="202" spans="3:103">
      <c r="C202" s="250" t="s">
        <v>214</v>
      </c>
      <c r="D202" s="284" t="s">
        <v>7</v>
      </c>
      <c r="F202" s="293" t="str">
        <f t="shared" si="248"/>
        <v>TOTAL - FPU</v>
      </c>
      <c r="G202" s="375">
        <f t="shared" ref="G202:W202" si="261">SUM(G195:G200)-G201</f>
        <v>5203803.6999999918</v>
      </c>
      <c r="H202" s="375">
        <f t="shared" si="261"/>
        <v>5008047.890000008</v>
      </c>
      <c r="I202" s="375">
        <f t="shared" si="261"/>
        <v>4981464.9299999774</v>
      </c>
      <c r="J202" s="375">
        <f t="shared" si="261"/>
        <v>4061846.0299999653</v>
      </c>
      <c r="K202" s="375">
        <f t="shared" si="261"/>
        <v>4122921.1499999799</v>
      </c>
      <c r="L202" s="375">
        <f t="shared" si="261"/>
        <v>4081439.7699999968</v>
      </c>
      <c r="M202" s="375">
        <f t="shared" si="261"/>
        <v>3999720.7400000035</v>
      </c>
      <c r="N202" s="375">
        <f t="shared" si="261"/>
        <v>4065037.6199999973</v>
      </c>
      <c r="O202" s="375">
        <f t="shared" si="261"/>
        <v>4156491.0699999956</v>
      </c>
      <c r="P202" s="375">
        <f t="shared" si="261"/>
        <v>4334933.1400000006</v>
      </c>
      <c r="Q202" s="375">
        <f t="shared" si="261"/>
        <v>4615642.0999999857</v>
      </c>
      <c r="R202" s="375">
        <f t="shared" si="261"/>
        <v>5436864.8999999771</v>
      </c>
      <c r="S202" s="375">
        <f t="shared" ca="1" si="261"/>
        <v>54068213.039999872</v>
      </c>
      <c r="T202" s="375">
        <f t="shared" si="261"/>
        <v>15193316.519999979</v>
      </c>
      <c r="U202" s="375">
        <f t="shared" si="261"/>
        <v>12266206.949999942</v>
      </c>
      <c r="V202" s="375">
        <f t="shared" si="261"/>
        <v>12221249.429999994</v>
      </c>
      <c r="W202" s="375">
        <f t="shared" si="261"/>
        <v>14387440.139999961</v>
      </c>
      <c r="X202" s="181"/>
      <c r="Y202" s="375">
        <f t="shared" ref="Y202:AT202" si="262">SUM(Y195:Y200)-Y201</f>
        <v>5665216.5899999896</v>
      </c>
      <c r="Z202" s="375">
        <f t="shared" si="262"/>
        <v>5277436.9799999846</v>
      </c>
      <c r="AA202" s="375">
        <f t="shared" si="262"/>
        <v>5194102.4799999734</v>
      </c>
      <c r="AB202" s="375">
        <f t="shared" si="262"/>
        <v>5366764.6299999841</v>
      </c>
      <c r="AC202" s="375">
        <f t="shared" si="262"/>
        <v>4825437.2799999919</v>
      </c>
      <c r="AD202" s="375">
        <f t="shared" si="262"/>
        <v>4566924.0199999902</v>
      </c>
      <c r="AE202" s="375">
        <f t="shared" si="262"/>
        <v>4632327.5399999954</v>
      </c>
      <c r="AF202" s="375">
        <f t="shared" si="262"/>
        <v>4621720.2499999888</v>
      </c>
      <c r="AG202" s="375">
        <f t="shared" si="262"/>
        <v>4428068.6599999908</v>
      </c>
      <c r="AH202" s="375">
        <f t="shared" si="262"/>
        <v>4937910.3899999857</v>
      </c>
      <c r="AI202" s="375">
        <f t="shared" si="262"/>
        <v>5280056.3999999911</v>
      </c>
      <c r="AJ202" s="375">
        <f t="shared" si="262"/>
        <v>5460090.0399999963</v>
      </c>
      <c r="AK202" s="375">
        <f t="shared" ca="1" si="262"/>
        <v>60256055.259999856</v>
      </c>
      <c r="AL202" s="375">
        <v>58319282.020000003</v>
      </c>
      <c r="AM202" s="375">
        <f ca="1">AL202-AK202</f>
        <v>-1936773.2399998531</v>
      </c>
      <c r="AN202" s="375"/>
      <c r="AO202" s="375"/>
      <c r="AP202" s="375"/>
      <c r="AQ202" s="375">
        <f t="shared" si="262"/>
        <v>16136756.049999949</v>
      </c>
      <c r="AR202" s="375">
        <f t="shared" si="262"/>
        <v>14759125.929999966</v>
      </c>
      <c r="AS202" s="375">
        <f t="shared" si="262"/>
        <v>13682116.449999977</v>
      </c>
      <c r="AT202" s="375">
        <f t="shared" si="262"/>
        <v>15678056.829999972</v>
      </c>
      <c r="AU202" s="181"/>
      <c r="AV202" s="375">
        <f t="shared" ref="AV202:BL202" si="263">SUM(AV195:AV200)-AV201</f>
        <v>5726063.5884645395</v>
      </c>
      <c r="AW202" s="375">
        <f t="shared" si="263"/>
        <v>5256220.3736017821</v>
      </c>
      <c r="AX202" s="375">
        <f t="shared" si="263"/>
        <v>5293044.1428711042</v>
      </c>
      <c r="AY202" s="375">
        <f t="shared" si="263"/>
        <v>4859784.3582676928</v>
      </c>
      <c r="AZ202" s="375">
        <f t="shared" si="263"/>
        <v>4637853.3677158933</v>
      </c>
      <c r="BA202" s="375">
        <f t="shared" si="263"/>
        <v>4615042.9650531178</v>
      </c>
      <c r="BB202" s="375">
        <f t="shared" si="263"/>
        <v>4478775.0286254017</v>
      </c>
      <c r="BC202" s="375">
        <f t="shared" si="263"/>
        <v>4565262.5595016489</v>
      </c>
      <c r="BD202" s="375">
        <f t="shared" si="263"/>
        <v>4506443.2951936657</v>
      </c>
      <c r="BE202" s="375">
        <f t="shared" si="263"/>
        <v>4695210.9451462999</v>
      </c>
      <c r="BF202" s="375">
        <f t="shared" si="263"/>
        <v>5135915.4573655333</v>
      </c>
      <c r="BG202" s="375">
        <f t="shared" si="263"/>
        <v>5729946.8605484199</v>
      </c>
      <c r="BH202" s="375">
        <f t="shared" ca="1" si="263"/>
        <v>59499562.942355111</v>
      </c>
      <c r="BI202" s="375">
        <f t="shared" si="263"/>
        <v>16275328.104937429</v>
      </c>
      <c r="BJ202" s="375">
        <f t="shared" si="263"/>
        <v>14112680.691036705</v>
      </c>
      <c r="BK202" s="375">
        <f t="shared" si="263"/>
        <v>13550480.883320715</v>
      </c>
      <c r="BL202" s="375">
        <f t="shared" si="263"/>
        <v>15561073.263060253</v>
      </c>
      <c r="BM202" s="181"/>
      <c r="BN202" s="375">
        <f>SUM(BN195:BN200)-BN201</f>
        <v>0</v>
      </c>
      <c r="BO202" s="375">
        <f>SUM(BO195:BO200)-BO201</f>
        <v>0</v>
      </c>
      <c r="BP202" s="375">
        <f>SUM(BP195:BP200)-BP201</f>
        <v>5071785.5048583494</v>
      </c>
      <c r="BQ202" s="375">
        <f t="shared" ref="BQ202:CD202" si="264">SUM(BQ195:BQ200)-BQ201</f>
        <v>4949196.0155014694</v>
      </c>
      <c r="BR202" s="375">
        <f t="shared" si="264"/>
        <v>4673325.0713619674</v>
      </c>
      <c r="BS202" s="375">
        <f t="shared" si="264"/>
        <v>4519392.2040214958</v>
      </c>
      <c r="BT202" s="375">
        <f t="shared" si="264"/>
        <v>4377212.7327531446</v>
      </c>
      <c r="BU202" s="375">
        <f t="shared" si="264"/>
        <v>4487471.1300791604</v>
      </c>
      <c r="BV202" s="375">
        <f t="shared" si="264"/>
        <v>4539915.2233541394</v>
      </c>
      <c r="BW202" s="375">
        <f t="shared" si="264"/>
        <v>4616747.0959673142</v>
      </c>
      <c r="BX202" s="375">
        <f t="shared" si="264"/>
        <v>5024360.8499829555</v>
      </c>
      <c r="BY202" s="375">
        <f t="shared" si="264"/>
        <v>5538700.793570416</v>
      </c>
      <c r="BZ202" s="375">
        <f t="shared" ca="1" si="264"/>
        <v>47798106.621450409</v>
      </c>
      <c r="CA202" s="375">
        <f t="shared" si="264"/>
        <v>5071785.5048583494</v>
      </c>
      <c r="CB202" s="375">
        <f t="shared" si="264"/>
        <v>14141913.290884933</v>
      </c>
      <c r="CC202" s="375">
        <f t="shared" si="264"/>
        <v>13404599.086186444</v>
      </c>
      <c r="CD202" s="375">
        <f t="shared" si="264"/>
        <v>15179808.739520686</v>
      </c>
      <c r="CE202" s="181"/>
      <c r="CH202" s="375"/>
      <c r="CI202" s="375"/>
      <c r="CJ202" s="375">
        <f t="shared" ref="CJ202:CS202" si="265">SUM(CJ195:CJ200)-CJ201</f>
        <v>122316.9751416239</v>
      </c>
      <c r="CK202" s="375">
        <f t="shared" si="265"/>
        <v>417568.61449851433</v>
      </c>
      <c r="CL202" s="375">
        <f t="shared" si="265"/>
        <v>152112.20863802591</v>
      </c>
      <c r="CM202" s="375">
        <f t="shared" si="265"/>
        <v>47531.815978494422</v>
      </c>
      <c r="CN202" s="375">
        <f t="shared" si="265"/>
        <v>255114.80724685054</v>
      </c>
      <c r="CO202" s="375">
        <f t="shared" si="265"/>
        <v>134249.1199208285</v>
      </c>
      <c r="CP202" s="375">
        <f t="shared" si="265"/>
        <v>-111846.56335414809</v>
      </c>
      <c r="CQ202" s="375">
        <f t="shared" si="265"/>
        <v>321163.2940326705</v>
      </c>
      <c r="CR202" s="375">
        <f t="shared" si="265"/>
        <v>0</v>
      </c>
      <c r="CS202" s="375">
        <f t="shared" si="265"/>
        <v>0</v>
      </c>
      <c r="CU202" s="375">
        <f>SUM(CU195:CU200)-CU201</f>
        <v>59432757.989728555</v>
      </c>
      <c r="CV202" s="375" t="e">
        <f>SUM(CV195:CV200)-CV201</f>
        <v>#VALUE!</v>
      </c>
      <c r="CW202" s="375">
        <f>SUM(CW195:CW200)-CW201</f>
        <v>59499562.942355111</v>
      </c>
    </row>
    <row r="203" spans="3:103">
      <c r="F203" s="97"/>
      <c r="X203" s="181"/>
      <c r="AU203" s="181"/>
      <c r="BM203" s="181"/>
      <c r="CE203" s="181"/>
    </row>
    <row r="204" spans="3:103" outlineLevel="1">
      <c r="C204" s="97" t="s">
        <v>0</v>
      </c>
      <c r="D204" s="284" t="s">
        <v>8</v>
      </c>
      <c r="F204" s="320" t="str">
        <f>CONCATENATE(C204, " - ",D204)</f>
        <v>Residential - CFG</v>
      </c>
      <c r="G204" s="175">
        <f t="shared" ref="G204:V210" si="266">SUMIFS(G$5:G$181,$C$5:$C$181,$C204,$D$5:$D$181,$D204)</f>
        <v>537400.3699999972</v>
      </c>
      <c r="H204" s="175">
        <f t="shared" si="266"/>
        <v>519571.81000000186</v>
      </c>
      <c r="I204" s="175">
        <f t="shared" si="266"/>
        <v>514825.13999999833</v>
      </c>
      <c r="J204" s="175">
        <f t="shared" si="266"/>
        <v>460098.20999999798</v>
      </c>
      <c r="K204" s="175">
        <f t="shared" si="266"/>
        <v>445049.15999999421</v>
      </c>
      <c r="L204" s="175">
        <f t="shared" si="266"/>
        <v>425810.06999999908</v>
      </c>
      <c r="M204" s="175">
        <f t="shared" si="266"/>
        <v>430285.01999999624</v>
      </c>
      <c r="N204" s="175">
        <f t="shared" si="266"/>
        <v>418948.3699999961</v>
      </c>
      <c r="O204" s="175">
        <f t="shared" si="266"/>
        <v>424473.55999999918</v>
      </c>
      <c r="P204" s="175">
        <f t="shared" si="266"/>
        <v>431760.5700000088</v>
      </c>
      <c r="Q204" s="175">
        <f t="shared" si="266"/>
        <v>460387.73000000365</v>
      </c>
      <c r="R204" s="175">
        <f t="shared" si="266"/>
        <v>555239.2400000029</v>
      </c>
      <c r="S204" s="375">
        <f t="shared" ca="1" si="266"/>
        <v>5623849.2499999963</v>
      </c>
      <c r="T204" s="175">
        <f t="shared" si="266"/>
        <v>1571797.3199999973</v>
      </c>
      <c r="U204" s="175">
        <f t="shared" si="266"/>
        <v>1330957.4399999911</v>
      </c>
      <c r="V204" s="175">
        <f t="shared" si="266"/>
        <v>1273706.9499999918</v>
      </c>
      <c r="W204" s="175">
        <f t="shared" ref="Q204:W210" si="267">SUMIFS(W$5:W$181,$C$5:$C$181,$C204,$D$5:$D$181,$D204)</f>
        <v>1447387.5400000152</v>
      </c>
      <c r="X204" s="181"/>
      <c r="Y204" s="175">
        <f t="shared" ref="Y204:AS210" si="268">SUMIFS(Y$5:Y$181,$C$5:$C$181,$C204,$D$5:$D$181,$D204)</f>
        <v>594341.56000000692</v>
      </c>
      <c r="Z204" s="175">
        <f t="shared" si="268"/>
        <v>527574.60000000591</v>
      </c>
      <c r="AA204" s="175">
        <f t="shared" si="268"/>
        <v>516843.78000001365</v>
      </c>
      <c r="AB204" s="175">
        <f t="shared" si="268"/>
        <v>527892.0199999992</v>
      </c>
      <c r="AC204" s="175">
        <f t="shared" si="268"/>
        <v>466926.98999999289</v>
      </c>
      <c r="AD204" s="175">
        <f t="shared" si="268"/>
        <v>456750.36000000132</v>
      </c>
      <c r="AE204" s="175">
        <f t="shared" si="268"/>
        <v>453803.6199999993</v>
      </c>
      <c r="AF204" s="175">
        <f t="shared" si="268"/>
        <v>439698.99000000377</v>
      </c>
      <c r="AG204" s="175">
        <f t="shared" si="268"/>
        <v>443550.29999999813</v>
      </c>
      <c r="AH204" s="175">
        <f t="shared" si="268"/>
        <v>450116.95999999804</v>
      </c>
      <c r="AI204" s="175">
        <f t="shared" si="268"/>
        <v>480226.2300000001</v>
      </c>
      <c r="AJ204" s="175">
        <f t="shared" si="268"/>
        <v>559552.61000000709</v>
      </c>
      <c r="AK204" s="375">
        <f t="shared" si="268"/>
        <v>5917278.0200000275</v>
      </c>
      <c r="AL204" s="375"/>
      <c r="AM204" s="375"/>
      <c r="AN204" s="375"/>
      <c r="AO204" s="375"/>
      <c r="AP204" s="375"/>
      <c r="AQ204" s="175">
        <f t="shared" si="268"/>
        <v>1638759.9400000267</v>
      </c>
      <c r="AR204" s="175">
        <f t="shared" si="268"/>
        <v>1451569.3699999934</v>
      </c>
      <c r="AS204" s="175">
        <f t="shared" si="268"/>
        <v>1337052.9100000008</v>
      </c>
      <c r="AT204" s="175">
        <f t="shared" ref="AI204:AT210" si="269">SUMIFS(AT$5:AT$181,$C$5:$C$181,$C204,$D$5:$D$181,$D204)</f>
        <v>1489895.8000000056</v>
      </c>
      <c r="AU204" s="181"/>
      <c r="AV204" s="175">
        <f t="shared" ref="AV204:BK210" si="270">SUMIFS(AV$5:AV$181,$C$5:$C$181,$C204,$D$5:$D$181,$D204)</f>
        <v>598808.39258454763</v>
      </c>
      <c r="AW204" s="175">
        <f t="shared" si="270"/>
        <v>541982.68889354111</v>
      </c>
      <c r="AX204" s="175">
        <f t="shared" si="270"/>
        <v>531062.49352305871</v>
      </c>
      <c r="AY204" s="175">
        <f t="shared" si="270"/>
        <v>525940.75657519221</v>
      </c>
      <c r="AZ204" s="175">
        <f t="shared" si="270"/>
        <v>475518.32052225451</v>
      </c>
      <c r="BA204" s="175">
        <f t="shared" si="270"/>
        <v>458474.59326499101</v>
      </c>
      <c r="BB204" s="175">
        <f t="shared" si="270"/>
        <v>443222.02688954066</v>
      </c>
      <c r="BC204" s="175">
        <f t="shared" si="270"/>
        <v>448361.59041255101</v>
      </c>
      <c r="BD204" s="175">
        <f t="shared" si="270"/>
        <v>448185.00366817287</v>
      </c>
      <c r="BE204" s="175">
        <f t="shared" si="270"/>
        <v>452626.78824983694</v>
      </c>
      <c r="BF204" s="175">
        <f t="shared" si="270"/>
        <v>500282.5056382881</v>
      </c>
      <c r="BG204" s="175">
        <f t="shared" si="270"/>
        <v>563075.39647664456</v>
      </c>
      <c r="BH204" s="375">
        <f t="shared" ca="1" si="270"/>
        <v>5987540.5566986203</v>
      </c>
      <c r="BI204" s="175">
        <f t="shared" si="270"/>
        <v>1671853.5750011473</v>
      </c>
      <c r="BJ204" s="175">
        <f t="shared" si="270"/>
        <v>1459933.6703624376</v>
      </c>
      <c r="BK204" s="175">
        <f t="shared" si="270"/>
        <v>1339768.6209702648</v>
      </c>
      <c r="BL204" s="175">
        <f t="shared" ref="BF204:BL210" si="271">SUMIFS(BL$5:BL$181,$C$5:$C$181,$C204,$D$5:$D$181,$D204)</f>
        <v>1515984.6903647697</v>
      </c>
      <c r="BM204" s="181"/>
      <c r="BN204" s="175">
        <f t="shared" ref="BN204:CC210" si="272">SUMIFS(BN$5:BN$181,$C$5:$C$181,$C204,$D$5:$D$181,$D204)</f>
        <v>0</v>
      </c>
      <c r="BO204" s="175">
        <f t="shared" si="272"/>
        <v>0</v>
      </c>
      <c r="BP204" s="175">
        <f t="shared" si="272"/>
        <v>530791.46421276825</v>
      </c>
      <c r="BQ204" s="175">
        <f t="shared" si="272"/>
        <v>525573.73336851085</v>
      </c>
      <c r="BR204" s="175">
        <f t="shared" si="272"/>
        <v>475294.85432057345</v>
      </c>
      <c r="BS204" s="175">
        <f t="shared" si="272"/>
        <v>447265.60991274641</v>
      </c>
      <c r="BT204" s="175">
        <f t="shared" si="272"/>
        <v>432410.77214961359</v>
      </c>
      <c r="BU204" s="175">
        <f t="shared" si="272"/>
        <v>437534.03880806995</v>
      </c>
      <c r="BV204" s="175">
        <f t="shared" si="272"/>
        <v>437362.77564866352</v>
      </c>
      <c r="BW204" s="175">
        <f t="shared" si="272"/>
        <v>440966.79032602761</v>
      </c>
      <c r="BX204" s="175">
        <f t="shared" si="272"/>
        <v>488464.16920518858</v>
      </c>
      <c r="BY204" s="175">
        <f t="shared" si="272"/>
        <v>549614.03465208411</v>
      </c>
      <c r="BZ204" s="375">
        <f t="shared" ca="1" si="272"/>
        <v>4765278.2426042473</v>
      </c>
      <c r="CA204" s="175">
        <f t="shared" si="272"/>
        <v>530791.46421276825</v>
      </c>
      <c r="CB204" s="175">
        <f t="shared" si="272"/>
        <v>1448134.1976018308</v>
      </c>
      <c r="CC204" s="175">
        <f t="shared" si="272"/>
        <v>1307307.5866063472</v>
      </c>
      <c r="CD204" s="175">
        <f t="shared" ref="BX204:CD210" si="273">SUMIFS(CD$5:CD$181,$C$5:$C$181,$C204,$D$5:$D$181,$D204)</f>
        <v>1479044.9941833003</v>
      </c>
      <c r="CE204" s="181"/>
      <c r="CH204" s="175"/>
      <c r="CI204" s="175"/>
      <c r="CJ204" s="175">
        <f t="shared" ref="CJ204:CW210" si="274">SUMIFS(CJ$5:CJ$181,$C$5:$C$181,$C204,$D$5:$D$181,$D204)</f>
        <v>-13947.684212754571</v>
      </c>
      <c r="CK204" s="175">
        <f t="shared" si="274"/>
        <v>2318.2866314882658</v>
      </c>
      <c r="CL204" s="175">
        <f t="shared" si="274"/>
        <v>-8367.8643205805492</v>
      </c>
      <c r="CM204" s="175">
        <f t="shared" si="274"/>
        <v>9484.7500872548444</v>
      </c>
      <c r="CN204" s="175">
        <f t="shared" si="274"/>
        <v>21392.847850385628</v>
      </c>
      <c r="CO204" s="175">
        <f t="shared" si="274"/>
        <v>2164.9511919338775</v>
      </c>
      <c r="CP204" s="175">
        <f t="shared" si="274"/>
        <v>6187.5243513345031</v>
      </c>
      <c r="CQ204" s="175">
        <f t="shared" si="274"/>
        <v>9150.1696739704912</v>
      </c>
      <c r="CR204" s="175">
        <f t="shared" si="274"/>
        <v>0</v>
      </c>
      <c r="CS204" s="175">
        <f t="shared" si="274"/>
        <v>0</v>
      </c>
      <c r="CU204" s="175">
        <f t="shared" si="274"/>
        <v>5867197.1407024115</v>
      </c>
      <c r="CV204" s="175" t="e">
        <f t="shared" si="274"/>
        <v>#VALUE!</v>
      </c>
      <c r="CW204" s="175">
        <f t="shared" si="274"/>
        <v>5987540.5566986203</v>
      </c>
    </row>
    <row r="205" spans="3:103" outlineLevel="1">
      <c r="C205" s="97" t="s">
        <v>534</v>
      </c>
      <c r="D205" s="284" t="s">
        <v>8</v>
      </c>
      <c r="F205" s="320" t="str">
        <f t="shared" si="248"/>
        <v>Residential - Experimental - CFG</v>
      </c>
      <c r="G205" s="175">
        <f t="shared" si="266"/>
        <v>8433.4399999999987</v>
      </c>
      <c r="H205" s="175">
        <f t="shared" si="266"/>
        <v>8414.77</v>
      </c>
      <c r="I205" s="175">
        <f t="shared" si="266"/>
        <v>8388</v>
      </c>
      <c r="J205" s="175">
        <f t="shared" si="266"/>
        <v>8375.8700000000008</v>
      </c>
      <c r="K205" s="175">
        <f t="shared" si="266"/>
        <v>8320.93</v>
      </c>
      <c r="L205" s="175">
        <f t="shared" si="266"/>
        <v>8317.0299999999988</v>
      </c>
      <c r="M205" s="175">
        <f t="shared" si="266"/>
        <v>8309.93</v>
      </c>
      <c r="N205" s="175">
        <f t="shared" si="266"/>
        <v>8301.77</v>
      </c>
      <c r="O205" s="175">
        <f t="shared" si="266"/>
        <v>8310.4699999999993</v>
      </c>
      <c r="P205" s="175">
        <f t="shared" si="266"/>
        <v>8299.5099999999984</v>
      </c>
      <c r="Q205" s="175">
        <f t="shared" si="267"/>
        <v>8308.2799999999988</v>
      </c>
      <c r="R205" s="175">
        <f t="shared" si="267"/>
        <v>8401.27</v>
      </c>
      <c r="S205" s="375">
        <f t="shared" ca="1" si="267"/>
        <v>100181.27</v>
      </c>
      <c r="T205" s="175">
        <f t="shared" si="267"/>
        <v>25236.21</v>
      </c>
      <c r="U205" s="175">
        <f t="shared" si="267"/>
        <v>25013.829999999998</v>
      </c>
      <c r="V205" s="175">
        <f t="shared" si="267"/>
        <v>24922.17</v>
      </c>
      <c r="W205" s="175">
        <f t="shared" si="267"/>
        <v>25009.06</v>
      </c>
      <c r="X205" s="181"/>
      <c r="Y205" s="175">
        <f t="shared" si="268"/>
        <v>8198.73</v>
      </c>
      <c r="Z205" s="175">
        <f t="shared" si="268"/>
        <v>8333.1</v>
      </c>
      <c r="AA205" s="175">
        <f t="shared" si="268"/>
        <v>8217.1</v>
      </c>
      <c r="AB205" s="175">
        <f t="shared" si="268"/>
        <v>8243.9</v>
      </c>
      <c r="AC205" s="175">
        <f t="shared" si="268"/>
        <v>8162.4299999999994</v>
      </c>
      <c r="AD205" s="175">
        <f t="shared" si="268"/>
        <v>8157.87</v>
      </c>
      <c r="AE205" s="175">
        <f t="shared" si="268"/>
        <v>8094.17</v>
      </c>
      <c r="AF205" s="175">
        <f t="shared" si="268"/>
        <v>8166.0100000000011</v>
      </c>
      <c r="AG205" s="175">
        <f t="shared" si="268"/>
        <v>8096.4299999999994</v>
      </c>
      <c r="AH205" s="175">
        <f t="shared" si="268"/>
        <v>7984.6799999999994</v>
      </c>
      <c r="AI205" s="175">
        <f t="shared" si="269"/>
        <v>8044.6</v>
      </c>
      <c r="AJ205" s="175">
        <f t="shared" si="269"/>
        <v>8161.6</v>
      </c>
      <c r="AK205" s="375">
        <f t="shared" si="269"/>
        <v>97860.62000000001</v>
      </c>
      <c r="AL205" s="375"/>
      <c r="AM205" s="375"/>
      <c r="AN205" s="375"/>
      <c r="AO205" s="375"/>
      <c r="AP205" s="375"/>
      <c r="AQ205" s="175">
        <f t="shared" si="269"/>
        <v>24748.93</v>
      </c>
      <c r="AR205" s="175">
        <f t="shared" si="269"/>
        <v>24564.2</v>
      </c>
      <c r="AS205" s="175">
        <f t="shared" si="269"/>
        <v>24356.61</v>
      </c>
      <c r="AT205" s="175">
        <f t="shared" si="269"/>
        <v>24190.880000000001</v>
      </c>
      <c r="AU205" s="181"/>
      <c r="AV205" s="175">
        <f t="shared" si="270"/>
        <v>8395</v>
      </c>
      <c r="AW205" s="175">
        <f t="shared" si="270"/>
        <v>8424</v>
      </c>
      <c r="AX205" s="175">
        <f t="shared" si="270"/>
        <v>8441</v>
      </c>
      <c r="AY205" s="175">
        <f t="shared" si="270"/>
        <v>8474</v>
      </c>
      <c r="AZ205" s="175">
        <f t="shared" si="270"/>
        <v>8383</v>
      </c>
      <c r="BA205" s="175">
        <f t="shared" si="270"/>
        <v>8370</v>
      </c>
      <c r="BB205" s="175">
        <f t="shared" si="270"/>
        <v>8330</v>
      </c>
      <c r="BC205" s="175">
        <f t="shared" si="270"/>
        <v>8388</v>
      </c>
      <c r="BD205" s="175">
        <f t="shared" si="270"/>
        <v>8342</v>
      </c>
      <c r="BE205" s="175">
        <f t="shared" si="270"/>
        <v>8323</v>
      </c>
      <c r="BF205" s="175">
        <f t="shared" si="271"/>
        <v>8394</v>
      </c>
      <c r="BG205" s="175">
        <f t="shared" si="271"/>
        <v>8434</v>
      </c>
      <c r="BH205" s="375">
        <f t="shared" ca="1" si="271"/>
        <v>100698</v>
      </c>
      <c r="BI205" s="175">
        <f t="shared" si="271"/>
        <v>25260</v>
      </c>
      <c r="BJ205" s="175">
        <f t="shared" si="271"/>
        <v>25227</v>
      </c>
      <c r="BK205" s="175">
        <f t="shared" si="271"/>
        <v>25060</v>
      </c>
      <c r="BL205" s="175">
        <f t="shared" si="271"/>
        <v>25151</v>
      </c>
      <c r="BM205" s="181"/>
      <c r="BN205" s="175">
        <f t="shared" si="272"/>
        <v>0</v>
      </c>
      <c r="BO205" s="175">
        <f t="shared" si="272"/>
        <v>0</v>
      </c>
      <c r="BP205" s="175">
        <f t="shared" si="272"/>
        <v>8394</v>
      </c>
      <c r="BQ205" s="175">
        <f t="shared" si="272"/>
        <v>8278</v>
      </c>
      <c r="BR205" s="175">
        <f t="shared" si="272"/>
        <v>8324</v>
      </c>
      <c r="BS205" s="175">
        <f t="shared" si="272"/>
        <v>8295</v>
      </c>
      <c r="BT205" s="175">
        <f t="shared" si="272"/>
        <v>8295</v>
      </c>
      <c r="BU205" s="175">
        <f t="shared" si="272"/>
        <v>8295</v>
      </c>
      <c r="BV205" s="175">
        <f t="shared" si="272"/>
        <v>8196</v>
      </c>
      <c r="BW205" s="175">
        <f t="shared" si="272"/>
        <v>8196</v>
      </c>
      <c r="BX205" s="175">
        <f t="shared" si="273"/>
        <v>8127</v>
      </c>
      <c r="BY205" s="175">
        <f t="shared" si="273"/>
        <v>8093</v>
      </c>
      <c r="BZ205" s="375">
        <f t="shared" ca="1" si="273"/>
        <v>82493</v>
      </c>
      <c r="CA205" s="175">
        <f t="shared" si="273"/>
        <v>8394</v>
      </c>
      <c r="CB205" s="175">
        <f t="shared" si="273"/>
        <v>24897</v>
      </c>
      <c r="CC205" s="175">
        <f t="shared" si="273"/>
        <v>24786</v>
      </c>
      <c r="CD205" s="175">
        <f t="shared" si="273"/>
        <v>24416</v>
      </c>
      <c r="CE205" s="181"/>
      <c r="CH205" s="175"/>
      <c r="CI205" s="175"/>
      <c r="CJ205" s="175">
        <f t="shared" si="274"/>
        <v>-176.89999999999998</v>
      </c>
      <c r="CK205" s="175">
        <f t="shared" si="274"/>
        <v>-34.10000000000025</v>
      </c>
      <c r="CL205" s="175">
        <f t="shared" si="274"/>
        <v>-161.57000000000039</v>
      </c>
      <c r="CM205" s="175">
        <f t="shared" si="274"/>
        <v>-137.12999999999994</v>
      </c>
      <c r="CN205" s="175">
        <f t="shared" si="274"/>
        <v>-200.82999999999998</v>
      </c>
      <c r="CO205" s="175">
        <f t="shared" si="274"/>
        <v>-128.98999999999961</v>
      </c>
      <c r="CP205" s="175">
        <f t="shared" si="274"/>
        <v>-99.570000000000391</v>
      </c>
      <c r="CQ205" s="175">
        <f t="shared" si="274"/>
        <v>-211.32000000000005</v>
      </c>
      <c r="CR205" s="175">
        <f t="shared" si="274"/>
        <v>0</v>
      </c>
      <c r="CS205" s="175">
        <f t="shared" si="274"/>
        <v>0</v>
      </c>
      <c r="CU205" s="175">
        <f t="shared" si="274"/>
        <v>98652.26</v>
      </c>
      <c r="CV205" s="175" t="e">
        <f t="shared" si="274"/>
        <v>#VALUE!</v>
      </c>
      <c r="CW205" s="175">
        <f t="shared" si="274"/>
        <v>100698</v>
      </c>
    </row>
    <row r="206" spans="3:103" outlineLevel="1">
      <c r="C206" s="97" t="s">
        <v>542</v>
      </c>
      <c r="D206" s="284" t="s">
        <v>8</v>
      </c>
      <c r="F206" s="320" t="str">
        <f t="shared" si="248"/>
        <v>Non-Residential - CFG</v>
      </c>
      <c r="G206" s="175">
        <f t="shared" si="266"/>
        <v>739901.93</v>
      </c>
      <c r="H206" s="175">
        <f t="shared" si="266"/>
        <v>708617.01000000013</v>
      </c>
      <c r="I206" s="175">
        <f t="shared" si="266"/>
        <v>718415.03</v>
      </c>
      <c r="J206" s="175">
        <f t="shared" si="266"/>
        <v>630937.67999999993</v>
      </c>
      <c r="K206" s="175">
        <f t="shared" si="266"/>
        <v>655661.2300000001</v>
      </c>
      <c r="L206" s="175">
        <f t="shared" si="266"/>
        <v>633609.26000000013</v>
      </c>
      <c r="M206" s="175">
        <f t="shared" si="266"/>
        <v>630995.99</v>
      </c>
      <c r="N206" s="175">
        <f t="shared" si="266"/>
        <v>661597.1100000001</v>
      </c>
      <c r="O206" s="175">
        <f t="shared" si="266"/>
        <v>658730.42000000004</v>
      </c>
      <c r="P206" s="175">
        <f t="shared" si="266"/>
        <v>675402.5199999999</v>
      </c>
      <c r="Q206" s="175">
        <f t="shared" si="267"/>
        <v>669367.30000000016</v>
      </c>
      <c r="R206" s="175">
        <f t="shared" si="267"/>
        <v>736168.87000000011</v>
      </c>
      <c r="S206" s="375">
        <f t="shared" ca="1" si="267"/>
        <v>8119404.3499999996</v>
      </c>
      <c r="T206" s="175">
        <f t="shared" si="267"/>
        <v>2166933.9700000002</v>
      </c>
      <c r="U206" s="175">
        <f t="shared" si="267"/>
        <v>1920208.1700000002</v>
      </c>
      <c r="V206" s="175">
        <f t="shared" si="267"/>
        <v>1951323.5200000005</v>
      </c>
      <c r="W206" s="175">
        <f t="shared" si="267"/>
        <v>2080938.6900000004</v>
      </c>
      <c r="X206" s="181"/>
      <c r="Y206" s="175">
        <f t="shared" si="268"/>
        <v>760951.48</v>
      </c>
      <c r="Z206" s="175">
        <f t="shared" si="268"/>
        <v>710507.94000000006</v>
      </c>
      <c r="AA206" s="175">
        <f t="shared" si="268"/>
        <v>742960.41</v>
      </c>
      <c r="AB206" s="175">
        <f t="shared" si="268"/>
        <v>729475.03999999992</v>
      </c>
      <c r="AC206" s="175">
        <f t="shared" si="268"/>
        <v>682225.2100000002</v>
      </c>
      <c r="AD206" s="175">
        <f t="shared" si="268"/>
        <v>652274.78999999992</v>
      </c>
      <c r="AE206" s="175">
        <f t="shared" si="268"/>
        <v>673998.33</v>
      </c>
      <c r="AF206" s="175">
        <f t="shared" si="268"/>
        <v>678694.1399999999</v>
      </c>
      <c r="AG206" s="175">
        <f t="shared" si="268"/>
        <v>658343.15</v>
      </c>
      <c r="AH206" s="175">
        <f t="shared" si="268"/>
        <v>691250.71000000008</v>
      </c>
      <c r="AI206" s="175">
        <f t="shared" si="269"/>
        <v>708205.72</v>
      </c>
      <c r="AJ206" s="175">
        <f t="shared" si="269"/>
        <v>747546.7699999999</v>
      </c>
      <c r="AK206" s="375">
        <f t="shared" si="269"/>
        <v>8436433.6899999995</v>
      </c>
      <c r="AL206" s="375"/>
      <c r="AM206" s="375"/>
      <c r="AN206" s="375"/>
      <c r="AO206" s="375"/>
      <c r="AP206" s="375"/>
      <c r="AQ206" s="175">
        <f t="shared" si="269"/>
        <v>2214419.83</v>
      </c>
      <c r="AR206" s="175">
        <f t="shared" si="269"/>
        <v>2063975.04</v>
      </c>
      <c r="AS206" s="175">
        <f t="shared" si="269"/>
        <v>2011035.6199999999</v>
      </c>
      <c r="AT206" s="175">
        <f t="shared" si="269"/>
        <v>2147003.1999999997</v>
      </c>
      <c r="AU206" s="181"/>
      <c r="AV206" s="175">
        <f t="shared" si="270"/>
        <v>767781.4292879015</v>
      </c>
      <c r="AW206" s="175">
        <f t="shared" si="270"/>
        <v>731202.35004572547</v>
      </c>
      <c r="AX206" s="175">
        <f t="shared" si="270"/>
        <v>742173.94669388141</v>
      </c>
      <c r="AY206" s="175">
        <f t="shared" si="270"/>
        <v>706764.0082569333</v>
      </c>
      <c r="AZ206" s="175">
        <f t="shared" si="270"/>
        <v>692362.72145903017</v>
      </c>
      <c r="BA206" s="175">
        <f t="shared" si="270"/>
        <v>673771.48728001828</v>
      </c>
      <c r="BB206" s="175">
        <f t="shared" si="270"/>
        <v>705571.51232962683</v>
      </c>
      <c r="BC206" s="175">
        <f t="shared" si="270"/>
        <v>713912.39405988867</v>
      </c>
      <c r="BD206" s="175">
        <f t="shared" si="270"/>
        <v>698612.9717782709</v>
      </c>
      <c r="BE206" s="175">
        <f t="shared" si="270"/>
        <v>718387.35115239513</v>
      </c>
      <c r="BF206" s="175">
        <f t="shared" si="271"/>
        <v>740983.48287298949</v>
      </c>
      <c r="BG206" s="175">
        <f t="shared" si="271"/>
        <v>763067.70196550118</v>
      </c>
      <c r="BH206" s="375">
        <f t="shared" ca="1" si="271"/>
        <v>8654591.3571821619</v>
      </c>
      <c r="BI206" s="175">
        <f t="shared" si="271"/>
        <v>2241157.7260275083</v>
      </c>
      <c r="BJ206" s="175">
        <f t="shared" si="271"/>
        <v>2072898.216995982</v>
      </c>
      <c r="BK206" s="175">
        <f t="shared" si="271"/>
        <v>2118096.8781677857</v>
      </c>
      <c r="BL206" s="175">
        <f t="shared" si="271"/>
        <v>2222438.5359908855</v>
      </c>
      <c r="BM206" s="181"/>
      <c r="BN206" s="175">
        <f t="shared" si="272"/>
        <v>0</v>
      </c>
      <c r="BO206" s="175">
        <f t="shared" si="272"/>
        <v>0</v>
      </c>
      <c r="BP206" s="175">
        <f t="shared" si="272"/>
        <v>702990.42812467366</v>
      </c>
      <c r="BQ206" s="175">
        <f t="shared" si="272"/>
        <v>719497.01182689401</v>
      </c>
      <c r="BR206" s="175">
        <f t="shared" si="272"/>
        <v>691527.56698744104</v>
      </c>
      <c r="BS206" s="175">
        <f t="shared" si="272"/>
        <v>676431.90375212894</v>
      </c>
      <c r="BT206" s="175">
        <f t="shared" si="272"/>
        <v>698268.39804446639</v>
      </c>
      <c r="BU206" s="175">
        <f t="shared" si="272"/>
        <v>710088.56947296776</v>
      </c>
      <c r="BV206" s="175">
        <f t="shared" si="272"/>
        <v>679268.4837794631</v>
      </c>
      <c r="BW206" s="175">
        <f t="shared" si="272"/>
        <v>712302.11260448466</v>
      </c>
      <c r="BX206" s="175">
        <f t="shared" si="273"/>
        <v>715917.03288691514</v>
      </c>
      <c r="BY206" s="175">
        <f t="shared" si="273"/>
        <v>741632.2341665834</v>
      </c>
      <c r="BZ206" s="375">
        <f t="shared" ca="1" si="273"/>
        <v>7047923.7416460188</v>
      </c>
      <c r="CA206" s="175">
        <f t="shared" si="273"/>
        <v>702990.42812467366</v>
      </c>
      <c r="CB206" s="175">
        <f t="shared" si="273"/>
        <v>2087456.4825664642</v>
      </c>
      <c r="CC206" s="175">
        <f t="shared" si="273"/>
        <v>2087625.4512968976</v>
      </c>
      <c r="CD206" s="175">
        <f t="shared" si="273"/>
        <v>2169851.3796579833</v>
      </c>
      <c r="CE206" s="181"/>
      <c r="CH206" s="175"/>
      <c r="CI206" s="175"/>
      <c r="CJ206" s="175">
        <f t="shared" si="274"/>
        <v>39969.981875326259</v>
      </c>
      <c r="CK206" s="175">
        <f t="shared" si="274"/>
        <v>9978.0281731057294</v>
      </c>
      <c r="CL206" s="175">
        <f t="shared" si="274"/>
        <v>-9302.3569874410205</v>
      </c>
      <c r="CM206" s="175">
        <f t="shared" si="274"/>
        <v>-24157.113752129007</v>
      </c>
      <c r="CN206" s="175">
        <f t="shared" si="274"/>
        <v>-24270.068044466585</v>
      </c>
      <c r="CO206" s="175">
        <f t="shared" si="274"/>
        <v>-31394.429472967866</v>
      </c>
      <c r="CP206" s="175">
        <f t="shared" si="274"/>
        <v>-20925.333779463133</v>
      </c>
      <c r="CQ206" s="175">
        <f t="shared" si="274"/>
        <v>-21051.402604484691</v>
      </c>
      <c r="CR206" s="175">
        <f t="shared" si="274"/>
        <v>0</v>
      </c>
      <c r="CS206" s="175">
        <f t="shared" si="274"/>
        <v>0</v>
      </c>
      <c r="CU206" s="175">
        <f t="shared" si="274"/>
        <v>8560028.814707011</v>
      </c>
      <c r="CV206" s="175" t="e">
        <f t="shared" si="274"/>
        <v>#VALUE!</v>
      </c>
      <c r="CW206" s="175">
        <f t="shared" si="274"/>
        <v>8654591.3571821619</v>
      </c>
    </row>
    <row r="207" spans="3:103" outlineLevel="1">
      <c r="C207" s="97" t="s">
        <v>579</v>
      </c>
      <c r="D207" s="284" t="s">
        <v>8</v>
      </c>
      <c r="F207" s="320" t="str">
        <f t="shared" si="248"/>
        <v>Non-Residential-Experimental - CFG</v>
      </c>
      <c r="G207" s="175">
        <f t="shared" si="266"/>
        <v>7122.6</v>
      </c>
      <c r="H207" s="175">
        <f t="shared" si="266"/>
        <v>7144</v>
      </c>
      <c r="I207" s="175">
        <f t="shared" si="266"/>
        <v>7155.6</v>
      </c>
      <c r="J207" s="175">
        <f t="shared" si="266"/>
        <v>7202</v>
      </c>
      <c r="K207" s="175">
        <f t="shared" si="266"/>
        <v>7007.53</v>
      </c>
      <c r="L207" s="175">
        <f t="shared" si="266"/>
        <v>6933.4</v>
      </c>
      <c r="M207" s="175">
        <f t="shared" si="266"/>
        <v>6976.6</v>
      </c>
      <c r="N207" s="175">
        <f t="shared" si="266"/>
        <v>6937.3</v>
      </c>
      <c r="O207" s="175">
        <f t="shared" si="266"/>
        <v>6893.8</v>
      </c>
      <c r="P207" s="175">
        <f t="shared" si="266"/>
        <v>6771.33</v>
      </c>
      <c r="Q207" s="175">
        <f t="shared" si="267"/>
        <v>7071.43</v>
      </c>
      <c r="R207" s="175">
        <f t="shared" si="267"/>
        <v>6895.57</v>
      </c>
      <c r="S207" s="375">
        <f t="shared" ca="1" si="267"/>
        <v>84111.16</v>
      </c>
      <c r="T207" s="175">
        <f t="shared" si="267"/>
        <v>21422.199999999997</v>
      </c>
      <c r="U207" s="175">
        <f t="shared" si="267"/>
        <v>21142.93</v>
      </c>
      <c r="V207" s="175">
        <f t="shared" si="267"/>
        <v>20807.7</v>
      </c>
      <c r="W207" s="175">
        <f t="shared" si="267"/>
        <v>20738.330000000002</v>
      </c>
      <c r="X207" s="181"/>
      <c r="Y207" s="175">
        <f t="shared" si="268"/>
        <v>7189.5</v>
      </c>
      <c r="Z207" s="175">
        <f t="shared" si="268"/>
        <v>7023</v>
      </c>
      <c r="AA207" s="175">
        <f t="shared" si="268"/>
        <v>7055.87</v>
      </c>
      <c r="AB207" s="175">
        <f t="shared" si="268"/>
        <v>7100.33</v>
      </c>
      <c r="AC207" s="175">
        <f t="shared" si="268"/>
        <v>7081</v>
      </c>
      <c r="AD207" s="175">
        <f t="shared" si="268"/>
        <v>7081</v>
      </c>
      <c r="AE207" s="175">
        <f t="shared" si="268"/>
        <v>7062.9</v>
      </c>
      <c r="AF207" s="175">
        <f t="shared" si="268"/>
        <v>7064.9</v>
      </c>
      <c r="AG207" s="175">
        <f t="shared" si="268"/>
        <v>6985.7999999999993</v>
      </c>
      <c r="AH207" s="175">
        <f t="shared" si="268"/>
        <v>6770</v>
      </c>
      <c r="AI207" s="175">
        <f t="shared" si="269"/>
        <v>6653.2</v>
      </c>
      <c r="AJ207" s="175">
        <f t="shared" si="269"/>
        <v>6730.77</v>
      </c>
      <c r="AK207" s="375">
        <f t="shared" si="269"/>
        <v>83798.27</v>
      </c>
      <c r="AL207" s="375"/>
      <c r="AM207" s="375"/>
      <c r="AN207" s="375"/>
      <c r="AO207" s="375"/>
      <c r="AP207" s="375"/>
      <c r="AQ207" s="175">
        <f t="shared" si="269"/>
        <v>21268.37</v>
      </c>
      <c r="AR207" s="175">
        <f t="shared" si="269"/>
        <v>21262.33</v>
      </c>
      <c r="AS207" s="175">
        <f t="shared" si="269"/>
        <v>21113.599999999999</v>
      </c>
      <c r="AT207" s="175">
        <f t="shared" si="269"/>
        <v>20153.97</v>
      </c>
      <c r="AU207" s="181"/>
      <c r="AV207" s="175">
        <f t="shared" si="270"/>
        <v>7040</v>
      </c>
      <c r="AW207" s="175">
        <f t="shared" si="270"/>
        <v>7040</v>
      </c>
      <c r="AX207" s="175">
        <f t="shared" si="270"/>
        <v>7040</v>
      </c>
      <c r="AY207" s="175">
        <f t="shared" si="270"/>
        <v>7127</v>
      </c>
      <c r="AZ207" s="175">
        <f t="shared" si="270"/>
        <v>7318</v>
      </c>
      <c r="BA207" s="175">
        <f t="shared" si="270"/>
        <v>7233</v>
      </c>
      <c r="BB207" s="175">
        <f t="shared" si="270"/>
        <v>7453</v>
      </c>
      <c r="BC207" s="175">
        <f t="shared" si="270"/>
        <v>7424</v>
      </c>
      <c r="BD207" s="175">
        <f t="shared" si="270"/>
        <v>7366</v>
      </c>
      <c r="BE207" s="175">
        <f t="shared" si="270"/>
        <v>7453</v>
      </c>
      <c r="BF207" s="175">
        <f t="shared" si="271"/>
        <v>7453</v>
      </c>
      <c r="BG207" s="175">
        <f t="shared" si="271"/>
        <v>7511</v>
      </c>
      <c r="BH207" s="375">
        <f t="shared" ca="1" si="271"/>
        <v>87458</v>
      </c>
      <c r="BI207" s="175">
        <f t="shared" si="271"/>
        <v>21120</v>
      </c>
      <c r="BJ207" s="175">
        <f t="shared" si="271"/>
        <v>21678</v>
      </c>
      <c r="BK207" s="175">
        <f t="shared" si="271"/>
        <v>22243</v>
      </c>
      <c r="BL207" s="175">
        <f t="shared" si="271"/>
        <v>22417</v>
      </c>
      <c r="BM207" s="181"/>
      <c r="BN207" s="175">
        <f t="shared" si="272"/>
        <v>0</v>
      </c>
      <c r="BO207" s="175">
        <f t="shared" si="272"/>
        <v>0</v>
      </c>
      <c r="BP207" s="175">
        <f t="shared" si="272"/>
        <v>7023</v>
      </c>
      <c r="BQ207" s="175">
        <f t="shared" si="272"/>
        <v>7139</v>
      </c>
      <c r="BR207" s="175">
        <f t="shared" si="272"/>
        <v>7081</v>
      </c>
      <c r="BS207" s="175">
        <f t="shared" si="272"/>
        <v>7081</v>
      </c>
      <c r="BT207" s="175">
        <f t="shared" si="272"/>
        <v>7081</v>
      </c>
      <c r="BU207" s="175">
        <f t="shared" si="272"/>
        <v>7081</v>
      </c>
      <c r="BV207" s="175">
        <f t="shared" si="272"/>
        <v>7149</v>
      </c>
      <c r="BW207" s="175">
        <f t="shared" si="272"/>
        <v>7149</v>
      </c>
      <c r="BX207" s="175">
        <f t="shared" si="273"/>
        <v>6770</v>
      </c>
      <c r="BY207" s="175">
        <f t="shared" si="273"/>
        <v>6799</v>
      </c>
      <c r="BZ207" s="375">
        <f t="shared" ca="1" si="273"/>
        <v>70353</v>
      </c>
      <c r="CA207" s="175">
        <f t="shared" si="273"/>
        <v>7023</v>
      </c>
      <c r="CB207" s="175">
        <f t="shared" si="273"/>
        <v>21301</v>
      </c>
      <c r="CC207" s="175">
        <f t="shared" si="273"/>
        <v>21311</v>
      </c>
      <c r="CD207" s="175">
        <f t="shared" si="273"/>
        <v>20718</v>
      </c>
      <c r="CE207" s="181"/>
      <c r="CH207" s="175"/>
      <c r="CI207" s="175"/>
      <c r="CJ207" s="175">
        <f t="shared" si="274"/>
        <v>32.870000000000118</v>
      </c>
      <c r="CK207" s="175">
        <f t="shared" si="274"/>
        <v>-38.670000000000073</v>
      </c>
      <c r="CL207" s="175">
        <f t="shared" si="274"/>
        <v>0</v>
      </c>
      <c r="CM207" s="175">
        <f t="shared" si="274"/>
        <v>0</v>
      </c>
      <c r="CN207" s="175">
        <f t="shared" si="274"/>
        <v>-18.100000000000051</v>
      </c>
      <c r="CO207" s="175">
        <f t="shared" si="274"/>
        <v>-16.100000000000023</v>
      </c>
      <c r="CP207" s="175">
        <f t="shared" si="274"/>
        <v>-163.19999999999982</v>
      </c>
      <c r="CQ207" s="175">
        <f t="shared" si="274"/>
        <v>-379</v>
      </c>
      <c r="CR207" s="175">
        <f t="shared" si="274"/>
        <v>0</v>
      </c>
      <c r="CS207" s="175">
        <f t="shared" si="274"/>
        <v>0</v>
      </c>
      <c r="CU207" s="175">
        <f t="shared" si="274"/>
        <v>84559.7</v>
      </c>
      <c r="CV207" s="175" t="e">
        <f t="shared" si="274"/>
        <v>#VALUE!</v>
      </c>
      <c r="CW207" s="175">
        <f t="shared" si="274"/>
        <v>87458</v>
      </c>
    </row>
    <row r="208" spans="3:103" outlineLevel="1">
      <c r="C208" s="97" t="s">
        <v>586</v>
      </c>
      <c r="D208" s="284" t="s">
        <v>8</v>
      </c>
      <c r="F208" s="320" t="str">
        <f t="shared" si="248"/>
        <v>Industrial - CFG</v>
      </c>
      <c r="G208" s="175">
        <f t="shared" si="266"/>
        <v>258886.23500000002</v>
      </c>
      <c r="H208" s="175">
        <f t="shared" si="266"/>
        <v>250486.96</v>
      </c>
      <c r="I208" s="175">
        <f t="shared" si="266"/>
        <v>259480.53</v>
      </c>
      <c r="J208" s="175">
        <f t="shared" si="266"/>
        <v>253511.93</v>
      </c>
      <c r="K208" s="175">
        <f t="shared" si="266"/>
        <v>257671.42</v>
      </c>
      <c r="L208" s="175">
        <f t="shared" si="266"/>
        <v>254228.80000000002</v>
      </c>
      <c r="M208" s="175">
        <f t="shared" si="266"/>
        <v>258137.83000000002</v>
      </c>
      <c r="N208" s="175">
        <f t="shared" si="266"/>
        <v>283669.76999999996</v>
      </c>
      <c r="O208" s="175">
        <f t="shared" si="266"/>
        <v>226668.51</v>
      </c>
      <c r="P208" s="175">
        <f t="shared" si="266"/>
        <v>256323.01</v>
      </c>
      <c r="Q208" s="175">
        <f t="shared" si="267"/>
        <v>252766.48</v>
      </c>
      <c r="R208" s="175">
        <f t="shared" si="267"/>
        <v>259643.49</v>
      </c>
      <c r="S208" s="375">
        <f t="shared" ca="1" si="267"/>
        <v>3071474.9649999999</v>
      </c>
      <c r="T208" s="175">
        <f t="shared" si="267"/>
        <v>768853.72499999998</v>
      </c>
      <c r="U208" s="175">
        <f t="shared" si="267"/>
        <v>765412.15</v>
      </c>
      <c r="V208" s="175">
        <f t="shared" si="267"/>
        <v>768476.11</v>
      </c>
      <c r="W208" s="175">
        <f t="shared" si="267"/>
        <v>768732.98</v>
      </c>
      <c r="X208" s="181"/>
      <c r="Y208" s="175">
        <f t="shared" si="268"/>
        <v>270231.58</v>
      </c>
      <c r="Z208" s="175">
        <f t="shared" si="268"/>
        <v>238513.77999999997</v>
      </c>
      <c r="AA208" s="175">
        <f t="shared" si="268"/>
        <v>259844.78</v>
      </c>
      <c r="AB208" s="175">
        <f t="shared" si="268"/>
        <v>255535.24</v>
      </c>
      <c r="AC208" s="175">
        <f t="shared" si="268"/>
        <v>258500.78</v>
      </c>
      <c r="AD208" s="175">
        <f t="shared" si="268"/>
        <v>255009.66</v>
      </c>
      <c r="AE208" s="175">
        <f t="shared" si="268"/>
        <v>258500.78</v>
      </c>
      <c r="AF208" s="175">
        <f t="shared" si="268"/>
        <v>257041.36</v>
      </c>
      <c r="AG208" s="175">
        <f t="shared" si="268"/>
        <v>253769.52</v>
      </c>
      <c r="AH208" s="175">
        <f t="shared" si="268"/>
        <v>257373.38999999998</v>
      </c>
      <c r="AI208" s="175">
        <f t="shared" si="269"/>
        <v>253756.50999999998</v>
      </c>
      <c r="AJ208" s="175">
        <f t="shared" si="269"/>
        <v>259185.22999999998</v>
      </c>
      <c r="AK208" s="375">
        <f t="shared" ca="1" si="269"/>
        <v>3077262.61</v>
      </c>
      <c r="AL208" s="375"/>
      <c r="AM208" s="375"/>
      <c r="AN208" s="375"/>
      <c r="AO208" s="375"/>
      <c r="AP208" s="375"/>
      <c r="AQ208" s="175">
        <f t="shared" si="269"/>
        <v>768590.14</v>
      </c>
      <c r="AR208" s="175">
        <f t="shared" si="269"/>
        <v>769045.67999999993</v>
      </c>
      <c r="AS208" s="175">
        <f t="shared" si="269"/>
        <v>769311.65999999992</v>
      </c>
      <c r="AT208" s="175">
        <f t="shared" si="269"/>
        <v>770315.13</v>
      </c>
      <c r="AU208" s="181"/>
      <c r="AV208" s="175">
        <f t="shared" si="270"/>
        <v>258886.23500000002</v>
      </c>
      <c r="AW208" s="175">
        <f t="shared" si="270"/>
        <v>250486.96</v>
      </c>
      <c r="AX208" s="175">
        <f t="shared" si="270"/>
        <v>259480.53</v>
      </c>
      <c r="AY208" s="175">
        <f t="shared" si="270"/>
        <v>253511.93</v>
      </c>
      <c r="AZ208" s="175">
        <f t="shared" si="270"/>
        <v>257671.42</v>
      </c>
      <c r="BA208" s="175">
        <f t="shared" si="270"/>
        <v>254228.80000000002</v>
      </c>
      <c r="BB208" s="175">
        <f t="shared" si="270"/>
        <v>259419.94500000001</v>
      </c>
      <c r="BC208" s="175">
        <f t="shared" si="270"/>
        <v>258139.035</v>
      </c>
      <c r="BD208" s="175">
        <f t="shared" si="270"/>
        <v>254225.095</v>
      </c>
      <c r="BE208" s="175">
        <f t="shared" si="270"/>
        <v>261290.535</v>
      </c>
      <c r="BF208" s="175">
        <f t="shared" si="271"/>
        <v>257863.94500000001</v>
      </c>
      <c r="BG208" s="175">
        <f t="shared" si="271"/>
        <v>263737.38500000001</v>
      </c>
      <c r="BH208" s="375">
        <f t="shared" ca="1" si="271"/>
        <v>3088941.8149999999</v>
      </c>
      <c r="BI208" s="175">
        <f t="shared" si="271"/>
        <v>768853.72499999998</v>
      </c>
      <c r="BJ208" s="175">
        <f t="shared" si="271"/>
        <v>765412.15</v>
      </c>
      <c r="BK208" s="175">
        <f t="shared" si="271"/>
        <v>771784.07499999995</v>
      </c>
      <c r="BL208" s="175">
        <f t="shared" si="271"/>
        <v>782891.86499999999</v>
      </c>
      <c r="BM208" s="181"/>
      <c r="BN208" s="175">
        <f t="shared" si="272"/>
        <v>0</v>
      </c>
      <c r="BO208" s="175">
        <f t="shared" si="272"/>
        <v>0</v>
      </c>
      <c r="BP208" s="175">
        <f t="shared" si="272"/>
        <v>259480.53</v>
      </c>
      <c r="BQ208" s="175">
        <f t="shared" si="272"/>
        <v>253511.93</v>
      </c>
      <c r="BR208" s="175">
        <f t="shared" si="272"/>
        <v>257995</v>
      </c>
      <c r="BS208" s="175">
        <f t="shared" si="272"/>
        <v>254552.38</v>
      </c>
      <c r="BT208" s="175">
        <f t="shared" si="272"/>
        <v>257994.65</v>
      </c>
      <c r="BU208" s="175">
        <f t="shared" si="272"/>
        <v>256713.74</v>
      </c>
      <c r="BV208" s="175">
        <f t="shared" si="272"/>
        <v>252799.8</v>
      </c>
      <c r="BW208" s="175">
        <f t="shared" si="272"/>
        <v>256367.24</v>
      </c>
      <c r="BX208" s="175">
        <f t="shared" si="273"/>
        <v>252940.65</v>
      </c>
      <c r="BY208" s="175">
        <f t="shared" si="273"/>
        <v>259184.59</v>
      </c>
      <c r="BZ208" s="375">
        <f t="shared" ca="1" si="273"/>
        <v>2561540.5099999998</v>
      </c>
      <c r="CA208" s="175">
        <f t="shared" si="273"/>
        <v>259480.53</v>
      </c>
      <c r="CB208" s="175">
        <f t="shared" si="273"/>
        <v>766059.30999999994</v>
      </c>
      <c r="CC208" s="175">
        <f t="shared" si="273"/>
        <v>767508.19</v>
      </c>
      <c r="CD208" s="175">
        <f t="shared" si="273"/>
        <v>768492.48</v>
      </c>
      <c r="CE208" s="181"/>
      <c r="CH208" s="175"/>
      <c r="CI208" s="175"/>
      <c r="CJ208" s="175">
        <f t="shared" si="274"/>
        <v>364.25</v>
      </c>
      <c r="CK208" s="175">
        <f t="shared" si="274"/>
        <v>2023.3100000000004</v>
      </c>
      <c r="CL208" s="175">
        <f t="shared" si="274"/>
        <v>505.77999999999975</v>
      </c>
      <c r="CM208" s="175">
        <f t="shared" si="274"/>
        <v>457.27999999999975</v>
      </c>
      <c r="CN208" s="175">
        <f t="shared" si="274"/>
        <v>506.13000000000011</v>
      </c>
      <c r="CO208" s="175">
        <f t="shared" si="274"/>
        <v>327.61999999999989</v>
      </c>
      <c r="CP208" s="175">
        <f t="shared" si="274"/>
        <v>969.71999999999935</v>
      </c>
      <c r="CQ208" s="175">
        <f t="shared" si="274"/>
        <v>1006.1499999999996</v>
      </c>
      <c r="CR208" s="175">
        <f t="shared" si="274"/>
        <v>0</v>
      </c>
      <c r="CS208" s="175">
        <f t="shared" si="274"/>
        <v>0</v>
      </c>
      <c r="CU208" s="175">
        <f t="shared" si="274"/>
        <v>3073179.21</v>
      </c>
      <c r="CV208" s="175" t="e">
        <f t="shared" si="274"/>
        <v>#VALUE!</v>
      </c>
      <c r="CW208" s="175">
        <f t="shared" si="274"/>
        <v>3088941.8149999999</v>
      </c>
    </row>
    <row r="209" spans="3:101" outlineLevel="1">
      <c r="C209" s="97" t="s">
        <v>9</v>
      </c>
      <c r="D209" s="284" t="s">
        <v>8</v>
      </c>
      <c r="F209" s="320" t="str">
        <f t="shared" si="248"/>
        <v>Miscellaneous Revenues - CFG</v>
      </c>
      <c r="G209" s="175">
        <f t="shared" si="266"/>
        <v>459657</v>
      </c>
      <c r="H209" s="175">
        <f t="shared" si="266"/>
        <v>435695</v>
      </c>
      <c r="I209" s="175">
        <f t="shared" si="266"/>
        <v>865743</v>
      </c>
      <c r="J209" s="175">
        <f t="shared" si="266"/>
        <v>381215</v>
      </c>
      <c r="K209" s="175">
        <f t="shared" si="266"/>
        <v>464629</v>
      </c>
      <c r="L209" s="175">
        <f t="shared" si="266"/>
        <v>426397.61</v>
      </c>
      <c r="M209" s="175">
        <f t="shared" si="266"/>
        <v>473343.7</v>
      </c>
      <c r="N209" s="175">
        <f t="shared" si="266"/>
        <v>460828.45000000007</v>
      </c>
      <c r="O209" s="175">
        <f t="shared" si="266"/>
        <v>445049.7099999999</v>
      </c>
      <c r="P209" s="175">
        <f t="shared" si="266"/>
        <v>510750.40000000014</v>
      </c>
      <c r="Q209" s="175">
        <f t="shared" si="267"/>
        <v>469484.72000000003</v>
      </c>
      <c r="R209" s="175">
        <f t="shared" si="267"/>
        <v>451464.46999999991</v>
      </c>
      <c r="S209" s="375">
        <f t="shared" ca="1" si="267"/>
        <v>5844258.0599999996</v>
      </c>
      <c r="T209" s="175">
        <f t="shared" si="267"/>
        <v>1761095</v>
      </c>
      <c r="U209" s="175">
        <f t="shared" si="267"/>
        <v>1272241.6100000001</v>
      </c>
      <c r="V209" s="175">
        <f t="shared" si="267"/>
        <v>1379221.86</v>
      </c>
      <c r="W209" s="175">
        <f t="shared" si="267"/>
        <v>1431699.59</v>
      </c>
      <c r="X209" s="181"/>
      <c r="Y209" s="175">
        <f t="shared" si="268"/>
        <v>408875.52999999997</v>
      </c>
      <c r="Z209" s="175">
        <f t="shared" si="268"/>
        <v>522987.89000000007</v>
      </c>
      <c r="AA209" s="175">
        <f t="shared" si="268"/>
        <v>496279.21</v>
      </c>
      <c r="AB209" s="175">
        <f t="shared" si="268"/>
        <v>601063.18000000005</v>
      </c>
      <c r="AC209" s="175">
        <f t="shared" si="268"/>
        <v>468261.49999999994</v>
      </c>
      <c r="AD209" s="175">
        <f t="shared" si="268"/>
        <v>479536.79000000004</v>
      </c>
      <c r="AE209" s="175">
        <f t="shared" si="268"/>
        <v>470226.77000000008</v>
      </c>
      <c r="AF209" s="175">
        <f t="shared" si="268"/>
        <v>518717.97999999992</v>
      </c>
      <c r="AG209" s="175">
        <f t="shared" si="268"/>
        <v>416010.77999999991</v>
      </c>
      <c r="AH209" s="175">
        <f t="shared" si="268"/>
        <v>511702.54</v>
      </c>
      <c r="AI209" s="175">
        <f t="shared" si="269"/>
        <v>523468.01000000007</v>
      </c>
      <c r="AJ209" s="175">
        <f t="shared" si="269"/>
        <v>452663.14999999973</v>
      </c>
      <c r="AK209" s="375">
        <f t="shared" ca="1" si="269"/>
        <v>5869793.3299999991</v>
      </c>
      <c r="AL209" s="375"/>
      <c r="AM209" s="375"/>
      <c r="AN209" s="375"/>
      <c r="AO209" s="375"/>
      <c r="AP209" s="375"/>
      <c r="AQ209" s="175">
        <f t="shared" si="269"/>
        <v>1428142.6300000001</v>
      </c>
      <c r="AR209" s="175">
        <f t="shared" si="269"/>
        <v>1548861.47</v>
      </c>
      <c r="AS209" s="175">
        <f t="shared" si="269"/>
        <v>1404955.53</v>
      </c>
      <c r="AT209" s="175">
        <f t="shared" si="269"/>
        <v>1487833.6999999997</v>
      </c>
      <c r="AU209" s="181"/>
      <c r="AV209" s="175">
        <f t="shared" si="270"/>
        <v>474673.193065</v>
      </c>
      <c r="AW209" s="175">
        <f t="shared" si="270"/>
        <v>439602.31639000005</v>
      </c>
      <c r="AX209" s="175">
        <f t="shared" si="270"/>
        <v>525177.24332666665</v>
      </c>
      <c r="AY209" s="175">
        <f t="shared" si="270"/>
        <v>428040.50472333329</v>
      </c>
      <c r="AZ209" s="175">
        <f t="shared" si="270"/>
        <v>481444.86139833333</v>
      </c>
      <c r="BA209" s="175">
        <f t="shared" si="270"/>
        <v>443773.4977961111</v>
      </c>
      <c r="BB209" s="175">
        <f t="shared" si="270"/>
        <v>447434.31461767841</v>
      </c>
      <c r="BC209" s="175">
        <f t="shared" si="270"/>
        <v>473554.03279553849</v>
      </c>
      <c r="BD209" s="175">
        <f t="shared" si="270"/>
        <v>463850.61289782246</v>
      </c>
      <c r="BE209" s="175">
        <f t="shared" si="270"/>
        <v>477033.95435311052</v>
      </c>
      <c r="BF209" s="175">
        <f t="shared" si="271"/>
        <v>487485.56725789746</v>
      </c>
      <c r="BG209" s="175">
        <f t="shared" si="271"/>
        <v>480616.54025279463</v>
      </c>
      <c r="BH209" s="375">
        <f t="shared" ca="1" si="271"/>
        <v>5622686.6388742859</v>
      </c>
      <c r="BI209" s="175">
        <f t="shared" si="271"/>
        <v>1439452.7527816666</v>
      </c>
      <c r="BJ209" s="175">
        <f t="shared" si="271"/>
        <v>1353258.8639177778</v>
      </c>
      <c r="BK209" s="175">
        <f t="shared" si="271"/>
        <v>1384838.9603110394</v>
      </c>
      <c r="BL209" s="175">
        <f t="shared" si="271"/>
        <v>1445136.0618638026</v>
      </c>
      <c r="BM209" s="181"/>
      <c r="BN209" s="175">
        <f t="shared" si="272"/>
        <v>0</v>
      </c>
      <c r="BO209" s="175">
        <f t="shared" si="272"/>
        <v>0</v>
      </c>
      <c r="BP209" s="175">
        <f t="shared" si="272"/>
        <v>515051.97238369309</v>
      </c>
      <c r="BQ209" s="175">
        <f t="shared" si="272"/>
        <v>435979.9616386416</v>
      </c>
      <c r="BR209" s="175">
        <f t="shared" si="272"/>
        <v>474601.39356877201</v>
      </c>
      <c r="BS209" s="175">
        <f t="shared" si="272"/>
        <v>458291.62855462194</v>
      </c>
      <c r="BT209" s="175">
        <f t="shared" si="272"/>
        <v>457496.87841749564</v>
      </c>
      <c r="BU209" s="175">
        <f t="shared" si="272"/>
        <v>478622.77078420197</v>
      </c>
      <c r="BV209" s="175">
        <f t="shared" si="272"/>
        <v>464675.0479126689</v>
      </c>
      <c r="BW209" s="175">
        <f t="shared" si="272"/>
        <v>473131.362064455</v>
      </c>
      <c r="BX209" s="175">
        <f t="shared" si="273"/>
        <v>472245.85746096988</v>
      </c>
      <c r="BY209" s="175">
        <f t="shared" si="273"/>
        <v>436034.92275016935</v>
      </c>
      <c r="BZ209" s="375">
        <f t="shared" ca="1" si="273"/>
        <v>4666131.7955356892</v>
      </c>
      <c r="CA209" s="175">
        <f t="shared" si="273"/>
        <v>515051.97238369309</v>
      </c>
      <c r="CB209" s="175">
        <f t="shared" si="273"/>
        <v>1368872.9837620354</v>
      </c>
      <c r="CC209" s="175">
        <f t="shared" si="273"/>
        <v>1400794.6971143663</v>
      </c>
      <c r="CD209" s="175">
        <f t="shared" si="273"/>
        <v>1381412.1422755942</v>
      </c>
      <c r="CE209" s="181"/>
      <c r="CH209" s="175"/>
      <c r="CI209" s="175"/>
      <c r="CJ209" s="175">
        <f t="shared" si="274"/>
        <v>-18772.762383693109</v>
      </c>
      <c r="CK209" s="175">
        <f t="shared" si="274"/>
        <v>165083.21836135848</v>
      </c>
      <c r="CL209" s="175">
        <f t="shared" si="274"/>
        <v>-6339.8935687720723</v>
      </c>
      <c r="CM209" s="175">
        <f t="shared" si="274"/>
        <v>21245.161445378159</v>
      </c>
      <c r="CN209" s="175">
        <f t="shared" si="274"/>
        <v>12729.891582504486</v>
      </c>
      <c r="CO209" s="175">
        <f t="shared" si="274"/>
        <v>40095.209215798001</v>
      </c>
      <c r="CP209" s="175">
        <f t="shared" si="274"/>
        <v>-48664.267912668969</v>
      </c>
      <c r="CQ209" s="175">
        <f t="shared" si="274"/>
        <v>38571.177935544976</v>
      </c>
      <c r="CR209" s="175">
        <f t="shared" si="274"/>
        <v>0</v>
      </c>
      <c r="CS209" s="175">
        <f t="shared" si="274"/>
        <v>0</v>
      </c>
      <c r="CU209" s="175">
        <f t="shared" si="274"/>
        <v>5737965.7779445825</v>
      </c>
      <c r="CV209" s="175" t="e">
        <f t="shared" si="274"/>
        <v>#VALUE!</v>
      </c>
      <c r="CW209" s="175">
        <f t="shared" si="274"/>
        <v>5622686.6388742859</v>
      </c>
    </row>
    <row r="210" spans="3:101" outlineLevel="1">
      <c r="C210" s="97" t="s">
        <v>620</v>
      </c>
      <c r="D210" s="284" t="s">
        <v>8</v>
      </c>
      <c r="F210" s="320" t="str">
        <f t="shared" si="248"/>
        <v>COGS - CFG</v>
      </c>
      <c r="G210" s="175">
        <f t="shared" si="266"/>
        <v>14382</v>
      </c>
      <c r="H210" s="175">
        <f t="shared" si="266"/>
        <v>13043</v>
      </c>
      <c r="I210" s="175">
        <f t="shared" si="266"/>
        <v>13614</v>
      </c>
      <c r="J210" s="175">
        <f t="shared" si="266"/>
        <v>12158</v>
      </c>
      <c r="K210" s="175">
        <f t="shared" si="266"/>
        <v>12328</v>
      </c>
      <c r="L210" s="175">
        <f t="shared" si="266"/>
        <v>11705.75</v>
      </c>
      <c r="M210" s="175">
        <f t="shared" si="266"/>
        <v>12066.82</v>
      </c>
      <c r="N210" s="175">
        <f t="shared" si="266"/>
        <v>12246</v>
      </c>
      <c r="O210" s="175">
        <f t="shared" si="266"/>
        <v>11923</v>
      </c>
      <c r="P210" s="175">
        <f t="shared" si="266"/>
        <v>12766</v>
      </c>
      <c r="Q210" s="175">
        <f t="shared" si="267"/>
        <v>12610.46</v>
      </c>
      <c r="R210" s="175">
        <f t="shared" si="267"/>
        <v>13861</v>
      </c>
      <c r="S210" s="375">
        <f t="shared" ca="1" si="267"/>
        <v>152704.03</v>
      </c>
      <c r="T210" s="175">
        <f t="shared" si="267"/>
        <v>41039</v>
      </c>
      <c r="U210" s="175">
        <f t="shared" si="267"/>
        <v>36191.75</v>
      </c>
      <c r="V210" s="175">
        <f t="shared" si="267"/>
        <v>36235.82</v>
      </c>
      <c r="W210" s="175">
        <f t="shared" si="267"/>
        <v>39237.46</v>
      </c>
      <c r="X210" s="181"/>
      <c r="Y210" s="175">
        <f t="shared" si="268"/>
        <v>15654</v>
      </c>
      <c r="Z210" s="175">
        <f t="shared" si="268"/>
        <v>14530</v>
      </c>
      <c r="AA210" s="175">
        <f t="shared" si="268"/>
        <v>15000</v>
      </c>
      <c r="AB210" s="175">
        <f t="shared" si="268"/>
        <v>14552</v>
      </c>
      <c r="AC210" s="175">
        <f t="shared" si="268"/>
        <v>13763</v>
      </c>
      <c r="AD210" s="175">
        <f t="shared" si="268"/>
        <v>13254</v>
      </c>
      <c r="AE210" s="175">
        <f t="shared" si="268"/>
        <v>14320</v>
      </c>
      <c r="AF210" s="175">
        <f t="shared" si="268"/>
        <v>13651</v>
      </c>
      <c r="AG210" s="175">
        <f t="shared" si="268"/>
        <v>13183</v>
      </c>
      <c r="AH210" s="175">
        <f t="shared" si="268"/>
        <v>14006</v>
      </c>
      <c r="AI210" s="175">
        <f t="shared" si="269"/>
        <v>14373</v>
      </c>
      <c r="AJ210" s="175">
        <f t="shared" si="269"/>
        <v>15063.42</v>
      </c>
      <c r="AK210" s="375">
        <f t="shared" ca="1" si="269"/>
        <v>171349.42</v>
      </c>
      <c r="AL210" s="375"/>
      <c r="AM210" s="375"/>
      <c r="AN210" s="375"/>
      <c r="AO210" s="375"/>
      <c r="AP210" s="375"/>
      <c r="AQ210" s="175">
        <f t="shared" si="269"/>
        <v>45184</v>
      </c>
      <c r="AR210" s="175">
        <f t="shared" si="269"/>
        <v>41569</v>
      </c>
      <c r="AS210" s="175">
        <f t="shared" si="269"/>
        <v>41154</v>
      </c>
      <c r="AT210" s="175">
        <f t="shared" si="269"/>
        <v>43442.42</v>
      </c>
      <c r="AU210" s="181"/>
      <c r="AV210" s="175">
        <f t="shared" si="270"/>
        <v>12120.083333333334</v>
      </c>
      <c r="AW210" s="175">
        <f t="shared" si="270"/>
        <v>12120.083333333334</v>
      </c>
      <c r="AX210" s="175">
        <f t="shared" si="270"/>
        <v>12120.083333333334</v>
      </c>
      <c r="AY210" s="175">
        <f t="shared" si="270"/>
        <v>12120.083333333334</v>
      </c>
      <c r="AZ210" s="175">
        <f t="shared" si="270"/>
        <v>12120.083333333334</v>
      </c>
      <c r="BA210" s="175">
        <f t="shared" si="270"/>
        <v>12120.083333333334</v>
      </c>
      <c r="BB210" s="175">
        <f t="shared" si="270"/>
        <v>12120.083333333334</v>
      </c>
      <c r="BC210" s="175">
        <f t="shared" si="270"/>
        <v>12120.083333333334</v>
      </c>
      <c r="BD210" s="175">
        <f t="shared" si="270"/>
        <v>12120.083333333334</v>
      </c>
      <c r="BE210" s="175">
        <f t="shared" si="270"/>
        <v>12120.083333333334</v>
      </c>
      <c r="BF210" s="175">
        <f t="shared" si="271"/>
        <v>12120.083333333334</v>
      </c>
      <c r="BG210" s="175">
        <f t="shared" si="271"/>
        <v>12120.083333333334</v>
      </c>
      <c r="BH210" s="375">
        <f t="shared" ca="1" si="271"/>
        <v>145441</v>
      </c>
      <c r="BI210" s="175">
        <f t="shared" si="271"/>
        <v>36360.25</v>
      </c>
      <c r="BJ210" s="175">
        <f t="shared" si="271"/>
        <v>36360.25</v>
      </c>
      <c r="BK210" s="175">
        <f t="shared" si="271"/>
        <v>36360.25</v>
      </c>
      <c r="BL210" s="175">
        <f t="shared" si="271"/>
        <v>36360.25</v>
      </c>
      <c r="BM210" s="181"/>
      <c r="BN210" s="175">
        <f t="shared" si="272"/>
        <v>0</v>
      </c>
      <c r="BO210" s="175">
        <f t="shared" si="272"/>
        <v>0</v>
      </c>
      <c r="BP210" s="175">
        <f t="shared" si="272"/>
        <v>13992.725258159624</v>
      </c>
      <c r="BQ210" s="175">
        <f t="shared" si="272"/>
        <v>13498.833463024856</v>
      </c>
      <c r="BR210" s="175">
        <f t="shared" si="272"/>
        <v>12959.369547010147</v>
      </c>
      <c r="BS210" s="175">
        <f t="shared" si="272"/>
        <v>12448.208464932624</v>
      </c>
      <c r="BT210" s="175">
        <f t="shared" si="272"/>
        <v>12212.203624774011</v>
      </c>
      <c r="BU210" s="175">
        <f t="shared" si="272"/>
        <v>12773.910944955158</v>
      </c>
      <c r="BV210" s="175">
        <f t="shared" si="272"/>
        <v>12600.070005086252</v>
      </c>
      <c r="BW210" s="175">
        <f t="shared" si="272"/>
        <v>13206.00721638954</v>
      </c>
      <c r="BX210" s="175">
        <f t="shared" si="273"/>
        <v>13170.503774611081</v>
      </c>
      <c r="BY210" s="175">
        <f t="shared" si="273"/>
        <v>14145.689883246521</v>
      </c>
      <c r="BZ210" s="375">
        <f t="shared" ca="1" si="273"/>
        <v>131007.5221821898</v>
      </c>
      <c r="CA210" s="175">
        <f t="shared" si="273"/>
        <v>13992.725258159624</v>
      </c>
      <c r="CB210" s="175">
        <f t="shared" si="273"/>
        <v>38906.411474967623</v>
      </c>
      <c r="CC210" s="175">
        <f t="shared" si="273"/>
        <v>37586.184574815423</v>
      </c>
      <c r="CD210" s="175">
        <f t="shared" si="273"/>
        <v>40522.200874247144</v>
      </c>
      <c r="CE210" s="181"/>
      <c r="CH210" s="175"/>
      <c r="CI210" s="175"/>
      <c r="CJ210" s="175">
        <f t="shared" si="274"/>
        <v>1007.274741840376</v>
      </c>
      <c r="CK210" s="175">
        <f t="shared" si="274"/>
        <v>1053.1665369751445</v>
      </c>
      <c r="CL210" s="175">
        <f t="shared" si="274"/>
        <v>803.63045298985344</v>
      </c>
      <c r="CM210" s="175">
        <f t="shared" si="274"/>
        <v>805.79153506737566</v>
      </c>
      <c r="CN210" s="175">
        <f t="shared" si="274"/>
        <v>2107.7963752259893</v>
      </c>
      <c r="CO210" s="175">
        <f t="shared" si="274"/>
        <v>877.0890550448421</v>
      </c>
      <c r="CP210" s="175">
        <f t="shared" si="274"/>
        <v>582.92999491374758</v>
      </c>
      <c r="CQ210" s="175">
        <f t="shared" si="274"/>
        <v>799.99278361045981</v>
      </c>
      <c r="CR210" s="175">
        <f t="shared" si="274"/>
        <v>0</v>
      </c>
      <c r="CS210" s="175">
        <f t="shared" si="274"/>
        <v>0</v>
      </c>
      <c r="CU210" s="175">
        <f t="shared" si="274"/>
        <v>164055.5939139952</v>
      </c>
      <c r="CV210" s="175">
        <f t="shared" si="274"/>
        <v>167846.2708793334</v>
      </c>
      <c r="CW210" s="175">
        <f t="shared" si="274"/>
        <v>145441</v>
      </c>
    </row>
    <row r="211" spans="3:101">
      <c r="C211" s="250" t="s">
        <v>214</v>
      </c>
      <c r="D211" s="284" t="s">
        <v>8</v>
      </c>
      <c r="F211" s="293" t="str">
        <f t="shared" si="248"/>
        <v>TOTAL - CFG</v>
      </c>
      <c r="G211" s="375">
        <f t="shared" ref="G211:W211" si="275">SUM(G204:G209)-G210</f>
        <v>1997019.5749999974</v>
      </c>
      <c r="H211" s="375">
        <f t="shared" si="275"/>
        <v>1916886.5500000019</v>
      </c>
      <c r="I211" s="375">
        <f t="shared" si="275"/>
        <v>2360393.2999999984</v>
      </c>
      <c r="J211" s="375">
        <f t="shared" si="275"/>
        <v>1729182.6899999978</v>
      </c>
      <c r="K211" s="375">
        <f t="shared" si="275"/>
        <v>1826011.2699999942</v>
      </c>
      <c r="L211" s="375">
        <f t="shared" si="275"/>
        <v>1743590.419999999</v>
      </c>
      <c r="M211" s="375">
        <f t="shared" si="275"/>
        <v>1795982.2499999963</v>
      </c>
      <c r="N211" s="375">
        <f t="shared" si="275"/>
        <v>1828036.7699999963</v>
      </c>
      <c r="O211" s="375">
        <f t="shared" si="275"/>
        <v>1758203.4699999993</v>
      </c>
      <c r="P211" s="375">
        <f t="shared" si="275"/>
        <v>1876541.3400000089</v>
      </c>
      <c r="Q211" s="375">
        <f t="shared" si="275"/>
        <v>1854775.4800000037</v>
      </c>
      <c r="R211" s="375">
        <f t="shared" si="275"/>
        <v>2003951.9100000032</v>
      </c>
      <c r="S211" s="375">
        <f t="shared" ca="1" si="275"/>
        <v>22690575.024999995</v>
      </c>
      <c r="T211" s="375">
        <f t="shared" si="275"/>
        <v>6274299.424999997</v>
      </c>
      <c r="U211" s="375">
        <f t="shared" si="275"/>
        <v>5298784.3799999915</v>
      </c>
      <c r="V211" s="375">
        <f t="shared" si="275"/>
        <v>5382222.4899999918</v>
      </c>
      <c r="W211" s="375">
        <f t="shared" si="275"/>
        <v>5735268.7300000163</v>
      </c>
      <c r="X211" s="181"/>
      <c r="Y211" s="375">
        <f t="shared" ref="Y211:AT211" si="276">SUM(Y204:Y209)-Y210</f>
        <v>2034134.3800000071</v>
      </c>
      <c r="Z211" s="375">
        <f t="shared" si="276"/>
        <v>2000410.3100000061</v>
      </c>
      <c r="AA211" s="375">
        <f t="shared" si="276"/>
        <v>2016201.1500000136</v>
      </c>
      <c r="AB211" s="375">
        <f t="shared" si="276"/>
        <v>2114757.709999999</v>
      </c>
      <c r="AC211" s="375">
        <f t="shared" si="276"/>
        <v>1877394.9099999932</v>
      </c>
      <c r="AD211" s="375">
        <f t="shared" si="276"/>
        <v>1845556.4700000011</v>
      </c>
      <c r="AE211" s="375">
        <f t="shared" si="276"/>
        <v>1857366.5699999991</v>
      </c>
      <c r="AF211" s="375">
        <f t="shared" si="276"/>
        <v>1895732.3800000036</v>
      </c>
      <c r="AG211" s="375">
        <f t="shared" si="276"/>
        <v>1773572.9799999981</v>
      </c>
      <c r="AH211" s="375">
        <f t="shared" si="276"/>
        <v>1911192.2799999982</v>
      </c>
      <c r="AI211" s="375">
        <f t="shared" si="276"/>
        <v>1965981.27</v>
      </c>
      <c r="AJ211" s="375">
        <f t="shared" si="276"/>
        <v>2018776.7100000067</v>
      </c>
      <c r="AK211" s="375">
        <f t="shared" ca="1" si="276"/>
        <v>23311077.120000023</v>
      </c>
      <c r="AL211" s="375"/>
      <c r="AM211" s="375"/>
      <c r="AN211" s="375"/>
      <c r="AO211" s="375"/>
      <c r="AP211" s="375"/>
      <c r="AQ211" s="375">
        <f t="shared" si="276"/>
        <v>6050745.8400000269</v>
      </c>
      <c r="AR211" s="375">
        <f t="shared" si="276"/>
        <v>5837709.0899999933</v>
      </c>
      <c r="AS211" s="375">
        <f t="shared" si="276"/>
        <v>5526671.9300000006</v>
      </c>
      <c r="AT211" s="375">
        <f t="shared" si="276"/>
        <v>5895950.2600000054</v>
      </c>
      <c r="AU211" s="181"/>
      <c r="AV211" s="375">
        <f t="shared" ref="AV211:BL211" si="277">SUM(AV204:AV209)-AV210</f>
        <v>2103464.1666041156</v>
      </c>
      <c r="AW211" s="375">
        <f t="shared" si="277"/>
        <v>1966618.2319959332</v>
      </c>
      <c r="AX211" s="375">
        <f t="shared" si="277"/>
        <v>2061255.1302102737</v>
      </c>
      <c r="AY211" s="375">
        <f t="shared" si="277"/>
        <v>1917738.1162221255</v>
      </c>
      <c r="AZ211" s="375">
        <f t="shared" si="277"/>
        <v>1910578.2400462849</v>
      </c>
      <c r="BA211" s="375">
        <f t="shared" si="277"/>
        <v>1833731.2950077872</v>
      </c>
      <c r="BB211" s="375">
        <f t="shared" si="277"/>
        <v>1859310.7155035126</v>
      </c>
      <c r="BC211" s="375">
        <f t="shared" si="277"/>
        <v>1897658.9689346447</v>
      </c>
      <c r="BD211" s="375">
        <f t="shared" si="277"/>
        <v>1868461.6000109329</v>
      </c>
      <c r="BE211" s="375">
        <f t="shared" si="277"/>
        <v>1912994.5454220094</v>
      </c>
      <c r="BF211" s="375">
        <f t="shared" si="277"/>
        <v>1990342.4174358419</v>
      </c>
      <c r="BG211" s="375">
        <f t="shared" si="277"/>
        <v>2074321.9403616071</v>
      </c>
      <c r="BH211" s="375">
        <f t="shared" ca="1" si="277"/>
        <v>23396475.367755067</v>
      </c>
      <c r="BI211" s="375">
        <f t="shared" si="277"/>
        <v>6131337.5288103223</v>
      </c>
      <c r="BJ211" s="375">
        <f t="shared" si="277"/>
        <v>5662047.6512761973</v>
      </c>
      <c r="BK211" s="375">
        <f t="shared" si="277"/>
        <v>5625431.2844490902</v>
      </c>
      <c r="BL211" s="375">
        <f t="shared" si="277"/>
        <v>5977658.9032194577</v>
      </c>
      <c r="BM211" s="181"/>
      <c r="BN211" s="375">
        <f>SUM(BN204:BN209)-BN210</f>
        <v>0</v>
      </c>
      <c r="BO211" s="375">
        <f>SUM(BO204:BO209)-BO210</f>
        <v>0</v>
      </c>
      <c r="BP211" s="375">
        <f>SUM(BP204:BP209)-BP210</f>
        <v>2009738.6694629753</v>
      </c>
      <c r="BQ211" s="375">
        <f t="shared" ref="BQ211:CD211" si="278">SUM(BQ204:BQ209)-BQ210</f>
        <v>1936480.8033710215</v>
      </c>
      <c r="BR211" s="375">
        <f t="shared" si="278"/>
        <v>1901864.4453297763</v>
      </c>
      <c r="BS211" s="375">
        <f t="shared" si="278"/>
        <v>1839469.3137545648</v>
      </c>
      <c r="BT211" s="375">
        <f t="shared" si="278"/>
        <v>1849334.4949868016</v>
      </c>
      <c r="BU211" s="375">
        <f t="shared" si="278"/>
        <v>1885561.2081202846</v>
      </c>
      <c r="BV211" s="375">
        <f t="shared" si="278"/>
        <v>1836851.0373357094</v>
      </c>
      <c r="BW211" s="375">
        <f t="shared" si="278"/>
        <v>1884906.4977785777</v>
      </c>
      <c r="BX211" s="375">
        <f t="shared" si="278"/>
        <v>1931294.2057784623</v>
      </c>
      <c r="BY211" s="375">
        <f t="shared" si="278"/>
        <v>1987212.0916855906</v>
      </c>
      <c r="BZ211" s="375">
        <f t="shared" ca="1" si="278"/>
        <v>19062712.767603766</v>
      </c>
      <c r="CA211" s="375">
        <f t="shared" si="278"/>
        <v>2009738.6694629753</v>
      </c>
      <c r="CB211" s="375">
        <f t="shared" si="278"/>
        <v>5677814.5624553626</v>
      </c>
      <c r="CC211" s="375">
        <f t="shared" si="278"/>
        <v>5571746.7404427957</v>
      </c>
      <c r="CD211" s="375">
        <f t="shared" si="278"/>
        <v>5803412.7952426309</v>
      </c>
      <c r="CE211" s="181"/>
      <c r="CH211" s="375"/>
      <c r="CI211" s="375"/>
      <c r="CJ211" s="375">
        <f t="shared" ref="CJ211:CS211" si="279">SUM(CJ204:CJ209)-CJ210</f>
        <v>6462.4805370382037</v>
      </c>
      <c r="CK211" s="375">
        <f t="shared" si="279"/>
        <v>178276.9066289773</v>
      </c>
      <c r="CL211" s="375">
        <f t="shared" si="279"/>
        <v>-24469.535329783495</v>
      </c>
      <c r="CM211" s="375">
        <f t="shared" si="279"/>
        <v>6087.1562454366212</v>
      </c>
      <c r="CN211" s="375">
        <f t="shared" si="279"/>
        <v>8032.0750131975383</v>
      </c>
      <c r="CO211" s="375">
        <f t="shared" si="279"/>
        <v>10171.171879719172</v>
      </c>
      <c r="CP211" s="375">
        <f t="shared" si="279"/>
        <v>-63278.057335711354</v>
      </c>
      <c r="CQ211" s="375">
        <f t="shared" si="279"/>
        <v>26285.782221420319</v>
      </c>
      <c r="CR211" s="375">
        <f t="shared" si="279"/>
        <v>0</v>
      </c>
      <c r="CS211" s="375">
        <f t="shared" si="279"/>
        <v>0</v>
      </c>
      <c r="CU211" s="375">
        <f>SUM(CU204:CU209)-CU210</f>
        <v>23257527.309440009</v>
      </c>
      <c r="CV211" s="375" t="e">
        <f>SUM(CV204:CV209)-CV210</f>
        <v>#VALUE!</v>
      </c>
      <c r="CW211" s="375">
        <f>SUM(CW204:CW209)-CW210</f>
        <v>23396475.367755067</v>
      </c>
    </row>
    <row r="212" spans="3:101">
      <c r="F212" s="97"/>
      <c r="X212" s="181"/>
      <c r="AU212" s="181"/>
      <c r="BM212" s="181"/>
      <c r="CE212" s="181"/>
    </row>
    <row r="213" spans="3:101" outlineLevel="1">
      <c r="C213" s="97" t="s">
        <v>0</v>
      </c>
      <c r="D213" s="284" t="s">
        <v>4</v>
      </c>
      <c r="F213" s="320" t="str">
        <f>CONCATENATE(C213, " - ",D213)</f>
        <v>Residential - IGC</v>
      </c>
      <c r="G213" s="175">
        <f t="shared" ref="G213:W219" si="280">SUMIFS(G$5:G$181,$C$5:$C$181,$C213,$D$5:$D$181,$D213)</f>
        <v>10629.220000000007</v>
      </c>
      <c r="H213" s="175">
        <f t="shared" si="280"/>
        <v>9749.7299999999959</v>
      </c>
      <c r="I213" s="175">
        <f t="shared" si="280"/>
        <v>9878.9499999999935</v>
      </c>
      <c r="J213" s="175">
        <f t="shared" si="280"/>
        <v>10163.71000000001</v>
      </c>
      <c r="K213" s="175">
        <f t="shared" si="280"/>
        <v>9863.31</v>
      </c>
      <c r="L213" s="175">
        <f t="shared" si="280"/>
        <v>9441.5100000000039</v>
      </c>
      <c r="M213" s="175">
        <f t="shared" si="280"/>
        <v>9842.6099999999897</v>
      </c>
      <c r="N213" s="175">
        <f t="shared" si="280"/>
        <v>9233.2900000000027</v>
      </c>
      <c r="O213" s="175">
        <f t="shared" si="280"/>
        <v>9360.6099999999933</v>
      </c>
      <c r="P213" s="175">
        <f t="shared" si="280"/>
        <v>9404.9399999999951</v>
      </c>
      <c r="Q213" s="175">
        <f t="shared" si="280"/>
        <v>10043.070000000007</v>
      </c>
      <c r="R213" s="175">
        <f t="shared" si="280"/>
        <v>10510.440000000008</v>
      </c>
      <c r="S213" s="375">
        <f t="shared" ca="1" si="280"/>
        <v>118121.39000000001</v>
      </c>
      <c r="T213" s="175">
        <f t="shared" si="280"/>
        <v>30257.899999999998</v>
      </c>
      <c r="U213" s="175">
        <f t="shared" si="280"/>
        <v>29468.530000000013</v>
      </c>
      <c r="V213" s="175">
        <f t="shared" si="280"/>
        <v>28436.509999999987</v>
      </c>
      <c r="W213" s="175">
        <f t="shared" si="280"/>
        <v>29958.450000000012</v>
      </c>
      <c r="X213" s="181"/>
      <c r="Y213" s="175">
        <f t="shared" ref="Y213:AT219" si="281">SUMIFS(Y$5:Y$181,$C$5:$C$181,$C213,$D$5:$D$181,$D213)</f>
        <v>10659.050000000005</v>
      </c>
      <c r="Z213" s="175">
        <f t="shared" si="281"/>
        <v>9879.9399999999914</v>
      </c>
      <c r="AA213" s="175">
        <f t="shared" si="281"/>
        <v>10068.860000000006</v>
      </c>
      <c r="AB213" s="175">
        <f t="shared" si="281"/>
        <v>9778.0400000000063</v>
      </c>
      <c r="AC213" s="175">
        <f t="shared" si="281"/>
        <v>9442.0199999999822</v>
      </c>
      <c r="AD213" s="175">
        <f t="shared" si="281"/>
        <v>9592.0200000000168</v>
      </c>
      <c r="AE213" s="175">
        <f t="shared" si="281"/>
        <v>9484.7999999999975</v>
      </c>
      <c r="AF213" s="175">
        <f t="shared" si="281"/>
        <v>9096.3500000000222</v>
      </c>
      <c r="AG213" s="175">
        <f t="shared" si="281"/>
        <v>9540.5399999999845</v>
      </c>
      <c r="AH213" s="175">
        <f t="shared" si="281"/>
        <v>9181.2299999999941</v>
      </c>
      <c r="AI213" s="175">
        <f t="shared" si="281"/>
        <v>8999.8700000000026</v>
      </c>
      <c r="AJ213" s="175">
        <f t="shared" si="281"/>
        <v>10788.779999999997</v>
      </c>
      <c r="AK213" s="375">
        <f t="shared" si="281"/>
        <v>116511.5</v>
      </c>
      <c r="AL213" s="375"/>
      <c r="AM213" s="375"/>
      <c r="AN213" s="375"/>
      <c r="AO213" s="375"/>
      <c r="AP213" s="375"/>
      <c r="AQ213" s="175">
        <f t="shared" si="281"/>
        <v>30607.850000000006</v>
      </c>
      <c r="AR213" s="175">
        <f t="shared" si="281"/>
        <v>28812.080000000009</v>
      </c>
      <c r="AS213" s="175">
        <f t="shared" si="281"/>
        <v>28121.690000000002</v>
      </c>
      <c r="AT213" s="175">
        <f t="shared" si="281"/>
        <v>28969.879999999997</v>
      </c>
      <c r="AU213" s="181"/>
      <c r="AV213" s="175">
        <f t="shared" ref="AV213:BL219" si="282">SUMIFS(AV$5:AV$181,$C$5:$C$181,$C213,$D$5:$D$181,$D213)</f>
        <v>10529.909579982072</v>
      </c>
      <c r="AW213" s="175">
        <f t="shared" si="282"/>
        <v>9789.0752147796666</v>
      </c>
      <c r="AX213" s="175">
        <f t="shared" si="282"/>
        <v>9872.5246368860662</v>
      </c>
      <c r="AY213" s="175">
        <f t="shared" si="282"/>
        <v>9720.0748583391778</v>
      </c>
      <c r="AZ213" s="175">
        <f t="shared" si="282"/>
        <v>9850.2553290130763</v>
      </c>
      <c r="BA213" s="175">
        <f t="shared" si="282"/>
        <v>9316.5626720703749</v>
      </c>
      <c r="BB213" s="175">
        <f t="shared" si="282"/>
        <v>9346.6761892189843</v>
      </c>
      <c r="BC213" s="175">
        <f t="shared" si="282"/>
        <v>9249.6767738617655</v>
      </c>
      <c r="BD213" s="175">
        <f t="shared" si="282"/>
        <v>9229.5864524598801</v>
      </c>
      <c r="BE213" s="175">
        <f t="shared" si="282"/>
        <v>9457.1224516227594</v>
      </c>
      <c r="BF213" s="175">
        <f t="shared" si="282"/>
        <v>9612.8105733967968</v>
      </c>
      <c r="BG213" s="175">
        <f t="shared" si="282"/>
        <v>10175.219553147901</v>
      </c>
      <c r="BH213" s="375">
        <f t="shared" ca="1" si="282"/>
        <v>116149.49428477854</v>
      </c>
      <c r="BI213" s="175">
        <f t="shared" si="282"/>
        <v>30191.509431647806</v>
      </c>
      <c r="BJ213" s="175">
        <f t="shared" si="282"/>
        <v>28886.892859422631</v>
      </c>
      <c r="BK213" s="175">
        <f t="shared" si="282"/>
        <v>27825.93941554063</v>
      </c>
      <c r="BL213" s="175">
        <f t="shared" si="282"/>
        <v>29245.152578167457</v>
      </c>
      <c r="BM213" s="181"/>
      <c r="BN213" s="175">
        <f t="shared" ref="BN213:CD219" si="283">SUMIFS(BN$5:BN$181,$C$5:$C$181,$C213,$D$5:$D$181,$D213)</f>
        <v>0</v>
      </c>
      <c r="BO213" s="175">
        <f t="shared" si="283"/>
        <v>0</v>
      </c>
      <c r="BP213" s="175">
        <f t="shared" si="283"/>
        <v>9916.5984075864508</v>
      </c>
      <c r="BQ213" s="175">
        <f t="shared" si="283"/>
        <v>9763.5327191067154</v>
      </c>
      <c r="BR213" s="175">
        <f t="shared" si="283"/>
        <v>9879.6152554780929</v>
      </c>
      <c r="BS213" s="175">
        <f t="shared" si="283"/>
        <v>9344.3733069123755</v>
      </c>
      <c r="BT213" s="175">
        <f t="shared" si="283"/>
        <v>9388.5269781259358</v>
      </c>
      <c r="BU213" s="175">
        <f t="shared" si="283"/>
        <v>9290.9699737450774</v>
      </c>
      <c r="BV213" s="175">
        <f t="shared" si="283"/>
        <v>9298.5669192196692</v>
      </c>
      <c r="BW213" s="175">
        <f t="shared" si="283"/>
        <v>9513.4987404550866</v>
      </c>
      <c r="BX213" s="175">
        <f t="shared" si="283"/>
        <v>9655.724906313746</v>
      </c>
      <c r="BY213" s="175">
        <f t="shared" si="283"/>
        <v>10220.916646949463</v>
      </c>
      <c r="BZ213" s="375">
        <f t="shared" ca="1" si="283"/>
        <v>96272.323853892623</v>
      </c>
      <c r="CA213" s="175">
        <f t="shared" si="283"/>
        <v>9916.5984075864508</v>
      </c>
      <c r="CB213" s="175">
        <f t="shared" si="283"/>
        <v>28987.521281497182</v>
      </c>
      <c r="CC213" s="175">
        <f t="shared" si="283"/>
        <v>27978.063871090682</v>
      </c>
      <c r="CD213" s="175">
        <f t="shared" si="283"/>
        <v>29390.140293718297</v>
      </c>
      <c r="CE213" s="181"/>
      <c r="CH213" s="175"/>
      <c r="CI213" s="175"/>
      <c r="CJ213" s="175">
        <f t="shared" ref="CJ213:CW219" si="284">SUMIFS(CJ$5:CJ$181,$C$5:$C$181,$C213,$D$5:$D$181,$D213)</f>
        <v>152.26159241355526</v>
      </c>
      <c r="CK213" s="175">
        <f t="shared" si="284"/>
        <v>14.507280893290954</v>
      </c>
      <c r="CL213" s="175">
        <f t="shared" si="284"/>
        <v>-437.59525547811063</v>
      </c>
      <c r="CM213" s="175">
        <f t="shared" si="284"/>
        <v>247.64669308764132</v>
      </c>
      <c r="CN213" s="175">
        <f t="shared" si="284"/>
        <v>96.273021874061669</v>
      </c>
      <c r="CO213" s="175">
        <f t="shared" si="284"/>
        <v>-194.61997374505518</v>
      </c>
      <c r="CP213" s="175">
        <f t="shared" si="284"/>
        <v>241.97308078031529</v>
      </c>
      <c r="CQ213" s="175">
        <f t="shared" si="284"/>
        <v>-332.26874045509248</v>
      </c>
      <c r="CR213" s="175">
        <f t="shared" si="284"/>
        <v>0</v>
      </c>
      <c r="CS213" s="175">
        <f t="shared" si="284"/>
        <v>0</v>
      </c>
      <c r="CU213" s="175">
        <f t="shared" si="284"/>
        <v>116540.48747172137</v>
      </c>
      <c r="CV213" s="175" t="e">
        <f t="shared" si="284"/>
        <v>#VALUE!</v>
      </c>
      <c r="CW213" s="175">
        <f t="shared" si="284"/>
        <v>116149.49428477854</v>
      </c>
    </row>
    <row r="214" spans="3:101" outlineLevel="1">
      <c r="C214" s="97" t="s">
        <v>534</v>
      </c>
      <c r="D214" s="284" t="s">
        <v>4</v>
      </c>
      <c r="F214" s="320" t="str">
        <f t="shared" si="248"/>
        <v>Residential - Experimental - IGC</v>
      </c>
      <c r="G214" s="175">
        <f t="shared" si="280"/>
        <v>0</v>
      </c>
      <c r="H214" s="175">
        <f t="shared" si="280"/>
        <v>0</v>
      </c>
      <c r="I214" s="175">
        <f t="shared" si="280"/>
        <v>0</v>
      </c>
      <c r="J214" s="175">
        <f t="shared" si="280"/>
        <v>0</v>
      </c>
      <c r="K214" s="175">
        <f t="shared" si="280"/>
        <v>0</v>
      </c>
      <c r="L214" s="175">
        <f t="shared" si="280"/>
        <v>0</v>
      </c>
      <c r="M214" s="175">
        <f t="shared" si="280"/>
        <v>0</v>
      </c>
      <c r="N214" s="175">
        <f t="shared" si="280"/>
        <v>0</v>
      </c>
      <c r="O214" s="175">
        <f t="shared" si="280"/>
        <v>0</v>
      </c>
      <c r="P214" s="175">
        <f t="shared" si="280"/>
        <v>0</v>
      </c>
      <c r="Q214" s="175">
        <f t="shared" si="280"/>
        <v>0</v>
      </c>
      <c r="R214" s="175">
        <f t="shared" si="280"/>
        <v>0</v>
      </c>
      <c r="S214" s="375">
        <f t="shared" si="280"/>
        <v>0</v>
      </c>
      <c r="T214" s="175">
        <f t="shared" si="280"/>
        <v>0</v>
      </c>
      <c r="U214" s="175">
        <f t="shared" si="280"/>
        <v>0</v>
      </c>
      <c r="V214" s="175">
        <f t="shared" si="280"/>
        <v>0</v>
      </c>
      <c r="W214" s="175">
        <f t="shared" si="280"/>
        <v>0</v>
      </c>
      <c r="X214" s="181"/>
      <c r="Y214" s="175">
        <f t="shared" si="281"/>
        <v>0</v>
      </c>
      <c r="Z214" s="175">
        <f t="shared" si="281"/>
        <v>0</v>
      </c>
      <c r="AA214" s="175">
        <f t="shared" si="281"/>
        <v>0</v>
      </c>
      <c r="AB214" s="175">
        <f t="shared" si="281"/>
        <v>0</v>
      </c>
      <c r="AC214" s="175">
        <f t="shared" si="281"/>
        <v>0</v>
      </c>
      <c r="AD214" s="175">
        <f t="shared" si="281"/>
        <v>0</v>
      </c>
      <c r="AE214" s="175">
        <f t="shared" si="281"/>
        <v>0</v>
      </c>
      <c r="AF214" s="175">
        <f t="shared" si="281"/>
        <v>0</v>
      </c>
      <c r="AG214" s="175">
        <f t="shared" si="281"/>
        <v>0</v>
      </c>
      <c r="AH214" s="175">
        <f t="shared" si="281"/>
        <v>0</v>
      </c>
      <c r="AI214" s="175">
        <f t="shared" si="281"/>
        <v>0</v>
      </c>
      <c r="AJ214" s="175">
        <f t="shared" si="281"/>
        <v>0</v>
      </c>
      <c r="AK214" s="375">
        <f t="shared" si="281"/>
        <v>0</v>
      </c>
      <c r="AL214" s="375"/>
      <c r="AM214" s="375"/>
      <c r="AN214" s="375"/>
      <c r="AO214" s="375"/>
      <c r="AP214" s="375"/>
      <c r="AQ214" s="175">
        <f t="shared" si="281"/>
        <v>0</v>
      </c>
      <c r="AR214" s="175">
        <f t="shared" si="281"/>
        <v>0</v>
      </c>
      <c r="AS214" s="175">
        <f t="shared" si="281"/>
        <v>0</v>
      </c>
      <c r="AT214" s="175">
        <f t="shared" si="281"/>
        <v>0</v>
      </c>
      <c r="AU214" s="181"/>
      <c r="AV214" s="175">
        <f t="shared" si="282"/>
        <v>0</v>
      </c>
      <c r="AW214" s="175">
        <f t="shared" si="282"/>
        <v>0</v>
      </c>
      <c r="AX214" s="175">
        <f t="shared" si="282"/>
        <v>0</v>
      </c>
      <c r="AY214" s="175">
        <f t="shared" si="282"/>
        <v>0</v>
      </c>
      <c r="AZ214" s="175">
        <f t="shared" si="282"/>
        <v>0</v>
      </c>
      <c r="BA214" s="175">
        <f t="shared" si="282"/>
        <v>0</v>
      </c>
      <c r="BB214" s="175">
        <f t="shared" si="282"/>
        <v>0</v>
      </c>
      <c r="BC214" s="175">
        <f t="shared" si="282"/>
        <v>0</v>
      </c>
      <c r="BD214" s="175">
        <f t="shared" si="282"/>
        <v>0</v>
      </c>
      <c r="BE214" s="175">
        <f t="shared" si="282"/>
        <v>0</v>
      </c>
      <c r="BF214" s="175">
        <f t="shared" si="282"/>
        <v>0</v>
      </c>
      <c r="BG214" s="175">
        <f t="shared" si="282"/>
        <v>0</v>
      </c>
      <c r="BH214" s="375">
        <f t="shared" si="282"/>
        <v>0</v>
      </c>
      <c r="BI214" s="175">
        <f t="shared" si="282"/>
        <v>0</v>
      </c>
      <c r="BJ214" s="175">
        <f t="shared" si="282"/>
        <v>0</v>
      </c>
      <c r="BK214" s="175">
        <f t="shared" si="282"/>
        <v>0</v>
      </c>
      <c r="BL214" s="175">
        <f t="shared" si="282"/>
        <v>0</v>
      </c>
      <c r="BM214" s="181"/>
      <c r="BN214" s="175">
        <f t="shared" si="283"/>
        <v>0</v>
      </c>
      <c r="BO214" s="175">
        <f t="shared" si="283"/>
        <v>0</v>
      </c>
      <c r="BP214" s="175">
        <f t="shared" si="283"/>
        <v>0</v>
      </c>
      <c r="BQ214" s="175">
        <f t="shared" si="283"/>
        <v>0</v>
      </c>
      <c r="BR214" s="175">
        <f t="shared" si="283"/>
        <v>0</v>
      </c>
      <c r="BS214" s="175">
        <f t="shared" si="283"/>
        <v>0</v>
      </c>
      <c r="BT214" s="175">
        <f t="shared" si="283"/>
        <v>0</v>
      </c>
      <c r="BU214" s="175">
        <f t="shared" si="283"/>
        <v>0</v>
      </c>
      <c r="BV214" s="175">
        <f t="shared" si="283"/>
        <v>0</v>
      </c>
      <c r="BW214" s="175">
        <f t="shared" si="283"/>
        <v>0</v>
      </c>
      <c r="BX214" s="175">
        <f t="shared" si="283"/>
        <v>0</v>
      </c>
      <c r="BY214" s="175">
        <f t="shared" si="283"/>
        <v>0</v>
      </c>
      <c r="BZ214" s="375">
        <f t="shared" si="283"/>
        <v>0</v>
      </c>
      <c r="CA214" s="175">
        <f t="shared" si="283"/>
        <v>0</v>
      </c>
      <c r="CB214" s="175">
        <f t="shared" si="283"/>
        <v>0</v>
      </c>
      <c r="CC214" s="175">
        <f t="shared" si="283"/>
        <v>0</v>
      </c>
      <c r="CD214" s="175">
        <f t="shared" si="283"/>
        <v>0</v>
      </c>
      <c r="CE214" s="181"/>
      <c r="CH214" s="175"/>
      <c r="CI214" s="175"/>
      <c r="CJ214" s="175">
        <f t="shared" si="284"/>
        <v>0</v>
      </c>
      <c r="CK214" s="175">
        <f t="shared" si="284"/>
        <v>0</v>
      </c>
      <c r="CL214" s="175">
        <f t="shared" si="284"/>
        <v>0</v>
      </c>
      <c r="CM214" s="175">
        <f t="shared" si="284"/>
        <v>0</v>
      </c>
      <c r="CN214" s="175">
        <f t="shared" si="284"/>
        <v>0</v>
      </c>
      <c r="CO214" s="175">
        <f t="shared" si="284"/>
        <v>0</v>
      </c>
      <c r="CP214" s="175">
        <f t="shared" si="284"/>
        <v>0</v>
      </c>
      <c r="CQ214" s="175">
        <f t="shared" si="284"/>
        <v>0</v>
      </c>
      <c r="CR214" s="175">
        <f t="shared" si="284"/>
        <v>0</v>
      </c>
      <c r="CS214" s="175">
        <f t="shared" si="284"/>
        <v>0</v>
      </c>
      <c r="CU214" s="175">
        <f t="shared" si="284"/>
        <v>0</v>
      </c>
      <c r="CV214" s="175">
        <f t="shared" si="284"/>
        <v>0</v>
      </c>
      <c r="CW214" s="175">
        <f t="shared" si="284"/>
        <v>0</v>
      </c>
    </row>
    <row r="215" spans="3:101" outlineLevel="1">
      <c r="C215" s="97" t="s">
        <v>542</v>
      </c>
      <c r="D215" s="284" t="s">
        <v>4</v>
      </c>
      <c r="F215" s="320" t="str">
        <f t="shared" si="248"/>
        <v>Non-Residential - IGC</v>
      </c>
      <c r="G215" s="175">
        <f t="shared" si="280"/>
        <v>8056.14</v>
      </c>
      <c r="H215" s="175">
        <f t="shared" si="280"/>
        <v>8048.4400000000005</v>
      </c>
      <c r="I215" s="175">
        <f t="shared" si="280"/>
        <v>8041.63</v>
      </c>
      <c r="J215" s="175">
        <f t="shared" si="280"/>
        <v>7996.19</v>
      </c>
      <c r="K215" s="175">
        <f t="shared" si="280"/>
        <v>8011.72</v>
      </c>
      <c r="L215" s="175">
        <f t="shared" si="280"/>
        <v>7975.4800000000005</v>
      </c>
      <c r="M215" s="175">
        <f t="shared" si="280"/>
        <v>8021.93</v>
      </c>
      <c r="N215" s="175">
        <f t="shared" si="280"/>
        <v>7969.78</v>
      </c>
      <c r="O215" s="175">
        <f t="shared" si="280"/>
        <v>8013.35</v>
      </c>
      <c r="P215" s="175">
        <f t="shared" si="280"/>
        <v>7944.29</v>
      </c>
      <c r="Q215" s="175">
        <f t="shared" si="280"/>
        <v>8007.54</v>
      </c>
      <c r="R215" s="175">
        <f t="shared" si="280"/>
        <v>8000.79</v>
      </c>
      <c r="S215" s="375">
        <f t="shared" ca="1" si="280"/>
        <v>96087.28</v>
      </c>
      <c r="T215" s="175">
        <f t="shared" si="280"/>
        <v>24146.21</v>
      </c>
      <c r="U215" s="175">
        <f t="shared" si="280"/>
        <v>23983.39</v>
      </c>
      <c r="V215" s="175">
        <f t="shared" si="280"/>
        <v>24005.06</v>
      </c>
      <c r="W215" s="175">
        <f t="shared" si="280"/>
        <v>23952.62</v>
      </c>
      <c r="X215" s="181"/>
      <c r="Y215" s="175">
        <f t="shared" si="281"/>
        <v>8015.05</v>
      </c>
      <c r="Z215" s="175">
        <f t="shared" si="281"/>
        <v>-11785.6</v>
      </c>
      <c r="AA215" s="175">
        <f t="shared" si="281"/>
        <v>984.92000000000019</v>
      </c>
      <c r="AB215" s="175">
        <f t="shared" si="281"/>
        <v>1028.8900000000001</v>
      </c>
      <c r="AC215" s="175">
        <f t="shared" si="281"/>
        <v>978.06999999999994</v>
      </c>
      <c r="AD215" s="175">
        <f t="shared" si="281"/>
        <v>1017.32</v>
      </c>
      <c r="AE215" s="175">
        <f t="shared" si="281"/>
        <v>973.90000000000009</v>
      </c>
      <c r="AF215" s="175">
        <f t="shared" si="281"/>
        <v>958.57999999999993</v>
      </c>
      <c r="AG215" s="175">
        <f t="shared" si="281"/>
        <v>1029.95</v>
      </c>
      <c r="AH215" s="175">
        <f t="shared" si="281"/>
        <v>923.07999999999981</v>
      </c>
      <c r="AI215" s="175">
        <f t="shared" si="281"/>
        <v>1025.5900000000001</v>
      </c>
      <c r="AJ215" s="175">
        <f t="shared" si="281"/>
        <v>991.78000000000009</v>
      </c>
      <c r="AK215" s="375">
        <f t="shared" si="281"/>
        <v>6141.5299999999988</v>
      </c>
      <c r="AL215" s="375"/>
      <c r="AM215" s="375"/>
      <c r="AN215" s="375"/>
      <c r="AO215" s="375"/>
      <c r="AP215" s="375"/>
      <c r="AQ215" s="175">
        <f t="shared" si="281"/>
        <v>-2785.63</v>
      </c>
      <c r="AR215" s="175">
        <f t="shared" si="281"/>
        <v>3024.28</v>
      </c>
      <c r="AS215" s="175">
        <f t="shared" si="281"/>
        <v>2962.43</v>
      </c>
      <c r="AT215" s="175">
        <f t="shared" si="281"/>
        <v>2940.45</v>
      </c>
      <c r="AU215" s="181"/>
      <c r="AV215" s="175">
        <f t="shared" si="282"/>
        <v>1044.894849166926</v>
      </c>
      <c r="AW215" s="175">
        <f t="shared" si="282"/>
        <v>1016.9858169627674</v>
      </c>
      <c r="AX215" s="175">
        <f t="shared" si="282"/>
        <v>1021.2491625737695</v>
      </c>
      <c r="AY215" s="175">
        <f t="shared" si="282"/>
        <v>996.71363448939564</v>
      </c>
      <c r="AZ215" s="175">
        <f t="shared" si="282"/>
        <v>1025.9494808133543</v>
      </c>
      <c r="BA215" s="175">
        <f t="shared" si="282"/>
        <v>986.0595058483392</v>
      </c>
      <c r="BB215" s="175">
        <f t="shared" si="282"/>
        <v>1002.9292905396555</v>
      </c>
      <c r="BC215" s="175">
        <f t="shared" si="282"/>
        <v>976.60472389514052</v>
      </c>
      <c r="BD215" s="175">
        <f t="shared" si="282"/>
        <v>954.76078230675182</v>
      </c>
      <c r="BE215" s="175">
        <f t="shared" si="282"/>
        <v>982.08104033916936</v>
      </c>
      <c r="BF215" s="175">
        <f t="shared" si="282"/>
        <v>964.25319681826602</v>
      </c>
      <c r="BG215" s="175">
        <f t="shared" si="282"/>
        <v>1015.7273397521751</v>
      </c>
      <c r="BH215" s="375">
        <f t="shared" ca="1" si="282"/>
        <v>11988.208823505713</v>
      </c>
      <c r="BI215" s="175">
        <f t="shared" si="282"/>
        <v>3083.1298287034629</v>
      </c>
      <c r="BJ215" s="175">
        <f t="shared" si="282"/>
        <v>3008.7226211510892</v>
      </c>
      <c r="BK215" s="175">
        <f t="shared" si="282"/>
        <v>2934.2947967415475</v>
      </c>
      <c r="BL215" s="175">
        <f t="shared" si="282"/>
        <v>2962.0615769096103</v>
      </c>
      <c r="BM215" s="181"/>
      <c r="BN215" s="175">
        <f t="shared" si="283"/>
        <v>0</v>
      </c>
      <c r="BO215" s="175">
        <f t="shared" si="283"/>
        <v>0</v>
      </c>
      <c r="BP215" s="175">
        <f t="shared" si="283"/>
        <v>999.90225308721745</v>
      </c>
      <c r="BQ215" s="175">
        <f t="shared" si="283"/>
        <v>985.67122304600719</v>
      </c>
      <c r="BR215" s="175">
        <f t="shared" si="283"/>
        <v>980.96970446553917</v>
      </c>
      <c r="BS215" s="175">
        <f t="shared" si="283"/>
        <v>942.77254942013474</v>
      </c>
      <c r="BT215" s="175">
        <f t="shared" si="283"/>
        <v>962.96763582958692</v>
      </c>
      <c r="BU215" s="175">
        <f t="shared" si="283"/>
        <v>928.60515742338248</v>
      </c>
      <c r="BV215" s="175">
        <f t="shared" si="283"/>
        <v>947.35589330505536</v>
      </c>
      <c r="BW215" s="175">
        <f t="shared" si="283"/>
        <v>977.24106283024503</v>
      </c>
      <c r="BX215" s="175">
        <f t="shared" si="283"/>
        <v>967.98459356324099</v>
      </c>
      <c r="BY215" s="175">
        <f t="shared" si="283"/>
        <v>1021.5355480529691</v>
      </c>
      <c r="BZ215" s="375">
        <f t="shared" ca="1" si="283"/>
        <v>9715.0056210233779</v>
      </c>
      <c r="CA215" s="175">
        <f t="shared" si="283"/>
        <v>999.90225308721745</v>
      </c>
      <c r="CB215" s="175">
        <f t="shared" si="283"/>
        <v>2909.4134769316811</v>
      </c>
      <c r="CC215" s="175">
        <f t="shared" si="283"/>
        <v>2838.9286865580248</v>
      </c>
      <c r="CD215" s="175">
        <f t="shared" si="283"/>
        <v>2966.7612044464549</v>
      </c>
      <c r="CE215" s="181"/>
      <c r="CH215" s="175"/>
      <c r="CI215" s="175"/>
      <c r="CJ215" s="175">
        <f t="shared" si="284"/>
        <v>-14.982253087217302</v>
      </c>
      <c r="CK215" s="175">
        <f t="shared" si="284"/>
        <v>43.218776953992915</v>
      </c>
      <c r="CL215" s="175">
        <f t="shared" si="284"/>
        <v>-2.8997044655392301</v>
      </c>
      <c r="CM215" s="175">
        <f t="shared" si="284"/>
        <v>74.547450579865256</v>
      </c>
      <c r="CN215" s="175">
        <f t="shared" si="284"/>
        <v>10.932364170413095</v>
      </c>
      <c r="CO215" s="175">
        <f t="shared" si="284"/>
        <v>29.974842576617462</v>
      </c>
      <c r="CP215" s="175">
        <f t="shared" si="284"/>
        <v>82.594106694944756</v>
      </c>
      <c r="CQ215" s="175">
        <f t="shared" si="284"/>
        <v>-54.161062830245157</v>
      </c>
      <c r="CR215" s="175">
        <f t="shared" si="284"/>
        <v>0</v>
      </c>
      <c r="CS215" s="175">
        <f t="shared" si="284"/>
        <v>0</v>
      </c>
      <c r="CU215" s="175">
        <f t="shared" si="284"/>
        <v>5969.7924404246132</v>
      </c>
      <c r="CV215" s="175" t="e">
        <f t="shared" si="284"/>
        <v>#VALUE!</v>
      </c>
      <c r="CW215" s="175">
        <f t="shared" si="284"/>
        <v>11988.208823505713</v>
      </c>
    </row>
    <row r="216" spans="3:101" outlineLevel="1">
      <c r="C216" s="97" t="s">
        <v>579</v>
      </c>
      <c r="D216" s="284" t="s">
        <v>4</v>
      </c>
      <c r="F216" s="320" t="str">
        <f t="shared" si="248"/>
        <v>Non-Residential-Experimental - IGC</v>
      </c>
      <c r="G216" s="175">
        <f t="shared" si="280"/>
        <v>0</v>
      </c>
      <c r="H216" s="175">
        <f t="shared" si="280"/>
        <v>0</v>
      </c>
      <c r="I216" s="175">
        <f t="shared" si="280"/>
        <v>0</v>
      </c>
      <c r="J216" s="175">
        <f t="shared" si="280"/>
        <v>0</v>
      </c>
      <c r="K216" s="175">
        <f t="shared" si="280"/>
        <v>0</v>
      </c>
      <c r="L216" s="175">
        <f t="shared" si="280"/>
        <v>0</v>
      </c>
      <c r="M216" s="175">
        <f t="shared" si="280"/>
        <v>0</v>
      </c>
      <c r="N216" s="175">
        <f t="shared" si="280"/>
        <v>0</v>
      </c>
      <c r="O216" s="175">
        <f t="shared" si="280"/>
        <v>0</v>
      </c>
      <c r="P216" s="175">
        <f t="shared" si="280"/>
        <v>0</v>
      </c>
      <c r="Q216" s="175">
        <f t="shared" si="280"/>
        <v>0</v>
      </c>
      <c r="R216" s="175">
        <f t="shared" si="280"/>
        <v>0</v>
      </c>
      <c r="S216" s="375">
        <f t="shared" si="280"/>
        <v>0</v>
      </c>
      <c r="T216" s="175">
        <f t="shared" si="280"/>
        <v>0</v>
      </c>
      <c r="U216" s="175">
        <f t="shared" si="280"/>
        <v>0</v>
      </c>
      <c r="V216" s="175">
        <f t="shared" si="280"/>
        <v>0</v>
      </c>
      <c r="W216" s="175">
        <f t="shared" si="280"/>
        <v>0</v>
      </c>
      <c r="X216" s="181"/>
      <c r="Y216" s="175">
        <f t="shared" si="281"/>
        <v>0</v>
      </c>
      <c r="Z216" s="175">
        <f t="shared" si="281"/>
        <v>0</v>
      </c>
      <c r="AA216" s="175">
        <f t="shared" si="281"/>
        <v>0</v>
      </c>
      <c r="AB216" s="175">
        <f t="shared" si="281"/>
        <v>0</v>
      </c>
      <c r="AC216" s="175">
        <f t="shared" si="281"/>
        <v>0</v>
      </c>
      <c r="AD216" s="175">
        <f t="shared" si="281"/>
        <v>0</v>
      </c>
      <c r="AE216" s="175">
        <f t="shared" si="281"/>
        <v>0</v>
      </c>
      <c r="AF216" s="175">
        <f t="shared" si="281"/>
        <v>0</v>
      </c>
      <c r="AG216" s="175">
        <f t="shared" si="281"/>
        <v>0</v>
      </c>
      <c r="AH216" s="175">
        <f t="shared" si="281"/>
        <v>0</v>
      </c>
      <c r="AI216" s="175">
        <f t="shared" si="281"/>
        <v>0</v>
      </c>
      <c r="AJ216" s="175">
        <f t="shared" si="281"/>
        <v>0</v>
      </c>
      <c r="AK216" s="375">
        <f t="shared" si="281"/>
        <v>0</v>
      </c>
      <c r="AL216" s="375"/>
      <c r="AM216" s="375"/>
      <c r="AN216" s="375"/>
      <c r="AO216" s="375"/>
      <c r="AP216" s="375"/>
      <c r="AQ216" s="175">
        <f t="shared" si="281"/>
        <v>0</v>
      </c>
      <c r="AR216" s="175">
        <f t="shared" si="281"/>
        <v>0</v>
      </c>
      <c r="AS216" s="175">
        <f t="shared" si="281"/>
        <v>0</v>
      </c>
      <c r="AT216" s="175">
        <f t="shared" si="281"/>
        <v>0</v>
      </c>
      <c r="AU216" s="181"/>
      <c r="AV216" s="175">
        <f t="shared" si="282"/>
        <v>0</v>
      </c>
      <c r="AW216" s="175">
        <f t="shared" si="282"/>
        <v>0</v>
      </c>
      <c r="AX216" s="175">
        <f t="shared" si="282"/>
        <v>0</v>
      </c>
      <c r="AY216" s="175">
        <f t="shared" si="282"/>
        <v>0</v>
      </c>
      <c r="AZ216" s="175">
        <f t="shared" si="282"/>
        <v>0</v>
      </c>
      <c r="BA216" s="175">
        <f t="shared" si="282"/>
        <v>0</v>
      </c>
      <c r="BB216" s="175">
        <f t="shared" si="282"/>
        <v>0</v>
      </c>
      <c r="BC216" s="175">
        <f t="shared" si="282"/>
        <v>0</v>
      </c>
      <c r="BD216" s="175">
        <f t="shared" si="282"/>
        <v>0</v>
      </c>
      <c r="BE216" s="175">
        <f t="shared" si="282"/>
        <v>0</v>
      </c>
      <c r="BF216" s="175">
        <f t="shared" si="282"/>
        <v>0</v>
      </c>
      <c r="BG216" s="175">
        <f t="shared" si="282"/>
        <v>0</v>
      </c>
      <c r="BH216" s="375">
        <f t="shared" si="282"/>
        <v>0</v>
      </c>
      <c r="BI216" s="175">
        <f t="shared" si="282"/>
        <v>0</v>
      </c>
      <c r="BJ216" s="175">
        <f t="shared" si="282"/>
        <v>0</v>
      </c>
      <c r="BK216" s="175">
        <f t="shared" si="282"/>
        <v>0</v>
      </c>
      <c r="BL216" s="175">
        <f t="shared" si="282"/>
        <v>0</v>
      </c>
      <c r="BM216" s="181"/>
      <c r="BN216" s="175">
        <f t="shared" si="283"/>
        <v>0</v>
      </c>
      <c r="BO216" s="175">
        <f t="shared" si="283"/>
        <v>0</v>
      </c>
      <c r="BP216" s="175">
        <f t="shared" si="283"/>
        <v>0</v>
      </c>
      <c r="BQ216" s="175">
        <f t="shared" si="283"/>
        <v>0</v>
      </c>
      <c r="BR216" s="175">
        <f t="shared" si="283"/>
        <v>0</v>
      </c>
      <c r="BS216" s="175">
        <f t="shared" si="283"/>
        <v>0</v>
      </c>
      <c r="BT216" s="175">
        <f t="shared" si="283"/>
        <v>0</v>
      </c>
      <c r="BU216" s="175">
        <f t="shared" si="283"/>
        <v>0</v>
      </c>
      <c r="BV216" s="175">
        <f t="shared" si="283"/>
        <v>0</v>
      </c>
      <c r="BW216" s="175">
        <f t="shared" si="283"/>
        <v>0</v>
      </c>
      <c r="BX216" s="175">
        <f t="shared" si="283"/>
        <v>0</v>
      </c>
      <c r="BY216" s="175">
        <f t="shared" si="283"/>
        <v>0</v>
      </c>
      <c r="BZ216" s="375">
        <f t="shared" si="283"/>
        <v>0</v>
      </c>
      <c r="CA216" s="175">
        <f t="shared" si="283"/>
        <v>0</v>
      </c>
      <c r="CB216" s="175">
        <f t="shared" si="283"/>
        <v>0</v>
      </c>
      <c r="CC216" s="175">
        <f t="shared" si="283"/>
        <v>0</v>
      </c>
      <c r="CD216" s="175">
        <f t="shared" si="283"/>
        <v>0</v>
      </c>
      <c r="CE216" s="181"/>
      <c r="CH216" s="175"/>
      <c r="CI216" s="175"/>
      <c r="CJ216" s="175">
        <f t="shared" si="284"/>
        <v>0</v>
      </c>
      <c r="CK216" s="175">
        <f t="shared" si="284"/>
        <v>0</v>
      </c>
      <c r="CL216" s="175">
        <f t="shared" si="284"/>
        <v>0</v>
      </c>
      <c r="CM216" s="175">
        <f t="shared" si="284"/>
        <v>0</v>
      </c>
      <c r="CN216" s="175">
        <f t="shared" si="284"/>
        <v>0</v>
      </c>
      <c r="CO216" s="175">
        <f t="shared" si="284"/>
        <v>0</v>
      </c>
      <c r="CP216" s="175">
        <f t="shared" si="284"/>
        <v>0</v>
      </c>
      <c r="CQ216" s="175">
        <f t="shared" si="284"/>
        <v>0</v>
      </c>
      <c r="CR216" s="175">
        <f t="shared" si="284"/>
        <v>0</v>
      </c>
      <c r="CS216" s="175">
        <f t="shared" si="284"/>
        <v>0</v>
      </c>
      <c r="CU216" s="175">
        <f t="shared" si="284"/>
        <v>0</v>
      </c>
      <c r="CV216" s="175">
        <f t="shared" si="284"/>
        <v>0</v>
      </c>
      <c r="CW216" s="175">
        <f t="shared" si="284"/>
        <v>0</v>
      </c>
    </row>
    <row r="217" spans="3:101" outlineLevel="1">
      <c r="C217" s="97" t="s">
        <v>586</v>
      </c>
      <c r="D217" s="284" t="s">
        <v>4</v>
      </c>
      <c r="F217" s="320" t="str">
        <f t="shared" si="248"/>
        <v>Industrial - IGC</v>
      </c>
      <c r="G217" s="175">
        <f t="shared" si="280"/>
        <v>0</v>
      </c>
      <c r="H217" s="175">
        <f t="shared" si="280"/>
        <v>0</v>
      </c>
      <c r="I217" s="175">
        <f t="shared" si="280"/>
        <v>0</v>
      </c>
      <c r="J217" s="175">
        <f t="shared" si="280"/>
        <v>0</v>
      </c>
      <c r="K217" s="175">
        <f t="shared" si="280"/>
        <v>0</v>
      </c>
      <c r="L217" s="175">
        <f t="shared" si="280"/>
        <v>0</v>
      </c>
      <c r="M217" s="175">
        <f t="shared" si="280"/>
        <v>0</v>
      </c>
      <c r="N217" s="175">
        <f t="shared" si="280"/>
        <v>0</v>
      </c>
      <c r="O217" s="175">
        <f t="shared" si="280"/>
        <v>0</v>
      </c>
      <c r="P217" s="175">
        <f t="shared" si="280"/>
        <v>0</v>
      </c>
      <c r="Q217" s="175">
        <f t="shared" si="280"/>
        <v>0</v>
      </c>
      <c r="R217" s="175">
        <f t="shared" si="280"/>
        <v>0</v>
      </c>
      <c r="S217" s="375">
        <f t="shared" si="280"/>
        <v>0</v>
      </c>
      <c r="T217" s="175">
        <f t="shared" si="280"/>
        <v>0</v>
      </c>
      <c r="U217" s="175">
        <f t="shared" si="280"/>
        <v>0</v>
      </c>
      <c r="V217" s="175">
        <f t="shared" si="280"/>
        <v>0</v>
      </c>
      <c r="W217" s="175">
        <f t="shared" si="280"/>
        <v>0</v>
      </c>
      <c r="X217" s="181"/>
      <c r="Y217" s="175">
        <f t="shared" si="281"/>
        <v>0</v>
      </c>
      <c r="Z217" s="175">
        <f t="shared" si="281"/>
        <v>0</v>
      </c>
      <c r="AA217" s="175">
        <f t="shared" si="281"/>
        <v>0</v>
      </c>
      <c r="AB217" s="175">
        <f t="shared" si="281"/>
        <v>0</v>
      </c>
      <c r="AC217" s="175">
        <f t="shared" si="281"/>
        <v>0</v>
      </c>
      <c r="AD217" s="175">
        <f t="shared" si="281"/>
        <v>0</v>
      </c>
      <c r="AE217" s="175">
        <f t="shared" si="281"/>
        <v>0</v>
      </c>
      <c r="AF217" s="175">
        <f t="shared" si="281"/>
        <v>0</v>
      </c>
      <c r="AG217" s="175">
        <f t="shared" si="281"/>
        <v>0</v>
      </c>
      <c r="AH217" s="175">
        <f t="shared" si="281"/>
        <v>0</v>
      </c>
      <c r="AI217" s="175">
        <f t="shared" si="281"/>
        <v>0</v>
      </c>
      <c r="AJ217" s="175">
        <f t="shared" si="281"/>
        <v>0</v>
      </c>
      <c r="AK217" s="375">
        <f t="shared" si="281"/>
        <v>0</v>
      </c>
      <c r="AL217" s="375"/>
      <c r="AM217" s="375"/>
      <c r="AN217" s="375"/>
      <c r="AO217" s="375"/>
      <c r="AP217" s="375"/>
      <c r="AQ217" s="175">
        <f t="shared" si="281"/>
        <v>0</v>
      </c>
      <c r="AR217" s="175">
        <f t="shared" si="281"/>
        <v>0</v>
      </c>
      <c r="AS217" s="175">
        <f t="shared" si="281"/>
        <v>0</v>
      </c>
      <c r="AT217" s="175">
        <f t="shared" si="281"/>
        <v>0</v>
      </c>
      <c r="AU217" s="181"/>
      <c r="AV217" s="175">
        <f t="shared" si="282"/>
        <v>0</v>
      </c>
      <c r="AW217" s="175">
        <f t="shared" si="282"/>
        <v>0</v>
      </c>
      <c r="AX217" s="175">
        <f t="shared" si="282"/>
        <v>0</v>
      </c>
      <c r="AY217" s="175">
        <f t="shared" si="282"/>
        <v>0</v>
      </c>
      <c r="AZ217" s="175">
        <f t="shared" si="282"/>
        <v>0</v>
      </c>
      <c r="BA217" s="175">
        <f t="shared" si="282"/>
        <v>0</v>
      </c>
      <c r="BB217" s="175">
        <f t="shared" si="282"/>
        <v>0</v>
      </c>
      <c r="BC217" s="175">
        <f t="shared" si="282"/>
        <v>0</v>
      </c>
      <c r="BD217" s="175">
        <f t="shared" si="282"/>
        <v>0</v>
      </c>
      <c r="BE217" s="175">
        <f t="shared" si="282"/>
        <v>0</v>
      </c>
      <c r="BF217" s="175">
        <f t="shared" si="282"/>
        <v>0</v>
      </c>
      <c r="BG217" s="175">
        <f t="shared" si="282"/>
        <v>0</v>
      </c>
      <c r="BH217" s="375">
        <f t="shared" si="282"/>
        <v>0</v>
      </c>
      <c r="BI217" s="175">
        <f t="shared" si="282"/>
        <v>0</v>
      </c>
      <c r="BJ217" s="175">
        <f t="shared" si="282"/>
        <v>0</v>
      </c>
      <c r="BK217" s="175">
        <f t="shared" si="282"/>
        <v>0</v>
      </c>
      <c r="BL217" s="175">
        <f t="shared" si="282"/>
        <v>0</v>
      </c>
      <c r="BM217" s="181"/>
      <c r="BN217" s="175">
        <f t="shared" si="283"/>
        <v>0</v>
      </c>
      <c r="BO217" s="175">
        <f t="shared" si="283"/>
        <v>0</v>
      </c>
      <c r="BP217" s="175">
        <f t="shared" si="283"/>
        <v>0</v>
      </c>
      <c r="BQ217" s="175">
        <f t="shared" si="283"/>
        <v>0</v>
      </c>
      <c r="BR217" s="175">
        <f t="shared" si="283"/>
        <v>0</v>
      </c>
      <c r="BS217" s="175">
        <f t="shared" si="283"/>
        <v>0</v>
      </c>
      <c r="BT217" s="175">
        <f t="shared" si="283"/>
        <v>0</v>
      </c>
      <c r="BU217" s="175">
        <f t="shared" si="283"/>
        <v>0</v>
      </c>
      <c r="BV217" s="175">
        <f t="shared" si="283"/>
        <v>0</v>
      </c>
      <c r="BW217" s="175">
        <f t="shared" si="283"/>
        <v>0</v>
      </c>
      <c r="BX217" s="175">
        <f t="shared" si="283"/>
        <v>0</v>
      </c>
      <c r="BY217" s="175">
        <f t="shared" si="283"/>
        <v>0</v>
      </c>
      <c r="BZ217" s="375">
        <f t="shared" si="283"/>
        <v>0</v>
      </c>
      <c r="CA217" s="175">
        <f t="shared" si="283"/>
        <v>0</v>
      </c>
      <c r="CB217" s="175">
        <f t="shared" si="283"/>
        <v>0</v>
      </c>
      <c r="CC217" s="175">
        <f t="shared" si="283"/>
        <v>0</v>
      </c>
      <c r="CD217" s="175">
        <f t="shared" si="283"/>
        <v>0</v>
      </c>
      <c r="CE217" s="181"/>
      <c r="CH217" s="175"/>
      <c r="CI217" s="175"/>
      <c r="CJ217" s="175">
        <f t="shared" si="284"/>
        <v>0</v>
      </c>
      <c r="CK217" s="175">
        <f t="shared" si="284"/>
        <v>0</v>
      </c>
      <c r="CL217" s="175">
        <f t="shared" si="284"/>
        <v>0</v>
      </c>
      <c r="CM217" s="175">
        <f t="shared" si="284"/>
        <v>0</v>
      </c>
      <c r="CN217" s="175">
        <f t="shared" si="284"/>
        <v>0</v>
      </c>
      <c r="CO217" s="175">
        <f t="shared" si="284"/>
        <v>0</v>
      </c>
      <c r="CP217" s="175">
        <f t="shared" si="284"/>
        <v>0</v>
      </c>
      <c r="CQ217" s="175">
        <f t="shared" si="284"/>
        <v>0</v>
      </c>
      <c r="CR217" s="175">
        <f t="shared" si="284"/>
        <v>0</v>
      </c>
      <c r="CS217" s="175">
        <f t="shared" si="284"/>
        <v>0</v>
      </c>
      <c r="CU217" s="175">
        <f t="shared" si="284"/>
        <v>0</v>
      </c>
      <c r="CV217" s="175">
        <f t="shared" si="284"/>
        <v>0</v>
      </c>
      <c r="CW217" s="175">
        <f t="shared" si="284"/>
        <v>0</v>
      </c>
    </row>
    <row r="218" spans="3:101" outlineLevel="1">
      <c r="C218" s="97" t="s">
        <v>9</v>
      </c>
      <c r="D218" s="284" t="s">
        <v>4</v>
      </c>
      <c r="F218" s="320" t="str">
        <f t="shared" si="248"/>
        <v>Miscellaneous Revenues - IGC</v>
      </c>
      <c r="G218" s="175">
        <f t="shared" si="280"/>
        <v>1870</v>
      </c>
      <c r="H218" s="175">
        <f t="shared" si="280"/>
        <v>1737</v>
      </c>
      <c r="I218" s="175">
        <f t="shared" si="280"/>
        <v>1989</v>
      </c>
      <c r="J218" s="175">
        <f t="shared" si="280"/>
        <v>1537</v>
      </c>
      <c r="K218" s="175">
        <f t="shared" si="280"/>
        <v>1452</v>
      </c>
      <c r="L218" s="175">
        <f t="shared" si="280"/>
        <v>1485</v>
      </c>
      <c r="M218" s="175">
        <f t="shared" si="280"/>
        <v>1566.79</v>
      </c>
      <c r="N218" s="175">
        <f t="shared" si="280"/>
        <v>1504.85</v>
      </c>
      <c r="O218" s="175">
        <f t="shared" si="280"/>
        <v>1491.79</v>
      </c>
      <c r="P218" s="175">
        <f t="shared" si="280"/>
        <v>1429.76</v>
      </c>
      <c r="Q218" s="175">
        <f t="shared" si="280"/>
        <v>1428.73</v>
      </c>
      <c r="R218" s="175">
        <f t="shared" si="280"/>
        <v>1472.7</v>
      </c>
      <c r="S218" s="375">
        <f t="shared" ca="1" si="280"/>
        <v>18964.62</v>
      </c>
      <c r="T218" s="175">
        <f t="shared" si="280"/>
        <v>5596</v>
      </c>
      <c r="U218" s="175">
        <f t="shared" si="280"/>
        <v>4474</v>
      </c>
      <c r="V218" s="175">
        <f t="shared" si="280"/>
        <v>4563.43</v>
      </c>
      <c r="W218" s="175">
        <f t="shared" si="280"/>
        <v>4331.1899999999996</v>
      </c>
      <c r="X218" s="181"/>
      <c r="Y218" s="175">
        <f t="shared" si="281"/>
        <v>1419.76</v>
      </c>
      <c r="Z218" s="175">
        <f t="shared" si="281"/>
        <v>1610.21</v>
      </c>
      <c r="AA218" s="175">
        <f t="shared" si="281"/>
        <v>1524.79</v>
      </c>
      <c r="AB218" s="175">
        <f t="shared" si="281"/>
        <v>1590.97</v>
      </c>
      <c r="AC218" s="175">
        <f t="shared" si="281"/>
        <v>1496.91</v>
      </c>
      <c r="AD218" s="175">
        <f t="shared" si="281"/>
        <v>1498.94</v>
      </c>
      <c r="AE218" s="175">
        <f t="shared" si="281"/>
        <v>1506.03</v>
      </c>
      <c r="AF218" s="175">
        <f t="shared" si="281"/>
        <v>1462.94</v>
      </c>
      <c r="AG218" s="175">
        <f t="shared" si="281"/>
        <v>1508.94</v>
      </c>
      <c r="AH218" s="175">
        <f t="shared" si="281"/>
        <v>1591</v>
      </c>
      <c r="AI218" s="175">
        <f t="shared" si="281"/>
        <v>1813.73</v>
      </c>
      <c r="AJ218" s="175">
        <f t="shared" si="281"/>
        <v>1414.1100000000004</v>
      </c>
      <c r="AK218" s="375">
        <f t="shared" ca="1" si="281"/>
        <v>18438.330000000002</v>
      </c>
      <c r="AL218" s="375"/>
      <c r="AM218" s="375"/>
      <c r="AN218" s="375"/>
      <c r="AO218" s="375"/>
      <c r="AP218" s="375"/>
      <c r="AQ218" s="175">
        <f t="shared" si="281"/>
        <v>4554.7599999999993</v>
      </c>
      <c r="AR218" s="175">
        <f t="shared" si="281"/>
        <v>4586.82</v>
      </c>
      <c r="AS218" s="175">
        <f t="shared" si="281"/>
        <v>4477.91</v>
      </c>
      <c r="AT218" s="175">
        <f t="shared" si="281"/>
        <v>4818.84</v>
      </c>
      <c r="AU218" s="181"/>
      <c r="AV218" s="175">
        <f t="shared" si="282"/>
        <v>1797.1333333333332</v>
      </c>
      <c r="AW218" s="175">
        <f t="shared" si="282"/>
        <v>1794</v>
      </c>
      <c r="AX218" s="175">
        <f t="shared" si="282"/>
        <v>1704.5766666666664</v>
      </c>
      <c r="AY218" s="175">
        <f t="shared" si="282"/>
        <v>1733.92</v>
      </c>
      <c r="AZ218" s="175">
        <f t="shared" si="282"/>
        <v>1588.8999999999999</v>
      </c>
      <c r="BA218" s="175">
        <f t="shared" si="282"/>
        <v>1744.3279012345679</v>
      </c>
      <c r="BB218" s="175">
        <f t="shared" si="282"/>
        <v>1835.2386831275721</v>
      </c>
      <c r="BC218" s="175">
        <f t="shared" si="282"/>
        <v>1804.6557475994514</v>
      </c>
      <c r="BD218" s="175">
        <f t="shared" si="282"/>
        <v>1853.5902194787377</v>
      </c>
      <c r="BE218" s="175">
        <f t="shared" si="282"/>
        <v>1870.6128395061728</v>
      </c>
      <c r="BF218" s="175">
        <f t="shared" si="282"/>
        <v>1968.7228395061727</v>
      </c>
      <c r="BG218" s="175">
        <f t="shared" si="282"/>
        <v>1658.1934842249655</v>
      </c>
      <c r="BH218" s="375">
        <f t="shared" ca="1" si="282"/>
        <v>21353.87171467764</v>
      </c>
      <c r="BI218" s="175">
        <f t="shared" si="282"/>
        <v>5295.71</v>
      </c>
      <c r="BJ218" s="175">
        <f t="shared" si="282"/>
        <v>5067.1479012345681</v>
      </c>
      <c r="BK218" s="175">
        <f t="shared" si="282"/>
        <v>5493.4846502057608</v>
      </c>
      <c r="BL218" s="175">
        <f t="shared" si="282"/>
        <v>5497.529163237311</v>
      </c>
      <c r="BM218" s="181"/>
      <c r="BN218" s="175">
        <f t="shared" si="283"/>
        <v>0</v>
      </c>
      <c r="BO218" s="175">
        <f t="shared" si="283"/>
        <v>0</v>
      </c>
      <c r="BP218" s="175">
        <f t="shared" si="283"/>
        <v>1986.5215214177754</v>
      </c>
      <c r="BQ218" s="175">
        <f t="shared" si="283"/>
        <v>1536.689507152787</v>
      </c>
      <c r="BR218" s="175">
        <f t="shared" si="283"/>
        <v>1447.1300236602674</v>
      </c>
      <c r="BS218" s="175">
        <f t="shared" si="283"/>
        <v>1482.0909348382343</v>
      </c>
      <c r="BT218" s="175">
        <f t="shared" si="283"/>
        <v>1563.617148802618</v>
      </c>
      <c r="BU218" s="175">
        <f t="shared" si="283"/>
        <v>1498.5713129597088</v>
      </c>
      <c r="BV218" s="175">
        <f t="shared" si="283"/>
        <v>1488.497868829226</v>
      </c>
      <c r="BW218" s="175">
        <f t="shared" si="283"/>
        <v>1427.4780045039347</v>
      </c>
      <c r="BX218" s="175">
        <f t="shared" si="283"/>
        <v>1426.6018548877194</v>
      </c>
      <c r="BY218" s="175">
        <f t="shared" si="283"/>
        <v>1468.4798002981236</v>
      </c>
      <c r="BZ218" s="375">
        <f t="shared" ca="1" si="283"/>
        <v>15325.677977350393</v>
      </c>
      <c r="CA218" s="175">
        <f t="shared" si="283"/>
        <v>1986.5215214177754</v>
      </c>
      <c r="CB218" s="175">
        <f t="shared" si="283"/>
        <v>4465.9104656512891</v>
      </c>
      <c r="CC218" s="175">
        <f t="shared" si="283"/>
        <v>4550.6863305915531</v>
      </c>
      <c r="CD218" s="175">
        <f t="shared" si="283"/>
        <v>4322.5596596897776</v>
      </c>
      <c r="CE218" s="181"/>
      <c r="CH218" s="175"/>
      <c r="CI218" s="175"/>
      <c r="CJ218" s="175">
        <f t="shared" si="284"/>
        <v>-461.73152141777535</v>
      </c>
      <c r="CK218" s="175">
        <f t="shared" si="284"/>
        <v>54.280492847213083</v>
      </c>
      <c r="CL218" s="175">
        <f t="shared" si="284"/>
        <v>49.779976339732599</v>
      </c>
      <c r="CM218" s="175">
        <f t="shared" si="284"/>
        <v>16.84906516176585</v>
      </c>
      <c r="CN218" s="175">
        <f t="shared" si="284"/>
        <v>-57.587148802618017</v>
      </c>
      <c r="CO218" s="175">
        <f t="shared" si="284"/>
        <v>-35.631312959708779</v>
      </c>
      <c r="CP218" s="175">
        <f t="shared" si="284"/>
        <v>20.442131170773912</v>
      </c>
      <c r="CQ218" s="175">
        <f t="shared" si="284"/>
        <v>163.52199549606533</v>
      </c>
      <c r="CR218" s="175">
        <f t="shared" si="284"/>
        <v>0</v>
      </c>
      <c r="CS218" s="175">
        <f t="shared" si="284"/>
        <v>0</v>
      </c>
      <c r="CU218" s="175">
        <f t="shared" si="284"/>
        <v>17997.976925119565</v>
      </c>
      <c r="CV218" s="175" t="e">
        <f t="shared" si="284"/>
        <v>#VALUE!</v>
      </c>
      <c r="CW218" s="175">
        <f t="shared" si="284"/>
        <v>21353.87171467764</v>
      </c>
    </row>
    <row r="219" spans="3:101" outlineLevel="1">
      <c r="C219" s="97" t="s">
        <v>620</v>
      </c>
      <c r="D219" s="284" t="s">
        <v>4</v>
      </c>
      <c r="F219" s="320" t="str">
        <f t="shared" si="248"/>
        <v>COGS - IGC</v>
      </c>
      <c r="G219" s="175">
        <f t="shared" si="280"/>
        <v>115</v>
      </c>
      <c r="H219" s="175">
        <f t="shared" si="280"/>
        <v>108</v>
      </c>
      <c r="I219" s="175">
        <f t="shared" si="280"/>
        <v>110</v>
      </c>
      <c r="J219" s="175">
        <f t="shared" si="280"/>
        <v>109</v>
      </c>
      <c r="K219" s="175">
        <f t="shared" si="280"/>
        <v>107</v>
      </c>
      <c r="L219" s="175">
        <f t="shared" si="280"/>
        <v>103.99</v>
      </c>
      <c r="M219" s="175">
        <f t="shared" si="280"/>
        <v>107.73</v>
      </c>
      <c r="N219" s="175">
        <f t="shared" si="280"/>
        <v>95</v>
      </c>
      <c r="O219" s="175">
        <f t="shared" si="280"/>
        <v>104</v>
      </c>
      <c r="P219" s="175">
        <f t="shared" si="280"/>
        <v>103.04</v>
      </c>
      <c r="Q219" s="175">
        <f t="shared" si="280"/>
        <v>108.45</v>
      </c>
      <c r="R219" s="175">
        <f t="shared" si="280"/>
        <v>112</v>
      </c>
      <c r="S219" s="375">
        <f t="shared" ca="1" si="280"/>
        <v>1283.21</v>
      </c>
      <c r="T219" s="175">
        <f t="shared" si="280"/>
        <v>333</v>
      </c>
      <c r="U219" s="175">
        <f t="shared" si="280"/>
        <v>319.99</v>
      </c>
      <c r="V219" s="175">
        <f t="shared" si="280"/>
        <v>306.73</v>
      </c>
      <c r="W219" s="175">
        <f t="shared" si="280"/>
        <v>323.49</v>
      </c>
      <c r="X219" s="181"/>
      <c r="Y219" s="175">
        <f t="shared" si="281"/>
        <v>122</v>
      </c>
      <c r="Z219" s="175">
        <f t="shared" si="281"/>
        <v>11</v>
      </c>
      <c r="AA219" s="175">
        <f t="shared" si="281"/>
        <v>77</v>
      </c>
      <c r="AB219" s="175">
        <f t="shared" si="281"/>
        <v>75</v>
      </c>
      <c r="AC219" s="175">
        <f t="shared" si="281"/>
        <v>71</v>
      </c>
      <c r="AD219" s="175">
        <f t="shared" si="281"/>
        <v>73</v>
      </c>
      <c r="AE219" s="175">
        <f t="shared" si="281"/>
        <v>72</v>
      </c>
      <c r="AF219" s="175">
        <f t="shared" si="281"/>
        <v>68</v>
      </c>
      <c r="AG219" s="175">
        <f t="shared" si="281"/>
        <v>73</v>
      </c>
      <c r="AH219" s="175">
        <f t="shared" si="281"/>
        <v>69</v>
      </c>
      <c r="AI219" s="175">
        <f t="shared" si="281"/>
        <v>71</v>
      </c>
      <c r="AJ219" s="175">
        <f t="shared" si="281"/>
        <v>81.22</v>
      </c>
      <c r="AK219" s="375">
        <f t="shared" ca="1" si="281"/>
        <v>863.22</v>
      </c>
      <c r="AL219" s="375"/>
      <c r="AM219" s="375"/>
      <c r="AN219" s="375"/>
      <c r="AO219" s="375"/>
      <c r="AP219" s="375"/>
      <c r="AQ219" s="175">
        <f t="shared" si="281"/>
        <v>210</v>
      </c>
      <c r="AR219" s="175">
        <f t="shared" si="281"/>
        <v>219</v>
      </c>
      <c r="AS219" s="175">
        <f t="shared" si="281"/>
        <v>213</v>
      </c>
      <c r="AT219" s="175">
        <f t="shared" si="281"/>
        <v>221.22</v>
      </c>
      <c r="AU219" s="181"/>
      <c r="AV219" s="175">
        <f t="shared" si="282"/>
        <v>91.666666666666671</v>
      </c>
      <c r="AW219" s="175">
        <f t="shared" si="282"/>
        <v>91.666666666666671</v>
      </c>
      <c r="AX219" s="175">
        <f t="shared" si="282"/>
        <v>91.666666666666671</v>
      </c>
      <c r="AY219" s="175">
        <f t="shared" si="282"/>
        <v>91.666666666666671</v>
      </c>
      <c r="AZ219" s="175">
        <f t="shared" si="282"/>
        <v>91.666666666666671</v>
      </c>
      <c r="BA219" s="175">
        <f t="shared" si="282"/>
        <v>91.666666666666671</v>
      </c>
      <c r="BB219" s="175">
        <f t="shared" si="282"/>
        <v>91.666666666666671</v>
      </c>
      <c r="BC219" s="175">
        <f t="shared" si="282"/>
        <v>91.666666666666671</v>
      </c>
      <c r="BD219" s="175">
        <f t="shared" si="282"/>
        <v>91.666666666666671</v>
      </c>
      <c r="BE219" s="175">
        <f t="shared" si="282"/>
        <v>91.666666666666671</v>
      </c>
      <c r="BF219" s="175">
        <f t="shared" si="282"/>
        <v>91.666666666666671</v>
      </c>
      <c r="BG219" s="175">
        <f t="shared" si="282"/>
        <v>91.666666666666671</v>
      </c>
      <c r="BH219" s="375">
        <f t="shared" ca="1" si="282"/>
        <v>1099.9999999999998</v>
      </c>
      <c r="BI219" s="175">
        <f t="shared" si="282"/>
        <v>275</v>
      </c>
      <c r="BJ219" s="175">
        <f t="shared" si="282"/>
        <v>275</v>
      </c>
      <c r="BK219" s="175">
        <f t="shared" si="282"/>
        <v>275</v>
      </c>
      <c r="BL219" s="175">
        <f t="shared" si="282"/>
        <v>275</v>
      </c>
      <c r="BM219" s="181"/>
      <c r="BN219" s="175">
        <f t="shared" si="283"/>
        <v>0</v>
      </c>
      <c r="BO219" s="175">
        <f t="shared" si="283"/>
        <v>0</v>
      </c>
      <c r="BP219" s="175">
        <f t="shared" si="283"/>
        <v>113.0600689288643</v>
      </c>
      <c r="BQ219" s="175">
        <f t="shared" si="283"/>
        <v>121.02096129870942</v>
      </c>
      <c r="BR219" s="175">
        <f t="shared" si="283"/>
        <v>112.47992711957217</v>
      </c>
      <c r="BS219" s="175">
        <f t="shared" si="283"/>
        <v>110.58575471613041</v>
      </c>
      <c r="BT219" s="175">
        <f t="shared" si="283"/>
        <v>109.02795405060358</v>
      </c>
      <c r="BU219" s="175">
        <f t="shared" si="283"/>
        <v>99.095340500632034</v>
      </c>
      <c r="BV219" s="175">
        <f t="shared" si="283"/>
        <v>109.90583582395121</v>
      </c>
      <c r="BW219" s="175">
        <f t="shared" si="283"/>
        <v>106.59149174187517</v>
      </c>
      <c r="BX219" s="175">
        <f t="shared" si="283"/>
        <v>113.26637841574153</v>
      </c>
      <c r="BY219" s="175">
        <f t="shared" si="283"/>
        <v>114.30035833804276</v>
      </c>
      <c r="BZ219" s="375">
        <f t="shared" ca="1" si="283"/>
        <v>1109.3340709341226</v>
      </c>
      <c r="CA219" s="175">
        <f t="shared" si="283"/>
        <v>113.0600689288643</v>
      </c>
      <c r="CB219" s="175">
        <f t="shared" si="283"/>
        <v>344.08664313441199</v>
      </c>
      <c r="CC219" s="175">
        <f t="shared" si="283"/>
        <v>318.02913037518681</v>
      </c>
      <c r="CD219" s="175">
        <f t="shared" si="283"/>
        <v>334.15822849565944</v>
      </c>
      <c r="CE219" s="181"/>
      <c r="CH219" s="175"/>
      <c r="CI219" s="175"/>
      <c r="CJ219" s="175">
        <f t="shared" si="284"/>
        <v>-36.060068928864297</v>
      </c>
      <c r="CK219" s="175">
        <f t="shared" si="284"/>
        <v>-46.020961298709423</v>
      </c>
      <c r="CL219" s="175">
        <f t="shared" si="284"/>
        <v>-41.479927119572167</v>
      </c>
      <c r="CM219" s="175">
        <f t="shared" si="284"/>
        <v>-37.58575471613041</v>
      </c>
      <c r="CN219" s="175">
        <f t="shared" si="284"/>
        <v>-37.027954050603583</v>
      </c>
      <c r="CO219" s="175">
        <f t="shared" si="284"/>
        <v>-31.095340500632034</v>
      </c>
      <c r="CP219" s="175">
        <f t="shared" si="284"/>
        <v>-36.905835823951207</v>
      </c>
      <c r="CQ219" s="175">
        <f t="shared" si="284"/>
        <v>-37.591491741875174</v>
      </c>
      <c r="CR219" s="175">
        <f t="shared" si="284"/>
        <v>0</v>
      </c>
      <c r="CS219" s="175">
        <f t="shared" si="284"/>
        <v>0</v>
      </c>
      <c r="CU219" s="175">
        <f t="shared" si="284"/>
        <v>1118.7731135869767</v>
      </c>
      <c r="CV219" s="175">
        <f t="shared" si="284"/>
        <v>1013.0640643196107</v>
      </c>
      <c r="CW219" s="175">
        <f t="shared" si="284"/>
        <v>1099.9999999999998</v>
      </c>
    </row>
    <row r="220" spans="3:101">
      <c r="C220" s="250" t="s">
        <v>214</v>
      </c>
      <c r="D220" s="284" t="s">
        <v>4</v>
      </c>
      <c r="F220" s="293" t="str">
        <f t="shared" si="248"/>
        <v>TOTAL - IGC</v>
      </c>
      <c r="G220" s="375">
        <f t="shared" ref="G220:W220" si="285">SUM(G213:G218)-G219</f>
        <v>20440.360000000008</v>
      </c>
      <c r="H220" s="375">
        <f t="shared" si="285"/>
        <v>19427.169999999998</v>
      </c>
      <c r="I220" s="375">
        <f t="shared" si="285"/>
        <v>19799.579999999994</v>
      </c>
      <c r="J220" s="375">
        <f t="shared" si="285"/>
        <v>19587.900000000009</v>
      </c>
      <c r="K220" s="375">
        <f t="shared" si="285"/>
        <v>19220.03</v>
      </c>
      <c r="L220" s="375">
        <f t="shared" si="285"/>
        <v>18798.000000000004</v>
      </c>
      <c r="M220" s="375">
        <f t="shared" si="285"/>
        <v>19323.599999999991</v>
      </c>
      <c r="N220" s="375">
        <f t="shared" si="285"/>
        <v>18612.920000000002</v>
      </c>
      <c r="O220" s="375">
        <f t="shared" si="285"/>
        <v>18761.749999999993</v>
      </c>
      <c r="P220" s="375">
        <f t="shared" si="285"/>
        <v>18675.949999999993</v>
      </c>
      <c r="Q220" s="375">
        <f t="shared" si="285"/>
        <v>19370.890000000007</v>
      </c>
      <c r="R220" s="375">
        <f t="shared" si="285"/>
        <v>19871.930000000008</v>
      </c>
      <c r="S220" s="375">
        <f t="shared" ca="1" si="285"/>
        <v>231890.08000000002</v>
      </c>
      <c r="T220" s="375">
        <f t="shared" si="285"/>
        <v>59667.11</v>
      </c>
      <c r="U220" s="375">
        <f t="shared" si="285"/>
        <v>57605.930000000015</v>
      </c>
      <c r="V220" s="375">
        <f t="shared" si="285"/>
        <v>56698.26999999999</v>
      </c>
      <c r="W220" s="375">
        <f t="shared" si="285"/>
        <v>57918.770000000011</v>
      </c>
      <c r="X220" s="181"/>
      <c r="Y220" s="375">
        <f t="shared" ref="Y220:AT220" si="286">SUM(Y213:Y218)-Y219</f>
        <v>19971.860000000004</v>
      </c>
      <c r="Z220" s="375">
        <f t="shared" si="286"/>
        <v>-306.45000000000891</v>
      </c>
      <c r="AA220" s="375">
        <f t="shared" si="286"/>
        <v>12501.570000000007</v>
      </c>
      <c r="AB220" s="375">
        <f t="shared" si="286"/>
        <v>12322.900000000005</v>
      </c>
      <c r="AC220" s="375">
        <f t="shared" si="286"/>
        <v>11845.999999999982</v>
      </c>
      <c r="AD220" s="375">
        <f t="shared" si="286"/>
        <v>12035.280000000017</v>
      </c>
      <c r="AE220" s="375">
        <f t="shared" si="286"/>
        <v>11892.729999999998</v>
      </c>
      <c r="AF220" s="375">
        <f t="shared" si="286"/>
        <v>11449.870000000023</v>
      </c>
      <c r="AG220" s="375">
        <f t="shared" si="286"/>
        <v>12006.429999999986</v>
      </c>
      <c r="AH220" s="375">
        <f t="shared" si="286"/>
        <v>11626.309999999994</v>
      </c>
      <c r="AI220" s="375">
        <f t="shared" si="286"/>
        <v>11768.190000000002</v>
      </c>
      <c r="AJ220" s="375">
        <f t="shared" si="286"/>
        <v>13113.449999999999</v>
      </c>
      <c r="AK220" s="375">
        <f t="shared" ca="1" si="286"/>
        <v>140228.13999999998</v>
      </c>
      <c r="AL220" s="375"/>
      <c r="AM220" s="375"/>
      <c r="AN220" s="375"/>
      <c r="AO220" s="375"/>
      <c r="AP220" s="375"/>
      <c r="AQ220" s="375">
        <f t="shared" si="286"/>
        <v>32166.980000000003</v>
      </c>
      <c r="AR220" s="375">
        <f t="shared" si="286"/>
        <v>36204.180000000008</v>
      </c>
      <c r="AS220" s="375">
        <f t="shared" si="286"/>
        <v>35349.03</v>
      </c>
      <c r="AT220" s="375">
        <f t="shared" si="286"/>
        <v>36507.949999999997</v>
      </c>
      <c r="AU220" s="181"/>
      <c r="AV220" s="375">
        <f t="shared" ref="AV220:BL220" si="287">SUM(AV213:AV218)-AV219</f>
        <v>13280.271095815664</v>
      </c>
      <c r="AW220" s="375">
        <f t="shared" si="287"/>
        <v>12508.394365075768</v>
      </c>
      <c r="AX220" s="375">
        <f t="shared" si="287"/>
        <v>12506.683799459835</v>
      </c>
      <c r="AY220" s="375">
        <f t="shared" si="287"/>
        <v>12359.041826161907</v>
      </c>
      <c r="AZ220" s="375">
        <f t="shared" si="287"/>
        <v>12373.438143159765</v>
      </c>
      <c r="BA220" s="375">
        <f t="shared" si="287"/>
        <v>11955.283412486617</v>
      </c>
      <c r="BB220" s="375">
        <f t="shared" si="287"/>
        <v>12093.177496219547</v>
      </c>
      <c r="BC220" s="375">
        <f t="shared" si="287"/>
        <v>11939.270578689693</v>
      </c>
      <c r="BD220" s="375">
        <f t="shared" si="287"/>
        <v>11946.270787578704</v>
      </c>
      <c r="BE220" s="375">
        <f t="shared" si="287"/>
        <v>12218.149664801436</v>
      </c>
      <c r="BF220" s="375">
        <f t="shared" si="287"/>
        <v>12454.119943054569</v>
      </c>
      <c r="BG220" s="375">
        <f t="shared" si="287"/>
        <v>12757.473710458375</v>
      </c>
      <c r="BH220" s="375">
        <f t="shared" ca="1" si="287"/>
        <v>148391.57482296191</v>
      </c>
      <c r="BI220" s="375">
        <f t="shared" si="287"/>
        <v>38295.349260351271</v>
      </c>
      <c r="BJ220" s="375">
        <f t="shared" si="287"/>
        <v>36687.76338180829</v>
      </c>
      <c r="BK220" s="375">
        <f t="shared" si="287"/>
        <v>35978.718862487942</v>
      </c>
      <c r="BL220" s="375">
        <f t="shared" si="287"/>
        <v>37429.74331831438</v>
      </c>
      <c r="BM220" s="181"/>
      <c r="BN220" s="375">
        <f>SUM(BN213:BN218)-BN219</f>
        <v>0</v>
      </c>
      <c r="BO220" s="375">
        <f>SUM(BO213:BO218)-BO219</f>
        <v>0</v>
      </c>
      <c r="BP220" s="375">
        <f>SUM(BP213:BP218)-BP219</f>
        <v>12789.962113162579</v>
      </c>
      <c r="BQ220" s="375">
        <f t="shared" ref="BQ220:CD220" si="288">SUM(BQ213:BQ218)-BQ219</f>
        <v>12164.8724880068</v>
      </c>
      <c r="BR220" s="375">
        <f t="shared" si="288"/>
        <v>12195.235056484327</v>
      </c>
      <c r="BS220" s="375">
        <f t="shared" si="288"/>
        <v>11658.651036454614</v>
      </c>
      <c r="BT220" s="375">
        <f t="shared" si="288"/>
        <v>11806.083808707537</v>
      </c>
      <c r="BU220" s="375">
        <f t="shared" si="288"/>
        <v>11619.051103627537</v>
      </c>
      <c r="BV220" s="375">
        <f t="shared" si="288"/>
        <v>11624.51484553</v>
      </c>
      <c r="BW220" s="375">
        <f t="shared" si="288"/>
        <v>11811.62631604739</v>
      </c>
      <c r="BX220" s="375">
        <f t="shared" si="288"/>
        <v>11937.044976348965</v>
      </c>
      <c r="BY220" s="375">
        <f t="shared" si="288"/>
        <v>12596.631636962513</v>
      </c>
      <c r="BZ220" s="375">
        <f t="shared" ca="1" si="288"/>
        <v>120203.67338133226</v>
      </c>
      <c r="CA220" s="375">
        <f t="shared" si="288"/>
        <v>12789.962113162579</v>
      </c>
      <c r="CB220" s="375">
        <f t="shared" si="288"/>
        <v>36018.758580945738</v>
      </c>
      <c r="CC220" s="375">
        <f t="shared" si="288"/>
        <v>35049.649757865074</v>
      </c>
      <c r="CD220" s="375">
        <f t="shared" si="288"/>
        <v>36345.30292935887</v>
      </c>
      <c r="CE220" s="181"/>
      <c r="CH220" s="375"/>
      <c r="CI220" s="375"/>
      <c r="CJ220" s="375">
        <f t="shared" ref="CJ220:CS220" si="289">SUM(CJ213:CJ218)-CJ219</f>
        <v>-288.39211316257308</v>
      </c>
      <c r="CK220" s="375">
        <f t="shared" si="289"/>
        <v>158.02751199320636</v>
      </c>
      <c r="CL220" s="375">
        <f t="shared" si="289"/>
        <v>-349.23505648434514</v>
      </c>
      <c r="CM220" s="375">
        <f t="shared" si="289"/>
        <v>376.62896354540283</v>
      </c>
      <c r="CN220" s="375">
        <f t="shared" si="289"/>
        <v>86.64619129246033</v>
      </c>
      <c r="CO220" s="375">
        <f t="shared" si="289"/>
        <v>-169.18110362751449</v>
      </c>
      <c r="CP220" s="375">
        <f t="shared" si="289"/>
        <v>381.91515446998517</v>
      </c>
      <c r="CQ220" s="375">
        <f t="shared" si="289"/>
        <v>-185.31631604739715</v>
      </c>
      <c r="CR220" s="375">
        <f t="shared" si="289"/>
        <v>0</v>
      </c>
      <c r="CS220" s="375">
        <f t="shared" si="289"/>
        <v>0</v>
      </c>
      <c r="CU220" s="375">
        <f>SUM(CU213:CU218)-CU219</f>
        <v>139389.48372367857</v>
      </c>
      <c r="CV220" s="375" t="e">
        <f>SUM(CV213:CV218)-CV219</f>
        <v>#VALUE!</v>
      </c>
      <c r="CW220" s="375">
        <f>SUM(CW213:CW218)-CW219</f>
        <v>148391.57482296191</v>
      </c>
    </row>
    <row r="221" spans="3:101">
      <c r="F221" s="97"/>
      <c r="X221" s="181"/>
      <c r="AU221" s="181"/>
      <c r="BM221" s="181"/>
      <c r="CE221" s="181"/>
    </row>
    <row r="222" spans="3:101" outlineLevel="1">
      <c r="C222" s="97" t="s">
        <v>0</v>
      </c>
      <c r="D222" s="284" t="s">
        <v>5</v>
      </c>
      <c r="F222" s="320" t="str">
        <f>CONCATENATE(C222, " - ",D222)</f>
        <v>Residential - FT</v>
      </c>
      <c r="G222" s="175">
        <f t="shared" ref="G222:W228" si="290">SUMIFS(G$5:G$181,$C$5:$C$181,$C222,$D$5:$D$181,$D222)</f>
        <v>9517.5899999999801</v>
      </c>
      <c r="H222" s="175">
        <f t="shared" si="290"/>
        <v>8993.5599999999758</v>
      </c>
      <c r="I222" s="175">
        <f t="shared" si="290"/>
        <v>8558.5199999999732</v>
      </c>
      <c r="J222" s="175">
        <f t="shared" si="290"/>
        <v>8052.0899999999738</v>
      </c>
      <c r="K222" s="175">
        <f t="shared" si="290"/>
        <v>7626.7900000000191</v>
      </c>
      <c r="L222" s="175">
        <f t="shared" si="290"/>
        <v>7169.069999999967</v>
      </c>
      <c r="M222" s="175">
        <f t="shared" si="290"/>
        <v>7277.0299999999734</v>
      </c>
      <c r="N222" s="175">
        <f t="shared" si="290"/>
        <v>6961.639999999974</v>
      </c>
      <c r="O222" s="175">
        <f t="shared" si="290"/>
        <v>7270.8399999999692</v>
      </c>
      <c r="P222" s="175">
        <f t="shared" si="290"/>
        <v>7288.739999999977</v>
      </c>
      <c r="Q222" s="175">
        <f t="shared" si="290"/>
        <v>7577.6100000000133</v>
      </c>
      <c r="R222" s="175">
        <f t="shared" si="290"/>
        <v>9122.1999999999753</v>
      </c>
      <c r="S222" s="375">
        <f t="shared" ca="1" si="290"/>
        <v>95415.67999999976</v>
      </c>
      <c r="T222" s="175">
        <f t="shared" si="290"/>
        <v>27069.669999999933</v>
      </c>
      <c r="U222" s="175">
        <f t="shared" si="290"/>
        <v>22847.949999999961</v>
      </c>
      <c r="V222" s="175">
        <f t="shared" si="290"/>
        <v>21509.509999999915</v>
      </c>
      <c r="W222" s="175">
        <f t="shared" si="290"/>
        <v>23988.549999999967</v>
      </c>
      <c r="X222" s="181"/>
      <c r="Y222" s="175">
        <f t="shared" ref="Y222:AT228" si="291">SUMIFS(Y$5:Y$181,$C$5:$C$181,$C222,$D$5:$D$181,$D222)</f>
        <v>10172.36</v>
      </c>
      <c r="Z222" s="175">
        <f t="shared" si="291"/>
        <v>9198.1600000000235</v>
      </c>
      <c r="AA222" s="175">
        <f t="shared" si="291"/>
        <v>8147.600000000014</v>
      </c>
      <c r="AB222" s="175">
        <f t="shared" si="291"/>
        <v>8372.5300000000279</v>
      </c>
      <c r="AC222" s="175">
        <f t="shared" si="291"/>
        <v>7352.5699999999733</v>
      </c>
      <c r="AD222" s="175">
        <f t="shared" si="291"/>
        <v>7027.0899999999729</v>
      </c>
      <c r="AE222" s="175">
        <f t="shared" si="291"/>
        <v>7176.5399999999754</v>
      </c>
      <c r="AF222" s="175">
        <f t="shared" si="291"/>
        <v>6688.089999999982</v>
      </c>
      <c r="AG222" s="175">
        <f t="shared" si="291"/>
        <v>7081.370000000009</v>
      </c>
      <c r="AH222" s="175">
        <f t="shared" si="291"/>
        <v>6857.1899999999814</v>
      </c>
      <c r="AI222" s="175">
        <f t="shared" si="291"/>
        <v>7272.2099999999746</v>
      </c>
      <c r="AJ222" s="175">
        <f t="shared" si="291"/>
        <v>8436.7299999999777</v>
      </c>
      <c r="AK222" s="375">
        <f t="shared" si="291"/>
        <v>93782.43999999993</v>
      </c>
      <c r="AL222" s="375"/>
      <c r="AM222" s="375"/>
      <c r="AN222" s="375"/>
      <c r="AO222" s="375"/>
      <c r="AP222" s="375"/>
      <c r="AQ222" s="175">
        <f t="shared" si="291"/>
        <v>27518.120000000039</v>
      </c>
      <c r="AR222" s="175">
        <f t="shared" si="291"/>
        <v>22752.189999999973</v>
      </c>
      <c r="AS222" s="175">
        <f t="shared" si="291"/>
        <v>20945.999999999967</v>
      </c>
      <c r="AT222" s="175">
        <f t="shared" si="291"/>
        <v>22566.129999999932</v>
      </c>
      <c r="AU222" s="181"/>
      <c r="AV222" s="175">
        <f t="shared" ref="AV222:BL228" si="292">SUMIFS(AV$5:AV$181,$C$5:$C$181,$C222,$D$5:$D$181,$D222)</f>
        <v>10832.962858688512</v>
      </c>
      <c r="AW222" s="175">
        <f t="shared" si="292"/>
        <v>9574.3057293747406</v>
      </c>
      <c r="AX222" s="175">
        <f t="shared" si="292"/>
        <v>8027.8857942418454</v>
      </c>
      <c r="AY222" s="175">
        <f t="shared" si="292"/>
        <v>8125.3151987803167</v>
      </c>
      <c r="AZ222" s="175">
        <f t="shared" si="292"/>
        <v>7407.7288039960204</v>
      </c>
      <c r="BA222" s="175">
        <f t="shared" si="292"/>
        <v>7369.8259866310082</v>
      </c>
      <c r="BB222" s="175">
        <f t="shared" si="292"/>
        <v>6851.6389946500922</v>
      </c>
      <c r="BC222" s="175">
        <f t="shared" si="292"/>
        <v>7004.2376563176913</v>
      </c>
      <c r="BD222" s="175">
        <f t="shared" si="292"/>
        <v>6988.4672441157309</v>
      </c>
      <c r="BE222" s="175">
        <f t="shared" si="292"/>
        <v>6882.3979642629138</v>
      </c>
      <c r="BF222" s="175">
        <f t="shared" si="292"/>
        <v>7277.2596999079688</v>
      </c>
      <c r="BG222" s="175">
        <f t="shared" si="292"/>
        <v>8752.3219643375924</v>
      </c>
      <c r="BH222" s="375">
        <f t="shared" ca="1" si="292"/>
        <v>95094.347895304425</v>
      </c>
      <c r="BI222" s="175">
        <f t="shared" si="292"/>
        <v>28435.154382305096</v>
      </c>
      <c r="BJ222" s="175">
        <f t="shared" si="292"/>
        <v>22902.869989407343</v>
      </c>
      <c r="BK222" s="175">
        <f t="shared" si="292"/>
        <v>20844.343895083515</v>
      </c>
      <c r="BL222" s="175">
        <f t="shared" si="292"/>
        <v>22911.979628508474</v>
      </c>
      <c r="BM222" s="181"/>
      <c r="BN222" s="175">
        <f t="shared" ref="BN222:CD228" si="293">SUMIFS(BN$5:BN$181,$C$5:$C$181,$C222,$D$5:$D$181,$D222)</f>
        <v>0</v>
      </c>
      <c r="BO222" s="175">
        <f t="shared" si="293"/>
        <v>0</v>
      </c>
      <c r="BP222" s="175">
        <f t="shared" si="293"/>
        <v>8042.0693380479261</v>
      </c>
      <c r="BQ222" s="175">
        <f t="shared" si="293"/>
        <v>8154.1795511738528</v>
      </c>
      <c r="BR222" s="175">
        <f t="shared" si="293"/>
        <v>7434.5684011119474</v>
      </c>
      <c r="BS222" s="175">
        <f t="shared" si="293"/>
        <v>7410.1717493315427</v>
      </c>
      <c r="BT222" s="175">
        <f t="shared" si="293"/>
        <v>6914.3829414875472</v>
      </c>
      <c r="BU222" s="175">
        <f t="shared" si="293"/>
        <v>7081.4902775270766</v>
      </c>
      <c r="BV222" s="175">
        <f t="shared" si="293"/>
        <v>7065.545926955243</v>
      </c>
      <c r="BW222" s="175">
        <f t="shared" si="293"/>
        <v>6970.9582321854141</v>
      </c>
      <c r="BX222" s="175">
        <f t="shared" si="293"/>
        <v>7330.6707802742658</v>
      </c>
      <c r="BY222" s="175">
        <f t="shared" si="293"/>
        <v>8800.2361356752062</v>
      </c>
      <c r="BZ222" s="375">
        <f t="shared" ca="1" si="293"/>
        <v>75204.273333770019</v>
      </c>
      <c r="CA222" s="175">
        <f t="shared" si="293"/>
        <v>8042.0693380479261</v>
      </c>
      <c r="CB222" s="175">
        <f t="shared" si="293"/>
        <v>22998.919701617342</v>
      </c>
      <c r="CC222" s="175">
        <f t="shared" si="293"/>
        <v>21061.419145969867</v>
      </c>
      <c r="CD222" s="175">
        <f t="shared" si="293"/>
        <v>23101.865148134886</v>
      </c>
      <c r="CE222" s="181"/>
      <c r="CH222" s="175"/>
      <c r="CI222" s="175"/>
      <c r="CJ222" s="175">
        <f t="shared" ref="CJ222:CW228" si="294">SUMIFS(CJ$5:CJ$181,$C$5:$C$181,$C222,$D$5:$D$181,$D222)</f>
        <v>105.53066195208794</v>
      </c>
      <c r="CK222" s="175">
        <f t="shared" si="294"/>
        <v>218.35044882617512</v>
      </c>
      <c r="CL222" s="175">
        <f t="shared" si="294"/>
        <v>-81.99840111197409</v>
      </c>
      <c r="CM222" s="175">
        <f t="shared" si="294"/>
        <v>-383.08174933156988</v>
      </c>
      <c r="CN222" s="175">
        <f t="shared" si="294"/>
        <v>262.15705851242819</v>
      </c>
      <c r="CO222" s="175">
        <f t="shared" si="294"/>
        <v>-393.40027752709466</v>
      </c>
      <c r="CP222" s="175">
        <f t="shared" si="294"/>
        <v>15.82407304476601</v>
      </c>
      <c r="CQ222" s="175">
        <f t="shared" si="294"/>
        <v>-113.76823218543268</v>
      </c>
      <c r="CR222" s="175">
        <f t="shared" si="294"/>
        <v>0</v>
      </c>
      <c r="CS222" s="175">
        <f t="shared" si="294"/>
        <v>0</v>
      </c>
      <c r="CU222" s="175">
        <f t="shared" si="294"/>
        <v>94816.676043436339</v>
      </c>
      <c r="CV222" s="175" t="e">
        <f t="shared" si="294"/>
        <v>#VALUE!</v>
      </c>
      <c r="CW222" s="175">
        <f t="shared" si="294"/>
        <v>95094.347895304425</v>
      </c>
    </row>
    <row r="223" spans="3:101" outlineLevel="1">
      <c r="C223" s="97" t="s">
        <v>534</v>
      </c>
      <c r="D223" s="284" t="s">
        <v>5</v>
      </c>
      <c r="F223" s="320" t="str">
        <f t="shared" si="248"/>
        <v>Residential - Experimental - FT</v>
      </c>
      <c r="G223" s="175">
        <f t="shared" si="290"/>
        <v>0</v>
      </c>
      <c r="H223" s="175">
        <f t="shared" si="290"/>
        <v>0</v>
      </c>
      <c r="I223" s="175">
        <f t="shared" si="290"/>
        <v>0</v>
      </c>
      <c r="J223" s="175">
        <f t="shared" si="290"/>
        <v>0</v>
      </c>
      <c r="K223" s="175">
        <f t="shared" si="290"/>
        <v>0</v>
      </c>
      <c r="L223" s="175">
        <f t="shared" si="290"/>
        <v>0</v>
      </c>
      <c r="M223" s="175">
        <f t="shared" si="290"/>
        <v>0</v>
      </c>
      <c r="N223" s="175">
        <f t="shared" si="290"/>
        <v>0</v>
      </c>
      <c r="O223" s="175">
        <f t="shared" si="290"/>
        <v>0</v>
      </c>
      <c r="P223" s="175">
        <f t="shared" si="290"/>
        <v>0</v>
      </c>
      <c r="Q223" s="175">
        <f t="shared" si="290"/>
        <v>0</v>
      </c>
      <c r="R223" s="175">
        <f t="shared" si="290"/>
        <v>0</v>
      </c>
      <c r="S223" s="375">
        <f t="shared" si="290"/>
        <v>0</v>
      </c>
      <c r="T223" s="175">
        <f t="shared" si="290"/>
        <v>0</v>
      </c>
      <c r="U223" s="175">
        <f t="shared" si="290"/>
        <v>0</v>
      </c>
      <c r="V223" s="175">
        <f t="shared" si="290"/>
        <v>0</v>
      </c>
      <c r="W223" s="175">
        <f t="shared" si="290"/>
        <v>0</v>
      </c>
      <c r="X223" s="181"/>
      <c r="Y223" s="175">
        <f t="shared" si="291"/>
        <v>0</v>
      </c>
      <c r="Z223" s="175">
        <f t="shared" si="291"/>
        <v>0</v>
      </c>
      <c r="AA223" s="175">
        <f t="shared" si="291"/>
        <v>0</v>
      </c>
      <c r="AB223" s="175">
        <f t="shared" si="291"/>
        <v>0</v>
      </c>
      <c r="AC223" s="175">
        <f t="shared" si="291"/>
        <v>0</v>
      </c>
      <c r="AD223" s="175">
        <f t="shared" si="291"/>
        <v>0</v>
      </c>
      <c r="AE223" s="175">
        <f t="shared" si="291"/>
        <v>0</v>
      </c>
      <c r="AF223" s="175">
        <f t="shared" si="291"/>
        <v>0</v>
      </c>
      <c r="AG223" s="175">
        <f t="shared" si="291"/>
        <v>0</v>
      </c>
      <c r="AH223" s="175">
        <f t="shared" si="291"/>
        <v>0</v>
      </c>
      <c r="AI223" s="175">
        <f t="shared" si="291"/>
        <v>0</v>
      </c>
      <c r="AJ223" s="175">
        <f t="shared" si="291"/>
        <v>0</v>
      </c>
      <c r="AK223" s="375">
        <f t="shared" si="291"/>
        <v>0</v>
      </c>
      <c r="AL223" s="375"/>
      <c r="AM223" s="375"/>
      <c r="AN223" s="375"/>
      <c r="AO223" s="375"/>
      <c r="AP223" s="375"/>
      <c r="AQ223" s="175">
        <f t="shared" si="291"/>
        <v>0</v>
      </c>
      <c r="AR223" s="175">
        <f t="shared" si="291"/>
        <v>0</v>
      </c>
      <c r="AS223" s="175">
        <f t="shared" si="291"/>
        <v>0</v>
      </c>
      <c r="AT223" s="175">
        <f t="shared" si="291"/>
        <v>0</v>
      </c>
      <c r="AU223" s="181"/>
      <c r="AV223" s="175">
        <f t="shared" si="292"/>
        <v>0</v>
      </c>
      <c r="AW223" s="175">
        <f t="shared" si="292"/>
        <v>0</v>
      </c>
      <c r="AX223" s="175">
        <f t="shared" si="292"/>
        <v>0</v>
      </c>
      <c r="AY223" s="175">
        <f t="shared" si="292"/>
        <v>0</v>
      </c>
      <c r="AZ223" s="175">
        <f t="shared" si="292"/>
        <v>0</v>
      </c>
      <c r="BA223" s="175">
        <f t="shared" si="292"/>
        <v>0</v>
      </c>
      <c r="BB223" s="175">
        <f t="shared" si="292"/>
        <v>0</v>
      </c>
      <c r="BC223" s="175">
        <f t="shared" si="292"/>
        <v>0</v>
      </c>
      <c r="BD223" s="175">
        <f t="shared" si="292"/>
        <v>0</v>
      </c>
      <c r="BE223" s="175">
        <f t="shared" si="292"/>
        <v>0</v>
      </c>
      <c r="BF223" s="175">
        <f t="shared" si="292"/>
        <v>0</v>
      </c>
      <c r="BG223" s="175">
        <f t="shared" si="292"/>
        <v>0</v>
      </c>
      <c r="BH223" s="375">
        <f t="shared" si="292"/>
        <v>0</v>
      </c>
      <c r="BI223" s="175">
        <f t="shared" si="292"/>
        <v>0</v>
      </c>
      <c r="BJ223" s="175">
        <f t="shared" si="292"/>
        <v>0</v>
      </c>
      <c r="BK223" s="175">
        <f t="shared" si="292"/>
        <v>0</v>
      </c>
      <c r="BL223" s="175">
        <f t="shared" si="292"/>
        <v>0</v>
      </c>
      <c r="BM223" s="181"/>
      <c r="BN223" s="175">
        <f t="shared" si="293"/>
        <v>0</v>
      </c>
      <c r="BO223" s="175">
        <f t="shared" si="293"/>
        <v>0</v>
      </c>
      <c r="BP223" s="175">
        <f t="shared" si="293"/>
        <v>0</v>
      </c>
      <c r="BQ223" s="175">
        <f t="shared" si="293"/>
        <v>0</v>
      </c>
      <c r="BR223" s="175">
        <f t="shared" si="293"/>
        <v>0</v>
      </c>
      <c r="BS223" s="175">
        <f t="shared" si="293"/>
        <v>0</v>
      </c>
      <c r="BT223" s="175">
        <f t="shared" si="293"/>
        <v>0</v>
      </c>
      <c r="BU223" s="175">
        <f t="shared" si="293"/>
        <v>0</v>
      </c>
      <c r="BV223" s="175">
        <f t="shared" si="293"/>
        <v>0</v>
      </c>
      <c r="BW223" s="175">
        <f t="shared" si="293"/>
        <v>0</v>
      </c>
      <c r="BX223" s="175">
        <f t="shared" si="293"/>
        <v>0</v>
      </c>
      <c r="BY223" s="175">
        <f t="shared" si="293"/>
        <v>0</v>
      </c>
      <c r="BZ223" s="375">
        <f t="shared" si="293"/>
        <v>0</v>
      </c>
      <c r="CA223" s="175">
        <f t="shared" si="293"/>
        <v>0</v>
      </c>
      <c r="CB223" s="175">
        <f t="shared" si="293"/>
        <v>0</v>
      </c>
      <c r="CC223" s="175">
        <f t="shared" si="293"/>
        <v>0</v>
      </c>
      <c r="CD223" s="175">
        <f t="shared" si="293"/>
        <v>0</v>
      </c>
      <c r="CE223" s="181"/>
      <c r="CH223" s="175"/>
      <c r="CI223" s="175"/>
      <c r="CJ223" s="175">
        <f t="shared" si="294"/>
        <v>0</v>
      </c>
      <c r="CK223" s="175">
        <f t="shared" si="294"/>
        <v>0</v>
      </c>
      <c r="CL223" s="175">
        <f t="shared" si="294"/>
        <v>0</v>
      </c>
      <c r="CM223" s="175">
        <f t="shared" si="294"/>
        <v>0</v>
      </c>
      <c r="CN223" s="175">
        <f t="shared" si="294"/>
        <v>0</v>
      </c>
      <c r="CO223" s="175">
        <f t="shared" si="294"/>
        <v>0</v>
      </c>
      <c r="CP223" s="175">
        <f t="shared" si="294"/>
        <v>0</v>
      </c>
      <c r="CQ223" s="175">
        <f t="shared" si="294"/>
        <v>0</v>
      </c>
      <c r="CR223" s="175">
        <f t="shared" si="294"/>
        <v>0</v>
      </c>
      <c r="CS223" s="175">
        <f t="shared" si="294"/>
        <v>0</v>
      </c>
      <c r="CU223" s="175">
        <f t="shared" si="294"/>
        <v>0</v>
      </c>
      <c r="CV223" s="175">
        <f t="shared" si="294"/>
        <v>0</v>
      </c>
      <c r="CW223" s="175">
        <f t="shared" si="294"/>
        <v>0</v>
      </c>
    </row>
    <row r="224" spans="3:101" outlineLevel="1">
      <c r="C224" s="97" t="s">
        <v>542</v>
      </c>
      <c r="D224" s="284" t="s">
        <v>5</v>
      </c>
      <c r="F224" s="320" t="str">
        <f t="shared" si="248"/>
        <v>Non-Residential - FT</v>
      </c>
      <c r="G224" s="175">
        <f t="shared" si="290"/>
        <v>9856.15</v>
      </c>
      <c r="H224" s="175">
        <f t="shared" si="290"/>
        <v>10274.43</v>
      </c>
      <c r="I224" s="175">
        <f t="shared" si="290"/>
        <v>9686.94</v>
      </c>
      <c r="J224" s="175">
        <f t="shared" si="290"/>
        <v>7191.9</v>
      </c>
      <c r="K224" s="175">
        <f t="shared" si="290"/>
        <v>4777</v>
      </c>
      <c r="L224" s="175">
        <f t="shared" si="290"/>
        <v>4431.9299999999994</v>
      </c>
      <c r="M224" s="175">
        <f t="shared" si="290"/>
        <v>4537.79</v>
      </c>
      <c r="N224" s="175">
        <f t="shared" si="290"/>
        <v>4005.0499999999997</v>
      </c>
      <c r="O224" s="175">
        <f t="shared" si="290"/>
        <v>4578.2200000000012</v>
      </c>
      <c r="P224" s="175">
        <f t="shared" si="290"/>
        <v>5387.92</v>
      </c>
      <c r="Q224" s="175">
        <f t="shared" si="290"/>
        <v>7191.5300000000007</v>
      </c>
      <c r="R224" s="175">
        <f t="shared" si="290"/>
        <v>10241.779999999999</v>
      </c>
      <c r="S224" s="375">
        <f t="shared" ca="1" si="290"/>
        <v>82160.639999999999</v>
      </c>
      <c r="T224" s="175">
        <f t="shared" si="290"/>
        <v>29817.520000000004</v>
      </c>
      <c r="U224" s="175">
        <f t="shared" si="290"/>
        <v>16400.829999999998</v>
      </c>
      <c r="V224" s="175">
        <f t="shared" si="290"/>
        <v>13121.06</v>
      </c>
      <c r="W224" s="175">
        <f t="shared" si="290"/>
        <v>22821.230000000003</v>
      </c>
      <c r="X224" s="181"/>
      <c r="Y224" s="175">
        <f t="shared" si="291"/>
        <v>10770.130000000001</v>
      </c>
      <c r="Z224" s="175">
        <f t="shared" si="291"/>
        <v>10335.48</v>
      </c>
      <c r="AA224" s="175">
        <f t="shared" si="291"/>
        <v>8670.36</v>
      </c>
      <c r="AB224" s="175">
        <f t="shared" si="291"/>
        <v>8792.84</v>
      </c>
      <c r="AC224" s="175">
        <f t="shared" si="291"/>
        <v>7947.95</v>
      </c>
      <c r="AD224" s="175">
        <f t="shared" si="291"/>
        <v>6754.1299999999992</v>
      </c>
      <c r="AE224" s="175">
        <f t="shared" si="291"/>
        <v>4632.3999999999996</v>
      </c>
      <c r="AF224" s="175">
        <f t="shared" si="291"/>
        <v>6667.03</v>
      </c>
      <c r="AG224" s="175">
        <f t="shared" si="291"/>
        <v>6122.35</v>
      </c>
      <c r="AH224" s="175">
        <f t="shared" si="291"/>
        <v>6820.6900000000005</v>
      </c>
      <c r="AI224" s="175">
        <f t="shared" si="291"/>
        <v>8529.1200000000008</v>
      </c>
      <c r="AJ224" s="175">
        <f t="shared" si="291"/>
        <v>10578.25</v>
      </c>
      <c r="AK224" s="375">
        <f t="shared" si="291"/>
        <v>96620.73000000001</v>
      </c>
      <c r="AL224" s="375"/>
      <c r="AM224" s="375"/>
      <c r="AN224" s="375"/>
      <c r="AO224" s="375"/>
      <c r="AP224" s="375"/>
      <c r="AQ224" s="175">
        <f t="shared" si="291"/>
        <v>29775.97</v>
      </c>
      <c r="AR224" s="175">
        <f t="shared" si="291"/>
        <v>23494.920000000002</v>
      </c>
      <c r="AS224" s="175">
        <f t="shared" si="291"/>
        <v>17421.78</v>
      </c>
      <c r="AT224" s="175">
        <f t="shared" si="291"/>
        <v>25928.060000000005</v>
      </c>
      <c r="AU224" s="181"/>
      <c r="AV224" s="175">
        <f t="shared" si="292"/>
        <v>11001.583686724964</v>
      </c>
      <c r="AW224" s="175">
        <f t="shared" si="292"/>
        <v>11276.710885860852</v>
      </c>
      <c r="AX224" s="175">
        <f t="shared" si="292"/>
        <v>9072.9397198890583</v>
      </c>
      <c r="AY224" s="175">
        <f t="shared" si="292"/>
        <v>7753.0970271940023</v>
      </c>
      <c r="AZ224" s="175">
        <f t="shared" si="292"/>
        <v>5293.9014959289852</v>
      </c>
      <c r="BA224" s="175">
        <f t="shared" si="292"/>
        <v>5143.2224956588025</v>
      </c>
      <c r="BB224" s="175">
        <f t="shared" si="292"/>
        <v>3486.9211864209151</v>
      </c>
      <c r="BC224" s="175">
        <f t="shared" si="292"/>
        <v>7200.5806341823045</v>
      </c>
      <c r="BD224" s="175">
        <f t="shared" si="292"/>
        <v>7019.1332008394802</v>
      </c>
      <c r="BE224" s="175">
        <f t="shared" si="292"/>
        <v>8333.4655276322155</v>
      </c>
      <c r="BF224" s="175">
        <f t="shared" si="292"/>
        <v>10201.485673170657</v>
      </c>
      <c r="BG224" s="175">
        <f t="shared" si="292"/>
        <v>15302.266952998023</v>
      </c>
      <c r="BH224" s="375">
        <f t="shared" ca="1" si="292"/>
        <v>101085.30848650025</v>
      </c>
      <c r="BI224" s="175">
        <f t="shared" si="292"/>
        <v>31351.234292474874</v>
      </c>
      <c r="BJ224" s="175">
        <f t="shared" si="292"/>
        <v>18190.221018781791</v>
      </c>
      <c r="BK224" s="175">
        <f t="shared" si="292"/>
        <v>17706.6350214427</v>
      </c>
      <c r="BL224" s="175">
        <f t="shared" si="292"/>
        <v>33837.218153800895</v>
      </c>
      <c r="BM224" s="181"/>
      <c r="BN224" s="175">
        <f t="shared" si="293"/>
        <v>0</v>
      </c>
      <c r="BO224" s="175">
        <f t="shared" si="293"/>
        <v>0</v>
      </c>
      <c r="BP224" s="175">
        <f t="shared" si="293"/>
        <v>5984.6772564507028</v>
      </c>
      <c r="BQ224" s="175">
        <f t="shared" si="293"/>
        <v>6257.0823218606856</v>
      </c>
      <c r="BR224" s="175">
        <f t="shared" si="293"/>
        <v>5254.1489806663276</v>
      </c>
      <c r="BS224" s="175">
        <f t="shared" si="293"/>
        <v>4668.7312131320323</v>
      </c>
      <c r="BT224" s="175">
        <f t="shared" si="293"/>
        <v>3350.610554381632</v>
      </c>
      <c r="BU224" s="175">
        <f t="shared" si="293"/>
        <v>7386.4731472064086</v>
      </c>
      <c r="BV224" s="175">
        <f t="shared" si="293"/>
        <v>7367.9815091300743</v>
      </c>
      <c r="BW224" s="175">
        <f t="shared" si="293"/>
        <v>9193.558716330177</v>
      </c>
      <c r="BX224" s="175">
        <f t="shared" si="293"/>
        <v>9018.2668451428581</v>
      </c>
      <c r="BY224" s="175">
        <f t="shared" si="293"/>
        <v>14461.493818933654</v>
      </c>
      <c r="BZ224" s="375">
        <f t="shared" ca="1" si="293"/>
        <v>72943.024363234552</v>
      </c>
      <c r="CA224" s="175">
        <f t="shared" si="293"/>
        <v>5984.6772564507028</v>
      </c>
      <c r="CB224" s="175">
        <f t="shared" si="293"/>
        <v>16179.962515659046</v>
      </c>
      <c r="CC224" s="175">
        <f t="shared" si="293"/>
        <v>18105.065210718116</v>
      </c>
      <c r="CD224" s="175">
        <f t="shared" si="293"/>
        <v>32673.31938040669</v>
      </c>
      <c r="CE224" s="181"/>
      <c r="CH224" s="175"/>
      <c r="CI224" s="175"/>
      <c r="CJ224" s="175">
        <f t="shared" si="294"/>
        <v>2685.6827435492974</v>
      </c>
      <c r="CK224" s="175">
        <f t="shared" si="294"/>
        <v>2535.7576781393145</v>
      </c>
      <c r="CL224" s="175">
        <f t="shared" si="294"/>
        <v>2693.8010193336731</v>
      </c>
      <c r="CM224" s="175">
        <f t="shared" si="294"/>
        <v>2085.3987868679674</v>
      </c>
      <c r="CN224" s="175">
        <f t="shared" si="294"/>
        <v>1281.7894456183676</v>
      </c>
      <c r="CO224" s="175">
        <f t="shared" si="294"/>
        <v>-719.44314720640887</v>
      </c>
      <c r="CP224" s="175">
        <f t="shared" si="294"/>
        <v>-1245.6315091300735</v>
      </c>
      <c r="CQ224" s="175">
        <f t="shared" si="294"/>
        <v>-2372.8687163301774</v>
      </c>
      <c r="CR224" s="175">
        <f t="shared" si="294"/>
        <v>0</v>
      </c>
      <c r="CS224" s="175">
        <f t="shared" si="294"/>
        <v>0</v>
      </c>
      <c r="CU224" s="175">
        <f t="shared" si="294"/>
        <v>101963.87580425685</v>
      </c>
      <c r="CV224" s="175" t="e">
        <f t="shared" si="294"/>
        <v>#VALUE!</v>
      </c>
      <c r="CW224" s="175">
        <f t="shared" si="294"/>
        <v>101085.30848650025</v>
      </c>
    </row>
    <row r="225" spans="3:101" outlineLevel="1">
      <c r="C225" s="97" t="s">
        <v>579</v>
      </c>
      <c r="D225" s="284" t="s">
        <v>5</v>
      </c>
      <c r="F225" s="320" t="str">
        <f t="shared" si="248"/>
        <v>Non-Residential-Experimental - FT</v>
      </c>
      <c r="G225" s="175">
        <f t="shared" si="290"/>
        <v>0</v>
      </c>
      <c r="H225" s="175">
        <f t="shared" si="290"/>
        <v>0</v>
      </c>
      <c r="I225" s="175">
        <f t="shared" si="290"/>
        <v>0</v>
      </c>
      <c r="J225" s="175">
        <f t="shared" si="290"/>
        <v>0</v>
      </c>
      <c r="K225" s="175">
        <f t="shared" si="290"/>
        <v>0</v>
      </c>
      <c r="L225" s="175">
        <f t="shared" si="290"/>
        <v>0</v>
      </c>
      <c r="M225" s="175">
        <f t="shared" si="290"/>
        <v>0</v>
      </c>
      <c r="N225" s="175">
        <f t="shared" si="290"/>
        <v>0</v>
      </c>
      <c r="O225" s="175">
        <f t="shared" si="290"/>
        <v>0</v>
      </c>
      <c r="P225" s="175">
        <f t="shared" si="290"/>
        <v>0</v>
      </c>
      <c r="Q225" s="175">
        <f t="shared" si="290"/>
        <v>0</v>
      </c>
      <c r="R225" s="175">
        <f t="shared" si="290"/>
        <v>0</v>
      </c>
      <c r="S225" s="375">
        <f t="shared" si="290"/>
        <v>0</v>
      </c>
      <c r="T225" s="175">
        <f t="shared" si="290"/>
        <v>0</v>
      </c>
      <c r="U225" s="175">
        <f t="shared" si="290"/>
        <v>0</v>
      </c>
      <c r="V225" s="175">
        <f t="shared" si="290"/>
        <v>0</v>
      </c>
      <c r="W225" s="175">
        <f t="shared" si="290"/>
        <v>0</v>
      </c>
      <c r="X225" s="181"/>
      <c r="Y225" s="175">
        <f t="shared" si="291"/>
        <v>0</v>
      </c>
      <c r="Z225" s="175">
        <f t="shared" si="291"/>
        <v>0</v>
      </c>
      <c r="AA225" s="175">
        <f t="shared" si="291"/>
        <v>0</v>
      </c>
      <c r="AB225" s="175">
        <f t="shared" si="291"/>
        <v>0</v>
      </c>
      <c r="AC225" s="175">
        <f t="shared" si="291"/>
        <v>0</v>
      </c>
      <c r="AD225" s="175">
        <f t="shared" si="291"/>
        <v>0</v>
      </c>
      <c r="AE225" s="175">
        <f t="shared" si="291"/>
        <v>0</v>
      </c>
      <c r="AF225" s="175">
        <f t="shared" si="291"/>
        <v>0</v>
      </c>
      <c r="AG225" s="175">
        <f t="shared" si="291"/>
        <v>0</v>
      </c>
      <c r="AH225" s="175">
        <f t="shared" si="291"/>
        <v>0</v>
      </c>
      <c r="AI225" s="175">
        <f t="shared" si="291"/>
        <v>0</v>
      </c>
      <c r="AJ225" s="175">
        <f t="shared" si="291"/>
        <v>0</v>
      </c>
      <c r="AK225" s="375">
        <f t="shared" si="291"/>
        <v>0</v>
      </c>
      <c r="AL225" s="375"/>
      <c r="AM225" s="375"/>
      <c r="AN225" s="375"/>
      <c r="AO225" s="375"/>
      <c r="AP225" s="375"/>
      <c r="AQ225" s="175">
        <f t="shared" si="291"/>
        <v>0</v>
      </c>
      <c r="AR225" s="175">
        <f t="shared" si="291"/>
        <v>0</v>
      </c>
      <c r="AS225" s="175">
        <f t="shared" si="291"/>
        <v>0</v>
      </c>
      <c r="AT225" s="175">
        <f t="shared" si="291"/>
        <v>0</v>
      </c>
      <c r="AU225" s="181"/>
      <c r="AV225" s="175">
        <f t="shared" si="292"/>
        <v>0</v>
      </c>
      <c r="AW225" s="175">
        <f t="shared" si="292"/>
        <v>0</v>
      </c>
      <c r="AX225" s="175">
        <f t="shared" si="292"/>
        <v>0</v>
      </c>
      <c r="AY225" s="175">
        <f t="shared" si="292"/>
        <v>0</v>
      </c>
      <c r="AZ225" s="175">
        <f t="shared" si="292"/>
        <v>0</v>
      </c>
      <c r="BA225" s="175">
        <f t="shared" si="292"/>
        <v>0</v>
      </c>
      <c r="BB225" s="175">
        <f t="shared" si="292"/>
        <v>0</v>
      </c>
      <c r="BC225" s="175">
        <f t="shared" si="292"/>
        <v>0</v>
      </c>
      <c r="BD225" s="175">
        <f t="shared" si="292"/>
        <v>0</v>
      </c>
      <c r="BE225" s="175">
        <f t="shared" si="292"/>
        <v>0</v>
      </c>
      <c r="BF225" s="175">
        <f t="shared" si="292"/>
        <v>0</v>
      </c>
      <c r="BG225" s="175">
        <f t="shared" si="292"/>
        <v>0</v>
      </c>
      <c r="BH225" s="375">
        <f t="shared" si="292"/>
        <v>0</v>
      </c>
      <c r="BI225" s="175">
        <f t="shared" si="292"/>
        <v>0</v>
      </c>
      <c r="BJ225" s="175">
        <f t="shared" si="292"/>
        <v>0</v>
      </c>
      <c r="BK225" s="175">
        <f t="shared" si="292"/>
        <v>0</v>
      </c>
      <c r="BL225" s="175">
        <f t="shared" si="292"/>
        <v>0</v>
      </c>
      <c r="BM225" s="181"/>
      <c r="BN225" s="175">
        <f t="shared" si="293"/>
        <v>0</v>
      </c>
      <c r="BO225" s="175">
        <f t="shared" si="293"/>
        <v>0</v>
      </c>
      <c r="BP225" s="175">
        <f t="shared" si="293"/>
        <v>0</v>
      </c>
      <c r="BQ225" s="175">
        <f t="shared" si="293"/>
        <v>0</v>
      </c>
      <c r="BR225" s="175">
        <f t="shared" si="293"/>
        <v>0</v>
      </c>
      <c r="BS225" s="175">
        <f t="shared" si="293"/>
        <v>0</v>
      </c>
      <c r="BT225" s="175">
        <f t="shared" si="293"/>
        <v>0</v>
      </c>
      <c r="BU225" s="175">
        <f t="shared" si="293"/>
        <v>0</v>
      </c>
      <c r="BV225" s="175">
        <f t="shared" si="293"/>
        <v>0</v>
      </c>
      <c r="BW225" s="175">
        <f t="shared" si="293"/>
        <v>0</v>
      </c>
      <c r="BX225" s="175">
        <f t="shared" si="293"/>
        <v>0</v>
      </c>
      <c r="BY225" s="175">
        <f t="shared" si="293"/>
        <v>0</v>
      </c>
      <c r="BZ225" s="375">
        <f t="shared" si="293"/>
        <v>0</v>
      </c>
      <c r="CA225" s="175">
        <f t="shared" si="293"/>
        <v>0</v>
      </c>
      <c r="CB225" s="175">
        <f t="shared" si="293"/>
        <v>0</v>
      </c>
      <c r="CC225" s="175">
        <f t="shared" si="293"/>
        <v>0</v>
      </c>
      <c r="CD225" s="175">
        <f t="shared" si="293"/>
        <v>0</v>
      </c>
      <c r="CE225" s="181"/>
      <c r="CH225" s="175"/>
      <c r="CI225" s="175"/>
      <c r="CJ225" s="175">
        <f t="shared" si="294"/>
        <v>0</v>
      </c>
      <c r="CK225" s="175">
        <f t="shared" si="294"/>
        <v>0</v>
      </c>
      <c r="CL225" s="175">
        <f t="shared" si="294"/>
        <v>0</v>
      </c>
      <c r="CM225" s="175">
        <f t="shared" si="294"/>
        <v>0</v>
      </c>
      <c r="CN225" s="175">
        <f t="shared" si="294"/>
        <v>0</v>
      </c>
      <c r="CO225" s="175">
        <f t="shared" si="294"/>
        <v>0</v>
      </c>
      <c r="CP225" s="175">
        <f t="shared" si="294"/>
        <v>0</v>
      </c>
      <c r="CQ225" s="175">
        <f t="shared" si="294"/>
        <v>0</v>
      </c>
      <c r="CR225" s="175">
        <f t="shared" si="294"/>
        <v>0</v>
      </c>
      <c r="CS225" s="175">
        <f t="shared" si="294"/>
        <v>0</v>
      </c>
      <c r="CU225" s="175">
        <f t="shared" si="294"/>
        <v>0</v>
      </c>
      <c r="CV225" s="175">
        <f t="shared" si="294"/>
        <v>0</v>
      </c>
      <c r="CW225" s="175">
        <f t="shared" si="294"/>
        <v>0</v>
      </c>
    </row>
    <row r="226" spans="3:101" outlineLevel="1">
      <c r="C226" s="97" t="s">
        <v>586</v>
      </c>
      <c r="D226" s="284" t="s">
        <v>5</v>
      </c>
      <c r="F226" s="320" t="str">
        <f t="shared" si="248"/>
        <v>Industrial - FT</v>
      </c>
      <c r="G226" s="175">
        <f t="shared" si="290"/>
        <v>0</v>
      </c>
      <c r="H226" s="175">
        <f t="shared" si="290"/>
        <v>0</v>
      </c>
      <c r="I226" s="175">
        <f t="shared" si="290"/>
        <v>0</v>
      </c>
      <c r="J226" s="175">
        <f t="shared" si="290"/>
        <v>0</v>
      </c>
      <c r="K226" s="175">
        <f t="shared" si="290"/>
        <v>0</v>
      </c>
      <c r="L226" s="175">
        <f t="shared" si="290"/>
        <v>0</v>
      </c>
      <c r="M226" s="175">
        <f t="shared" si="290"/>
        <v>0</v>
      </c>
      <c r="N226" s="175">
        <f t="shared" si="290"/>
        <v>0</v>
      </c>
      <c r="O226" s="175">
        <f t="shared" si="290"/>
        <v>0</v>
      </c>
      <c r="P226" s="175">
        <f t="shared" si="290"/>
        <v>0</v>
      </c>
      <c r="Q226" s="175">
        <f t="shared" si="290"/>
        <v>0</v>
      </c>
      <c r="R226" s="175">
        <f t="shared" si="290"/>
        <v>0</v>
      </c>
      <c r="S226" s="375">
        <f t="shared" si="290"/>
        <v>0</v>
      </c>
      <c r="T226" s="175">
        <f t="shared" si="290"/>
        <v>0</v>
      </c>
      <c r="U226" s="175">
        <f t="shared" si="290"/>
        <v>0</v>
      </c>
      <c r="V226" s="175">
        <f t="shared" si="290"/>
        <v>0</v>
      </c>
      <c r="W226" s="175">
        <f t="shared" si="290"/>
        <v>0</v>
      </c>
      <c r="X226" s="181"/>
      <c r="Y226" s="175">
        <f t="shared" si="291"/>
        <v>0</v>
      </c>
      <c r="Z226" s="175">
        <f t="shared" si="291"/>
        <v>0</v>
      </c>
      <c r="AA226" s="175">
        <f t="shared" si="291"/>
        <v>0</v>
      </c>
      <c r="AB226" s="175">
        <f t="shared" si="291"/>
        <v>0</v>
      </c>
      <c r="AC226" s="175">
        <f t="shared" si="291"/>
        <v>0</v>
      </c>
      <c r="AD226" s="175">
        <f t="shared" si="291"/>
        <v>0</v>
      </c>
      <c r="AE226" s="175">
        <f t="shared" si="291"/>
        <v>0</v>
      </c>
      <c r="AF226" s="175">
        <f t="shared" si="291"/>
        <v>0</v>
      </c>
      <c r="AG226" s="175">
        <f t="shared" si="291"/>
        <v>0</v>
      </c>
      <c r="AH226" s="175">
        <f t="shared" si="291"/>
        <v>0</v>
      </c>
      <c r="AI226" s="175">
        <f t="shared" si="291"/>
        <v>0</v>
      </c>
      <c r="AJ226" s="175">
        <f t="shared" si="291"/>
        <v>0</v>
      </c>
      <c r="AK226" s="375">
        <f t="shared" si="291"/>
        <v>0</v>
      </c>
      <c r="AL226" s="375"/>
      <c r="AM226" s="375"/>
      <c r="AN226" s="375"/>
      <c r="AO226" s="375"/>
      <c r="AP226" s="375"/>
      <c r="AQ226" s="175">
        <f t="shared" si="291"/>
        <v>0</v>
      </c>
      <c r="AR226" s="175">
        <f t="shared" si="291"/>
        <v>0</v>
      </c>
      <c r="AS226" s="175">
        <f t="shared" si="291"/>
        <v>0</v>
      </c>
      <c r="AT226" s="175">
        <f t="shared" si="291"/>
        <v>0</v>
      </c>
      <c r="AU226" s="181"/>
      <c r="AV226" s="175">
        <f t="shared" si="292"/>
        <v>0</v>
      </c>
      <c r="AW226" s="175">
        <f t="shared" si="292"/>
        <v>0</v>
      </c>
      <c r="AX226" s="175">
        <f t="shared" si="292"/>
        <v>0</v>
      </c>
      <c r="AY226" s="175">
        <f t="shared" si="292"/>
        <v>0</v>
      </c>
      <c r="AZ226" s="175">
        <f t="shared" si="292"/>
        <v>0</v>
      </c>
      <c r="BA226" s="175">
        <f t="shared" si="292"/>
        <v>0</v>
      </c>
      <c r="BB226" s="175">
        <f t="shared" si="292"/>
        <v>0</v>
      </c>
      <c r="BC226" s="175">
        <f t="shared" si="292"/>
        <v>0</v>
      </c>
      <c r="BD226" s="175">
        <f t="shared" si="292"/>
        <v>0</v>
      </c>
      <c r="BE226" s="175">
        <f t="shared" si="292"/>
        <v>0</v>
      </c>
      <c r="BF226" s="175">
        <f t="shared" si="292"/>
        <v>0</v>
      </c>
      <c r="BG226" s="175">
        <f t="shared" si="292"/>
        <v>0</v>
      </c>
      <c r="BH226" s="375">
        <f t="shared" si="292"/>
        <v>0</v>
      </c>
      <c r="BI226" s="175">
        <f t="shared" si="292"/>
        <v>0</v>
      </c>
      <c r="BJ226" s="175">
        <f t="shared" si="292"/>
        <v>0</v>
      </c>
      <c r="BK226" s="175">
        <f t="shared" si="292"/>
        <v>0</v>
      </c>
      <c r="BL226" s="175">
        <f t="shared" si="292"/>
        <v>0</v>
      </c>
      <c r="BM226" s="181"/>
      <c r="BN226" s="175">
        <f t="shared" si="293"/>
        <v>0</v>
      </c>
      <c r="BO226" s="175">
        <f t="shared" si="293"/>
        <v>0</v>
      </c>
      <c r="BP226" s="175">
        <f t="shared" si="293"/>
        <v>0</v>
      </c>
      <c r="BQ226" s="175">
        <f t="shared" si="293"/>
        <v>0</v>
      </c>
      <c r="BR226" s="175">
        <f t="shared" si="293"/>
        <v>0</v>
      </c>
      <c r="BS226" s="175">
        <f t="shared" si="293"/>
        <v>0</v>
      </c>
      <c r="BT226" s="175">
        <f t="shared" si="293"/>
        <v>0</v>
      </c>
      <c r="BU226" s="175">
        <f t="shared" si="293"/>
        <v>0</v>
      </c>
      <c r="BV226" s="175">
        <f t="shared" si="293"/>
        <v>0</v>
      </c>
      <c r="BW226" s="175">
        <f t="shared" si="293"/>
        <v>0</v>
      </c>
      <c r="BX226" s="175">
        <f t="shared" si="293"/>
        <v>0</v>
      </c>
      <c r="BY226" s="175">
        <f t="shared" si="293"/>
        <v>0</v>
      </c>
      <c r="BZ226" s="375">
        <f t="shared" si="293"/>
        <v>0</v>
      </c>
      <c r="CA226" s="175">
        <f t="shared" si="293"/>
        <v>0</v>
      </c>
      <c r="CB226" s="175">
        <f t="shared" si="293"/>
        <v>0</v>
      </c>
      <c r="CC226" s="175">
        <f t="shared" si="293"/>
        <v>0</v>
      </c>
      <c r="CD226" s="175">
        <f t="shared" si="293"/>
        <v>0</v>
      </c>
      <c r="CE226" s="181"/>
      <c r="CH226" s="175"/>
      <c r="CI226" s="175"/>
      <c r="CJ226" s="175">
        <f t="shared" si="294"/>
        <v>0</v>
      </c>
      <c r="CK226" s="175">
        <f t="shared" si="294"/>
        <v>0</v>
      </c>
      <c r="CL226" s="175">
        <f t="shared" si="294"/>
        <v>0</v>
      </c>
      <c r="CM226" s="175">
        <f t="shared" si="294"/>
        <v>0</v>
      </c>
      <c r="CN226" s="175">
        <f t="shared" si="294"/>
        <v>0</v>
      </c>
      <c r="CO226" s="175">
        <f t="shared" si="294"/>
        <v>0</v>
      </c>
      <c r="CP226" s="175">
        <f t="shared" si="294"/>
        <v>0</v>
      </c>
      <c r="CQ226" s="175">
        <f t="shared" si="294"/>
        <v>0</v>
      </c>
      <c r="CR226" s="175">
        <f t="shared" si="294"/>
        <v>0</v>
      </c>
      <c r="CS226" s="175">
        <f t="shared" si="294"/>
        <v>0</v>
      </c>
      <c r="CU226" s="175">
        <f t="shared" si="294"/>
        <v>0</v>
      </c>
      <c r="CV226" s="175">
        <f t="shared" si="294"/>
        <v>0</v>
      </c>
      <c r="CW226" s="175">
        <f t="shared" si="294"/>
        <v>0</v>
      </c>
    </row>
    <row r="227" spans="3:101" outlineLevel="1">
      <c r="C227" s="97" t="s">
        <v>9</v>
      </c>
      <c r="D227" s="284" t="s">
        <v>5</v>
      </c>
      <c r="F227" s="320" t="str">
        <f t="shared" si="248"/>
        <v>Miscellaneous Revenues - FT</v>
      </c>
      <c r="G227" s="175">
        <f t="shared" si="290"/>
        <v>1169</v>
      </c>
      <c r="H227" s="175">
        <f t="shared" si="290"/>
        <v>3034</v>
      </c>
      <c r="I227" s="175">
        <f t="shared" si="290"/>
        <v>5046</v>
      </c>
      <c r="J227" s="175">
        <f t="shared" si="290"/>
        <v>-503</v>
      </c>
      <c r="K227" s="175">
        <f t="shared" si="290"/>
        <v>1450</v>
      </c>
      <c r="L227" s="175">
        <f t="shared" si="290"/>
        <v>2309.1899999999996</v>
      </c>
      <c r="M227" s="175">
        <f t="shared" si="290"/>
        <v>2731.0500000000006</v>
      </c>
      <c r="N227" s="175">
        <f t="shared" si="290"/>
        <v>2427.77</v>
      </c>
      <c r="O227" s="175">
        <f t="shared" si="290"/>
        <v>2469.73</v>
      </c>
      <c r="P227" s="175">
        <f t="shared" si="290"/>
        <v>4225.1899999999996</v>
      </c>
      <c r="Q227" s="175">
        <f t="shared" si="290"/>
        <v>2506.3100000000004</v>
      </c>
      <c r="R227" s="175">
        <f t="shared" si="290"/>
        <v>5090.9900000000007</v>
      </c>
      <c r="S227" s="375">
        <f t="shared" ca="1" si="290"/>
        <v>31956.229999999996</v>
      </c>
      <c r="T227" s="175">
        <f t="shared" si="290"/>
        <v>9249</v>
      </c>
      <c r="U227" s="175">
        <f t="shared" si="290"/>
        <v>3256.1899999999996</v>
      </c>
      <c r="V227" s="175">
        <f t="shared" si="290"/>
        <v>7628.55</v>
      </c>
      <c r="W227" s="175">
        <f t="shared" si="290"/>
        <v>11822.490000000002</v>
      </c>
      <c r="X227" s="181"/>
      <c r="Y227" s="175">
        <f t="shared" si="291"/>
        <v>1053.0399999999988</v>
      </c>
      <c r="Z227" s="175">
        <f t="shared" si="291"/>
        <v>5250.87</v>
      </c>
      <c r="AA227" s="175">
        <f t="shared" si="291"/>
        <v>3179.75</v>
      </c>
      <c r="AB227" s="175">
        <f t="shared" si="291"/>
        <v>1525.6800000000005</v>
      </c>
      <c r="AC227" s="175">
        <f t="shared" si="291"/>
        <v>2681.6600000000003</v>
      </c>
      <c r="AD227" s="175">
        <f t="shared" si="291"/>
        <v>2376.17</v>
      </c>
      <c r="AE227" s="175">
        <f t="shared" si="291"/>
        <v>2126.2299999999991</v>
      </c>
      <c r="AF227" s="175">
        <f t="shared" si="291"/>
        <v>4840.4899999999989</v>
      </c>
      <c r="AG227" s="175">
        <f t="shared" si="291"/>
        <v>1736.1800000000012</v>
      </c>
      <c r="AH227" s="175">
        <f t="shared" si="291"/>
        <v>4727.71</v>
      </c>
      <c r="AI227" s="175">
        <f t="shared" si="291"/>
        <v>5310.329999999999</v>
      </c>
      <c r="AJ227" s="175">
        <f t="shared" si="291"/>
        <v>4591.8100000000004</v>
      </c>
      <c r="AK227" s="375">
        <f t="shared" ca="1" si="291"/>
        <v>39399.919999999998</v>
      </c>
      <c r="AL227" s="375"/>
      <c r="AM227" s="375"/>
      <c r="AN227" s="375"/>
      <c r="AO227" s="375"/>
      <c r="AP227" s="375"/>
      <c r="AQ227" s="175">
        <f t="shared" si="291"/>
        <v>9483.659999999998</v>
      </c>
      <c r="AR227" s="175">
        <f t="shared" si="291"/>
        <v>6583.51</v>
      </c>
      <c r="AS227" s="175">
        <f t="shared" si="291"/>
        <v>8702.9</v>
      </c>
      <c r="AT227" s="175">
        <f t="shared" si="291"/>
        <v>14629.85</v>
      </c>
      <c r="AU227" s="181"/>
      <c r="AV227" s="175">
        <f t="shared" si="292"/>
        <v>1940.0992333333334</v>
      </c>
      <c r="AW227" s="175">
        <f t="shared" si="292"/>
        <v>3810.2244500000002</v>
      </c>
      <c r="AX227" s="175">
        <f t="shared" si="292"/>
        <v>5409.4363333333331</v>
      </c>
      <c r="AY227" s="175">
        <f t="shared" si="292"/>
        <v>-705.53178333333335</v>
      </c>
      <c r="AZ227" s="175">
        <f t="shared" si="292"/>
        <v>2189.7634333333335</v>
      </c>
      <c r="BA227" s="175">
        <f t="shared" si="292"/>
        <v>3232.5476623456789</v>
      </c>
      <c r="BB227" s="175">
        <f t="shared" si="292"/>
        <v>3189.2301423868316</v>
      </c>
      <c r="BC227" s="175">
        <f t="shared" si="292"/>
        <v>3417.7566965020578</v>
      </c>
      <c r="BD227" s="175">
        <f t="shared" si="292"/>
        <v>3562.4446292181074</v>
      </c>
      <c r="BE227" s="175">
        <f t="shared" si="292"/>
        <v>3424.2595989711936</v>
      </c>
      <c r="BF227" s="175">
        <f t="shared" si="292"/>
        <v>4191.8209679012343</v>
      </c>
      <c r="BG227" s="175">
        <f t="shared" si="292"/>
        <v>3650.4556701646093</v>
      </c>
      <c r="BH227" s="375">
        <f t="shared" ca="1" si="292"/>
        <v>37312.507034156384</v>
      </c>
      <c r="BI227" s="175">
        <f t="shared" si="292"/>
        <v>11159.760016666667</v>
      </c>
      <c r="BJ227" s="175">
        <f t="shared" si="292"/>
        <v>4716.7793123456786</v>
      </c>
      <c r="BK227" s="175">
        <f t="shared" si="292"/>
        <v>10169.431468106995</v>
      </c>
      <c r="BL227" s="175">
        <f t="shared" si="292"/>
        <v>11266.536237037039</v>
      </c>
      <c r="BM227" s="181"/>
      <c r="BN227" s="175">
        <f t="shared" si="293"/>
        <v>0</v>
      </c>
      <c r="BO227" s="175">
        <f t="shared" si="293"/>
        <v>0</v>
      </c>
      <c r="BP227" s="175">
        <f t="shared" si="293"/>
        <v>4915.8760284473956</v>
      </c>
      <c r="BQ227" s="175">
        <f t="shared" si="293"/>
        <v>1228.0075858024691</v>
      </c>
      <c r="BR227" s="175">
        <f t="shared" si="293"/>
        <v>2014.0381921810699</v>
      </c>
      <c r="BS227" s="175">
        <f t="shared" si="293"/>
        <v>3098.3148993827153</v>
      </c>
      <c r="BT227" s="175">
        <f t="shared" si="293"/>
        <v>3088.6860098765428</v>
      </c>
      <c r="BU227" s="175">
        <f t="shared" si="293"/>
        <v>3021.2237458847735</v>
      </c>
      <c r="BV227" s="175">
        <f t="shared" si="293"/>
        <v>3502.0649386831274</v>
      </c>
      <c r="BW227" s="175">
        <f t="shared" si="293"/>
        <v>3358.2909668724278</v>
      </c>
      <c r="BX227" s="175">
        <f t="shared" si="293"/>
        <v>4015.4635382716051</v>
      </c>
      <c r="BY227" s="175">
        <f t="shared" si="293"/>
        <v>3983.5395870370367</v>
      </c>
      <c r="BZ227" s="375">
        <f t="shared" ca="1" si="293"/>
        <v>32225.505492439162</v>
      </c>
      <c r="CA227" s="175">
        <f t="shared" si="293"/>
        <v>4915.8760284473956</v>
      </c>
      <c r="CB227" s="175">
        <f t="shared" si="293"/>
        <v>6340.3606773662559</v>
      </c>
      <c r="CC227" s="175">
        <f t="shared" si="293"/>
        <v>9611.9746944444432</v>
      </c>
      <c r="CD227" s="175">
        <f t="shared" si="293"/>
        <v>11357.29409218107</v>
      </c>
      <c r="CE227" s="181"/>
      <c r="CH227" s="175"/>
      <c r="CI227" s="175"/>
      <c r="CJ227" s="175">
        <f t="shared" si="294"/>
        <v>-1736.126028447396</v>
      </c>
      <c r="CK227" s="175">
        <f t="shared" si="294"/>
        <v>297.67241419753151</v>
      </c>
      <c r="CL227" s="175">
        <f t="shared" si="294"/>
        <v>667.62180781893051</v>
      </c>
      <c r="CM227" s="175">
        <f t="shared" si="294"/>
        <v>-722.14489938271595</v>
      </c>
      <c r="CN227" s="175">
        <f t="shared" si="294"/>
        <v>-962.45600987654359</v>
      </c>
      <c r="CO227" s="175">
        <f t="shared" si="294"/>
        <v>1819.2662541152258</v>
      </c>
      <c r="CP227" s="175">
        <f t="shared" si="294"/>
        <v>-1765.8849386831262</v>
      </c>
      <c r="CQ227" s="175">
        <f t="shared" si="294"/>
        <v>1369.4190331275722</v>
      </c>
      <c r="CR227" s="175">
        <f t="shared" si="294"/>
        <v>0</v>
      </c>
      <c r="CS227" s="175">
        <f t="shared" si="294"/>
        <v>0</v>
      </c>
      <c r="CU227" s="175">
        <f t="shared" si="294"/>
        <v>37758.583686008235</v>
      </c>
      <c r="CV227" s="175" t="e">
        <f t="shared" si="294"/>
        <v>#VALUE!</v>
      </c>
      <c r="CW227" s="175">
        <f t="shared" si="294"/>
        <v>37312.507034156384</v>
      </c>
    </row>
    <row r="228" spans="3:101" outlineLevel="1">
      <c r="C228" s="97" t="s">
        <v>620</v>
      </c>
      <c r="D228" s="284" t="s">
        <v>5</v>
      </c>
      <c r="F228" s="320" t="str">
        <f t="shared" si="248"/>
        <v>COGS - FT</v>
      </c>
      <c r="G228" s="175">
        <f t="shared" si="290"/>
        <v>148</v>
      </c>
      <c r="H228" s="175">
        <f t="shared" si="290"/>
        <v>212</v>
      </c>
      <c r="I228" s="175">
        <f t="shared" si="290"/>
        <v>205</v>
      </c>
      <c r="J228" s="175">
        <f t="shared" si="290"/>
        <v>145</v>
      </c>
      <c r="K228" s="175">
        <f t="shared" si="290"/>
        <v>130</v>
      </c>
      <c r="L228" s="175">
        <f t="shared" si="290"/>
        <v>119.34</v>
      </c>
      <c r="M228" s="175">
        <f t="shared" si="290"/>
        <v>117</v>
      </c>
      <c r="N228" s="175">
        <f t="shared" si="290"/>
        <v>110</v>
      </c>
      <c r="O228" s="175">
        <f t="shared" si="290"/>
        <v>123</v>
      </c>
      <c r="P228" s="175">
        <f t="shared" si="290"/>
        <v>142.16</v>
      </c>
      <c r="Q228" s="175">
        <f t="shared" si="290"/>
        <v>154.66</v>
      </c>
      <c r="R228" s="175">
        <f t="shared" si="290"/>
        <v>240</v>
      </c>
      <c r="S228" s="375">
        <f t="shared" ca="1" si="290"/>
        <v>1846.1600000000003</v>
      </c>
      <c r="T228" s="175">
        <f t="shared" si="290"/>
        <v>565</v>
      </c>
      <c r="U228" s="175">
        <f t="shared" si="290"/>
        <v>394.34000000000003</v>
      </c>
      <c r="V228" s="175">
        <f t="shared" si="290"/>
        <v>350</v>
      </c>
      <c r="W228" s="175">
        <f t="shared" si="290"/>
        <v>536.81999999999994</v>
      </c>
      <c r="X228" s="181"/>
      <c r="Y228" s="175">
        <f t="shared" si="291"/>
        <v>241</v>
      </c>
      <c r="Z228" s="175">
        <f t="shared" si="291"/>
        <v>243</v>
      </c>
      <c r="AA228" s="175">
        <f t="shared" si="291"/>
        <v>193</v>
      </c>
      <c r="AB228" s="175">
        <f t="shared" si="291"/>
        <v>185</v>
      </c>
      <c r="AC228" s="175">
        <f t="shared" si="291"/>
        <v>165</v>
      </c>
      <c r="AD228" s="175">
        <f t="shared" si="291"/>
        <v>140</v>
      </c>
      <c r="AE228" s="175">
        <f t="shared" si="291"/>
        <v>116</v>
      </c>
      <c r="AF228" s="175">
        <f t="shared" si="291"/>
        <v>140</v>
      </c>
      <c r="AG228" s="175">
        <f t="shared" si="291"/>
        <v>125</v>
      </c>
      <c r="AH228" s="175">
        <f t="shared" si="291"/>
        <v>141</v>
      </c>
      <c r="AI228" s="175">
        <f t="shared" si="291"/>
        <v>171</v>
      </c>
      <c r="AJ228" s="175">
        <f t="shared" si="291"/>
        <v>215.06</v>
      </c>
      <c r="AK228" s="375">
        <f t="shared" ca="1" si="291"/>
        <v>2075.06</v>
      </c>
      <c r="AL228" s="375"/>
      <c r="AM228" s="375"/>
      <c r="AN228" s="375"/>
      <c r="AO228" s="375"/>
      <c r="AP228" s="375"/>
      <c r="AQ228" s="175">
        <f t="shared" si="291"/>
        <v>677</v>
      </c>
      <c r="AR228" s="175">
        <f t="shared" si="291"/>
        <v>490</v>
      </c>
      <c r="AS228" s="175">
        <f t="shared" si="291"/>
        <v>381</v>
      </c>
      <c r="AT228" s="175">
        <f t="shared" si="291"/>
        <v>527.05999999999995</v>
      </c>
      <c r="AU228" s="181"/>
      <c r="AV228" s="175">
        <f t="shared" si="292"/>
        <v>141.15166666666667</v>
      </c>
      <c r="AW228" s="175">
        <f t="shared" si="292"/>
        <v>141.15166666666667</v>
      </c>
      <c r="AX228" s="175">
        <f t="shared" si="292"/>
        <v>141.15166666666667</v>
      </c>
      <c r="AY228" s="175">
        <f t="shared" si="292"/>
        <v>141.15166666666667</v>
      </c>
      <c r="AZ228" s="175">
        <f t="shared" si="292"/>
        <v>141.15166666666667</v>
      </c>
      <c r="BA228" s="175">
        <f t="shared" si="292"/>
        <v>141.15166666666667</v>
      </c>
      <c r="BB228" s="175">
        <f t="shared" si="292"/>
        <v>141.15166666666667</v>
      </c>
      <c r="BC228" s="175">
        <f t="shared" si="292"/>
        <v>141.15166666666667</v>
      </c>
      <c r="BD228" s="175">
        <f t="shared" si="292"/>
        <v>141.15166666666667</v>
      </c>
      <c r="BE228" s="175">
        <f t="shared" si="292"/>
        <v>141.15166666666667</v>
      </c>
      <c r="BF228" s="175">
        <f t="shared" si="292"/>
        <v>141.15166666666667</v>
      </c>
      <c r="BG228" s="175">
        <f t="shared" si="292"/>
        <v>141.15166666666667</v>
      </c>
      <c r="BH228" s="375">
        <f t="shared" ca="1" si="292"/>
        <v>1693.82</v>
      </c>
      <c r="BI228" s="175">
        <f t="shared" si="292"/>
        <v>423.45500000000004</v>
      </c>
      <c r="BJ228" s="175">
        <f t="shared" si="292"/>
        <v>423.45500000000004</v>
      </c>
      <c r="BK228" s="175">
        <f t="shared" si="292"/>
        <v>423.45500000000004</v>
      </c>
      <c r="BL228" s="175">
        <f t="shared" si="292"/>
        <v>423.45500000000004</v>
      </c>
      <c r="BM228" s="181"/>
      <c r="BN228" s="175">
        <f t="shared" si="293"/>
        <v>0</v>
      </c>
      <c r="BO228" s="175">
        <f t="shared" si="293"/>
        <v>0</v>
      </c>
      <c r="BP228" s="175">
        <f t="shared" si="293"/>
        <v>210.70285573106531</v>
      </c>
      <c r="BQ228" s="175">
        <f t="shared" si="293"/>
        <v>160.99118704874189</v>
      </c>
      <c r="BR228" s="175">
        <f t="shared" si="293"/>
        <v>136.65785537891946</v>
      </c>
      <c r="BS228" s="175">
        <f t="shared" si="293"/>
        <v>126.90935635948652</v>
      </c>
      <c r="BT228" s="175">
        <f t="shared" si="293"/>
        <v>118.40964099063045</v>
      </c>
      <c r="BU228" s="175">
        <f t="shared" si="293"/>
        <v>114.74197321125816</v>
      </c>
      <c r="BV228" s="175">
        <f t="shared" si="293"/>
        <v>129.98478659948077</v>
      </c>
      <c r="BW228" s="175">
        <f t="shared" si="293"/>
        <v>147.05984536126718</v>
      </c>
      <c r="BX228" s="175">
        <f t="shared" si="293"/>
        <v>161.52861305466652</v>
      </c>
      <c r="BY228" s="175">
        <f t="shared" si="293"/>
        <v>244.92933929580587</v>
      </c>
      <c r="BZ228" s="375">
        <f t="shared" ca="1" si="293"/>
        <v>1551.9154530313222</v>
      </c>
      <c r="CA228" s="175">
        <f t="shared" si="293"/>
        <v>210.70285573106531</v>
      </c>
      <c r="CB228" s="175">
        <f t="shared" si="293"/>
        <v>424.55839878714789</v>
      </c>
      <c r="CC228" s="175">
        <f t="shared" si="293"/>
        <v>363.1364008013694</v>
      </c>
      <c r="CD228" s="175">
        <f t="shared" si="293"/>
        <v>553.5177977117396</v>
      </c>
      <c r="CE228" s="181"/>
      <c r="CH228" s="175"/>
      <c r="CI228" s="175"/>
      <c r="CJ228" s="175">
        <f t="shared" si="294"/>
        <v>-17.702855731065313</v>
      </c>
      <c r="CK228" s="175">
        <f t="shared" si="294"/>
        <v>24.008812951258108</v>
      </c>
      <c r="CL228" s="175">
        <f t="shared" si="294"/>
        <v>28.342144621080536</v>
      </c>
      <c r="CM228" s="175">
        <f t="shared" si="294"/>
        <v>13.090643640513477</v>
      </c>
      <c r="CN228" s="175">
        <f t="shared" si="294"/>
        <v>-2.4096409906304501</v>
      </c>
      <c r="CO228" s="175">
        <f t="shared" si="294"/>
        <v>25.258026788741844</v>
      </c>
      <c r="CP228" s="175">
        <f t="shared" si="294"/>
        <v>-4.9847865994807705</v>
      </c>
      <c r="CQ228" s="175">
        <f t="shared" si="294"/>
        <v>-6.059845361267179</v>
      </c>
      <c r="CR228" s="175">
        <f t="shared" si="294"/>
        <v>0</v>
      </c>
      <c r="CS228" s="175">
        <f t="shared" si="294"/>
        <v>0</v>
      </c>
      <c r="CU228" s="175">
        <f t="shared" si="294"/>
        <v>2070.5635548725954</v>
      </c>
      <c r="CV228" s="175">
        <f t="shared" si="294"/>
        <v>2106.5025843112203</v>
      </c>
      <c r="CW228" s="175">
        <f t="shared" si="294"/>
        <v>1693.82</v>
      </c>
    </row>
    <row r="229" spans="3:101">
      <c r="C229" s="250" t="s">
        <v>214</v>
      </c>
      <c r="D229" s="284" t="s">
        <v>5</v>
      </c>
      <c r="F229" s="293" t="str">
        <f t="shared" si="248"/>
        <v>TOTAL - FT</v>
      </c>
      <c r="G229" s="375">
        <f t="shared" ref="G229:W229" si="295">SUM(G222:G227)-G228</f>
        <v>20394.73999999998</v>
      </c>
      <c r="H229" s="375">
        <f t="shared" si="295"/>
        <v>22089.989999999976</v>
      </c>
      <c r="I229" s="375">
        <f t="shared" si="295"/>
        <v>23086.459999999974</v>
      </c>
      <c r="J229" s="375">
        <f t="shared" si="295"/>
        <v>14595.989999999972</v>
      </c>
      <c r="K229" s="375">
        <f t="shared" si="295"/>
        <v>13723.790000000019</v>
      </c>
      <c r="L229" s="375">
        <f t="shared" si="295"/>
        <v>13790.849999999966</v>
      </c>
      <c r="M229" s="375">
        <f t="shared" si="295"/>
        <v>14428.869999999975</v>
      </c>
      <c r="N229" s="375">
        <f t="shared" si="295"/>
        <v>13284.459999999974</v>
      </c>
      <c r="O229" s="375">
        <f t="shared" si="295"/>
        <v>14195.78999999997</v>
      </c>
      <c r="P229" s="375">
        <f t="shared" si="295"/>
        <v>16759.689999999977</v>
      </c>
      <c r="Q229" s="375">
        <f t="shared" si="295"/>
        <v>17120.790000000015</v>
      </c>
      <c r="R229" s="375">
        <f t="shared" si="295"/>
        <v>24214.969999999976</v>
      </c>
      <c r="S229" s="375">
        <f t="shared" ca="1" si="295"/>
        <v>207686.38999999975</v>
      </c>
      <c r="T229" s="375">
        <f t="shared" si="295"/>
        <v>65571.189999999944</v>
      </c>
      <c r="U229" s="375">
        <f t="shared" si="295"/>
        <v>42110.629999999961</v>
      </c>
      <c r="V229" s="375">
        <f t="shared" si="295"/>
        <v>41909.119999999915</v>
      </c>
      <c r="W229" s="375">
        <f t="shared" si="295"/>
        <v>58095.449999999975</v>
      </c>
      <c r="X229" s="181"/>
      <c r="Y229" s="375">
        <f t="shared" ref="Y229:AT229" si="296">SUM(Y222:Y227)-Y228</f>
        <v>21754.53</v>
      </c>
      <c r="Z229" s="375">
        <f t="shared" si="296"/>
        <v>24541.51000000002</v>
      </c>
      <c r="AA229" s="375">
        <f t="shared" si="296"/>
        <v>19804.710000000014</v>
      </c>
      <c r="AB229" s="375">
        <f t="shared" si="296"/>
        <v>18506.050000000028</v>
      </c>
      <c r="AC229" s="375">
        <f t="shared" si="296"/>
        <v>17817.179999999975</v>
      </c>
      <c r="AD229" s="375">
        <f t="shared" si="296"/>
        <v>16017.389999999972</v>
      </c>
      <c r="AE229" s="375">
        <f t="shared" si="296"/>
        <v>13819.169999999975</v>
      </c>
      <c r="AF229" s="375">
        <f t="shared" si="296"/>
        <v>18055.609999999979</v>
      </c>
      <c r="AG229" s="375">
        <f t="shared" si="296"/>
        <v>14814.900000000009</v>
      </c>
      <c r="AH229" s="375">
        <f t="shared" si="296"/>
        <v>18264.589999999982</v>
      </c>
      <c r="AI229" s="375">
        <f t="shared" si="296"/>
        <v>20940.659999999974</v>
      </c>
      <c r="AJ229" s="375">
        <f t="shared" si="296"/>
        <v>23391.729999999978</v>
      </c>
      <c r="AK229" s="375">
        <f t="shared" ca="1" si="296"/>
        <v>227728.02999999991</v>
      </c>
      <c r="AL229" s="375"/>
      <c r="AM229" s="375"/>
      <c r="AN229" s="375"/>
      <c r="AO229" s="375"/>
      <c r="AP229" s="375"/>
      <c r="AQ229" s="375">
        <f t="shared" si="296"/>
        <v>66100.750000000044</v>
      </c>
      <c r="AR229" s="375">
        <f t="shared" si="296"/>
        <v>52340.619999999974</v>
      </c>
      <c r="AS229" s="375">
        <f t="shared" si="296"/>
        <v>46689.679999999971</v>
      </c>
      <c r="AT229" s="375">
        <f t="shared" si="296"/>
        <v>62596.979999999938</v>
      </c>
      <c r="AU229" s="181"/>
      <c r="AV229" s="375">
        <f t="shared" ref="AV229:BL229" si="297">SUM(AV222:AV227)-AV228</f>
        <v>23633.494112080141</v>
      </c>
      <c r="AW229" s="375">
        <f t="shared" si="297"/>
        <v>24520.089398568925</v>
      </c>
      <c r="AX229" s="375">
        <f t="shared" si="297"/>
        <v>22369.110180797568</v>
      </c>
      <c r="AY229" s="375">
        <f t="shared" si="297"/>
        <v>15031.728775974319</v>
      </c>
      <c r="AZ229" s="375">
        <f t="shared" si="297"/>
        <v>14750.242066591672</v>
      </c>
      <c r="BA229" s="375">
        <f t="shared" si="297"/>
        <v>15604.444477968822</v>
      </c>
      <c r="BB229" s="375">
        <f t="shared" si="297"/>
        <v>13386.638656791172</v>
      </c>
      <c r="BC229" s="375">
        <f t="shared" si="297"/>
        <v>17481.423320335383</v>
      </c>
      <c r="BD229" s="375">
        <f t="shared" si="297"/>
        <v>17428.89340750665</v>
      </c>
      <c r="BE229" s="375">
        <f t="shared" si="297"/>
        <v>18498.971424199652</v>
      </c>
      <c r="BF229" s="375">
        <f t="shared" si="297"/>
        <v>21529.41467431319</v>
      </c>
      <c r="BG229" s="375">
        <f t="shared" si="297"/>
        <v>27563.892920833558</v>
      </c>
      <c r="BH229" s="375">
        <f t="shared" ca="1" si="297"/>
        <v>231798.34341596105</v>
      </c>
      <c r="BI229" s="375">
        <f t="shared" si="297"/>
        <v>70522.693691446635</v>
      </c>
      <c r="BJ229" s="375">
        <f t="shared" si="297"/>
        <v>45386.415320534812</v>
      </c>
      <c r="BK229" s="375">
        <f t="shared" si="297"/>
        <v>48296.955384633213</v>
      </c>
      <c r="BL229" s="375">
        <f t="shared" si="297"/>
        <v>67592.279019346402</v>
      </c>
      <c r="BM229" s="181"/>
      <c r="BN229" s="375">
        <f>SUM(BN222:BN227)-BN228</f>
        <v>0</v>
      </c>
      <c r="BO229" s="375">
        <f>SUM(BO222:BO227)-BO228</f>
        <v>0</v>
      </c>
      <c r="BP229" s="375">
        <f>SUM(BP222:BP227)-BP228</f>
        <v>18731.919767214957</v>
      </c>
      <c r="BQ229" s="375">
        <f t="shared" ref="BQ229:CD229" si="298">SUM(BQ222:BQ227)-BQ228</f>
        <v>15478.278271788266</v>
      </c>
      <c r="BR229" s="375">
        <f t="shared" si="298"/>
        <v>14566.097718580426</v>
      </c>
      <c r="BS229" s="375">
        <f t="shared" si="298"/>
        <v>15050.308505486802</v>
      </c>
      <c r="BT229" s="375">
        <f t="shared" si="298"/>
        <v>13235.269864755091</v>
      </c>
      <c r="BU229" s="375">
        <f t="shared" si="298"/>
        <v>17374.445197407</v>
      </c>
      <c r="BV229" s="375">
        <f t="shared" si="298"/>
        <v>17805.607588168965</v>
      </c>
      <c r="BW229" s="375">
        <f t="shared" si="298"/>
        <v>19375.748070026752</v>
      </c>
      <c r="BX229" s="375">
        <f t="shared" si="298"/>
        <v>20202.872550634063</v>
      </c>
      <c r="BY229" s="375">
        <f t="shared" si="298"/>
        <v>27000.340202350093</v>
      </c>
      <c r="BZ229" s="375">
        <f t="shared" ca="1" si="298"/>
        <v>178820.88773641243</v>
      </c>
      <c r="CA229" s="375">
        <f t="shared" si="298"/>
        <v>18731.919767214957</v>
      </c>
      <c r="CB229" s="375">
        <f t="shared" si="298"/>
        <v>45094.684495855494</v>
      </c>
      <c r="CC229" s="375">
        <f t="shared" si="298"/>
        <v>48415.322650331058</v>
      </c>
      <c r="CD229" s="375">
        <f t="shared" si="298"/>
        <v>66578.960823010901</v>
      </c>
      <c r="CE229" s="181"/>
      <c r="CH229" s="375"/>
      <c r="CI229" s="375"/>
      <c r="CJ229" s="375">
        <f t="shared" ref="CJ229:CS229" si="299">SUM(CJ222:CJ227)-CJ228</f>
        <v>1072.7902327850545</v>
      </c>
      <c r="CK229" s="375">
        <f t="shared" si="299"/>
        <v>3027.7717282117628</v>
      </c>
      <c r="CL229" s="375">
        <f t="shared" si="299"/>
        <v>3251.082281419549</v>
      </c>
      <c r="CM229" s="375">
        <f t="shared" si="299"/>
        <v>967.08149451316808</v>
      </c>
      <c r="CN229" s="375">
        <f t="shared" si="299"/>
        <v>583.90013524488268</v>
      </c>
      <c r="CO229" s="375">
        <f t="shared" si="299"/>
        <v>681.16480259298044</v>
      </c>
      <c r="CP229" s="375">
        <f t="shared" si="299"/>
        <v>-2990.707588168953</v>
      </c>
      <c r="CQ229" s="375">
        <f t="shared" si="299"/>
        <v>-1111.1580700267707</v>
      </c>
      <c r="CR229" s="375">
        <f t="shared" si="299"/>
        <v>0</v>
      </c>
      <c r="CS229" s="375">
        <f t="shared" si="299"/>
        <v>0</v>
      </c>
      <c r="CU229" s="375">
        <f>SUM(CU222:CU227)-CU228</f>
        <v>232468.57197882884</v>
      </c>
      <c r="CV229" s="375" t="e">
        <f>SUM(CV222:CV227)-CV228</f>
        <v>#VALUE!</v>
      </c>
      <c r="CW229" s="375">
        <f>SUM(CW222:CW227)-CW228</f>
        <v>231798.34341596105</v>
      </c>
    </row>
    <row r="230" spans="3:101">
      <c r="F230" s="97"/>
      <c r="G230" s="366">
        <f>G193-G202-G211-G220-G229</f>
        <v>-1.2914824765175581E-9</v>
      </c>
      <c r="H230" s="366">
        <f t="shared" ref="H230:W230" si="300">H193-H202-H211-H220-H229</f>
        <v>-5.8207660913467407E-11</v>
      </c>
      <c r="I230" s="366">
        <f t="shared" si="300"/>
        <v>-3.9653968997299671E-10</v>
      </c>
      <c r="J230" s="366">
        <f t="shared" si="300"/>
        <v>-8.3673512563109398E-11</v>
      </c>
      <c r="K230" s="366">
        <f t="shared" si="300"/>
        <v>4.7293724492192268E-11</v>
      </c>
      <c r="L230" s="366">
        <f t="shared" si="300"/>
        <v>5.893525667488575E-10</v>
      </c>
      <c r="M230" s="366">
        <f t="shared" si="300"/>
        <v>2.382876118645072E-10</v>
      </c>
      <c r="N230" s="366">
        <f t="shared" si="300"/>
        <v>-1.4842953532934189E-9</v>
      </c>
      <c r="O230" s="366">
        <f t="shared" si="300"/>
        <v>-3.9108272176235914E-10</v>
      </c>
      <c r="P230" s="366">
        <f t="shared" si="300"/>
        <v>8.5856299847364426E-10</v>
      </c>
      <c r="Q230" s="366">
        <f t="shared" si="300"/>
        <v>2.0081643015146255E-9</v>
      </c>
      <c r="R230" s="366">
        <f t="shared" si="300"/>
        <v>1.0877556633204222E-9</v>
      </c>
      <c r="S230" s="366">
        <f t="shared" ca="1" si="300"/>
        <v>-4.6857167035341263E-9</v>
      </c>
      <c r="T230" s="366">
        <f t="shared" si="300"/>
        <v>2.6630004867911339E-9</v>
      </c>
      <c r="U230" s="366">
        <f t="shared" si="300"/>
        <v>4.270987119525671E-9</v>
      </c>
      <c r="V230" s="366">
        <f t="shared" si="300"/>
        <v>1.622538547962904E-9</v>
      </c>
      <c r="W230" s="366">
        <f t="shared" si="300"/>
        <v>-2.4738255888223648E-10</v>
      </c>
      <c r="X230" s="181"/>
      <c r="Y230" s="366">
        <f t="shared" ref="Y230:AT230" si="301">Y193-Y202-Y211-Y220-Y229</f>
        <v>-1.0368239600211382E-9</v>
      </c>
      <c r="Z230" s="366">
        <f t="shared" si="301"/>
        <v>1.4406396076083183E-9</v>
      </c>
      <c r="AA230" s="366">
        <f t="shared" si="301"/>
        <v>0</v>
      </c>
      <c r="AB230" s="366">
        <f t="shared" si="301"/>
        <v>-7.7852746471762657E-10</v>
      </c>
      <c r="AC230" s="366">
        <f t="shared" si="301"/>
        <v>2.1100277081131935E-10</v>
      </c>
      <c r="AD230" s="366">
        <f t="shared" si="301"/>
        <v>4.0199665818363428E-10</v>
      </c>
      <c r="AE230" s="366">
        <f t="shared" si="301"/>
        <v>6.3300831243395805E-10</v>
      </c>
      <c r="AF230" s="366">
        <f t="shared" si="301"/>
        <v>-4.8748916015028954E-10</v>
      </c>
      <c r="AG230" s="366">
        <f t="shared" si="301"/>
        <v>5.4569682106375694E-10</v>
      </c>
      <c r="AH230" s="366">
        <f t="shared" si="301"/>
        <v>-3.0195224098861217E-10</v>
      </c>
      <c r="AI230" s="366">
        <f t="shared" si="301"/>
        <v>1.0477378964424133E-9</v>
      </c>
      <c r="AJ230" s="366">
        <f t="shared" si="301"/>
        <v>-5.056790541857481E-10</v>
      </c>
      <c r="AK230" s="366">
        <f t="shared" ca="1" si="301"/>
        <v>-1.8335413187742233E-9</v>
      </c>
      <c r="AL230" s="366"/>
      <c r="AM230" s="366"/>
      <c r="AN230" s="366"/>
      <c r="AO230" s="366"/>
      <c r="AP230" s="366"/>
      <c r="AQ230" s="366">
        <f t="shared" si="301"/>
        <v>-4.2637111619114876E-9</v>
      </c>
      <c r="AR230" s="366">
        <f t="shared" si="301"/>
        <v>3.5579432733356953E-9</v>
      </c>
      <c r="AS230" s="366">
        <f t="shared" si="301"/>
        <v>0</v>
      </c>
      <c r="AT230" s="366">
        <f t="shared" si="301"/>
        <v>-2.3283064365386963E-10</v>
      </c>
      <c r="AU230" s="181"/>
      <c r="AV230" s="366">
        <f t="shared" ref="AV230:BL230" si="302">AV193-AV202-AV211-AV220-AV229</f>
        <v>1.1350493878126144E-9</v>
      </c>
      <c r="AW230" s="366">
        <f t="shared" si="302"/>
        <v>2.4374458007514477E-10</v>
      </c>
      <c r="AX230" s="366">
        <f t="shared" si="302"/>
        <v>4.1472958400845528E-10</v>
      </c>
      <c r="AY230" s="366">
        <f t="shared" si="302"/>
        <v>1.5552359400317073E-9</v>
      </c>
      <c r="AZ230" s="366">
        <f t="shared" si="302"/>
        <v>-8.9494278654456139E-10</v>
      </c>
      <c r="BA230" s="366">
        <f t="shared" si="302"/>
        <v>2.053639036603272E-9</v>
      </c>
      <c r="BB230" s="366">
        <f t="shared" si="302"/>
        <v>-1.9954313756898046E-9</v>
      </c>
      <c r="BC230" s="366">
        <f t="shared" si="302"/>
        <v>1.2987584341317415E-9</v>
      </c>
      <c r="BD230" s="366">
        <f t="shared" si="302"/>
        <v>9.8953023552894592E-10</v>
      </c>
      <c r="BE230" s="366">
        <f t="shared" si="302"/>
        <v>-1.3460521586239338E-10</v>
      </c>
      <c r="BF230" s="366">
        <f t="shared" si="302"/>
        <v>1.4188117347657681E-10</v>
      </c>
      <c r="BG230" s="366">
        <f t="shared" si="302"/>
        <v>-1.2914824765175581E-9</v>
      </c>
      <c r="BH230" s="366">
        <f t="shared" ca="1" si="302"/>
        <v>-1.1175870895385742E-8</v>
      </c>
      <c r="BI230" s="366">
        <f t="shared" si="302"/>
        <v>1.6007106751203537E-10</v>
      </c>
      <c r="BJ230" s="366">
        <f t="shared" si="302"/>
        <v>3.878085408359766E-9</v>
      </c>
      <c r="BK230" s="366">
        <f t="shared" si="302"/>
        <v>1.2150849215686321E-9</v>
      </c>
      <c r="BL230" s="366">
        <f t="shared" si="302"/>
        <v>3.14321368932724E-9</v>
      </c>
      <c r="BM230" s="181"/>
      <c r="BN230" s="366">
        <f>BN193-BN202-BN211-BN220-BN229</f>
        <v>0</v>
      </c>
      <c r="BO230" s="366">
        <f t="shared" ref="BO230:CD230" si="303">BO193-BO202-BO211-BO220-BO229</f>
        <v>0</v>
      </c>
      <c r="BP230" s="366">
        <f t="shared" si="303"/>
        <v>-3.4924596548080444E-10</v>
      </c>
      <c r="BQ230" s="366">
        <f t="shared" si="303"/>
        <v>-3.1650415621697903E-10</v>
      </c>
      <c r="BR230" s="366">
        <f t="shared" si="303"/>
        <v>-2.4192559067159891E-10</v>
      </c>
      <c r="BS230" s="366">
        <f t="shared" si="303"/>
        <v>-1.2187229003757238E-10</v>
      </c>
      <c r="BT230" s="366">
        <f t="shared" si="303"/>
        <v>8.2582118920981884E-10</v>
      </c>
      <c r="BU230" s="366">
        <f t="shared" si="303"/>
        <v>-6.9121597334742546E-11</v>
      </c>
      <c r="BV230" s="366">
        <f t="shared" si="303"/>
        <v>-9.276845958083868E-10</v>
      </c>
      <c r="BW230" s="366">
        <f t="shared" si="303"/>
        <v>1.7425918485969305E-9</v>
      </c>
      <c r="BX230" s="366">
        <f t="shared" si="303"/>
        <v>1.6007106751203537E-10</v>
      </c>
      <c r="BY230" s="366">
        <f t="shared" si="303"/>
        <v>-2.2373569663614035E-9</v>
      </c>
      <c r="BZ230" s="366">
        <f t="shared" ca="1" si="303"/>
        <v>-2.4738255888223648E-9</v>
      </c>
      <c r="CA230" s="366">
        <f t="shared" si="303"/>
        <v>-3.4924596548080444E-10</v>
      </c>
      <c r="CB230" s="366">
        <f t="shared" si="303"/>
        <v>-5.3332769311964512E-9</v>
      </c>
      <c r="CC230" s="366">
        <f t="shared" si="303"/>
        <v>1.6880221664905548E-9</v>
      </c>
      <c r="CD230" s="366">
        <f t="shared" si="303"/>
        <v>2.2264430299401283E-9</v>
      </c>
      <c r="CE230" s="181"/>
      <c r="CH230" s="366"/>
      <c r="CI230" s="366"/>
      <c r="CJ230" s="366">
        <f t="shared" ref="CJ230:CS230" si="304">CJ193-CJ202-CJ211-CJ220-CJ229</f>
        <v>-4.2064129956997931E-11</v>
      </c>
      <c r="CK230" s="366">
        <f t="shared" si="304"/>
        <v>8.9585228124633431E-11</v>
      </c>
      <c r="CL230" s="366">
        <f t="shared" si="304"/>
        <v>0</v>
      </c>
      <c r="CM230" s="366">
        <f t="shared" si="304"/>
        <v>-1.9895196601282805E-11</v>
      </c>
      <c r="CN230" s="366">
        <f t="shared" si="304"/>
        <v>1.4074430509936064E-10</v>
      </c>
      <c r="CO230" s="366">
        <f t="shared" si="304"/>
        <v>3.5470293369144201E-11</v>
      </c>
      <c r="CP230" s="366">
        <f t="shared" si="304"/>
        <v>-3.5925040720030665E-11</v>
      </c>
      <c r="CQ230" s="366">
        <f t="shared" si="304"/>
        <v>1.1141310096718371E-10</v>
      </c>
      <c r="CR230" s="366">
        <f t="shared" si="304"/>
        <v>0</v>
      </c>
      <c r="CS230" s="366">
        <f t="shared" si="304"/>
        <v>0</v>
      </c>
      <c r="CU230" s="366">
        <f>CU193-CU202-CU211-CU220-CU229</f>
        <v>7.5378920882940292E-9</v>
      </c>
      <c r="CV230" s="366" t="e">
        <f>CV193-CV202-CV211-CV220-CV229</f>
        <v>#VALUE!</v>
      </c>
      <c r="CW230" s="366">
        <f>CW193-CW202-CW211-CW220-CW229</f>
        <v>-1.1175870895385742E-8</v>
      </c>
    </row>
    <row r="231" spans="3:101">
      <c r="G231" s="366">
        <f>G181-G193</f>
        <v>0</v>
      </c>
      <c r="H231" s="366">
        <f t="shared" ref="H231:W231" si="305">H181-H193</f>
        <v>0</v>
      </c>
      <c r="I231" s="366">
        <f t="shared" si="305"/>
        <v>0</v>
      </c>
      <c r="J231" s="366">
        <f t="shared" si="305"/>
        <v>0</v>
      </c>
      <c r="K231" s="366">
        <f t="shared" si="305"/>
        <v>0</v>
      </c>
      <c r="L231" s="366">
        <f t="shared" si="305"/>
        <v>0</v>
      </c>
      <c r="M231" s="366">
        <f t="shared" si="305"/>
        <v>0</v>
      </c>
      <c r="N231" s="366">
        <f t="shared" si="305"/>
        <v>0</v>
      </c>
      <c r="O231" s="366">
        <f t="shared" si="305"/>
        <v>0</v>
      </c>
      <c r="P231" s="366">
        <f t="shared" si="305"/>
        <v>0</v>
      </c>
      <c r="Q231" s="366">
        <f t="shared" si="305"/>
        <v>0</v>
      </c>
      <c r="R231" s="366">
        <f t="shared" si="305"/>
        <v>0</v>
      </c>
      <c r="S231" s="366">
        <f t="shared" ca="1" si="305"/>
        <v>0</v>
      </c>
      <c r="T231" s="366">
        <f t="shared" si="305"/>
        <v>0</v>
      </c>
      <c r="U231" s="366">
        <f t="shared" si="305"/>
        <v>0</v>
      </c>
      <c r="V231" s="366">
        <f t="shared" si="305"/>
        <v>0</v>
      </c>
      <c r="W231" s="366">
        <f t="shared" si="305"/>
        <v>0</v>
      </c>
      <c r="X231" s="181"/>
      <c r="Y231" s="366">
        <f>Y181-Y193</f>
        <v>0</v>
      </c>
      <c r="Z231" s="366">
        <f t="shared" ref="Z231:AT231" si="306">Z181-Z193</f>
        <v>0</v>
      </c>
      <c r="AA231" s="366">
        <f t="shared" si="306"/>
        <v>0</v>
      </c>
      <c r="AB231" s="366">
        <f t="shared" si="306"/>
        <v>0</v>
      </c>
      <c r="AC231" s="366">
        <f t="shared" si="306"/>
        <v>0</v>
      </c>
      <c r="AD231" s="366">
        <f t="shared" si="306"/>
        <v>0</v>
      </c>
      <c r="AE231" s="366">
        <f t="shared" si="306"/>
        <v>0</v>
      </c>
      <c r="AF231" s="366">
        <f t="shared" si="306"/>
        <v>0</v>
      </c>
      <c r="AG231" s="366">
        <f t="shared" si="306"/>
        <v>0</v>
      </c>
      <c r="AH231" s="366">
        <f t="shared" si="306"/>
        <v>0</v>
      </c>
      <c r="AI231" s="366">
        <f t="shared" si="306"/>
        <v>0</v>
      </c>
      <c r="AJ231" s="366">
        <f t="shared" si="306"/>
        <v>0</v>
      </c>
      <c r="AK231" s="366">
        <f t="shared" ca="1" si="306"/>
        <v>0</v>
      </c>
      <c r="AL231" s="366"/>
      <c r="AM231" s="366"/>
      <c r="AN231" s="366"/>
      <c r="AO231" s="366"/>
      <c r="AP231" s="366"/>
      <c r="AQ231" s="366">
        <f t="shared" si="306"/>
        <v>0</v>
      </c>
      <c r="AR231" s="366">
        <f t="shared" si="306"/>
        <v>0</v>
      </c>
      <c r="AS231" s="366">
        <f t="shared" si="306"/>
        <v>0</v>
      </c>
      <c r="AT231" s="366">
        <f t="shared" si="306"/>
        <v>0</v>
      </c>
      <c r="AU231" s="181"/>
      <c r="AV231" s="366">
        <f>AV181-AV193</f>
        <v>0</v>
      </c>
      <c r="AW231" s="366">
        <f t="shared" ref="AW231:BL231" si="307">AW181-AW193</f>
        <v>0</v>
      </c>
      <c r="AX231" s="366">
        <f t="shared" si="307"/>
        <v>0</v>
      </c>
      <c r="AY231" s="366">
        <f t="shared" si="307"/>
        <v>0</v>
      </c>
      <c r="AZ231" s="366">
        <f t="shared" si="307"/>
        <v>0</v>
      </c>
      <c r="BA231" s="366">
        <f t="shared" si="307"/>
        <v>0</v>
      </c>
      <c r="BB231" s="366">
        <f t="shared" si="307"/>
        <v>0</v>
      </c>
      <c r="BC231" s="366">
        <f t="shared" si="307"/>
        <v>0</v>
      </c>
      <c r="BD231" s="366">
        <f t="shared" si="307"/>
        <v>0</v>
      </c>
      <c r="BE231" s="366">
        <f t="shared" si="307"/>
        <v>0</v>
      </c>
      <c r="BF231" s="366">
        <f t="shared" si="307"/>
        <v>0</v>
      </c>
      <c r="BG231" s="366">
        <f t="shared" si="307"/>
        <v>0</v>
      </c>
      <c r="BH231" s="366">
        <f t="shared" ca="1" si="307"/>
        <v>0</v>
      </c>
      <c r="BI231" s="366">
        <f t="shared" si="307"/>
        <v>0</v>
      </c>
      <c r="BJ231" s="366">
        <f t="shared" si="307"/>
        <v>0</v>
      </c>
      <c r="BK231" s="366">
        <f t="shared" si="307"/>
        <v>0</v>
      </c>
      <c r="BL231" s="366">
        <f t="shared" si="307"/>
        <v>0</v>
      </c>
      <c r="BM231" s="181"/>
      <c r="BN231" s="366">
        <f>BN181-BN193</f>
        <v>0</v>
      </c>
      <c r="BO231" s="366">
        <f t="shared" ref="BO231:CD231" si="308">BO181-BO193</f>
        <v>0</v>
      </c>
      <c r="BP231" s="366">
        <f t="shared" si="308"/>
        <v>0</v>
      </c>
      <c r="BQ231" s="366">
        <f t="shared" si="308"/>
        <v>0</v>
      </c>
      <c r="BR231" s="366">
        <f t="shared" si="308"/>
        <v>0</v>
      </c>
      <c r="BS231" s="366">
        <f t="shared" si="308"/>
        <v>0</v>
      </c>
      <c r="BT231" s="366">
        <f t="shared" si="308"/>
        <v>0</v>
      </c>
      <c r="BU231" s="366">
        <f t="shared" si="308"/>
        <v>0</v>
      </c>
      <c r="BV231" s="366">
        <f t="shared" si="308"/>
        <v>0</v>
      </c>
      <c r="BW231" s="366">
        <f t="shared" si="308"/>
        <v>0</v>
      </c>
      <c r="BX231" s="366">
        <f t="shared" si="308"/>
        <v>0</v>
      </c>
      <c r="BY231" s="366">
        <f t="shared" si="308"/>
        <v>0</v>
      </c>
      <c r="BZ231" s="366">
        <f t="shared" ca="1" si="308"/>
        <v>0</v>
      </c>
      <c r="CA231" s="366">
        <f t="shared" si="308"/>
        <v>0</v>
      </c>
      <c r="CB231" s="366">
        <f t="shared" si="308"/>
        <v>0</v>
      </c>
      <c r="CC231" s="366">
        <f t="shared" si="308"/>
        <v>0</v>
      </c>
      <c r="CD231" s="366">
        <f t="shared" si="308"/>
        <v>0</v>
      </c>
      <c r="CE231" s="181"/>
      <c r="CH231" s="366"/>
      <c r="CI231" s="366"/>
      <c r="CJ231" s="366">
        <f t="shared" ref="CJ231:CS231" si="309">CJ181-CJ193</f>
        <v>0</v>
      </c>
      <c r="CK231" s="366">
        <f t="shared" si="309"/>
        <v>0</v>
      </c>
      <c r="CL231" s="366">
        <f t="shared" si="309"/>
        <v>0</v>
      </c>
      <c r="CM231" s="366">
        <f t="shared" si="309"/>
        <v>0</v>
      </c>
      <c r="CN231" s="366">
        <f t="shared" si="309"/>
        <v>0</v>
      </c>
      <c r="CO231" s="366">
        <f t="shared" si="309"/>
        <v>0</v>
      </c>
      <c r="CP231" s="366">
        <f t="shared" si="309"/>
        <v>0</v>
      </c>
      <c r="CQ231" s="366">
        <f t="shared" si="309"/>
        <v>0</v>
      </c>
      <c r="CR231" s="366">
        <f t="shared" si="309"/>
        <v>0</v>
      </c>
      <c r="CS231" s="366">
        <f t="shared" si="309"/>
        <v>0</v>
      </c>
      <c r="CU231" s="366">
        <f>CU181-CU193</f>
        <v>-35394516.639958479</v>
      </c>
      <c r="CV231" s="366" t="e">
        <f>CV181-CV193</f>
        <v>#VALUE!</v>
      </c>
      <c r="CW231" s="366">
        <f>CW181-CW193</f>
        <v>-35870489.647297211</v>
      </c>
    </row>
    <row r="232" spans="3:101">
      <c r="X232" s="181"/>
      <c r="AU232" s="181"/>
      <c r="BM232" s="181"/>
      <c r="CE232" s="181"/>
    </row>
    <row r="233" spans="3:101" outlineLevel="1">
      <c r="D233" s="284" t="s">
        <v>218</v>
      </c>
      <c r="F233" s="320" t="s">
        <v>626</v>
      </c>
      <c r="G233" s="326">
        <f t="shared" ref="G233:W240" si="310">G195+G213+G222</f>
        <v>1601777.8999999922</v>
      </c>
      <c r="H233" s="326">
        <f t="shared" si="310"/>
        <v>1496483.3000000094</v>
      </c>
      <c r="I233" s="326">
        <f t="shared" si="310"/>
        <v>1416417.0799999787</v>
      </c>
      <c r="J233" s="326">
        <f t="shared" si="310"/>
        <v>1362096.0799999686</v>
      </c>
      <c r="K233" s="326">
        <f t="shared" si="310"/>
        <v>1316100.949999982</v>
      </c>
      <c r="L233" s="326">
        <f t="shared" si="310"/>
        <v>1159701.1499999978</v>
      </c>
      <c r="M233" s="326">
        <f t="shared" si="310"/>
        <v>1095080.9300000027</v>
      </c>
      <c r="N233" s="326">
        <f t="shared" si="310"/>
        <v>1052198.3599999985</v>
      </c>
      <c r="O233" s="326">
        <f t="shared" si="310"/>
        <v>1053439.1299999983</v>
      </c>
      <c r="P233" s="326">
        <f t="shared" si="310"/>
        <v>1089068.0500000007</v>
      </c>
      <c r="Q233" s="326">
        <f t="shared" si="310"/>
        <v>1267850.9499999853</v>
      </c>
      <c r="R233" s="326">
        <f t="shared" si="310"/>
        <v>1631301.0599999777</v>
      </c>
      <c r="S233" s="326">
        <f t="shared" ca="1" si="310"/>
        <v>15541514.939999893</v>
      </c>
      <c r="T233" s="326">
        <f t="shared" si="310"/>
        <v>4514678.2799999807</v>
      </c>
      <c r="U233" s="326">
        <f t="shared" si="310"/>
        <v>3837898.179999948</v>
      </c>
      <c r="V233" s="326">
        <f t="shared" si="310"/>
        <v>3200718.4199999985</v>
      </c>
      <c r="W233" s="326">
        <f t="shared" si="310"/>
        <v>3988220.0599999633</v>
      </c>
      <c r="X233" s="181"/>
      <c r="Y233" s="326">
        <f>Y195+Y213+Y222</f>
        <v>1936750.8599999903</v>
      </c>
      <c r="Z233" s="326">
        <f t="shared" ref="Z233:AT233" si="311">Z195+Z213+Z222</f>
        <v>1651695.4999999872</v>
      </c>
      <c r="AA233" s="326">
        <f t="shared" si="311"/>
        <v>1513452.5699999745</v>
      </c>
      <c r="AB233" s="326">
        <f t="shared" si="311"/>
        <v>1482106.679999989</v>
      </c>
      <c r="AC233" s="326">
        <f t="shared" si="311"/>
        <v>1286429.8199999961</v>
      </c>
      <c r="AD233" s="326">
        <f t="shared" si="311"/>
        <v>1174690.4599999916</v>
      </c>
      <c r="AE233" s="326">
        <f t="shared" si="311"/>
        <v>1138457.7999999984</v>
      </c>
      <c r="AF233" s="326">
        <f t="shared" si="311"/>
        <v>1076788.6199999892</v>
      </c>
      <c r="AG233" s="326">
        <f t="shared" si="311"/>
        <v>1116021.3999999932</v>
      </c>
      <c r="AH233" s="326">
        <f t="shared" si="311"/>
        <v>1136340.1199999875</v>
      </c>
      <c r="AI233" s="326">
        <f t="shared" si="311"/>
        <v>1319005.4699999951</v>
      </c>
      <c r="AJ233" s="326">
        <f t="shared" si="311"/>
        <v>1572055.9799999918</v>
      </c>
      <c r="AK233" s="326">
        <f t="shared" si="311"/>
        <v>16403795.279999882</v>
      </c>
      <c r="AL233" s="326"/>
      <c r="AM233" s="326"/>
      <c r="AN233" s="326"/>
      <c r="AO233" s="326"/>
      <c r="AP233" s="326"/>
      <c r="AQ233" s="326">
        <f t="shared" si="311"/>
        <v>5101898.9299999513</v>
      </c>
      <c r="AR233" s="326">
        <f t="shared" si="311"/>
        <v>3943226.9599999767</v>
      </c>
      <c r="AS233" s="326">
        <f t="shared" si="311"/>
        <v>3331267.8199999807</v>
      </c>
      <c r="AT233" s="326">
        <f t="shared" si="311"/>
        <v>4027401.5699999738</v>
      </c>
      <c r="AU233" s="181"/>
      <c r="AV233" s="326">
        <f>AV195+AV213+AV222</f>
        <v>1812082.4807817498</v>
      </c>
      <c r="AW233" s="326">
        <f t="shared" ref="AW233:BL233" si="312">AW195+AW213+AW222</f>
        <v>1563272.5958101633</v>
      </c>
      <c r="AX233" s="326">
        <f t="shared" si="312"/>
        <v>1437756.0653027622</v>
      </c>
      <c r="AY233" s="326">
        <f t="shared" si="312"/>
        <v>1412324.5214100403</v>
      </c>
      <c r="AZ233" s="326">
        <f t="shared" si="312"/>
        <v>1238301.9637703211</v>
      </c>
      <c r="BA233" s="326">
        <f t="shared" si="312"/>
        <v>1148354.6504698212</v>
      </c>
      <c r="BB233" s="326">
        <f t="shared" si="312"/>
        <v>1066041.4185157223</v>
      </c>
      <c r="BC233" s="326">
        <f t="shared" si="312"/>
        <v>1059886.4410179183</v>
      </c>
      <c r="BD233" s="326">
        <f t="shared" si="312"/>
        <v>1094571.0775080419</v>
      </c>
      <c r="BE233" s="326">
        <f t="shared" si="312"/>
        <v>1089278.3508939391</v>
      </c>
      <c r="BF233" s="326">
        <f t="shared" si="312"/>
        <v>1254959.8233284028</v>
      </c>
      <c r="BG233" s="326">
        <f t="shared" si="312"/>
        <v>1574506.5747540814</v>
      </c>
      <c r="BH233" s="326">
        <f t="shared" ca="1" si="312"/>
        <v>15751335.963562964</v>
      </c>
      <c r="BI233" s="326">
        <f t="shared" si="312"/>
        <v>4813111.1418946758</v>
      </c>
      <c r="BJ233" s="326">
        <f t="shared" si="312"/>
        <v>3798981.1356501821</v>
      </c>
      <c r="BK233" s="326">
        <f t="shared" si="312"/>
        <v>3220498.9370416822</v>
      </c>
      <c r="BL233" s="326">
        <f t="shared" si="312"/>
        <v>3918744.7489764234</v>
      </c>
      <c r="BM233" s="181"/>
      <c r="BN233" s="326">
        <f>BN195+BN213+BN222</f>
        <v>0</v>
      </c>
      <c r="BO233" s="326">
        <f t="shared" ref="BO233:CD233" si="313">BO195+BO213+BO222</f>
        <v>0</v>
      </c>
      <c r="BP233" s="326">
        <f t="shared" si="313"/>
        <v>1442092.5652802775</v>
      </c>
      <c r="BQ233" s="326">
        <f t="shared" si="313"/>
        <v>1416596.1443762386</v>
      </c>
      <c r="BR233" s="326">
        <f t="shared" si="313"/>
        <v>1241951.7296915001</v>
      </c>
      <c r="BS233" s="326">
        <f t="shared" si="313"/>
        <v>1146886.4323781037</v>
      </c>
      <c r="BT233" s="326">
        <f t="shared" si="313"/>
        <v>1065368.9819435708</v>
      </c>
      <c r="BU233" s="326">
        <f t="shared" si="313"/>
        <v>1060414.8722225241</v>
      </c>
      <c r="BV233" s="326">
        <f t="shared" si="313"/>
        <v>1115804.9673850047</v>
      </c>
      <c r="BW233" s="326">
        <f t="shared" si="313"/>
        <v>1111101.4681641259</v>
      </c>
      <c r="BX233" s="326">
        <f t="shared" si="313"/>
        <v>1286284.0827871249</v>
      </c>
      <c r="BY233" s="326">
        <f t="shared" si="313"/>
        <v>1614021.7934302182</v>
      </c>
      <c r="BZ233" s="326">
        <f t="shared" ca="1" si="313"/>
        <v>12500523.03765869</v>
      </c>
      <c r="CA233" s="326">
        <f t="shared" si="313"/>
        <v>1442092.5652802775</v>
      </c>
      <c r="CB233" s="326">
        <f t="shared" si="313"/>
        <v>3805434.3064458421</v>
      </c>
      <c r="CC233" s="326">
        <f t="shared" si="313"/>
        <v>3241588.8215510994</v>
      </c>
      <c r="CD233" s="326">
        <f t="shared" si="313"/>
        <v>4011407.3443814693</v>
      </c>
      <c r="CE233" s="181"/>
      <c r="CH233" s="326"/>
      <c r="CI233" s="326"/>
      <c r="CJ233" s="326">
        <f t="shared" ref="CJ233:CS240" si="314">CJ195+CJ213+CJ222</f>
        <v>71360.004719696488</v>
      </c>
      <c r="CK233" s="326">
        <f t="shared" si="314"/>
        <v>65510.535623750358</v>
      </c>
      <c r="CL233" s="326">
        <f t="shared" si="314"/>
        <v>44478.09030849603</v>
      </c>
      <c r="CM233" s="326">
        <f t="shared" si="314"/>
        <v>27804.027621887573</v>
      </c>
      <c r="CN233" s="326">
        <f t="shared" si="314"/>
        <v>73088.818056427554</v>
      </c>
      <c r="CO233" s="326">
        <f t="shared" si="314"/>
        <v>16373.747777465078</v>
      </c>
      <c r="CP233" s="326">
        <f t="shared" si="314"/>
        <v>216.43261498832271</v>
      </c>
      <c r="CQ233" s="326">
        <f t="shared" si="314"/>
        <v>25238.651835861761</v>
      </c>
      <c r="CR233" s="326">
        <f t="shared" si="314"/>
        <v>0</v>
      </c>
      <c r="CS233" s="326">
        <f t="shared" si="314"/>
        <v>0</v>
      </c>
      <c r="CU233" s="326">
        <f t="shared" ref="CU233:CW240" si="315">CU195+CU213+CU222</f>
        <v>16270318.02831061</v>
      </c>
      <c r="CV233" s="326" t="e">
        <f t="shared" si="315"/>
        <v>#VALUE!</v>
      </c>
      <c r="CW233" s="326">
        <f t="shared" si="315"/>
        <v>15751335.963562964</v>
      </c>
    </row>
    <row r="234" spans="3:101" outlineLevel="1">
      <c r="D234" s="284" t="s">
        <v>218</v>
      </c>
      <c r="F234" s="320" t="s">
        <v>627</v>
      </c>
      <c r="G234" s="326">
        <f t="shared" si="310"/>
        <v>0</v>
      </c>
      <c r="H234" s="326">
        <f t="shared" si="310"/>
        <v>0</v>
      </c>
      <c r="I234" s="326">
        <f t="shared" si="310"/>
        <v>0</v>
      </c>
      <c r="J234" s="326">
        <f t="shared" si="310"/>
        <v>0</v>
      </c>
      <c r="K234" s="326">
        <f t="shared" si="310"/>
        <v>0</v>
      </c>
      <c r="L234" s="326">
        <f t="shared" si="310"/>
        <v>0</v>
      </c>
      <c r="M234" s="326">
        <f t="shared" si="310"/>
        <v>0</v>
      </c>
      <c r="N234" s="326">
        <f t="shared" si="310"/>
        <v>0</v>
      </c>
      <c r="O234" s="326">
        <f t="shared" si="310"/>
        <v>0</v>
      </c>
      <c r="P234" s="326">
        <f t="shared" si="310"/>
        <v>0</v>
      </c>
      <c r="Q234" s="326">
        <f t="shared" si="310"/>
        <v>0</v>
      </c>
      <c r="R234" s="326">
        <f t="shared" si="310"/>
        <v>0</v>
      </c>
      <c r="S234" s="326">
        <f t="shared" si="310"/>
        <v>0</v>
      </c>
      <c r="T234" s="326">
        <f t="shared" si="310"/>
        <v>0</v>
      </c>
      <c r="U234" s="326">
        <f t="shared" si="310"/>
        <v>0</v>
      </c>
      <c r="V234" s="326">
        <f t="shared" si="310"/>
        <v>0</v>
      </c>
      <c r="W234" s="326">
        <f t="shared" si="310"/>
        <v>0</v>
      </c>
      <c r="X234" s="181"/>
      <c r="Y234" s="326">
        <f t="shared" ref="Y234:AT240" si="316">Y196+Y214+Y223</f>
        <v>0</v>
      </c>
      <c r="Z234" s="326">
        <f t="shared" si="316"/>
        <v>0</v>
      </c>
      <c r="AA234" s="326">
        <f t="shared" si="316"/>
        <v>0</v>
      </c>
      <c r="AB234" s="326">
        <f t="shared" si="316"/>
        <v>0</v>
      </c>
      <c r="AC234" s="326">
        <f t="shared" si="316"/>
        <v>0</v>
      </c>
      <c r="AD234" s="326">
        <f t="shared" si="316"/>
        <v>0</v>
      </c>
      <c r="AE234" s="326">
        <f t="shared" si="316"/>
        <v>0</v>
      </c>
      <c r="AF234" s="326">
        <f t="shared" si="316"/>
        <v>0</v>
      </c>
      <c r="AG234" s="326">
        <f t="shared" si="316"/>
        <v>0</v>
      </c>
      <c r="AH234" s="326">
        <f t="shared" si="316"/>
        <v>0</v>
      </c>
      <c r="AI234" s="326">
        <f t="shared" si="316"/>
        <v>0</v>
      </c>
      <c r="AJ234" s="326">
        <f t="shared" si="316"/>
        <v>0</v>
      </c>
      <c r="AK234" s="326">
        <f t="shared" si="316"/>
        <v>0</v>
      </c>
      <c r="AL234" s="326"/>
      <c r="AM234" s="326"/>
      <c r="AN234" s="326"/>
      <c r="AO234" s="326"/>
      <c r="AP234" s="326"/>
      <c r="AQ234" s="326">
        <f t="shared" si="316"/>
        <v>0</v>
      </c>
      <c r="AR234" s="326">
        <f t="shared" si="316"/>
        <v>0</v>
      </c>
      <c r="AS234" s="326">
        <f t="shared" si="316"/>
        <v>0</v>
      </c>
      <c r="AT234" s="326">
        <f t="shared" si="316"/>
        <v>0</v>
      </c>
      <c r="AU234" s="181"/>
      <c r="AV234" s="326">
        <f t="shared" ref="AV234:BL240" si="317">AV196+AV214+AV223</f>
        <v>0</v>
      </c>
      <c r="AW234" s="326">
        <f t="shared" si="317"/>
        <v>0</v>
      </c>
      <c r="AX234" s="326">
        <f t="shared" si="317"/>
        <v>0</v>
      </c>
      <c r="AY234" s="326">
        <f t="shared" si="317"/>
        <v>0</v>
      </c>
      <c r="AZ234" s="326">
        <f t="shared" si="317"/>
        <v>0</v>
      </c>
      <c r="BA234" s="326">
        <f t="shared" si="317"/>
        <v>0</v>
      </c>
      <c r="BB234" s="326">
        <f t="shared" si="317"/>
        <v>0</v>
      </c>
      <c r="BC234" s="326">
        <f t="shared" si="317"/>
        <v>0</v>
      </c>
      <c r="BD234" s="326">
        <f t="shared" si="317"/>
        <v>0</v>
      </c>
      <c r="BE234" s="326">
        <f t="shared" si="317"/>
        <v>0</v>
      </c>
      <c r="BF234" s="326">
        <f t="shared" si="317"/>
        <v>0</v>
      </c>
      <c r="BG234" s="326">
        <f t="shared" si="317"/>
        <v>0</v>
      </c>
      <c r="BH234" s="326">
        <f t="shared" si="317"/>
        <v>0</v>
      </c>
      <c r="BI234" s="326">
        <f t="shared" si="317"/>
        <v>0</v>
      </c>
      <c r="BJ234" s="326">
        <f t="shared" si="317"/>
        <v>0</v>
      </c>
      <c r="BK234" s="326">
        <f t="shared" si="317"/>
        <v>0</v>
      </c>
      <c r="BL234" s="326">
        <f t="shared" si="317"/>
        <v>0</v>
      </c>
      <c r="BM234" s="181"/>
      <c r="BN234" s="326">
        <f t="shared" ref="BN234:CD240" si="318">BN196+BN214+BN223</f>
        <v>0</v>
      </c>
      <c r="BO234" s="326">
        <f t="shared" si="318"/>
        <v>0</v>
      </c>
      <c r="BP234" s="326">
        <f t="shared" si="318"/>
        <v>0</v>
      </c>
      <c r="BQ234" s="326">
        <f t="shared" si="318"/>
        <v>0</v>
      </c>
      <c r="BR234" s="326">
        <f t="shared" si="318"/>
        <v>0</v>
      </c>
      <c r="BS234" s="326">
        <f t="shared" si="318"/>
        <v>0</v>
      </c>
      <c r="BT234" s="326">
        <f t="shared" si="318"/>
        <v>0</v>
      </c>
      <c r="BU234" s="326">
        <f t="shared" si="318"/>
        <v>0</v>
      </c>
      <c r="BV234" s="326">
        <f t="shared" si="318"/>
        <v>0</v>
      </c>
      <c r="BW234" s="326">
        <f t="shared" si="318"/>
        <v>0</v>
      </c>
      <c r="BX234" s="326">
        <f t="shared" si="318"/>
        <v>0</v>
      </c>
      <c r="BY234" s="326">
        <f t="shared" si="318"/>
        <v>0</v>
      </c>
      <c r="BZ234" s="326">
        <f t="shared" si="318"/>
        <v>0</v>
      </c>
      <c r="CA234" s="326">
        <f t="shared" si="318"/>
        <v>0</v>
      </c>
      <c r="CB234" s="326">
        <f t="shared" si="318"/>
        <v>0</v>
      </c>
      <c r="CC234" s="326">
        <f t="shared" si="318"/>
        <v>0</v>
      </c>
      <c r="CD234" s="326">
        <f t="shared" si="318"/>
        <v>0</v>
      </c>
      <c r="CE234" s="181"/>
      <c r="CH234" s="326"/>
      <c r="CI234" s="326"/>
      <c r="CJ234" s="326">
        <f t="shared" si="314"/>
        <v>0</v>
      </c>
      <c r="CK234" s="326">
        <f t="shared" si="314"/>
        <v>0</v>
      </c>
      <c r="CL234" s="326">
        <f t="shared" si="314"/>
        <v>0</v>
      </c>
      <c r="CM234" s="326">
        <f t="shared" si="314"/>
        <v>0</v>
      </c>
      <c r="CN234" s="326">
        <f t="shared" si="314"/>
        <v>0</v>
      </c>
      <c r="CO234" s="326">
        <f t="shared" si="314"/>
        <v>0</v>
      </c>
      <c r="CP234" s="326">
        <f t="shared" si="314"/>
        <v>0</v>
      </c>
      <c r="CQ234" s="326">
        <f t="shared" si="314"/>
        <v>0</v>
      </c>
      <c r="CR234" s="326">
        <f t="shared" si="314"/>
        <v>0</v>
      </c>
      <c r="CS234" s="326">
        <f t="shared" si="314"/>
        <v>0</v>
      </c>
      <c r="CU234" s="326">
        <f t="shared" si="315"/>
        <v>0</v>
      </c>
      <c r="CV234" s="326">
        <f t="shared" si="315"/>
        <v>0</v>
      </c>
      <c r="CW234" s="326">
        <f t="shared" si="315"/>
        <v>0</v>
      </c>
    </row>
    <row r="235" spans="3:101" outlineLevel="1">
      <c r="D235" s="284" t="s">
        <v>218</v>
      </c>
      <c r="F235" s="320" t="s">
        <v>628</v>
      </c>
      <c r="G235" s="326">
        <f t="shared" si="310"/>
        <v>2660187.4499999997</v>
      </c>
      <c r="H235" s="326">
        <f t="shared" si="310"/>
        <v>2510910.2999999984</v>
      </c>
      <c r="I235" s="326">
        <f t="shared" si="310"/>
        <v>2389901.4399999985</v>
      </c>
      <c r="J235" s="326">
        <f t="shared" si="310"/>
        <v>1925108.3899999964</v>
      </c>
      <c r="K235" s="326">
        <f t="shared" si="310"/>
        <v>1889684.5999999978</v>
      </c>
      <c r="L235" s="326">
        <f t="shared" si="310"/>
        <v>1900491.9899999988</v>
      </c>
      <c r="M235" s="326">
        <f t="shared" si="310"/>
        <v>2006399.7300000011</v>
      </c>
      <c r="N235" s="326">
        <f t="shared" si="310"/>
        <v>1961355.7099999988</v>
      </c>
      <c r="O235" s="326">
        <f t="shared" si="310"/>
        <v>1953575.6299999973</v>
      </c>
      <c r="P235" s="326">
        <f t="shared" si="310"/>
        <v>2006922.1299999997</v>
      </c>
      <c r="Q235" s="326">
        <f t="shared" si="310"/>
        <v>2132440.0300000003</v>
      </c>
      <c r="R235" s="326">
        <f t="shared" si="310"/>
        <v>2357415.9199999995</v>
      </c>
      <c r="S235" s="326">
        <f t="shared" ca="1" si="310"/>
        <v>25694393.319999985</v>
      </c>
      <c r="T235" s="326">
        <f t="shared" si="310"/>
        <v>7560999.1899999976</v>
      </c>
      <c r="U235" s="326">
        <f t="shared" si="310"/>
        <v>5715284.979999993</v>
      </c>
      <c r="V235" s="326">
        <f t="shared" si="310"/>
        <v>5921331.0699999966</v>
      </c>
      <c r="W235" s="326">
        <f t="shared" si="310"/>
        <v>6496778.0800000001</v>
      </c>
      <c r="X235" s="181"/>
      <c r="Y235" s="326">
        <f t="shared" si="316"/>
        <v>2585999.2399999988</v>
      </c>
      <c r="Z235" s="326">
        <f t="shared" si="316"/>
        <v>2345710.4299999974</v>
      </c>
      <c r="AA235" s="326">
        <f t="shared" si="316"/>
        <v>2359839.7799999989</v>
      </c>
      <c r="AB235" s="326">
        <f t="shared" si="316"/>
        <v>2369810.6299999948</v>
      </c>
      <c r="AC235" s="326">
        <f t="shared" si="316"/>
        <v>2232746.4999999967</v>
      </c>
      <c r="AD235" s="326">
        <f t="shared" si="316"/>
        <v>2071510.4299999985</v>
      </c>
      <c r="AE235" s="326">
        <f t="shared" si="316"/>
        <v>2159303.9199999971</v>
      </c>
      <c r="AF235" s="326">
        <f t="shared" si="316"/>
        <v>2043030.4699999997</v>
      </c>
      <c r="AG235" s="326">
        <f t="shared" si="316"/>
        <v>2133409.1199999982</v>
      </c>
      <c r="AH235" s="326">
        <f t="shared" si="316"/>
        <v>2156629.3499999978</v>
      </c>
      <c r="AI235" s="326">
        <f t="shared" si="316"/>
        <v>2266294.6099999961</v>
      </c>
      <c r="AJ235" s="326">
        <f t="shared" si="316"/>
        <v>2433676.8699999996</v>
      </c>
      <c r="AK235" s="326">
        <f t="shared" si="316"/>
        <v>27157961.349999972</v>
      </c>
      <c r="AL235" s="326"/>
      <c r="AM235" s="326"/>
      <c r="AN235" s="326"/>
      <c r="AO235" s="326"/>
      <c r="AP235" s="326"/>
      <c r="AQ235" s="326">
        <f t="shared" si="316"/>
        <v>7291549.4499999965</v>
      </c>
      <c r="AR235" s="326">
        <f t="shared" si="316"/>
        <v>6674067.5599999903</v>
      </c>
      <c r="AS235" s="326">
        <f t="shared" si="316"/>
        <v>6335743.5099999961</v>
      </c>
      <c r="AT235" s="326">
        <f t="shared" si="316"/>
        <v>6856600.8299999926</v>
      </c>
      <c r="AU235" s="181"/>
      <c r="AV235" s="326">
        <f t="shared" si="317"/>
        <v>2692284.9326193593</v>
      </c>
      <c r="AW235" s="326">
        <f t="shared" si="317"/>
        <v>2511881.0336311599</v>
      </c>
      <c r="AX235" s="326">
        <f t="shared" si="317"/>
        <v>2399115.276905051</v>
      </c>
      <c r="AY235" s="326">
        <f t="shared" si="317"/>
        <v>2235791.6296384637</v>
      </c>
      <c r="AZ235" s="326">
        <f t="shared" si="317"/>
        <v>2110178.8964072159</v>
      </c>
      <c r="BA235" s="326">
        <f t="shared" si="317"/>
        <v>2080531.0236614475</v>
      </c>
      <c r="BB235" s="326">
        <f t="shared" si="317"/>
        <v>2043785.4688215775</v>
      </c>
      <c r="BC235" s="326">
        <f t="shared" si="317"/>
        <v>2088482.0735307734</v>
      </c>
      <c r="BD235" s="326">
        <f t="shared" si="317"/>
        <v>2050796.6714195006</v>
      </c>
      <c r="BE235" s="326">
        <f t="shared" si="317"/>
        <v>2097508.1386692831</v>
      </c>
      <c r="BF235" s="326">
        <f t="shared" si="317"/>
        <v>2333965.7084970288</v>
      </c>
      <c r="BG235" s="326">
        <f t="shared" si="317"/>
        <v>2571577.4363141824</v>
      </c>
      <c r="BH235" s="326">
        <f t="shared" ca="1" si="317"/>
        <v>27215898.290115047</v>
      </c>
      <c r="BI235" s="326">
        <f t="shared" si="317"/>
        <v>7603281.2431555707</v>
      </c>
      <c r="BJ235" s="326">
        <f t="shared" si="317"/>
        <v>6426501.5497071268</v>
      </c>
      <c r="BK235" s="326">
        <f t="shared" si="317"/>
        <v>6183064.2137718508</v>
      </c>
      <c r="BL235" s="326">
        <f t="shared" si="317"/>
        <v>7003051.2834804943</v>
      </c>
      <c r="BM235" s="181"/>
      <c r="BN235" s="326">
        <f t="shared" si="318"/>
        <v>0</v>
      </c>
      <c r="BO235" s="326">
        <f t="shared" si="318"/>
        <v>0</v>
      </c>
      <c r="BP235" s="326">
        <f t="shared" si="318"/>
        <v>2238757.1902292543</v>
      </c>
      <c r="BQ235" s="326">
        <f t="shared" si="318"/>
        <v>2255827.5459648794</v>
      </c>
      <c r="BR235" s="326">
        <f t="shared" si="318"/>
        <v>2133452.8302347534</v>
      </c>
      <c r="BS235" s="326">
        <f t="shared" si="318"/>
        <v>2072892.3659639186</v>
      </c>
      <c r="BT235" s="326">
        <f t="shared" si="318"/>
        <v>1939245.0312176805</v>
      </c>
      <c r="BU235" s="326">
        <f t="shared" si="318"/>
        <v>2022140.4133005375</v>
      </c>
      <c r="BV235" s="326">
        <f t="shared" si="318"/>
        <v>1999107.9466912479</v>
      </c>
      <c r="BW235" s="326">
        <f t="shared" si="318"/>
        <v>2025910.0412896152</v>
      </c>
      <c r="BX235" s="326">
        <f t="shared" si="318"/>
        <v>2280997.2317654914</v>
      </c>
      <c r="BY235" s="326">
        <f t="shared" si="318"/>
        <v>2513088.2150229788</v>
      </c>
      <c r="BZ235" s="326">
        <f t="shared" ca="1" si="318"/>
        <v>21481418.811680354</v>
      </c>
      <c r="CA235" s="326">
        <f t="shared" si="318"/>
        <v>2238757.1902292543</v>
      </c>
      <c r="CB235" s="326">
        <f t="shared" si="318"/>
        <v>6462172.742163552</v>
      </c>
      <c r="CC235" s="326">
        <f t="shared" si="318"/>
        <v>5960493.3912094664</v>
      </c>
      <c r="CD235" s="326">
        <f t="shared" si="318"/>
        <v>6819995.4880780848</v>
      </c>
      <c r="CE235" s="181"/>
      <c r="CH235" s="326"/>
      <c r="CI235" s="326"/>
      <c r="CJ235" s="326">
        <f t="shared" si="314"/>
        <v>121082.58977074444</v>
      </c>
      <c r="CK235" s="326">
        <f t="shared" si="314"/>
        <v>113983.08403511555</v>
      </c>
      <c r="CL235" s="326">
        <f t="shared" si="314"/>
        <v>99293.669765243583</v>
      </c>
      <c r="CM235" s="326">
        <f t="shared" si="314"/>
        <v>-1381.9359639200911</v>
      </c>
      <c r="CN235" s="326">
        <f t="shared" si="314"/>
        <v>220058.88878231711</v>
      </c>
      <c r="CO235" s="326">
        <f t="shared" si="314"/>
        <v>20890.056699462286</v>
      </c>
      <c r="CP235" s="326">
        <f t="shared" si="314"/>
        <v>134301.17330874989</v>
      </c>
      <c r="CQ235" s="326">
        <f t="shared" si="314"/>
        <v>130719.30871038232</v>
      </c>
      <c r="CR235" s="326">
        <f t="shared" si="314"/>
        <v>0</v>
      </c>
      <c r="CS235" s="326">
        <f t="shared" si="314"/>
        <v>0</v>
      </c>
      <c r="CU235" s="326">
        <f t="shared" si="315"/>
        <v>26747487.82525146</v>
      </c>
      <c r="CV235" s="326" t="e">
        <f t="shared" si="315"/>
        <v>#VALUE!</v>
      </c>
      <c r="CW235" s="326">
        <f t="shared" si="315"/>
        <v>27215898.290115047</v>
      </c>
    </row>
    <row r="236" spans="3:101" outlineLevel="1">
      <c r="D236" s="284" t="s">
        <v>218</v>
      </c>
      <c r="F236" s="320" t="s">
        <v>629</v>
      </c>
      <c r="G236" s="326">
        <f t="shared" si="310"/>
        <v>0</v>
      </c>
      <c r="H236" s="326">
        <f t="shared" si="310"/>
        <v>0</v>
      </c>
      <c r="I236" s="326">
        <f t="shared" si="310"/>
        <v>0</v>
      </c>
      <c r="J236" s="326">
        <f t="shared" si="310"/>
        <v>0</v>
      </c>
      <c r="K236" s="326">
        <f t="shared" si="310"/>
        <v>0</v>
      </c>
      <c r="L236" s="326">
        <f t="shared" si="310"/>
        <v>0</v>
      </c>
      <c r="M236" s="326">
        <f t="shared" si="310"/>
        <v>0</v>
      </c>
      <c r="N236" s="326">
        <f t="shared" si="310"/>
        <v>0</v>
      </c>
      <c r="O236" s="326">
        <f t="shared" si="310"/>
        <v>0</v>
      </c>
      <c r="P236" s="326">
        <f t="shared" si="310"/>
        <v>0</v>
      </c>
      <c r="Q236" s="326">
        <f t="shared" si="310"/>
        <v>0</v>
      </c>
      <c r="R236" s="326">
        <f t="shared" si="310"/>
        <v>0</v>
      </c>
      <c r="S236" s="326">
        <f t="shared" si="310"/>
        <v>0</v>
      </c>
      <c r="T236" s="326">
        <f t="shared" si="310"/>
        <v>0</v>
      </c>
      <c r="U236" s="326">
        <f t="shared" si="310"/>
        <v>0</v>
      </c>
      <c r="V236" s="326">
        <f t="shared" si="310"/>
        <v>0</v>
      </c>
      <c r="W236" s="326">
        <f t="shared" si="310"/>
        <v>0</v>
      </c>
      <c r="X236" s="181"/>
      <c r="Y236" s="326">
        <f t="shared" si="316"/>
        <v>0</v>
      </c>
      <c r="Z236" s="326">
        <f t="shared" si="316"/>
        <v>0</v>
      </c>
      <c r="AA236" s="326">
        <f t="shared" si="316"/>
        <v>0</v>
      </c>
      <c r="AB236" s="326">
        <f t="shared" si="316"/>
        <v>0</v>
      </c>
      <c r="AC236" s="326">
        <f t="shared" si="316"/>
        <v>0</v>
      </c>
      <c r="AD236" s="326">
        <f t="shared" si="316"/>
        <v>0</v>
      </c>
      <c r="AE236" s="326">
        <f t="shared" si="316"/>
        <v>0</v>
      </c>
      <c r="AF236" s="326">
        <f t="shared" si="316"/>
        <v>0</v>
      </c>
      <c r="AG236" s="326">
        <f t="shared" si="316"/>
        <v>0</v>
      </c>
      <c r="AH236" s="326">
        <f t="shared" si="316"/>
        <v>0</v>
      </c>
      <c r="AI236" s="326">
        <f t="shared" si="316"/>
        <v>0</v>
      </c>
      <c r="AJ236" s="326">
        <f t="shared" si="316"/>
        <v>0</v>
      </c>
      <c r="AK236" s="326">
        <f t="shared" si="316"/>
        <v>0</v>
      </c>
      <c r="AL236" s="326"/>
      <c r="AM236" s="326"/>
      <c r="AN236" s="326"/>
      <c r="AO236" s="326"/>
      <c r="AP236" s="326"/>
      <c r="AQ236" s="326">
        <f t="shared" si="316"/>
        <v>0</v>
      </c>
      <c r="AR236" s="326">
        <f t="shared" si="316"/>
        <v>0</v>
      </c>
      <c r="AS236" s="326">
        <f t="shared" si="316"/>
        <v>0</v>
      </c>
      <c r="AT236" s="326">
        <f t="shared" si="316"/>
        <v>0</v>
      </c>
      <c r="AU236" s="181"/>
      <c r="AV236" s="326">
        <f t="shared" si="317"/>
        <v>0</v>
      </c>
      <c r="AW236" s="326">
        <f t="shared" si="317"/>
        <v>0</v>
      </c>
      <c r="AX236" s="326">
        <f t="shared" si="317"/>
        <v>0</v>
      </c>
      <c r="AY236" s="326">
        <f t="shared" si="317"/>
        <v>0</v>
      </c>
      <c r="AZ236" s="326">
        <f t="shared" si="317"/>
        <v>0</v>
      </c>
      <c r="BA236" s="326">
        <f t="shared" si="317"/>
        <v>0</v>
      </c>
      <c r="BB236" s="326">
        <f t="shared" si="317"/>
        <v>0</v>
      </c>
      <c r="BC236" s="326">
        <f t="shared" si="317"/>
        <v>0</v>
      </c>
      <c r="BD236" s="326">
        <f t="shared" si="317"/>
        <v>0</v>
      </c>
      <c r="BE236" s="326">
        <f t="shared" si="317"/>
        <v>0</v>
      </c>
      <c r="BF236" s="326">
        <f t="shared" si="317"/>
        <v>0</v>
      </c>
      <c r="BG236" s="326">
        <f t="shared" si="317"/>
        <v>0</v>
      </c>
      <c r="BH236" s="326">
        <f t="shared" si="317"/>
        <v>0</v>
      </c>
      <c r="BI236" s="326">
        <f t="shared" si="317"/>
        <v>0</v>
      </c>
      <c r="BJ236" s="326">
        <f t="shared" si="317"/>
        <v>0</v>
      </c>
      <c r="BK236" s="326">
        <f t="shared" si="317"/>
        <v>0</v>
      </c>
      <c r="BL236" s="326">
        <f t="shared" si="317"/>
        <v>0</v>
      </c>
      <c r="BM236" s="181"/>
      <c r="BN236" s="326">
        <f t="shared" si="318"/>
        <v>0</v>
      </c>
      <c r="BO236" s="326">
        <f t="shared" si="318"/>
        <v>0</v>
      </c>
      <c r="BP236" s="326">
        <f t="shared" si="318"/>
        <v>0</v>
      </c>
      <c r="BQ236" s="326">
        <f t="shared" si="318"/>
        <v>0</v>
      </c>
      <c r="BR236" s="326">
        <f t="shared" si="318"/>
        <v>0</v>
      </c>
      <c r="BS236" s="326">
        <f t="shared" si="318"/>
        <v>0</v>
      </c>
      <c r="BT236" s="326">
        <f t="shared" si="318"/>
        <v>0</v>
      </c>
      <c r="BU236" s="326">
        <f t="shared" si="318"/>
        <v>0</v>
      </c>
      <c r="BV236" s="326">
        <f t="shared" si="318"/>
        <v>0</v>
      </c>
      <c r="BW236" s="326">
        <f t="shared" si="318"/>
        <v>0</v>
      </c>
      <c r="BX236" s="326">
        <f t="shared" si="318"/>
        <v>0</v>
      </c>
      <c r="BY236" s="326">
        <f t="shared" si="318"/>
        <v>0</v>
      </c>
      <c r="BZ236" s="326">
        <f t="shared" si="318"/>
        <v>0</v>
      </c>
      <c r="CA236" s="326">
        <f t="shared" si="318"/>
        <v>0</v>
      </c>
      <c r="CB236" s="326">
        <f t="shared" si="318"/>
        <v>0</v>
      </c>
      <c r="CC236" s="326">
        <f t="shared" si="318"/>
        <v>0</v>
      </c>
      <c r="CD236" s="326">
        <f t="shared" si="318"/>
        <v>0</v>
      </c>
      <c r="CE236" s="181"/>
      <c r="CH236" s="326"/>
      <c r="CI236" s="326"/>
      <c r="CJ236" s="326">
        <f t="shared" si="314"/>
        <v>0</v>
      </c>
      <c r="CK236" s="326">
        <f t="shared" si="314"/>
        <v>0</v>
      </c>
      <c r="CL236" s="326">
        <f t="shared" si="314"/>
        <v>0</v>
      </c>
      <c r="CM236" s="326">
        <f t="shared" si="314"/>
        <v>0</v>
      </c>
      <c r="CN236" s="326">
        <f t="shared" si="314"/>
        <v>0</v>
      </c>
      <c r="CO236" s="326">
        <f t="shared" si="314"/>
        <v>0</v>
      </c>
      <c r="CP236" s="326">
        <f t="shared" si="314"/>
        <v>0</v>
      </c>
      <c r="CQ236" s="326">
        <f t="shared" si="314"/>
        <v>0</v>
      </c>
      <c r="CR236" s="326">
        <f t="shared" si="314"/>
        <v>0</v>
      </c>
      <c r="CS236" s="326">
        <f t="shared" si="314"/>
        <v>0</v>
      </c>
      <c r="CU236" s="326">
        <f t="shared" si="315"/>
        <v>0</v>
      </c>
      <c r="CV236" s="326">
        <f t="shared" si="315"/>
        <v>0</v>
      </c>
      <c r="CW236" s="326">
        <f t="shared" si="315"/>
        <v>0</v>
      </c>
    </row>
    <row r="237" spans="3:101" outlineLevel="1">
      <c r="D237" s="284" t="s">
        <v>218</v>
      </c>
      <c r="F237" s="320" t="s">
        <v>630</v>
      </c>
      <c r="G237" s="326">
        <f t="shared" si="310"/>
        <v>117734.45</v>
      </c>
      <c r="H237" s="326">
        <f t="shared" si="310"/>
        <v>101233.45</v>
      </c>
      <c r="I237" s="326">
        <f t="shared" si="310"/>
        <v>111063.45</v>
      </c>
      <c r="J237" s="326">
        <f t="shared" si="310"/>
        <v>113217.45</v>
      </c>
      <c r="K237" s="326">
        <f t="shared" si="310"/>
        <v>133798.41999999998</v>
      </c>
      <c r="L237" s="326">
        <f t="shared" si="310"/>
        <v>131705.69</v>
      </c>
      <c r="M237" s="326">
        <f t="shared" si="310"/>
        <v>134459.15999999997</v>
      </c>
      <c r="N237" s="326">
        <f t="shared" si="310"/>
        <v>109182.25</v>
      </c>
      <c r="O237" s="326">
        <f t="shared" si="310"/>
        <v>129394.29</v>
      </c>
      <c r="P237" s="326">
        <f t="shared" si="310"/>
        <v>130685.43999999999</v>
      </c>
      <c r="Q237" s="326">
        <f t="shared" si="310"/>
        <v>135941.21</v>
      </c>
      <c r="R237" s="326">
        <f t="shared" si="310"/>
        <v>242800.21</v>
      </c>
      <c r="S237" s="326">
        <f t="shared" ca="1" si="310"/>
        <v>1591215.4699999997</v>
      </c>
      <c r="T237" s="326">
        <f t="shared" si="310"/>
        <v>330031.34999999998</v>
      </c>
      <c r="U237" s="326">
        <f t="shared" si="310"/>
        <v>378721.56</v>
      </c>
      <c r="V237" s="326">
        <f t="shared" si="310"/>
        <v>373035.69999999995</v>
      </c>
      <c r="W237" s="326">
        <f t="shared" si="310"/>
        <v>509426.86</v>
      </c>
      <c r="X237" s="181"/>
      <c r="Y237" s="326">
        <f t="shared" si="316"/>
        <v>226644.40999999997</v>
      </c>
      <c r="Z237" s="326">
        <f t="shared" si="316"/>
        <v>219807.2</v>
      </c>
      <c r="AA237" s="326">
        <f t="shared" si="316"/>
        <v>228335.44</v>
      </c>
      <c r="AB237" s="326">
        <f t="shared" si="316"/>
        <v>215950.72999999998</v>
      </c>
      <c r="AC237" s="326">
        <f t="shared" si="316"/>
        <v>227612.25</v>
      </c>
      <c r="AD237" s="326">
        <f t="shared" si="316"/>
        <v>230673.13999999998</v>
      </c>
      <c r="AE237" s="326">
        <f t="shared" si="316"/>
        <v>229237.03</v>
      </c>
      <c r="AF237" s="326">
        <f t="shared" si="316"/>
        <v>231742.56</v>
      </c>
      <c r="AG237" s="326">
        <f t="shared" si="316"/>
        <v>231299.01</v>
      </c>
      <c r="AH237" s="326">
        <f t="shared" si="316"/>
        <v>240917.29</v>
      </c>
      <c r="AI237" s="326">
        <f t="shared" si="316"/>
        <v>237873.12</v>
      </c>
      <c r="AJ237" s="326">
        <f t="shared" si="316"/>
        <v>240521.74</v>
      </c>
      <c r="AK237" s="326">
        <f t="shared" ca="1" si="316"/>
        <v>2760613.92</v>
      </c>
      <c r="AL237" s="326"/>
      <c r="AM237" s="326"/>
      <c r="AN237" s="326"/>
      <c r="AO237" s="326"/>
      <c r="AP237" s="326"/>
      <c r="AQ237" s="326">
        <f t="shared" si="316"/>
        <v>674787.05</v>
      </c>
      <c r="AR237" s="326">
        <f t="shared" si="316"/>
        <v>674236.12</v>
      </c>
      <c r="AS237" s="326">
        <f t="shared" si="316"/>
        <v>692278.6</v>
      </c>
      <c r="AT237" s="326">
        <f t="shared" si="316"/>
        <v>719312.14999999991</v>
      </c>
      <c r="AU237" s="181"/>
      <c r="AV237" s="326">
        <f t="shared" si="317"/>
        <v>210286.41999999998</v>
      </c>
      <c r="AW237" s="326">
        <f t="shared" si="317"/>
        <v>186523.41999999998</v>
      </c>
      <c r="AX237" s="326">
        <f t="shared" si="317"/>
        <v>205615.41999999998</v>
      </c>
      <c r="AY237" s="326">
        <f t="shared" si="317"/>
        <v>204682.41999999998</v>
      </c>
      <c r="AZ237" s="326">
        <f t="shared" si="317"/>
        <v>228381.74934900389</v>
      </c>
      <c r="BA237" s="326">
        <f t="shared" si="317"/>
        <v>223202.01934900388</v>
      </c>
      <c r="BB237" s="326">
        <f t="shared" si="317"/>
        <v>197204.53934900387</v>
      </c>
      <c r="BC237" s="326">
        <f t="shared" si="317"/>
        <v>205471.09934900387</v>
      </c>
      <c r="BD237" s="326">
        <f t="shared" si="317"/>
        <v>197016.74934900389</v>
      </c>
      <c r="BE237" s="326">
        <f t="shared" si="317"/>
        <v>210384.74934900389</v>
      </c>
      <c r="BF237" s="326">
        <f t="shared" si="317"/>
        <v>210365.74934900389</v>
      </c>
      <c r="BG237" s="326">
        <f t="shared" si="317"/>
        <v>216347.74934900389</v>
      </c>
      <c r="BH237" s="326">
        <f t="shared" ca="1" si="317"/>
        <v>2495482.084792031</v>
      </c>
      <c r="BI237" s="326">
        <f t="shared" si="317"/>
        <v>602425.26</v>
      </c>
      <c r="BJ237" s="326">
        <f t="shared" si="317"/>
        <v>656266.18869800773</v>
      </c>
      <c r="BK237" s="326">
        <f t="shared" si="317"/>
        <v>599692.38804701157</v>
      </c>
      <c r="BL237" s="326">
        <f t="shared" si="317"/>
        <v>637098.24804701167</v>
      </c>
      <c r="BM237" s="181"/>
      <c r="BN237" s="326">
        <f t="shared" si="318"/>
        <v>0</v>
      </c>
      <c r="BO237" s="326">
        <f t="shared" si="318"/>
        <v>0</v>
      </c>
      <c r="BP237" s="326">
        <f t="shared" si="318"/>
        <v>223689.77133333334</v>
      </c>
      <c r="BQ237" s="326">
        <f t="shared" si="318"/>
        <v>223470.70666666667</v>
      </c>
      <c r="BR237" s="326">
        <f t="shared" si="318"/>
        <v>218917.7626823372</v>
      </c>
      <c r="BS237" s="326">
        <f t="shared" si="318"/>
        <v>219389.59650000001</v>
      </c>
      <c r="BT237" s="326">
        <f t="shared" si="318"/>
        <v>224592.49904999998</v>
      </c>
      <c r="BU237" s="326">
        <f t="shared" si="318"/>
        <v>219302.87229500001</v>
      </c>
      <c r="BV237" s="326">
        <f t="shared" si="318"/>
        <v>225063.08049999998</v>
      </c>
      <c r="BW237" s="326">
        <f t="shared" si="318"/>
        <v>233084.229154</v>
      </c>
      <c r="BX237" s="326">
        <f t="shared" si="318"/>
        <v>239394.73392</v>
      </c>
      <c r="BY237" s="326">
        <f t="shared" si="318"/>
        <v>242065.72688</v>
      </c>
      <c r="BZ237" s="326">
        <f t="shared" ca="1" si="318"/>
        <v>2268970.978981337</v>
      </c>
      <c r="CA237" s="326">
        <f t="shared" si="318"/>
        <v>223689.77133333334</v>
      </c>
      <c r="CB237" s="326">
        <f t="shared" si="318"/>
        <v>661778.06584900385</v>
      </c>
      <c r="CC237" s="326">
        <f t="shared" si="318"/>
        <v>668958.45184500003</v>
      </c>
      <c r="CD237" s="326">
        <f t="shared" si="318"/>
        <v>714544.68995399994</v>
      </c>
      <c r="CE237" s="181"/>
      <c r="CH237" s="326"/>
      <c r="CI237" s="326"/>
      <c r="CJ237" s="326">
        <f t="shared" si="314"/>
        <v>4645.6686666666737</v>
      </c>
      <c r="CK237" s="326">
        <f t="shared" si="314"/>
        <v>-7519.9766666666683</v>
      </c>
      <c r="CL237" s="326">
        <f t="shared" si="314"/>
        <v>8694.4873176627862</v>
      </c>
      <c r="CM237" s="326">
        <f t="shared" si="314"/>
        <v>11283.543499999996</v>
      </c>
      <c r="CN237" s="326">
        <f t="shared" si="314"/>
        <v>4644.5309500000003</v>
      </c>
      <c r="CO237" s="326">
        <f t="shared" si="314"/>
        <v>12439.687704999998</v>
      </c>
      <c r="CP237" s="326">
        <f t="shared" si="314"/>
        <v>6235.9295000000056</v>
      </c>
      <c r="CQ237" s="326">
        <f t="shared" si="314"/>
        <v>7833.0608460000067</v>
      </c>
      <c r="CR237" s="326">
        <f t="shared" si="314"/>
        <v>0</v>
      </c>
      <c r="CS237" s="326">
        <f t="shared" si="314"/>
        <v>0</v>
      </c>
      <c r="CU237" s="326">
        <f t="shared" si="315"/>
        <v>2721242.7682990003</v>
      </c>
      <c r="CV237" s="326" t="e">
        <f t="shared" si="315"/>
        <v>#VALUE!</v>
      </c>
      <c r="CW237" s="326">
        <f t="shared" si="315"/>
        <v>2495482.084792031</v>
      </c>
    </row>
    <row r="238" spans="3:101" outlineLevel="1">
      <c r="D238" s="284" t="s">
        <v>218</v>
      </c>
      <c r="F238" s="320" t="s">
        <v>631</v>
      </c>
      <c r="G238" s="326">
        <f t="shared" si="310"/>
        <v>912672</v>
      </c>
      <c r="H238" s="326">
        <f t="shared" si="310"/>
        <v>986206</v>
      </c>
      <c r="I238" s="326">
        <f t="shared" si="310"/>
        <v>1149850</v>
      </c>
      <c r="J238" s="326">
        <f t="shared" si="310"/>
        <v>730042</v>
      </c>
      <c r="K238" s="326">
        <f t="shared" si="310"/>
        <v>850405</v>
      </c>
      <c r="L238" s="326">
        <f t="shared" si="310"/>
        <v>953910.2</v>
      </c>
      <c r="M238" s="326">
        <f t="shared" si="310"/>
        <v>828834.19</v>
      </c>
      <c r="N238" s="326">
        <f t="shared" si="310"/>
        <v>1005066.6799999999</v>
      </c>
      <c r="O238" s="326">
        <f t="shared" si="310"/>
        <v>1084957.56</v>
      </c>
      <c r="P238" s="326">
        <f t="shared" si="310"/>
        <v>1177478.76</v>
      </c>
      <c r="Q238" s="326">
        <f t="shared" si="310"/>
        <v>1154698.48</v>
      </c>
      <c r="R238" s="326">
        <f t="shared" si="310"/>
        <v>1298939.6099999999</v>
      </c>
      <c r="S238" s="326">
        <f t="shared" ca="1" si="310"/>
        <v>12133060.479999999</v>
      </c>
      <c r="T238" s="326">
        <f t="shared" si="310"/>
        <v>3048728</v>
      </c>
      <c r="U238" s="326">
        <f t="shared" si="310"/>
        <v>2534357.2000000002</v>
      </c>
      <c r="V238" s="326">
        <f t="shared" si="310"/>
        <v>2918858.4299999992</v>
      </c>
      <c r="W238" s="326">
        <f t="shared" si="310"/>
        <v>3631116.85</v>
      </c>
      <c r="X238" s="181"/>
      <c r="Y238" s="326">
        <f t="shared" si="316"/>
        <v>1014315.4699999997</v>
      </c>
      <c r="Z238" s="326">
        <f t="shared" si="316"/>
        <v>1133884.9100000004</v>
      </c>
      <c r="AA238" s="326">
        <f t="shared" si="316"/>
        <v>1171906.97</v>
      </c>
      <c r="AB238" s="326">
        <f t="shared" si="316"/>
        <v>1378231.54</v>
      </c>
      <c r="AC238" s="326">
        <f t="shared" si="316"/>
        <v>1150656.8899999997</v>
      </c>
      <c r="AD238" s="326">
        <f t="shared" si="316"/>
        <v>1155163.6599999999</v>
      </c>
      <c r="AE238" s="326">
        <f t="shared" si="316"/>
        <v>1167991.69</v>
      </c>
      <c r="AF238" s="326">
        <f t="shared" si="316"/>
        <v>1335003.0799999998</v>
      </c>
      <c r="AG238" s="326">
        <f t="shared" si="316"/>
        <v>1010490.4599999998</v>
      </c>
      <c r="AH238" s="326">
        <f t="shared" si="316"/>
        <v>1471669.53</v>
      </c>
      <c r="AI238" s="326">
        <f t="shared" si="316"/>
        <v>1531099.05</v>
      </c>
      <c r="AJ238" s="326">
        <f t="shared" si="316"/>
        <v>1297916.2600000049</v>
      </c>
      <c r="AK238" s="326">
        <f t="shared" ca="1" si="316"/>
        <v>14818329.510000004</v>
      </c>
      <c r="AL238" s="326"/>
      <c r="AM238" s="326"/>
      <c r="AN238" s="326"/>
      <c r="AO238" s="326"/>
      <c r="AP238" s="326"/>
      <c r="AQ238" s="326">
        <f t="shared" si="316"/>
        <v>3320107.3499999996</v>
      </c>
      <c r="AR238" s="326">
        <f t="shared" si="316"/>
        <v>3684052.09</v>
      </c>
      <c r="AS238" s="326">
        <f t="shared" si="316"/>
        <v>3513485.23</v>
      </c>
      <c r="AT238" s="326">
        <f t="shared" si="316"/>
        <v>4300684.8400000036</v>
      </c>
      <c r="AU238" s="181"/>
      <c r="AV238" s="326">
        <f t="shared" si="317"/>
        <v>1084891.0052713263</v>
      </c>
      <c r="AW238" s="326">
        <f t="shared" si="317"/>
        <v>1068139.2929241043</v>
      </c>
      <c r="AX238" s="326">
        <f t="shared" si="317"/>
        <v>1322000.6596435485</v>
      </c>
      <c r="AY238" s="326">
        <f t="shared" si="317"/>
        <v>1070944.0428213261</v>
      </c>
      <c r="AZ238" s="326">
        <f t="shared" si="317"/>
        <v>1124681.9233991038</v>
      </c>
      <c r="BA238" s="326">
        <f t="shared" si="317"/>
        <v>1227082.4844633017</v>
      </c>
      <c r="BB238" s="326">
        <f t="shared" si="317"/>
        <v>1233790.9030921082</v>
      </c>
      <c r="BC238" s="326">
        <f t="shared" si="317"/>
        <v>1277411.124502979</v>
      </c>
      <c r="BD238" s="326">
        <f t="shared" si="317"/>
        <v>1230001.4461122043</v>
      </c>
      <c r="BE238" s="326">
        <f t="shared" si="317"/>
        <v>1365324.312323075</v>
      </c>
      <c r="BF238" s="326">
        <f t="shared" si="317"/>
        <v>1407175.1958084661</v>
      </c>
      <c r="BG238" s="326">
        <f t="shared" si="317"/>
        <v>1444403.9517624446</v>
      </c>
      <c r="BH238" s="326">
        <f t="shared" ca="1" si="317"/>
        <v>14855846.342123985</v>
      </c>
      <c r="BI238" s="326">
        <f t="shared" si="317"/>
        <v>3475030.9578389791</v>
      </c>
      <c r="BJ238" s="326">
        <f t="shared" si="317"/>
        <v>3422708.4506837316</v>
      </c>
      <c r="BK238" s="326">
        <f t="shared" si="317"/>
        <v>3741203.4737072913</v>
      </c>
      <c r="BL238" s="326">
        <f t="shared" si="317"/>
        <v>4216903.4598939847</v>
      </c>
      <c r="BM238" s="181"/>
      <c r="BN238" s="326">
        <f t="shared" si="318"/>
        <v>0</v>
      </c>
      <c r="BO238" s="326">
        <f t="shared" si="318"/>
        <v>0</v>
      </c>
      <c r="BP238" s="326">
        <f t="shared" si="318"/>
        <v>1242841.7582207578</v>
      </c>
      <c r="BQ238" s="326">
        <f t="shared" si="318"/>
        <v>1119176.2901833863</v>
      </c>
      <c r="BR238" s="326">
        <f t="shared" si="318"/>
        <v>1141635.7173511353</v>
      </c>
      <c r="BS238" s="326">
        <f t="shared" si="318"/>
        <v>1140728.9089756508</v>
      </c>
      <c r="BT238" s="326">
        <f t="shared" si="318"/>
        <v>1204725.4929394552</v>
      </c>
      <c r="BU238" s="326">
        <f t="shared" si="318"/>
        <v>1246805.1524629071</v>
      </c>
      <c r="BV238" s="326">
        <f t="shared" si="318"/>
        <v>1263099.874940709</v>
      </c>
      <c r="BW238" s="326">
        <f t="shared" si="318"/>
        <v>1312788.823975794</v>
      </c>
      <c r="BX238" s="326">
        <f t="shared" si="318"/>
        <v>1290344.6196744265</v>
      </c>
      <c r="BY238" s="326">
        <f t="shared" si="318"/>
        <v>1259643.8090008595</v>
      </c>
      <c r="BZ238" s="326">
        <f t="shared" ca="1" si="318"/>
        <v>12221790.447725082</v>
      </c>
      <c r="CA238" s="326">
        <f t="shared" si="318"/>
        <v>1242841.7582207578</v>
      </c>
      <c r="CB238" s="326">
        <f t="shared" si="318"/>
        <v>3401540.9165101722</v>
      </c>
      <c r="CC238" s="326">
        <f t="shared" si="318"/>
        <v>3714630.5203430708</v>
      </c>
      <c r="CD238" s="326">
        <f t="shared" si="318"/>
        <v>3862777.2526510796</v>
      </c>
      <c r="CE238" s="181"/>
      <c r="CH238" s="326"/>
      <c r="CI238" s="326"/>
      <c r="CJ238" s="326">
        <f t="shared" si="314"/>
        <v>-70934.788220757866</v>
      </c>
      <c r="CK238" s="326">
        <f t="shared" si="314"/>
        <v>259055.249816614</v>
      </c>
      <c r="CL238" s="326">
        <f t="shared" si="314"/>
        <v>9021.1726488645108</v>
      </c>
      <c r="CM238" s="326">
        <f t="shared" si="314"/>
        <v>14434.751024348974</v>
      </c>
      <c r="CN238" s="326">
        <f t="shared" si="314"/>
        <v>-36733.80293945525</v>
      </c>
      <c r="CO238" s="326">
        <f t="shared" si="314"/>
        <v>88197.927537092837</v>
      </c>
      <c r="CP238" s="326">
        <f t="shared" si="314"/>
        <v>-252609.41494070907</v>
      </c>
      <c r="CQ238" s="326">
        <f t="shared" si="314"/>
        <v>158880.70602420578</v>
      </c>
      <c r="CR238" s="326">
        <f t="shared" si="314"/>
        <v>0</v>
      </c>
      <c r="CS238" s="326">
        <f t="shared" si="314"/>
        <v>0</v>
      </c>
      <c r="CU238" s="326">
        <f t="shared" si="315"/>
        <v>14567132.461969804</v>
      </c>
      <c r="CV238" s="326" t="e">
        <f t="shared" si="315"/>
        <v>#VALUE!</v>
      </c>
      <c r="CW238" s="326">
        <f t="shared" si="315"/>
        <v>14855846.342123985</v>
      </c>
    </row>
    <row r="239" spans="3:101" outlineLevel="1">
      <c r="D239" s="284" t="s">
        <v>218</v>
      </c>
      <c r="F239" s="320" t="s">
        <v>632</v>
      </c>
      <c r="G239" s="326">
        <f t="shared" si="310"/>
        <v>47733</v>
      </c>
      <c r="H239" s="326">
        <f t="shared" si="310"/>
        <v>45268</v>
      </c>
      <c r="I239" s="326">
        <f t="shared" si="310"/>
        <v>42881</v>
      </c>
      <c r="J239" s="326">
        <f t="shared" si="310"/>
        <v>34434</v>
      </c>
      <c r="K239" s="326">
        <f t="shared" si="310"/>
        <v>34124</v>
      </c>
      <c r="L239" s="326">
        <f t="shared" si="310"/>
        <v>31780.410000000003</v>
      </c>
      <c r="M239" s="326">
        <f t="shared" si="310"/>
        <v>31300.799999999999</v>
      </c>
      <c r="N239" s="326">
        <f t="shared" si="310"/>
        <v>30868</v>
      </c>
      <c r="O239" s="326">
        <f t="shared" si="310"/>
        <v>31918</v>
      </c>
      <c r="P239" s="326">
        <f t="shared" si="310"/>
        <v>33785.600000000006</v>
      </c>
      <c r="Q239" s="326">
        <f t="shared" si="310"/>
        <v>38796.89</v>
      </c>
      <c r="R239" s="326">
        <f t="shared" si="310"/>
        <v>49505</v>
      </c>
      <c r="S239" s="326">
        <f t="shared" ca="1" si="310"/>
        <v>452394.70000000007</v>
      </c>
      <c r="T239" s="326">
        <f t="shared" si="310"/>
        <v>135882</v>
      </c>
      <c r="U239" s="326">
        <f t="shared" si="310"/>
        <v>100338.41</v>
      </c>
      <c r="V239" s="326">
        <f t="shared" si="310"/>
        <v>94086.8</v>
      </c>
      <c r="W239" s="326">
        <f t="shared" si="310"/>
        <v>122087.49</v>
      </c>
      <c r="X239" s="181"/>
      <c r="Y239" s="326">
        <f t="shared" si="316"/>
        <v>56767</v>
      </c>
      <c r="Z239" s="326">
        <f t="shared" si="316"/>
        <v>49426</v>
      </c>
      <c r="AA239" s="326">
        <f t="shared" si="316"/>
        <v>47126</v>
      </c>
      <c r="AB239" s="326">
        <f t="shared" si="316"/>
        <v>48506</v>
      </c>
      <c r="AC239" s="326">
        <f t="shared" si="316"/>
        <v>42345</v>
      </c>
      <c r="AD239" s="326">
        <f t="shared" si="316"/>
        <v>37061</v>
      </c>
      <c r="AE239" s="326">
        <f t="shared" si="316"/>
        <v>36951</v>
      </c>
      <c r="AF239" s="326">
        <f t="shared" si="316"/>
        <v>35339</v>
      </c>
      <c r="AG239" s="326">
        <f t="shared" si="316"/>
        <v>36330</v>
      </c>
      <c r="AH239" s="326">
        <f t="shared" si="316"/>
        <v>37755</v>
      </c>
      <c r="AI239" s="326">
        <f t="shared" si="316"/>
        <v>41507</v>
      </c>
      <c r="AJ239" s="326">
        <f t="shared" si="316"/>
        <v>47575.63</v>
      </c>
      <c r="AK239" s="326">
        <f t="shared" ca="1" si="316"/>
        <v>516688.62999999995</v>
      </c>
      <c r="AL239" s="326"/>
      <c r="AM239" s="326"/>
      <c r="AN239" s="326"/>
      <c r="AO239" s="326"/>
      <c r="AP239" s="326"/>
      <c r="AQ239" s="326">
        <f t="shared" si="316"/>
        <v>153319</v>
      </c>
      <c r="AR239" s="326">
        <f t="shared" si="316"/>
        <v>127912</v>
      </c>
      <c r="AS239" s="326">
        <f t="shared" si="316"/>
        <v>108620</v>
      </c>
      <c r="AT239" s="326">
        <f t="shared" si="316"/>
        <v>126837.63</v>
      </c>
      <c r="AU239" s="181"/>
      <c r="AV239" s="326">
        <f t="shared" si="317"/>
        <v>36567.484999999993</v>
      </c>
      <c r="AW239" s="326">
        <f t="shared" si="317"/>
        <v>36567.484999999993</v>
      </c>
      <c r="AX239" s="326">
        <f t="shared" si="317"/>
        <v>36567.484999999993</v>
      </c>
      <c r="AY239" s="326">
        <f t="shared" si="317"/>
        <v>36567.484999999993</v>
      </c>
      <c r="AZ239" s="326">
        <f t="shared" si="317"/>
        <v>36567.484999999993</v>
      </c>
      <c r="BA239" s="326">
        <f t="shared" si="317"/>
        <v>36567.484999999993</v>
      </c>
      <c r="BB239" s="326">
        <f t="shared" si="317"/>
        <v>36567.484999999993</v>
      </c>
      <c r="BC239" s="326">
        <f t="shared" si="317"/>
        <v>36567.484999999993</v>
      </c>
      <c r="BD239" s="326">
        <f t="shared" si="317"/>
        <v>36567.484999999993</v>
      </c>
      <c r="BE239" s="326">
        <f t="shared" si="317"/>
        <v>36567.484999999993</v>
      </c>
      <c r="BF239" s="326">
        <f t="shared" si="317"/>
        <v>36567.484999999993</v>
      </c>
      <c r="BG239" s="326">
        <f t="shared" si="317"/>
        <v>36567.484999999993</v>
      </c>
      <c r="BH239" s="326">
        <f t="shared" ca="1" si="317"/>
        <v>438809.82000000007</v>
      </c>
      <c r="BI239" s="326">
        <f t="shared" si="317"/>
        <v>109702.455</v>
      </c>
      <c r="BJ239" s="326">
        <f t="shared" si="317"/>
        <v>109702.455</v>
      </c>
      <c r="BK239" s="326">
        <f t="shared" si="317"/>
        <v>109702.455</v>
      </c>
      <c r="BL239" s="326">
        <f t="shared" si="317"/>
        <v>109702.455</v>
      </c>
      <c r="BM239" s="181"/>
      <c r="BN239" s="326">
        <f t="shared" si="318"/>
        <v>0</v>
      </c>
      <c r="BO239" s="326">
        <f t="shared" si="318"/>
        <v>0</v>
      </c>
      <c r="BP239" s="326">
        <f t="shared" si="318"/>
        <v>44073.898324896632</v>
      </c>
      <c r="BQ239" s="326">
        <f t="shared" si="318"/>
        <v>38231.520929906052</v>
      </c>
      <c r="BR239" s="326">
        <f t="shared" si="318"/>
        <v>35871.635822694217</v>
      </c>
      <c r="BS239" s="326">
        <f t="shared" si="318"/>
        <v>33796.140254236539</v>
      </c>
      <c r="BT239" s="326">
        <f t="shared" si="318"/>
        <v>31677.918724098512</v>
      </c>
      <c r="BU239" s="326">
        <f t="shared" si="318"/>
        <v>32198.683900773787</v>
      </c>
      <c r="BV239" s="326">
        <f t="shared" si="318"/>
        <v>33730.523729123801</v>
      </c>
      <c r="BW239" s="326">
        <f t="shared" si="318"/>
        <v>34950.092230146525</v>
      </c>
      <c r="BX239" s="326">
        <f t="shared" si="318"/>
        <v>40519.900637103718</v>
      </c>
      <c r="BY239" s="326">
        <f t="shared" si="318"/>
        <v>50521.778924328624</v>
      </c>
      <c r="BZ239" s="326">
        <f t="shared" ca="1" si="318"/>
        <v>375572.09347730834</v>
      </c>
      <c r="CA239" s="326">
        <f t="shared" si="318"/>
        <v>44073.898324896632</v>
      </c>
      <c r="CB239" s="326">
        <f t="shared" si="318"/>
        <v>107899.29700683682</v>
      </c>
      <c r="CC239" s="326">
        <f t="shared" si="318"/>
        <v>97607.126353996093</v>
      </c>
      <c r="CD239" s="326">
        <f t="shared" si="318"/>
        <v>125991.77179157885</v>
      </c>
      <c r="CE239" s="181"/>
      <c r="CH239" s="326"/>
      <c r="CI239" s="326"/>
      <c r="CJ239" s="326">
        <f t="shared" si="314"/>
        <v>3052.1016751033621</v>
      </c>
      <c r="CK239" s="326">
        <f t="shared" si="314"/>
        <v>10274.479070093948</v>
      </c>
      <c r="CL239" s="326">
        <f t="shared" si="314"/>
        <v>6473.3641773057861</v>
      </c>
      <c r="CM239" s="326">
        <f t="shared" si="314"/>
        <v>3264.8597457634592</v>
      </c>
      <c r="CN239" s="326">
        <f t="shared" si="314"/>
        <v>5273.0812759014898</v>
      </c>
      <c r="CO239" s="326">
        <f t="shared" si="314"/>
        <v>3140.3160992262133</v>
      </c>
      <c r="CP239" s="326">
        <f t="shared" si="314"/>
        <v>2599.4762708761978</v>
      </c>
      <c r="CQ239" s="326">
        <f t="shared" si="314"/>
        <v>2804.9077698534797</v>
      </c>
      <c r="CR239" s="326">
        <f t="shared" si="314"/>
        <v>0</v>
      </c>
      <c r="CS239" s="326">
        <f t="shared" si="314"/>
        <v>0</v>
      </c>
      <c r="CU239" s="326">
        <f t="shared" si="315"/>
        <v>501565.03839981148</v>
      </c>
      <c r="CV239" s="326">
        <f t="shared" si="315"/>
        <v>513243.29552070267</v>
      </c>
      <c r="CW239" s="326">
        <f t="shared" si="315"/>
        <v>438809.82000000007</v>
      </c>
    </row>
    <row r="240" spans="3:101">
      <c r="D240" s="284" t="s">
        <v>218</v>
      </c>
      <c r="F240" s="293" t="s">
        <v>633</v>
      </c>
      <c r="G240" s="437">
        <f t="shared" si="310"/>
        <v>5244638.7999999924</v>
      </c>
      <c r="H240" s="437">
        <f t="shared" si="310"/>
        <v>5049565.0500000082</v>
      </c>
      <c r="I240" s="437">
        <f t="shared" si="310"/>
        <v>5024350.9699999774</v>
      </c>
      <c r="J240" s="437">
        <f t="shared" si="310"/>
        <v>4096029.919999965</v>
      </c>
      <c r="K240" s="437">
        <f t="shared" si="310"/>
        <v>4155864.9699999797</v>
      </c>
      <c r="L240" s="437">
        <f t="shared" si="310"/>
        <v>4114028.6199999969</v>
      </c>
      <c r="M240" s="437">
        <f t="shared" si="310"/>
        <v>4033473.2100000037</v>
      </c>
      <c r="N240" s="437">
        <f t="shared" si="310"/>
        <v>4096934.9999999972</v>
      </c>
      <c r="O240" s="437">
        <f t="shared" si="310"/>
        <v>4189448.6099999957</v>
      </c>
      <c r="P240" s="437">
        <f t="shared" si="310"/>
        <v>4370368.7800000012</v>
      </c>
      <c r="Q240" s="437">
        <f t="shared" si="310"/>
        <v>4652133.7799999854</v>
      </c>
      <c r="R240" s="437">
        <f t="shared" si="310"/>
        <v>5480951.7999999765</v>
      </c>
      <c r="S240" s="437">
        <f t="shared" ca="1" si="310"/>
        <v>54507789.509999871</v>
      </c>
      <c r="T240" s="437">
        <f t="shared" si="310"/>
        <v>15318554.819999978</v>
      </c>
      <c r="U240" s="437">
        <f t="shared" si="310"/>
        <v>12365923.509999942</v>
      </c>
      <c r="V240" s="437">
        <f t="shared" si="310"/>
        <v>12319856.819999993</v>
      </c>
      <c r="W240" s="437">
        <f t="shared" si="310"/>
        <v>14503454.35999996</v>
      </c>
      <c r="X240" s="181"/>
      <c r="Y240" s="437">
        <f t="shared" si="316"/>
        <v>5706942.9799999902</v>
      </c>
      <c r="Z240" s="437">
        <f t="shared" si="316"/>
        <v>5301672.0399999842</v>
      </c>
      <c r="AA240" s="437">
        <f t="shared" si="316"/>
        <v>5226408.7599999737</v>
      </c>
      <c r="AB240" s="437">
        <f t="shared" si="316"/>
        <v>5397593.5799999842</v>
      </c>
      <c r="AC240" s="437">
        <f t="shared" si="316"/>
        <v>4855100.4599999916</v>
      </c>
      <c r="AD240" s="437">
        <f t="shared" si="316"/>
        <v>4594976.6899999902</v>
      </c>
      <c r="AE240" s="437">
        <f t="shared" si="316"/>
        <v>4658039.4399999958</v>
      </c>
      <c r="AF240" s="437">
        <f t="shared" si="316"/>
        <v>4651225.7299999893</v>
      </c>
      <c r="AG240" s="437">
        <f t="shared" si="316"/>
        <v>4454889.9899999909</v>
      </c>
      <c r="AH240" s="437">
        <f t="shared" si="316"/>
        <v>4967801.2899999851</v>
      </c>
      <c r="AI240" s="437">
        <f t="shared" si="316"/>
        <v>5312765.2499999916</v>
      </c>
      <c r="AJ240" s="437">
        <f t="shared" si="316"/>
        <v>5496595.219999996</v>
      </c>
      <c r="AK240" s="437">
        <f t="shared" ca="1" si="316"/>
        <v>60624011.429999858</v>
      </c>
      <c r="AL240" s="437"/>
      <c r="AM240" s="437"/>
      <c r="AN240" s="437"/>
      <c r="AO240" s="437"/>
      <c r="AP240" s="437"/>
      <c r="AQ240" s="437">
        <f t="shared" si="316"/>
        <v>16235023.779999949</v>
      </c>
      <c r="AR240" s="437">
        <f t="shared" si="316"/>
        <v>14847670.729999965</v>
      </c>
      <c r="AS240" s="437">
        <f t="shared" si="316"/>
        <v>13764155.159999976</v>
      </c>
      <c r="AT240" s="437">
        <f t="shared" si="316"/>
        <v>15777161.759999972</v>
      </c>
      <c r="AU240" s="181"/>
      <c r="AV240" s="437">
        <f t="shared" si="317"/>
        <v>5762977.3536724355</v>
      </c>
      <c r="AW240" s="437">
        <f t="shared" si="317"/>
        <v>5293248.8573654266</v>
      </c>
      <c r="AX240" s="437">
        <f t="shared" si="317"/>
        <v>5327919.9368513618</v>
      </c>
      <c r="AY240" s="437">
        <f t="shared" si="317"/>
        <v>4887175.1288698288</v>
      </c>
      <c r="AZ240" s="437">
        <f t="shared" si="317"/>
        <v>4664977.0479256455</v>
      </c>
      <c r="BA240" s="437">
        <f t="shared" si="317"/>
        <v>4642602.692943573</v>
      </c>
      <c r="BB240" s="437">
        <f t="shared" si="317"/>
        <v>4504254.844778413</v>
      </c>
      <c r="BC240" s="437">
        <f t="shared" si="317"/>
        <v>4594683.2534006741</v>
      </c>
      <c r="BD240" s="437">
        <f t="shared" si="317"/>
        <v>4535818.4593887515</v>
      </c>
      <c r="BE240" s="437">
        <f t="shared" si="317"/>
        <v>4725928.0662353011</v>
      </c>
      <c r="BF240" s="437">
        <f t="shared" si="317"/>
        <v>5169898.9919829005</v>
      </c>
      <c r="BG240" s="437">
        <f t="shared" si="317"/>
        <v>5770268.2271797126</v>
      </c>
      <c r="BH240" s="437">
        <f t="shared" ca="1" si="317"/>
        <v>59879752.860594034</v>
      </c>
      <c r="BI240" s="437">
        <f t="shared" si="317"/>
        <v>16384146.147889227</v>
      </c>
      <c r="BJ240" s="437">
        <f t="shared" si="317"/>
        <v>14194754.869739048</v>
      </c>
      <c r="BK240" s="437">
        <f t="shared" si="317"/>
        <v>13634756.557567837</v>
      </c>
      <c r="BL240" s="437">
        <f t="shared" si="317"/>
        <v>15666095.285397913</v>
      </c>
      <c r="BM240" s="181"/>
      <c r="BN240" s="437">
        <f t="shared" si="318"/>
        <v>0</v>
      </c>
      <c r="BO240" s="437">
        <f t="shared" si="318"/>
        <v>0</v>
      </c>
      <c r="BP240" s="437">
        <f t="shared" si="318"/>
        <v>5103307.3867387269</v>
      </c>
      <c r="BQ240" s="437">
        <f t="shared" si="318"/>
        <v>4976839.1662612651</v>
      </c>
      <c r="BR240" s="437">
        <f t="shared" si="318"/>
        <v>4700086.4041370321</v>
      </c>
      <c r="BS240" s="437">
        <f t="shared" si="318"/>
        <v>4546101.1635634368</v>
      </c>
      <c r="BT240" s="437">
        <f t="shared" si="318"/>
        <v>4402254.0864266064</v>
      </c>
      <c r="BU240" s="437">
        <f t="shared" si="318"/>
        <v>4516464.6263801949</v>
      </c>
      <c r="BV240" s="437">
        <f t="shared" si="318"/>
        <v>4569345.3457878381</v>
      </c>
      <c r="BW240" s="437">
        <f t="shared" si="318"/>
        <v>4647934.4703533882</v>
      </c>
      <c r="BX240" s="437">
        <f t="shared" si="318"/>
        <v>5056500.7675099382</v>
      </c>
      <c r="BY240" s="437">
        <f t="shared" si="318"/>
        <v>5578297.7654097285</v>
      </c>
      <c r="BZ240" s="437">
        <f t="shared" ca="1" si="318"/>
        <v>48097131.182568148</v>
      </c>
      <c r="CA240" s="437">
        <f t="shared" si="318"/>
        <v>5103307.3867387269</v>
      </c>
      <c r="CB240" s="437">
        <f t="shared" si="318"/>
        <v>14223026.733961733</v>
      </c>
      <c r="CC240" s="437">
        <f t="shared" si="318"/>
        <v>13488064.05859464</v>
      </c>
      <c r="CD240" s="437">
        <f t="shared" si="318"/>
        <v>15282733.003273055</v>
      </c>
      <c r="CE240" s="181"/>
      <c r="CH240" s="437"/>
      <c r="CI240" s="437"/>
      <c r="CJ240" s="437">
        <f t="shared" si="314"/>
        <v>123101.37326124639</v>
      </c>
      <c r="CK240" s="437">
        <f t="shared" si="314"/>
        <v>420754.4137387193</v>
      </c>
      <c r="CL240" s="437">
        <f t="shared" si="314"/>
        <v>155014.0558629611</v>
      </c>
      <c r="CM240" s="437">
        <f t="shared" si="314"/>
        <v>48875.526436552995</v>
      </c>
      <c r="CN240" s="437">
        <f t="shared" si="314"/>
        <v>255785.3535733879</v>
      </c>
      <c r="CO240" s="437">
        <f t="shared" si="314"/>
        <v>134761.10361979395</v>
      </c>
      <c r="CP240" s="437">
        <f t="shared" si="314"/>
        <v>-114455.35578784706</v>
      </c>
      <c r="CQ240" s="437">
        <f t="shared" si="314"/>
        <v>319866.81964659633</v>
      </c>
      <c r="CR240" s="437">
        <f t="shared" si="314"/>
        <v>0</v>
      </c>
      <c r="CS240" s="437">
        <f t="shared" si="314"/>
        <v>0</v>
      </c>
      <c r="CU240" s="437">
        <f t="shared" si="315"/>
        <v>59804616.045431063</v>
      </c>
      <c r="CV240" s="437" t="e">
        <f t="shared" si="315"/>
        <v>#VALUE!</v>
      </c>
      <c r="CW240" s="437">
        <f t="shared" si="315"/>
        <v>59879752.860594034</v>
      </c>
    </row>
    <row r="241" spans="3:101" s="181" customFormat="1">
      <c r="E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438"/>
      <c r="AW241" s="438"/>
      <c r="AX241" s="438"/>
      <c r="AY241" s="438"/>
      <c r="AZ241" s="438"/>
      <c r="BA241" s="438"/>
      <c r="BB241" s="438"/>
      <c r="BC241" s="438"/>
      <c r="BD241" s="438"/>
      <c r="BE241" s="438"/>
      <c r="BF241" s="438"/>
      <c r="BG241" s="438"/>
    </row>
    <row r="242" spans="3:101" s="181" customFormat="1">
      <c r="E242" s="367"/>
    </row>
    <row r="243" spans="3:101" s="181" customFormat="1">
      <c r="E243" s="367"/>
      <c r="AV243" s="397"/>
      <c r="AW243" s="397"/>
      <c r="AX243" s="397"/>
      <c r="AY243" s="397"/>
      <c r="AZ243" s="397"/>
      <c r="BA243" s="397"/>
      <c r="BB243" s="397"/>
      <c r="BC243" s="397"/>
      <c r="BD243" s="397"/>
      <c r="BE243" s="397"/>
      <c r="BF243" s="397"/>
      <c r="BG243" s="397"/>
    </row>
    <row r="244" spans="3:101" s="181" customFormat="1">
      <c r="E244" s="367"/>
      <c r="AV244" s="397"/>
      <c r="AW244" s="397"/>
      <c r="AX244" s="397"/>
      <c r="AY244" s="397"/>
      <c r="AZ244" s="397"/>
      <c r="BA244" s="397"/>
      <c r="BB244" s="397"/>
      <c r="BC244" s="397"/>
      <c r="BD244" s="397"/>
      <c r="BE244" s="397"/>
      <c r="BF244" s="397"/>
      <c r="BG244" s="397"/>
    </row>
    <row r="245" spans="3:101" s="181" customFormat="1">
      <c r="E245" s="367"/>
      <c r="AV245" s="397"/>
      <c r="AW245" s="397"/>
      <c r="AX245" s="397"/>
      <c r="AY245" s="397"/>
      <c r="AZ245" s="397"/>
      <c r="BA245" s="397"/>
      <c r="BB245" s="397"/>
      <c r="BC245" s="397"/>
      <c r="BD245" s="397"/>
      <c r="BE245" s="397"/>
      <c r="BF245" s="397"/>
      <c r="BG245" s="397"/>
    </row>
    <row r="246" spans="3:101" s="181" customFormat="1">
      <c r="E246" s="367"/>
      <c r="AV246" s="397"/>
      <c r="AW246" s="397"/>
      <c r="AX246" s="397"/>
      <c r="AY246" s="397"/>
      <c r="AZ246" s="397"/>
      <c r="BA246" s="397"/>
      <c r="BB246" s="397"/>
      <c r="BC246" s="397"/>
      <c r="BD246" s="397"/>
      <c r="BE246" s="397"/>
      <c r="BF246" s="397"/>
      <c r="BG246" s="397"/>
    </row>
    <row r="247" spans="3:101" s="181" customFormat="1">
      <c r="E247" s="367"/>
    </row>
    <row r="248" spans="3:101" outlineLevel="1">
      <c r="C248" s="97" t="s">
        <v>0</v>
      </c>
      <c r="D248" s="284" t="s">
        <v>7</v>
      </c>
      <c r="F248" s="320" t="str">
        <f>CONCATENATE(C248, " - ",D248)</f>
        <v>Residential - FPU</v>
      </c>
      <c r="G248" s="175">
        <f t="shared" ref="G248:W254" si="319">SUMIFS(G$5:G$181,$C$5:$C$181,$C248,$D$5:$D$181,$D248)</f>
        <v>1581631.0899999922</v>
      </c>
      <c r="H248" s="175">
        <f t="shared" si="319"/>
        <v>1477740.0100000093</v>
      </c>
      <c r="I248" s="175">
        <f t="shared" si="319"/>
        <v>1397979.6099999787</v>
      </c>
      <c r="J248" s="175">
        <f t="shared" si="319"/>
        <v>1343880.2799999686</v>
      </c>
      <c r="K248" s="175">
        <f t="shared" si="319"/>
        <v>1298610.8499999819</v>
      </c>
      <c r="L248" s="175">
        <f t="shared" si="319"/>
        <v>1143090.5699999977</v>
      </c>
      <c r="M248" s="175">
        <f t="shared" si="319"/>
        <v>1077961.2900000026</v>
      </c>
      <c r="N248" s="175">
        <f t="shared" si="319"/>
        <v>1036003.4299999984</v>
      </c>
      <c r="O248" s="175">
        <f t="shared" si="319"/>
        <v>1036807.6799999983</v>
      </c>
      <c r="P248" s="175">
        <f t="shared" si="319"/>
        <v>1072374.3700000008</v>
      </c>
      <c r="Q248" s="175">
        <f t="shared" si="319"/>
        <v>1250230.2699999851</v>
      </c>
      <c r="R248" s="175">
        <f t="shared" si="319"/>
        <v>1611668.4199999778</v>
      </c>
      <c r="S248" s="375">
        <f t="shared" ca="1" si="319"/>
        <v>15327977.869999893</v>
      </c>
      <c r="T248" s="175">
        <f t="shared" si="319"/>
        <v>4457350.7099999804</v>
      </c>
      <c r="U248" s="175">
        <f t="shared" si="319"/>
        <v>3785581.699999948</v>
      </c>
      <c r="V248" s="175">
        <f t="shared" si="319"/>
        <v>3150772.399999999</v>
      </c>
      <c r="W248" s="175">
        <f t="shared" si="319"/>
        <v>3934273.0599999633</v>
      </c>
      <c r="X248" s="181"/>
      <c r="Y248" s="175">
        <f>SUMIFS(Y$5:Y$75,$C$5:$C$75,$C248,$D$5:$D$75,$D248)</f>
        <v>1915919.4499999902</v>
      </c>
      <c r="Z248" s="175">
        <f t="shared" ref="Z248:AK254" si="320">SUMIFS(Z$5:Z$75,$C$5:$C$75,$C248,$D$5:$D$75,$D248)</f>
        <v>1632617.3999999873</v>
      </c>
      <c r="AA248" s="175">
        <f t="shared" si="320"/>
        <v>1495236.1099999743</v>
      </c>
      <c r="AB248" s="175">
        <f t="shared" si="320"/>
        <v>1463956.1099999889</v>
      </c>
      <c r="AC248" s="175">
        <f t="shared" si="320"/>
        <v>1269635.229999996</v>
      </c>
      <c r="AD248" s="175">
        <f t="shared" si="320"/>
        <v>1158071.3499999915</v>
      </c>
      <c r="AE248" s="175">
        <f t="shared" si="320"/>
        <v>1121796.4599999983</v>
      </c>
      <c r="AF248" s="175">
        <f t="shared" si="320"/>
        <v>1061004.179999989</v>
      </c>
      <c r="AG248" s="175">
        <f t="shared" si="320"/>
        <v>1099399.489999993</v>
      </c>
      <c r="AH248" s="175">
        <f t="shared" si="320"/>
        <v>1120301.6999999876</v>
      </c>
      <c r="AI248" s="175">
        <f t="shared" si="320"/>
        <v>1302733.389999995</v>
      </c>
      <c r="AJ248" s="175">
        <f t="shared" si="320"/>
        <v>1552830.4699999918</v>
      </c>
      <c r="AK248" s="175">
        <f t="shared" si="320"/>
        <v>16193501.339999883</v>
      </c>
      <c r="AL248" s="375"/>
      <c r="AM248" s="375"/>
      <c r="AN248" s="375"/>
      <c r="AO248" s="375"/>
      <c r="AP248" s="375"/>
      <c r="AQ248" s="175">
        <f t="shared" ref="AQ248:AT254" si="321">SUMIFS(AQ$5:AQ$181,$C$5:$C$181,$C248,$D$5:$D$181,$D248)</f>
        <v>5043772.9599999515</v>
      </c>
      <c r="AR248" s="175">
        <f t="shared" si="321"/>
        <v>3891662.6899999767</v>
      </c>
      <c r="AS248" s="175">
        <f t="shared" si="321"/>
        <v>3282200.1299999808</v>
      </c>
      <c r="AT248" s="175">
        <f t="shared" si="321"/>
        <v>3975865.559999974</v>
      </c>
      <c r="AU248" s="181"/>
      <c r="AV248" s="175">
        <f t="shared" ref="AV248:BL254" si="322">SUMIFS(AV$5:AV$181,$C$5:$C$181,$C248,$D$5:$D$181,$D248)</f>
        <v>1790719.6083430792</v>
      </c>
      <c r="AW248" s="175">
        <f t="shared" si="322"/>
        <v>1543909.2148660088</v>
      </c>
      <c r="AX248" s="175">
        <f t="shared" si="322"/>
        <v>1419855.6548716342</v>
      </c>
      <c r="AY248" s="175">
        <f t="shared" si="322"/>
        <v>1394479.1313529208</v>
      </c>
      <c r="AZ248" s="175">
        <f t="shared" si="322"/>
        <v>1221043.979637312</v>
      </c>
      <c r="BA248" s="175">
        <f t="shared" si="322"/>
        <v>1131668.2618111197</v>
      </c>
      <c r="BB248" s="175">
        <f t="shared" si="322"/>
        <v>1049843.1033318534</v>
      </c>
      <c r="BC248" s="175">
        <f t="shared" si="322"/>
        <v>1043632.5265877389</v>
      </c>
      <c r="BD248" s="175">
        <f t="shared" si="322"/>
        <v>1078353.0238114663</v>
      </c>
      <c r="BE248" s="175">
        <f t="shared" si="322"/>
        <v>1072938.8304780535</v>
      </c>
      <c r="BF248" s="175">
        <f t="shared" si="322"/>
        <v>1238069.753055098</v>
      </c>
      <c r="BG248" s="175">
        <f t="shared" si="322"/>
        <v>1555579.033236596</v>
      </c>
      <c r="BH248" s="375">
        <f t="shared" ca="1" si="322"/>
        <v>15540092.121382881</v>
      </c>
      <c r="BI248" s="175">
        <f t="shared" si="322"/>
        <v>4754484.4780807225</v>
      </c>
      <c r="BJ248" s="175">
        <f t="shared" si="322"/>
        <v>3747191.3728013523</v>
      </c>
      <c r="BK248" s="175">
        <f t="shared" si="322"/>
        <v>3171828.6537310584</v>
      </c>
      <c r="BL248" s="175">
        <f t="shared" si="322"/>
        <v>3866587.6167697473</v>
      </c>
      <c r="BM248" s="181"/>
      <c r="BN248" s="175">
        <f t="shared" ref="BN248:CD254" si="323">SUMIFS(BN$5:BN$181,$C$5:$C$181,$C248,$D$5:$D$181,$D248)</f>
        <v>0</v>
      </c>
      <c r="BO248" s="175">
        <f t="shared" si="323"/>
        <v>0</v>
      </c>
      <c r="BP248" s="175">
        <f t="shared" si="323"/>
        <v>1424133.8975346433</v>
      </c>
      <c r="BQ248" s="175">
        <f t="shared" si="323"/>
        <v>1398678.432105958</v>
      </c>
      <c r="BR248" s="175">
        <f t="shared" si="323"/>
        <v>1224637.54603491</v>
      </c>
      <c r="BS248" s="175">
        <f t="shared" si="323"/>
        <v>1130131.8873218598</v>
      </c>
      <c r="BT248" s="175">
        <f t="shared" si="323"/>
        <v>1049066.0720239573</v>
      </c>
      <c r="BU248" s="175">
        <f t="shared" si="323"/>
        <v>1044042.4119712518</v>
      </c>
      <c r="BV248" s="175">
        <f t="shared" si="323"/>
        <v>1099440.8545388298</v>
      </c>
      <c r="BW248" s="175">
        <f t="shared" si="323"/>
        <v>1094617.0111914854</v>
      </c>
      <c r="BX248" s="175">
        <f t="shared" si="323"/>
        <v>1269297.6871005369</v>
      </c>
      <c r="BY248" s="175">
        <f t="shared" si="323"/>
        <v>1595000.6406475937</v>
      </c>
      <c r="BZ248" s="375">
        <f t="shared" ca="1" si="323"/>
        <v>12329046.440471027</v>
      </c>
      <c r="CA248" s="175">
        <f t="shared" si="323"/>
        <v>1424133.8975346433</v>
      </c>
      <c r="CB248" s="175">
        <f t="shared" si="323"/>
        <v>3753447.8654627278</v>
      </c>
      <c r="CC248" s="175">
        <f t="shared" si="323"/>
        <v>3192549.338534039</v>
      </c>
      <c r="CD248" s="175">
        <f t="shared" si="323"/>
        <v>3958915.338939616</v>
      </c>
      <c r="CE248" s="181"/>
      <c r="CH248" s="175"/>
      <c r="CI248" s="175"/>
      <c r="CJ248" s="175">
        <f t="shared" ref="CJ248:CW254" si="324">SUMIFS(CJ$5:CJ$181,$C$5:$C$181,$C248,$D$5:$D$181,$D248)</f>
        <v>71102.212465330842</v>
      </c>
      <c r="CK248" s="175">
        <f t="shared" si="324"/>
        <v>65277.677894030894</v>
      </c>
      <c r="CL248" s="175">
        <f t="shared" si="324"/>
        <v>44997.683965086115</v>
      </c>
      <c r="CM248" s="175">
        <f t="shared" si="324"/>
        <v>27939.462678131502</v>
      </c>
      <c r="CN248" s="175">
        <f t="shared" si="324"/>
        <v>72730.387976041064</v>
      </c>
      <c r="CO248" s="175">
        <f t="shared" si="324"/>
        <v>16961.768028737228</v>
      </c>
      <c r="CP248" s="175">
        <f t="shared" si="324"/>
        <v>-41.364538836758584</v>
      </c>
      <c r="CQ248" s="175">
        <f t="shared" si="324"/>
        <v>25684.688808502287</v>
      </c>
      <c r="CR248" s="175">
        <f t="shared" si="324"/>
        <v>0</v>
      </c>
      <c r="CS248" s="175">
        <f t="shared" si="324"/>
        <v>0</v>
      </c>
      <c r="CU248" s="175">
        <f t="shared" si="324"/>
        <v>16058960.864795452</v>
      </c>
      <c r="CV248" s="175" t="e">
        <f t="shared" si="324"/>
        <v>#VALUE!</v>
      </c>
      <c r="CW248" s="175">
        <f t="shared" si="324"/>
        <v>15540092.121382881</v>
      </c>
    </row>
    <row r="249" spans="3:101" outlineLevel="1">
      <c r="C249" s="97" t="s">
        <v>534</v>
      </c>
      <c r="D249" s="284" t="s">
        <v>7</v>
      </c>
      <c r="F249" s="320" t="str">
        <f t="shared" ref="F249:F255" si="325">CONCATENATE(C249, " - ",D249)</f>
        <v>Residential - Experimental - FPU</v>
      </c>
      <c r="G249" s="175">
        <f t="shared" si="319"/>
        <v>0</v>
      </c>
      <c r="H249" s="175">
        <f t="shared" si="319"/>
        <v>0</v>
      </c>
      <c r="I249" s="175">
        <f t="shared" si="319"/>
        <v>0</v>
      </c>
      <c r="J249" s="175">
        <f t="shared" si="319"/>
        <v>0</v>
      </c>
      <c r="K249" s="175">
        <f t="shared" si="319"/>
        <v>0</v>
      </c>
      <c r="L249" s="175">
        <f t="shared" si="319"/>
        <v>0</v>
      </c>
      <c r="M249" s="175">
        <f t="shared" si="319"/>
        <v>0</v>
      </c>
      <c r="N249" s="175">
        <f t="shared" si="319"/>
        <v>0</v>
      </c>
      <c r="O249" s="175">
        <f t="shared" si="319"/>
        <v>0</v>
      </c>
      <c r="P249" s="175">
        <f t="shared" si="319"/>
        <v>0</v>
      </c>
      <c r="Q249" s="175">
        <f t="shared" si="319"/>
        <v>0</v>
      </c>
      <c r="R249" s="175">
        <f t="shared" si="319"/>
        <v>0</v>
      </c>
      <c r="S249" s="375">
        <f t="shared" si="319"/>
        <v>0</v>
      </c>
      <c r="T249" s="175">
        <f t="shared" si="319"/>
        <v>0</v>
      </c>
      <c r="U249" s="175">
        <f t="shared" si="319"/>
        <v>0</v>
      </c>
      <c r="V249" s="175">
        <f t="shared" si="319"/>
        <v>0</v>
      </c>
      <c r="W249" s="175">
        <f t="shared" si="319"/>
        <v>0</v>
      </c>
      <c r="X249" s="181"/>
      <c r="Y249" s="175">
        <f t="shared" ref="Y249:Y254" si="326">SUMIFS(Y$5:Y$75,$C$5:$C$75,$C249,$D$5:$D$75,$D249)</f>
        <v>0</v>
      </c>
      <c r="Z249" s="175">
        <f t="shared" si="320"/>
        <v>0</v>
      </c>
      <c r="AA249" s="175">
        <f t="shared" si="320"/>
        <v>0</v>
      </c>
      <c r="AB249" s="175">
        <f t="shared" si="320"/>
        <v>0</v>
      </c>
      <c r="AC249" s="175">
        <f t="shared" si="320"/>
        <v>0</v>
      </c>
      <c r="AD249" s="175">
        <f t="shared" si="320"/>
        <v>0</v>
      </c>
      <c r="AE249" s="175">
        <f t="shared" si="320"/>
        <v>0</v>
      </c>
      <c r="AF249" s="175">
        <f t="shared" si="320"/>
        <v>0</v>
      </c>
      <c r="AG249" s="175">
        <f t="shared" si="320"/>
        <v>0</v>
      </c>
      <c r="AH249" s="175">
        <f t="shared" si="320"/>
        <v>0</v>
      </c>
      <c r="AI249" s="175">
        <f t="shared" si="320"/>
        <v>0</v>
      </c>
      <c r="AJ249" s="175">
        <f t="shared" si="320"/>
        <v>0</v>
      </c>
      <c r="AK249" s="175">
        <f t="shared" si="320"/>
        <v>0</v>
      </c>
      <c r="AL249" s="375"/>
      <c r="AM249" s="375"/>
      <c r="AN249" s="375"/>
      <c r="AO249" s="375"/>
      <c r="AP249" s="375"/>
      <c r="AQ249" s="175">
        <f t="shared" si="321"/>
        <v>0</v>
      </c>
      <c r="AR249" s="175">
        <f t="shared" si="321"/>
        <v>0</v>
      </c>
      <c r="AS249" s="175">
        <f t="shared" si="321"/>
        <v>0</v>
      </c>
      <c r="AT249" s="175">
        <f t="shared" si="321"/>
        <v>0</v>
      </c>
      <c r="AU249" s="181"/>
      <c r="AV249" s="175">
        <f t="shared" si="322"/>
        <v>0</v>
      </c>
      <c r="AW249" s="175">
        <f t="shared" si="322"/>
        <v>0</v>
      </c>
      <c r="AX249" s="175">
        <f t="shared" si="322"/>
        <v>0</v>
      </c>
      <c r="AY249" s="175">
        <f t="shared" si="322"/>
        <v>0</v>
      </c>
      <c r="AZ249" s="175">
        <f t="shared" si="322"/>
        <v>0</v>
      </c>
      <c r="BA249" s="175">
        <f t="shared" si="322"/>
        <v>0</v>
      </c>
      <c r="BB249" s="175">
        <f t="shared" si="322"/>
        <v>0</v>
      </c>
      <c r="BC249" s="175">
        <f t="shared" si="322"/>
        <v>0</v>
      </c>
      <c r="BD249" s="175">
        <f t="shared" si="322"/>
        <v>0</v>
      </c>
      <c r="BE249" s="175">
        <f t="shared" si="322"/>
        <v>0</v>
      </c>
      <c r="BF249" s="175">
        <f t="shared" si="322"/>
        <v>0</v>
      </c>
      <c r="BG249" s="175">
        <f t="shared" si="322"/>
        <v>0</v>
      </c>
      <c r="BH249" s="375">
        <f t="shared" si="322"/>
        <v>0</v>
      </c>
      <c r="BI249" s="175">
        <f t="shared" si="322"/>
        <v>0</v>
      </c>
      <c r="BJ249" s="175">
        <f t="shared" si="322"/>
        <v>0</v>
      </c>
      <c r="BK249" s="175">
        <f t="shared" si="322"/>
        <v>0</v>
      </c>
      <c r="BL249" s="175">
        <f t="shared" si="322"/>
        <v>0</v>
      </c>
      <c r="BM249" s="181"/>
      <c r="BN249" s="175">
        <f t="shared" si="323"/>
        <v>0</v>
      </c>
      <c r="BO249" s="175">
        <f t="shared" si="323"/>
        <v>0</v>
      </c>
      <c r="BP249" s="175">
        <f t="shared" si="323"/>
        <v>0</v>
      </c>
      <c r="BQ249" s="175">
        <f t="shared" si="323"/>
        <v>0</v>
      </c>
      <c r="BR249" s="175">
        <f t="shared" si="323"/>
        <v>0</v>
      </c>
      <c r="BS249" s="175">
        <f t="shared" si="323"/>
        <v>0</v>
      </c>
      <c r="BT249" s="175">
        <f t="shared" si="323"/>
        <v>0</v>
      </c>
      <c r="BU249" s="175">
        <f t="shared" si="323"/>
        <v>0</v>
      </c>
      <c r="BV249" s="175">
        <f t="shared" si="323"/>
        <v>0</v>
      </c>
      <c r="BW249" s="175">
        <f t="shared" si="323"/>
        <v>0</v>
      </c>
      <c r="BX249" s="175">
        <f t="shared" si="323"/>
        <v>0</v>
      </c>
      <c r="BY249" s="175">
        <f t="shared" si="323"/>
        <v>0</v>
      </c>
      <c r="BZ249" s="375">
        <f t="shared" si="323"/>
        <v>0</v>
      </c>
      <c r="CA249" s="175">
        <f t="shared" si="323"/>
        <v>0</v>
      </c>
      <c r="CB249" s="175">
        <f t="shared" si="323"/>
        <v>0</v>
      </c>
      <c r="CC249" s="175">
        <f t="shared" si="323"/>
        <v>0</v>
      </c>
      <c r="CD249" s="175">
        <f t="shared" si="323"/>
        <v>0</v>
      </c>
      <c r="CE249" s="181"/>
      <c r="CH249" s="175"/>
      <c r="CI249" s="175"/>
      <c r="CJ249" s="175">
        <f t="shared" si="324"/>
        <v>0</v>
      </c>
      <c r="CK249" s="175">
        <f t="shared" si="324"/>
        <v>0</v>
      </c>
      <c r="CL249" s="175">
        <f t="shared" si="324"/>
        <v>0</v>
      </c>
      <c r="CM249" s="175">
        <f t="shared" si="324"/>
        <v>0</v>
      </c>
      <c r="CN249" s="175">
        <f t="shared" si="324"/>
        <v>0</v>
      </c>
      <c r="CO249" s="175">
        <f t="shared" si="324"/>
        <v>0</v>
      </c>
      <c r="CP249" s="175">
        <f t="shared" si="324"/>
        <v>0</v>
      </c>
      <c r="CQ249" s="175">
        <f t="shared" si="324"/>
        <v>0</v>
      </c>
      <c r="CR249" s="175">
        <f t="shared" si="324"/>
        <v>0</v>
      </c>
      <c r="CS249" s="175">
        <f t="shared" si="324"/>
        <v>0</v>
      </c>
      <c r="CU249" s="175">
        <f t="shared" si="324"/>
        <v>0</v>
      </c>
      <c r="CV249" s="175">
        <f t="shared" si="324"/>
        <v>0</v>
      </c>
      <c r="CW249" s="175">
        <f t="shared" si="324"/>
        <v>0</v>
      </c>
    </row>
    <row r="250" spans="3:101" outlineLevel="1">
      <c r="C250" s="97" t="s">
        <v>542</v>
      </c>
      <c r="D250" s="284" t="s">
        <v>7</v>
      </c>
      <c r="F250" s="320" t="str">
        <f t="shared" si="325"/>
        <v>Non-Residential - FPU</v>
      </c>
      <c r="G250" s="175">
        <f t="shared" si="319"/>
        <v>2642275.1599999997</v>
      </c>
      <c r="H250" s="175">
        <f t="shared" si="319"/>
        <v>2492587.4299999983</v>
      </c>
      <c r="I250" s="175">
        <f t="shared" si="319"/>
        <v>2372172.8699999987</v>
      </c>
      <c r="J250" s="175">
        <f t="shared" si="319"/>
        <v>1909920.2999999966</v>
      </c>
      <c r="K250" s="175">
        <f t="shared" si="319"/>
        <v>1876895.8799999978</v>
      </c>
      <c r="L250" s="175">
        <f t="shared" si="319"/>
        <v>1888084.5799999989</v>
      </c>
      <c r="M250" s="175">
        <f t="shared" si="319"/>
        <v>1993840.0100000012</v>
      </c>
      <c r="N250" s="175">
        <f t="shared" si="319"/>
        <v>1949380.8799999987</v>
      </c>
      <c r="O250" s="175">
        <f t="shared" si="319"/>
        <v>1940984.0599999973</v>
      </c>
      <c r="P250" s="175">
        <f t="shared" si="319"/>
        <v>1993589.9199999997</v>
      </c>
      <c r="Q250" s="175">
        <f t="shared" si="319"/>
        <v>2117240.9600000004</v>
      </c>
      <c r="R250" s="175">
        <f t="shared" si="319"/>
        <v>2339173.3499999996</v>
      </c>
      <c r="S250" s="375">
        <f t="shared" ca="1" si="319"/>
        <v>25516145.399999984</v>
      </c>
      <c r="T250" s="175">
        <f t="shared" si="319"/>
        <v>7507035.4599999981</v>
      </c>
      <c r="U250" s="175">
        <f t="shared" si="319"/>
        <v>5674900.7599999933</v>
      </c>
      <c r="V250" s="175">
        <f t="shared" si="319"/>
        <v>5884204.9499999974</v>
      </c>
      <c r="W250" s="175">
        <f t="shared" si="319"/>
        <v>6450004.2299999995</v>
      </c>
      <c r="X250" s="181"/>
      <c r="Y250" s="175">
        <f t="shared" si="326"/>
        <v>2567214.0599999991</v>
      </c>
      <c r="Z250" s="175">
        <f t="shared" si="320"/>
        <v>2347160.5499999975</v>
      </c>
      <c r="AA250" s="175">
        <f t="shared" si="320"/>
        <v>2350184.4999999991</v>
      </c>
      <c r="AB250" s="175">
        <f t="shared" si="320"/>
        <v>2359988.8999999948</v>
      </c>
      <c r="AC250" s="175">
        <f t="shared" si="320"/>
        <v>2223820.4799999967</v>
      </c>
      <c r="AD250" s="175">
        <f t="shared" si="320"/>
        <v>2063738.9799999986</v>
      </c>
      <c r="AE250" s="175">
        <f t="shared" si="320"/>
        <v>2153697.6199999973</v>
      </c>
      <c r="AF250" s="175">
        <f t="shared" si="320"/>
        <v>2035404.8599999996</v>
      </c>
      <c r="AG250" s="175">
        <f t="shared" si="320"/>
        <v>2126256.819999998</v>
      </c>
      <c r="AH250" s="175">
        <f t="shared" si="320"/>
        <v>2148885.5799999977</v>
      </c>
      <c r="AI250" s="175">
        <f t="shared" si="320"/>
        <v>2256739.8999999962</v>
      </c>
      <c r="AJ250" s="175">
        <f t="shared" si="320"/>
        <v>2422106.84</v>
      </c>
      <c r="AK250" s="175">
        <f t="shared" si="320"/>
        <v>27055199.08999997</v>
      </c>
      <c r="AL250" s="375"/>
      <c r="AM250" s="375"/>
      <c r="AN250" s="375"/>
      <c r="AO250" s="375"/>
      <c r="AP250" s="375"/>
      <c r="AQ250" s="175">
        <f t="shared" si="321"/>
        <v>7264559.1099999966</v>
      </c>
      <c r="AR250" s="175">
        <f t="shared" si="321"/>
        <v>6647548.3599999901</v>
      </c>
      <c r="AS250" s="175">
        <f t="shared" si="321"/>
        <v>6315359.2999999961</v>
      </c>
      <c r="AT250" s="175">
        <f t="shared" si="321"/>
        <v>6827732.3199999928</v>
      </c>
      <c r="AU250" s="181"/>
      <c r="AV250" s="175">
        <f t="shared" si="322"/>
        <v>2680238.4540834678</v>
      </c>
      <c r="AW250" s="175">
        <f t="shared" si="322"/>
        <v>2499587.3369283364</v>
      </c>
      <c r="AX250" s="175">
        <f t="shared" si="322"/>
        <v>2389021.0880225883</v>
      </c>
      <c r="AY250" s="175">
        <f t="shared" si="322"/>
        <v>2227041.8189767799</v>
      </c>
      <c r="AZ250" s="175">
        <f t="shared" si="322"/>
        <v>2103859.0454304735</v>
      </c>
      <c r="BA250" s="175">
        <f t="shared" si="322"/>
        <v>2074401.7416599402</v>
      </c>
      <c r="BB250" s="175">
        <f t="shared" si="322"/>
        <v>2039295.6183446171</v>
      </c>
      <c r="BC250" s="175">
        <f t="shared" si="322"/>
        <v>2080304.8881726959</v>
      </c>
      <c r="BD250" s="175">
        <f t="shared" si="322"/>
        <v>2042822.7774363544</v>
      </c>
      <c r="BE250" s="175">
        <f t="shared" si="322"/>
        <v>2088192.592101312</v>
      </c>
      <c r="BF250" s="175">
        <f t="shared" si="322"/>
        <v>2322799.96962704</v>
      </c>
      <c r="BG250" s="175">
        <f t="shared" si="322"/>
        <v>2555259.4420214323</v>
      </c>
      <c r="BH250" s="375">
        <f t="shared" ca="1" si="322"/>
        <v>27102824.772805043</v>
      </c>
      <c r="BI250" s="175">
        <f t="shared" si="322"/>
        <v>7568846.8790343925</v>
      </c>
      <c r="BJ250" s="175">
        <f t="shared" si="322"/>
        <v>6405302.6060671937</v>
      </c>
      <c r="BK250" s="175">
        <f t="shared" si="322"/>
        <v>6162423.2839536667</v>
      </c>
      <c r="BL250" s="175">
        <f t="shared" si="322"/>
        <v>6966252.0037497841</v>
      </c>
      <c r="BM250" s="181"/>
      <c r="BN250" s="175">
        <f t="shared" si="323"/>
        <v>0</v>
      </c>
      <c r="BO250" s="175">
        <f t="shared" si="323"/>
        <v>0</v>
      </c>
      <c r="BP250" s="175">
        <f t="shared" si="323"/>
        <v>2231772.6107197166</v>
      </c>
      <c r="BQ250" s="175">
        <f t="shared" si="323"/>
        <v>2248584.7924199728</v>
      </c>
      <c r="BR250" s="175">
        <f t="shared" si="323"/>
        <v>2127217.7115496215</v>
      </c>
      <c r="BS250" s="175">
        <f t="shared" si="323"/>
        <v>2067280.8622013666</v>
      </c>
      <c r="BT250" s="175">
        <f t="shared" si="323"/>
        <v>1934931.4530274691</v>
      </c>
      <c r="BU250" s="175">
        <f t="shared" si="323"/>
        <v>2013825.3349959077</v>
      </c>
      <c r="BV250" s="175">
        <f t="shared" si="323"/>
        <v>1990792.6092888128</v>
      </c>
      <c r="BW250" s="175">
        <f t="shared" si="323"/>
        <v>2015739.2415104548</v>
      </c>
      <c r="BX250" s="175">
        <f t="shared" si="323"/>
        <v>2271010.9803267852</v>
      </c>
      <c r="BY250" s="175">
        <f t="shared" si="323"/>
        <v>2497605.1856559925</v>
      </c>
      <c r="BZ250" s="375">
        <f t="shared" ca="1" si="323"/>
        <v>21398760.781696096</v>
      </c>
      <c r="CA250" s="175">
        <f t="shared" si="323"/>
        <v>2231772.6107197166</v>
      </c>
      <c r="CB250" s="175">
        <f t="shared" si="323"/>
        <v>6443083.3661709614</v>
      </c>
      <c r="CC250" s="175">
        <f t="shared" si="323"/>
        <v>5939549.3973121904</v>
      </c>
      <c r="CD250" s="175">
        <f t="shared" si="323"/>
        <v>6784355.4074932318</v>
      </c>
      <c r="CE250" s="181"/>
      <c r="CH250" s="175"/>
      <c r="CI250" s="175"/>
      <c r="CJ250" s="175">
        <f t="shared" si="324"/>
        <v>118411.88928028235</v>
      </c>
      <c r="CK250" s="175">
        <f t="shared" si="324"/>
        <v>111404.10758002225</v>
      </c>
      <c r="CL250" s="175">
        <f t="shared" si="324"/>
        <v>96602.768450375457</v>
      </c>
      <c r="CM250" s="175">
        <f t="shared" si="324"/>
        <v>-3541.8822013679237</v>
      </c>
      <c r="CN250" s="175">
        <f t="shared" si="324"/>
        <v>218766.16697252833</v>
      </c>
      <c r="CO250" s="175">
        <f t="shared" si="324"/>
        <v>21579.525004092076</v>
      </c>
      <c r="CP250" s="175">
        <f t="shared" si="324"/>
        <v>135464.21071118501</v>
      </c>
      <c r="CQ250" s="175">
        <f t="shared" si="324"/>
        <v>133146.33848954274</v>
      </c>
      <c r="CR250" s="175">
        <f t="shared" si="324"/>
        <v>0</v>
      </c>
      <c r="CS250" s="175">
        <f t="shared" si="324"/>
        <v>0</v>
      </c>
      <c r="CU250" s="175">
        <f t="shared" si="324"/>
        <v>26639554.157006778</v>
      </c>
      <c r="CV250" s="175" t="e">
        <f t="shared" si="324"/>
        <v>#VALUE!</v>
      </c>
      <c r="CW250" s="175">
        <f t="shared" si="324"/>
        <v>27102824.772805043</v>
      </c>
    </row>
    <row r="251" spans="3:101" outlineLevel="1">
      <c r="C251" s="97" t="s">
        <v>579</v>
      </c>
      <c r="D251" s="284" t="s">
        <v>7</v>
      </c>
      <c r="F251" s="320" t="str">
        <f t="shared" si="325"/>
        <v>Non-Residential-Experimental - FPU</v>
      </c>
      <c r="G251" s="175">
        <f t="shared" si="319"/>
        <v>0</v>
      </c>
      <c r="H251" s="175">
        <f t="shared" si="319"/>
        <v>0</v>
      </c>
      <c r="I251" s="175">
        <f t="shared" si="319"/>
        <v>0</v>
      </c>
      <c r="J251" s="175">
        <f t="shared" si="319"/>
        <v>0</v>
      </c>
      <c r="K251" s="175">
        <f t="shared" si="319"/>
        <v>0</v>
      </c>
      <c r="L251" s="175">
        <f t="shared" si="319"/>
        <v>0</v>
      </c>
      <c r="M251" s="175">
        <f t="shared" si="319"/>
        <v>0</v>
      </c>
      <c r="N251" s="175">
        <f t="shared" si="319"/>
        <v>0</v>
      </c>
      <c r="O251" s="175">
        <f t="shared" si="319"/>
        <v>0</v>
      </c>
      <c r="P251" s="175">
        <f t="shared" si="319"/>
        <v>0</v>
      </c>
      <c r="Q251" s="175">
        <f t="shared" si="319"/>
        <v>0</v>
      </c>
      <c r="R251" s="175">
        <f t="shared" si="319"/>
        <v>0</v>
      </c>
      <c r="S251" s="375">
        <f t="shared" si="319"/>
        <v>0</v>
      </c>
      <c r="T251" s="175">
        <f t="shared" si="319"/>
        <v>0</v>
      </c>
      <c r="U251" s="175">
        <f t="shared" si="319"/>
        <v>0</v>
      </c>
      <c r="V251" s="175">
        <f t="shared" si="319"/>
        <v>0</v>
      </c>
      <c r="W251" s="175">
        <f t="shared" si="319"/>
        <v>0</v>
      </c>
      <c r="X251" s="181"/>
      <c r="Y251" s="175">
        <f t="shared" si="326"/>
        <v>0</v>
      </c>
      <c r="Z251" s="175">
        <f t="shared" si="320"/>
        <v>0</v>
      </c>
      <c r="AA251" s="175">
        <f t="shared" si="320"/>
        <v>0</v>
      </c>
      <c r="AB251" s="175">
        <f t="shared" si="320"/>
        <v>0</v>
      </c>
      <c r="AC251" s="175">
        <f t="shared" si="320"/>
        <v>0</v>
      </c>
      <c r="AD251" s="175">
        <f t="shared" si="320"/>
        <v>0</v>
      </c>
      <c r="AE251" s="175">
        <f t="shared" si="320"/>
        <v>0</v>
      </c>
      <c r="AF251" s="175">
        <f t="shared" si="320"/>
        <v>0</v>
      </c>
      <c r="AG251" s="175">
        <f t="shared" si="320"/>
        <v>0</v>
      </c>
      <c r="AH251" s="175">
        <f t="shared" si="320"/>
        <v>0</v>
      </c>
      <c r="AI251" s="175">
        <f t="shared" si="320"/>
        <v>0</v>
      </c>
      <c r="AJ251" s="175">
        <f t="shared" si="320"/>
        <v>0</v>
      </c>
      <c r="AK251" s="175">
        <f t="shared" si="320"/>
        <v>0</v>
      </c>
      <c r="AL251" s="375"/>
      <c r="AM251" s="375"/>
      <c r="AN251" s="375"/>
      <c r="AO251" s="375"/>
      <c r="AP251" s="375"/>
      <c r="AQ251" s="175">
        <f t="shared" si="321"/>
        <v>0</v>
      </c>
      <c r="AR251" s="175">
        <f t="shared" si="321"/>
        <v>0</v>
      </c>
      <c r="AS251" s="175">
        <f t="shared" si="321"/>
        <v>0</v>
      </c>
      <c r="AT251" s="175">
        <f t="shared" si="321"/>
        <v>0</v>
      </c>
      <c r="AU251" s="181"/>
      <c r="AV251" s="175">
        <f t="shared" si="322"/>
        <v>0</v>
      </c>
      <c r="AW251" s="175">
        <f t="shared" si="322"/>
        <v>0</v>
      </c>
      <c r="AX251" s="175">
        <f t="shared" si="322"/>
        <v>0</v>
      </c>
      <c r="AY251" s="175">
        <f t="shared" si="322"/>
        <v>0</v>
      </c>
      <c r="AZ251" s="175">
        <f t="shared" si="322"/>
        <v>0</v>
      </c>
      <c r="BA251" s="175">
        <f t="shared" si="322"/>
        <v>0</v>
      </c>
      <c r="BB251" s="175">
        <f t="shared" si="322"/>
        <v>0</v>
      </c>
      <c r="BC251" s="175">
        <f t="shared" si="322"/>
        <v>0</v>
      </c>
      <c r="BD251" s="175">
        <f t="shared" si="322"/>
        <v>0</v>
      </c>
      <c r="BE251" s="175">
        <f t="shared" si="322"/>
        <v>0</v>
      </c>
      <c r="BF251" s="175">
        <f t="shared" si="322"/>
        <v>0</v>
      </c>
      <c r="BG251" s="175">
        <f t="shared" si="322"/>
        <v>0</v>
      </c>
      <c r="BH251" s="375">
        <f t="shared" si="322"/>
        <v>0</v>
      </c>
      <c r="BI251" s="175">
        <f t="shared" si="322"/>
        <v>0</v>
      </c>
      <c r="BJ251" s="175">
        <f t="shared" si="322"/>
        <v>0</v>
      </c>
      <c r="BK251" s="175">
        <f t="shared" si="322"/>
        <v>0</v>
      </c>
      <c r="BL251" s="175">
        <f t="shared" si="322"/>
        <v>0</v>
      </c>
      <c r="BM251" s="181"/>
      <c r="BN251" s="175">
        <f t="shared" si="323"/>
        <v>0</v>
      </c>
      <c r="BO251" s="175">
        <f t="shared" si="323"/>
        <v>0</v>
      </c>
      <c r="BP251" s="175">
        <f t="shared" si="323"/>
        <v>0</v>
      </c>
      <c r="BQ251" s="175">
        <f t="shared" si="323"/>
        <v>0</v>
      </c>
      <c r="BR251" s="175">
        <f t="shared" si="323"/>
        <v>0</v>
      </c>
      <c r="BS251" s="175">
        <f t="shared" si="323"/>
        <v>0</v>
      </c>
      <c r="BT251" s="175">
        <f t="shared" si="323"/>
        <v>0</v>
      </c>
      <c r="BU251" s="175">
        <f t="shared" si="323"/>
        <v>0</v>
      </c>
      <c r="BV251" s="175">
        <f t="shared" si="323"/>
        <v>0</v>
      </c>
      <c r="BW251" s="175">
        <f t="shared" si="323"/>
        <v>0</v>
      </c>
      <c r="BX251" s="175">
        <f t="shared" si="323"/>
        <v>0</v>
      </c>
      <c r="BY251" s="175">
        <f t="shared" si="323"/>
        <v>0</v>
      </c>
      <c r="BZ251" s="375">
        <f t="shared" si="323"/>
        <v>0</v>
      </c>
      <c r="CA251" s="175">
        <f t="shared" si="323"/>
        <v>0</v>
      </c>
      <c r="CB251" s="175">
        <f t="shared" si="323"/>
        <v>0</v>
      </c>
      <c r="CC251" s="175">
        <f t="shared" si="323"/>
        <v>0</v>
      </c>
      <c r="CD251" s="175">
        <f t="shared" si="323"/>
        <v>0</v>
      </c>
      <c r="CE251" s="181"/>
      <c r="CH251" s="175"/>
      <c r="CI251" s="175"/>
      <c r="CJ251" s="175">
        <f t="shared" si="324"/>
        <v>0</v>
      </c>
      <c r="CK251" s="175">
        <f t="shared" si="324"/>
        <v>0</v>
      </c>
      <c r="CL251" s="175">
        <f t="shared" si="324"/>
        <v>0</v>
      </c>
      <c r="CM251" s="175">
        <f t="shared" si="324"/>
        <v>0</v>
      </c>
      <c r="CN251" s="175">
        <f t="shared" si="324"/>
        <v>0</v>
      </c>
      <c r="CO251" s="175">
        <f t="shared" si="324"/>
        <v>0</v>
      </c>
      <c r="CP251" s="175">
        <f t="shared" si="324"/>
        <v>0</v>
      </c>
      <c r="CQ251" s="175">
        <f t="shared" si="324"/>
        <v>0</v>
      </c>
      <c r="CR251" s="175">
        <f t="shared" si="324"/>
        <v>0</v>
      </c>
      <c r="CS251" s="175">
        <f t="shared" si="324"/>
        <v>0</v>
      </c>
      <c r="CU251" s="175">
        <f t="shared" si="324"/>
        <v>0</v>
      </c>
      <c r="CV251" s="175">
        <f t="shared" si="324"/>
        <v>0</v>
      </c>
      <c r="CW251" s="175">
        <f t="shared" si="324"/>
        <v>0</v>
      </c>
    </row>
    <row r="252" spans="3:101" outlineLevel="1">
      <c r="C252" s="97" t="s">
        <v>586</v>
      </c>
      <c r="D252" s="284" t="s">
        <v>7</v>
      </c>
      <c r="F252" s="320" t="str">
        <f t="shared" si="325"/>
        <v>Industrial - FPU</v>
      </c>
      <c r="G252" s="175">
        <f t="shared" si="319"/>
        <v>117734.45</v>
      </c>
      <c r="H252" s="175">
        <f t="shared" si="319"/>
        <v>101233.45</v>
      </c>
      <c r="I252" s="175">
        <f t="shared" si="319"/>
        <v>111063.45</v>
      </c>
      <c r="J252" s="175">
        <f t="shared" si="319"/>
        <v>113217.45</v>
      </c>
      <c r="K252" s="175">
        <f t="shared" si="319"/>
        <v>133798.41999999998</v>
      </c>
      <c r="L252" s="175">
        <f t="shared" si="319"/>
        <v>131705.69</v>
      </c>
      <c r="M252" s="175">
        <f t="shared" si="319"/>
        <v>134459.15999999997</v>
      </c>
      <c r="N252" s="175">
        <f t="shared" si="319"/>
        <v>109182.25</v>
      </c>
      <c r="O252" s="175">
        <f t="shared" si="319"/>
        <v>129394.29</v>
      </c>
      <c r="P252" s="175">
        <f t="shared" si="319"/>
        <v>130685.43999999999</v>
      </c>
      <c r="Q252" s="175">
        <f t="shared" si="319"/>
        <v>135941.21</v>
      </c>
      <c r="R252" s="175">
        <f t="shared" si="319"/>
        <v>242800.21</v>
      </c>
      <c r="S252" s="375">
        <f t="shared" ca="1" si="319"/>
        <v>1591215.4699999997</v>
      </c>
      <c r="T252" s="175">
        <f t="shared" si="319"/>
        <v>330031.34999999998</v>
      </c>
      <c r="U252" s="175">
        <f t="shared" si="319"/>
        <v>378721.56</v>
      </c>
      <c r="V252" s="175">
        <f t="shared" si="319"/>
        <v>373035.69999999995</v>
      </c>
      <c r="W252" s="175">
        <f t="shared" si="319"/>
        <v>509426.86</v>
      </c>
      <c r="X252" s="181"/>
      <c r="Y252" s="175">
        <f t="shared" si="326"/>
        <v>0</v>
      </c>
      <c r="Z252" s="175">
        <f t="shared" si="320"/>
        <v>0</v>
      </c>
      <c r="AA252" s="175">
        <f t="shared" si="320"/>
        <v>0</v>
      </c>
      <c r="AB252" s="175">
        <f t="shared" si="320"/>
        <v>0</v>
      </c>
      <c r="AC252" s="175">
        <f t="shared" si="320"/>
        <v>0</v>
      </c>
      <c r="AD252" s="175">
        <f t="shared" si="320"/>
        <v>0</v>
      </c>
      <c r="AE252" s="175">
        <f t="shared" si="320"/>
        <v>0</v>
      </c>
      <c r="AF252" s="175">
        <f t="shared" si="320"/>
        <v>0</v>
      </c>
      <c r="AG252" s="175">
        <f t="shared" si="320"/>
        <v>0</v>
      </c>
      <c r="AH252" s="175">
        <f t="shared" si="320"/>
        <v>0</v>
      </c>
      <c r="AI252" s="175">
        <f t="shared" si="320"/>
        <v>0</v>
      </c>
      <c r="AJ252" s="175">
        <f t="shared" si="320"/>
        <v>0</v>
      </c>
      <c r="AK252" s="175">
        <f t="shared" si="320"/>
        <v>0</v>
      </c>
      <c r="AL252" s="375">
        <f>AK248+AK250+AK252</f>
        <v>43248700.429999851</v>
      </c>
      <c r="AM252" s="375" t="e">
        <f>GETPIVOTDATA("Sum of 2021 Revenue Current Base Rate_Total",#REF!,"Service Area","FPUC")+GETPIVOTDATA("Sum of 2021 Revenue Current Rate_Admin Charge",#REF!,"Service Area","FPUC")</f>
        <v>#REF!</v>
      </c>
      <c r="AN252" s="375"/>
      <c r="AO252" s="375"/>
      <c r="AP252" s="375"/>
      <c r="AQ252" s="175">
        <f t="shared" si="321"/>
        <v>674787.05</v>
      </c>
      <c r="AR252" s="175">
        <f t="shared" si="321"/>
        <v>674236.12</v>
      </c>
      <c r="AS252" s="175">
        <f t="shared" si="321"/>
        <v>692278.6</v>
      </c>
      <c r="AT252" s="175">
        <f t="shared" si="321"/>
        <v>719312.14999999991</v>
      </c>
      <c r="AU252" s="181"/>
      <c r="AV252" s="175">
        <f t="shared" si="322"/>
        <v>210286.41999999998</v>
      </c>
      <c r="AW252" s="175">
        <f t="shared" si="322"/>
        <v>186523.41999999998</v>
      </c>
      <c r="AX252" s="175">
        <f t="shared" si="322"/>
        <v>205615.41999999998</v>
      </c>
      <c r="AY252" s="175">
        <f t="shared" si="322"/>
        <v>204682.41999999998</v>
      </c>
      <c r="AZ252" s="175">
        <f t="shared" si="322"/>
        <v>228381.74934900389</v>
      </c>
      <c r="BA252" s="175">
        <f t="shared" si="322"/>
        <v>223202.01934900388</v>
      </c>
      <c r="BB252" s="175">
        <f t="shared" si="322"/>
        <v>197204.53934900387</v>
      </c>
      <c r="BC252" s="175">
        <f t="shared" si="322"/>
        <v>205471.09934900387</v>
      </c>
      <c r="BD252" s="175">
        <f t="shared" si="322"/>
        <v>197016.74934900389</v>
      </c>
      <c r="BE252" s="175">
        <f t="shared" si="322"/>
        <v>210384.74934900389</v>
      </c>
      <c r="BF252" s="175">
        <f t="shared" si="322"/>
        <v>210365.74934900389</v>
      </c>
      <c r="BG252" s="175">
        <f t="shared" si="322"/>
        <v>216347.74934900389</v>
      </c>
      <c r="BH252" s="375">
        <f t="shared" ca="1" si="322"/>
        <v>2495482.084792031</v>
      </c>
      <c r="BI252" s="175">
        <f t="shared" si="322"/>
        <v>602425.26</v>
      </c>
      <c r="BJ252" s="175">
        <f t="shared" si="322"/>
        <v>656266.18869800773</v>
      </c>
      <c r="BK252" s="175">
        <f t="shared" si="322"/>
        <v>599692.38804701157</v>
      </c>
      <c r="BL252" s="175">
        <f t="shared" si="322"/>
        <v>637098.24804701167</v>
      </c>
      <c r="BM252" s="181"/>
      <c r="BN252" s="175">
        <f t="shared" si="323"/>
        <v>0</v>
      </c>
      <c r="BO252" s="175">
        <f t="shared" si="323"/>
        <v>0</v>
      </c>
      <c r="BP252" s="175">
        <f t="shared" si="323"/>
        <v>223689.77133333334</v>
      </c>
      <c r="BQ252" s="175">
        <f t="shared" si="323"/>
        <v>223470.70666666667</v>
      </c>
      <c r="BR252" s="175">
        <f t="shared" si="323"/>
        <v>218917.7626823372</v>
      </c>
      <c r="BS252" s="175">
        <f t="shared" si="323"/>
        <v>219389.59650000001</v>
      </c>
      <c r="BT252" s="175">
        <f t="shared" si="323"/>
        <v>224592.49904999998</v>
      </c>
      <c r="BU252" s="175">
        <f t="shared" si="323"/>
        <v>219302.87229500001</v>
      </c>
      <c r="BV252" s="175">
        <f t="shared" si="323"/>
        <v>225063.08049999998</v>
      </c>
      <c r="BW252" s="175">
        <f t="shared" si="323"/>
        <v>233084.229154</v>
      </c>
      <c r="BX252" s="175">
        <f t="shared" si="323"/>
        <v>239394.73392</v>
      </c>
      <c r="BY252" s="175">
        <f t="shared" si="323"/>
        <v>242065.72688</v>
      </c>
      <c r="BZ252" s="375">
        <f t="shared" ca="1" si="323"/>
        <v>2268970.978981337</v>
      </c>
      <c r="CA252" s="175">
        <f t="shared" si="323"/>
        <v>223689.77133333334</v>
      </c>
      <c r="CB252" s="175">
        <f t="shared" si="323"/>
        <v>661778.06584900385</v>
      </c>
      <c r="CC252" s="175">
        <f t="shared" si="323"/>
        <v>668958.45184500003</v>
      </c>
      <c r="CD252" s="175">
        <f t="shared" si="323"/>
        <v>714544.68995399994</v>
      </c>
      <c r="CE252" s="181"/>
      <c r="CH252" s="175"/>
      <c r="CI252" s="175"/>
      <c r="CJ252" s="175">
        <f t="shared" si="324"/>
        <v>4645.6686666666737</v>
      </c>
      <c r="CK252" s="175">
        <f t="shared" si="324"/>
        <v>-7519.9766666666683</v>
      </c>
      <c r="CL252" s="175">
        <f t="shared" si="324"/>
        <v>8694.4873176627862</v>
      </c>
      <c r="CM252" s="175">
        <f t="shared" si="324"/>
        <v>11283.543499999996</v>
      </c>
      <c r="CN252" s="175">
        <f t="shared" si="324"/>
        <v>4644.5309500000003</v>
      </c>
      <c r="CO252" s="175">
        <f t="shared" si="324"/>
        <v>12439.687704999998</v>
      </c>
      <c r="CP252" s="175">
        <f t="shared" si="324"/>
        <v>6235.9295000000056</v>
      </c>
      <c r="CQ252" s="175">
        <f t="shared" si="324"/>
        <v>7833.0608460000067</v>
      </c>
      <c r="CR252" s="175">
        <f t="shared" si="324"/>
        <v>0</v>
      </c>
      <c r="CS252" s="175">
        <f t="shared" si="324"/>
        <v>0</v>
      </c>
      <c r="CU252" s="175">
        <f t="shared" si="324"/>
        <v>2721242.7682990003</v>
      </c>
      <c r="CV252" s="175" t="e">
        <f t="shared" si="324"/>
        <v>#VALUE!</v>
      </c>
      <c r="CW252" s="175">
        <f t="shared" si="324"/>
        <v>2495482.084792031</v>
      </c>
    </row>
    <row r="253" spans="3:101" outlineLevel="1">
      <c r="C253" s="97" t="s">
        <v>9</v>
      </c>
      <c r="D253" s="284" t="s">
        <v>7</v>
      </c>
      <c r="F253" s="320" t="str">
        <f t="shared" si="325"/>
        <v>Miscellaneous Revenues - FPU</v>
      </c>
      <c r="G253" s="175">
        <f t="shared" si="319"/>
        <v>909633</v>
      </c>
      <c r="H253" s="175">
        <f t="shared" si="319"/>
        <v>981435</v>
      </c>
      <c r="I253" s="175">
        <f t="shared" si="319"/>
        <v>1142815</v>
      </c>
      <c r="J253" s="175">
        <f t="shared" si="319"/>
        <v>729008</v>
      </c>
      <c r="K253" s="175">
        <f t="shared" si="319"/>
        <v>847503</v>
      </c>
      <c r="L253" s="175">
        <f t="shared" si="319"/>
        <v>950116.01</v>
      </c>
      <c r="M253" s="175">
        <f t="shared" si="319"/>
        <v>824536.34999999986</v>
      </c>
      <c r="N253" s="175">
        <f t="shared" si="319"/>
        <v>1001134.0599999999</v>
      </c>
      <c r="O253" s="175">
        <f t="shared" si="319"/>
        <v>1080996.04</v>
      </c>
      <c r="P253" s="175">
        <f t="shared" si="319"/>
        <v>1171823.81</v>
      </c>
      <c r="Q253" s="175">
        <f t="shared" si="319"/>
        <v>1150763.44</v>
      </c>
      <c r="R253" s="175">
        <f t="shared" si="319"/>
        <v>1292375.92</v>
      </c>
      <c r="S253" s="375">
        <f t="shared" ca="1" si="319"/>
        <v>12082139.629999999</v>
      </c>
      <c r="T253" s="175">
        <f t="shared" si="319"/>
        <v>3033883</v>
      </c>
      <c r="U253" s="175">
        <f t="shared" si="319"/>
        <v>2526627.0100000002</v>
      </c>
      <c r="V253" s="175">
        <f t="shared" si="319"/>
        <v>2906666.4499999993</v>
      </c>
      <c r="W253" s="175">
        <f t="shared" si="319"/>
        <v>3614963.17</v>
      </c>
      <c r="X253" s="181"/>
      <c r="Y253" s="175">
        <f>SUMIFS(Y$5:Y$75,$C$5:$C$75,$C253,$D$5:$D$75,$D253)</f>
        <v>0</v>
      </c>
      <c r="Z253" s="175">
        <f t="shared" si="320"/>
        <v>0</v>
      </c>
      <c r="AA253" s="175">
        <f t="shared" si="320"/>
        <v>0</v>
      </c>
      <c r="AB253" s="175">
        <f t="shared" si="320"/>
        <v>0</v>
      </c>
      <c r="AC253" s="175">
        <f t="shared" si="320"/>
        <v>0</v>
      </c>
      <c r="AD253" s="175">
        <f t="shared" si="320"/>
        <v>0</v>
      </c>
      <c r="AE253" s="175">
        <f t="shared" si="320"/>
        <v>0</v>
      </c>
      <c r="AF253" s="175">
        <f t="shared" si="320"/>
        <v>0</v>
      </c>
      <c r="AG253" s="175">
        <f t="shared" si="320"/>
        <v>0</v>
      </c>
      <c r="AH253" s="175">
        <f t="shared" si="320"/>
        <v>0</v>
      </c>
      <c r="AI253" s="175">
        <f t="shared" si="320"/>
        <v>0</v>
      </c>
      <c r="AJ253" s="175">
        <f t="shared" si="320"/>
        <v>0</v>
      </c>
      <c r="AK253" s="175">
        <f t="shared" si="320"/>
        <v>0</v>
      </c>
      <c r="AL253" s="375"/>
      <c r="AM253" s="375" t="e">
        <f>AM252-AL252</f>
        <v>#REF!</v>
      </c>
      <c r="AN253" s="375"/>
      <c r="AO253" s="375"/>
      <c r="AP253" s="375"/>
      <c r="AQ253" s="175">
        <f t="shared" si="321"/>
        <v>3306068.9299999997</v>
      </c>
      <c r="AR253" s="175">
        <f t="shared" si="321"/>
        <v>3672881.7600000002</v>
      </c>
      <c r="AS253" s="175">
        <f t="shared" si="321"/>
        <v>3500304.42</v>
      </c>
      <c r="AT253" s="175">
        <f t="shared" si="321"/>
        <v>4281236.1500000041</v>
      </c>
      <c r="AU253" s="181"/>
      <c r="AV253" s="175">
        <f t="shared" si="322"/>
        <v>1081153.7727046597</v>
      </c>
      <c r="AW253" s="175">
        <f t="shared" si="322"/>
        <v>1062535.0684741042</v>
      </c>
      <c r="AX253" s="175">
        <f t="shared" si="322"/>
        <v>1314886.6466435485</v>
      </c>
      <c r="AY253" s="175">
        <f t="shared" si="322"/>
        <v>1069915.6546046594</v>
      </c>
      <c r="AZ253" s="175">
        <f t="shared" si="322"/>
        <v>1120903.2599657706</v>
      </c>
      <c r="BA253" s="175">
        <f t="shared" si="322"/>
        <v>1222105.6088997214</v>
      </c>
      <c r="BB253" s="175">
        <f t="shared" si="322"/>
        <v>1228766.4342665938</v>
      </c>
      <c r="BC253" s="175">
        <f t="shared" si="322"/>
        <v>1272188.7120588776</v>
      </c>
      <c r="BD253" s="175">
        <f t="shared" si="322"/>
        <v>1224585.4112635073</v>
      </c>
      <c r="BE253" s="175">
        <f t="shared" si="322"/>
        <v>1360029.4398845977</v>
      </c>
      <c r="BF253" s="175">
        <f t="shared" si="322"/>
        <v>1401014.6520010587</v>
      </c>
      <c r="BG253" s="175">
        <f t="shared" si="322"/>
        <v>1439095.3026080548</v>
      </c>
      <c r="BH253" s="375">
        <f t="shared" ca="1" si="322"/>
        <v>14797179.963375151</v>
      </c>
      <c r="BI253" s="175">
        <f t="shared" si="322"/>
        <v>3458575.4878223124</v>
      </c>
      <c r="BJ253" s="175">
        <f t="shared" si="322"/>
        <v>3412924.5234701512</v>
      </c>
      <c r="BK253" s="175">
        <f t="shared" si="322"/>
        <v>3725540.5575889787</v>
      </c>
      <c r="BL253" s="175">
        <f t="shared" si="322"/>
        <v>4200139.3944937102</v>
      </c>
      <c r="BM253" s="181"/>
      <c r="BN253" s="175">
        <f t="shared" si="323"/>
        <v>0</v>
      </c>
      <c r="BO253" s="175">
        <f t="shared" si="323"/>
        <v>0</v>
      </c>
      <c r="BP253" s="175">
        <f t="shared" si="323"/>
        <v>1235939.3606708925</v>
      </c>
      <c r="BQ253" s="175">
        <f t="shared" si="323"/>
        <v>1116411.5930904308</v>
      </c>
      <c r="BR253" s="175">
        <f t="shared" si="323"/>
        <v>1138174.5491352938</v>
      </c>
      <c r="BS253" s="175">
        <f t="shared" si="323"/>
        <v>1136148.50314143</v>
      </c>
      <c r="BT253" s="175">
        <f t="shared" si="323"/>
        <v>1200073.1897807762</v>
      </c>
      <c r="BU253" s="175">
        <f t="shared" si="323"/>
        <v>1242285.3574040625</v>
      </c>
      <c r="BV253" s="175">
        <f t="shared" si="323"/>
        <v>1258109.3121331967</v>
      </c>
      <c r="BW253" s="175">
        <f t="shared" si="323"/>
        <v>1308003.0550044177</v>
      </c>
      <c r="BX253" s="175">
        <f t="shared" si="323"/>
        <v>1284902.5542812671</v>
      </c>
      <c r="BY253" s="175">
        <f t="shared" si="323"/>
        <v>1254191.7896135245</v>
      </c>
      <c r="BZ253" s="375">
        <f t="shared" ca="1" si="323"/>
        <v>12174239.264255293</v>
      </c>
      <c r="CA253" s="175">
        <f t="shared" si="323"/>
        <v>1235939.3606708925</v>
      </c>
      <c r="CB253" s="175">
        <f t="shared" si="323"/>
        <v>3390734.6453671549</v>
      </c>
      <c r="CC253" s="175">
        <f t="shared" si="323"/>
        <v>3700467.8593180352</v>
      </c>
      <c r="CD253" s="175">
        <f t="shared" si="323"/>
        <v>3847097.3988992088</v>
      </c>
      <c r="CE253" s="181"/>
      <c r="CH253" s="175"/>
      <c r="CI253" s="175"/>
      <c r="CJ253" s="175">
        <f t="shared" si="324"/>
        <v>-68736.930670892689</v>
      </c>
      <c r="CK253" s="175">
        <f t="shared" si="324"/>
        <v>258703.29690956927</v>
      </c>
      <c r="CL253" s="175">
        <f t="shared" si="324"/>
        <v>8303.770864705848</v>
      </c>
      <c r="CM253" s="175">
        <f t="shared" si="324"/>
        <v>15140.046858569924</v>
      </c>
      <c r="CN253" s="175">
        <f t="shared" si="324"/>
        <v>-35713.75978077609</v>
      </c>
      <c r="CO253" s="175">
        <f t="shared" si="324"/>
        <v>86414.292595937324</v>
      </c>
      <c r="CP253" s="175">
        <f t="shared" si="324"/>
        <v>-250863.97213319672</v>
      </c>
      <c r="CQ253" s="175">
        <f t="shared" si="324"/>
        <v>157347.76499558214</v>
      </c>
      <c r="CR253" s="175">
        <f t="shared" si="324"/>
        <v>0</v>
      </c>
      <c r="CS253" s="175">
        <f t="shared" si="324"/>
        <v>0</v>
      </c>
      <c r="CU253" s="175">
        <f t="shared" si="324"/>
        <v>14511375.901358675</v>
      </c>
      <c r="CV253" s="175">
        <f t="shared" si="324"/>
        <v>14826121.158421723</v>
      </c>
      <c r="CW253" s="175">
        <f t="shared" si="324"/>
        <v>14797179.963375151</v>
      </c>
    </row>
    <row r="254" spans="3:101" outlineLevel="1">
      <c r="C254" s="97" t="s">
        <v>620</v>
      </c>
      <c r="D254" s="284" t="s">
        <v>7</v>
      </c>
      <c r="F254" s="320" t="str">
        <f t="shared" si="325"/>
        <v>COGS - FPU</v>
      </c>
      <c r="G254" s="175">
        <f t="shared" si="319"/>
        <v>47470</v>
      </c>
      <c r="H254" s="175">
        <f t="shared" si="319"/>
        <v>44948</v>
      </c>
      <c r="I254" s="175">
        <f t="shared" si="319"/>
        <v>42566</v>
      </c>
      <c r="J254" s="175">
        <f t="shared" si="319"/>
        <v>34180</v>
      </c>
      <c r="K254" s="175">
        <f t="shared" si="319"/>
        <v>33887</v>
      </c>
      <c r="L254" s="175">
        <f t="shared" si="319"/>
        <v>31557.08</v>
      </c>
      <c r="M254" s="175">
        <f t="shared" si="319"/>
        <v>31076.07</v>
      </c>
      <c r="N254" s="175">
        <f t="shared" si="319"/>
        <v>30663</v>
      </c>
      <c r="O254" s="175">
        <f t="shared" si="319"/>
        <v>31691</v>
      </c>
      <c r="P254" s="175">
        <f t="shared" si="319"/>
        <v>33540.400000000001</v>
      </c>
      <c r="Q254" s="175">
        <f t="shared" si="319"/>
        <v>38533.78</v>
      </c>
      <c r="R254" s="175">
        <f t="shared" si="319"/>
        <v>49153</v>
      </c>
      <c r="S254" s="375">
        <f t="shared" ca="1" si="319"/>
        <v>449265.33000000007</v>
      </c>
      <c r="T254" s="175">
        <f t="shared" si="319"/>
        <v>134984</v>
      </c>
      <c r="U254" s="175">
        <f t="shared" si="319"/>
        <v>99624.08</v>
      </c>
      <c r="V254" s="175">
        <f t="shared" si="319"/>
        <v>93430.07</v>
      </c>
      <c r="W254" s="175">
        <f t="shared" si="319"/>
        <v>121227.18</v>
      </c>
      <c r="X254" s="181"/>
      <c r="Y254" s="175">
        <f t="shared" si="326"/>
        <v>0</v>
      </c>
      <c r="Z254" s="175">
        <f t="shared" si="320"/>
        <v>0</v>
      </c>
      <c r="AA254" s="175">
        <f t="shared" si="320"/>
        <v>0</v>
      </c>
      <c r="AB254" s="175">
        <f t="shared" si="320"/>
        <v>0</v>
      </c>
      <c r="AC254" s="175">
        <f t="shared" si="320"/>
        <v>0</v>
      </c>
      <c r="AD254" s="175">
        <f t="shared" si="320"/>
        <v>0</v>
      </c>
      <c r="AE254" s="175">
        <f t="shared" si="320"/>
        <v>0</v>
      </c>
      <c r="AF254" s="175">
        <f t="shared" si="320"/>
        <v>0</v>
      </c>
      <c r="AG254" s="175">
        <f t="shared" si="320"/>
        <v>0</v>
      </c>
      <c r="AH254" s="175">
        <f t="shared" si="320"/>
        <v>0</v>
      </c>
      <c r="AI254" s="175">
        <f t="shared" si="320"/>
        <v>0</v>
      </c>
      <c r="AJ254" s="175">
        <f t="shared" si="320"/>
        <v>0</v>
      </c>
      <c r="AK254" s="175">
        <f t="shared" si="320"/>
        <v>0</v>
      </c>
      <c r="AL254" s="375"/>
      <c r="AM254" s="375"/>
      <c r="AN254" s="375"/>
      <c r="AO254" s="375"/>
      <c r="AP254" s="375"/>
      <c r="AQ254" s="175">
        <f t="shared" si="321"/>
        <v>152432</v>
      </c>
      <c r="AR254" s="175">
        <f t="shared" si="321"/>
        <v>127203</v>
      </c>
      <c r="AS254" s="175">
        <f t="shared" si="321"/>
        <v>108026</v>
      </c>
      <c r="AT254" s="175">
        <f t="shared" si="321"/>
        <v>126089.35</v>
      </c>
      <c r="AU254" s="181"/>
      <c r="AV254" s="175">
        <f t="shared" si="322"/>
        <v>36334.666666666664</v>
      </c>
      <c r="AW254" s="175">
        <f t="shared" si="322"/>
        <v>36334.666666666664</v>
      </c>
      <c r="AX254" s="175">
        <f t="shared" si="322"/>
        <v>36334.666666666664</v>
      </c>
      <c r="AY254" s="175">
        <f t="shared" si="322"/>
        <v>36334.666666666664</v>
      </c>
      <c r="AZ254" s="175">
        <f t="shared" si="322"/>
        <v>36334.666666666664</v>
      </c>
      <c r="BA254" s="175">
        <f t="shared" si="322"/>
        <v>36334.666666666664</v>
      </c>
      <c r="BB254" s="175">
        <f t="shared" si="322"/>
        <v>36334.666666666664</v>
      </c>
      <c r="BC254" s="175">
        <f t="shared" si="322"/>
        <v>36334.666666666664</v>
      </c>
      <c r="BD254" s="175">
        <f t="shared" si="322"/>
        <v>36334.666666666664</v>
      </c>
      <c r="BE254" s="175">
        <f t="shared" si="322"/>
        <v>36334.666666666664</v>
      </c>
      <c r="BF254" s="175">
        <f t="shared" si="322"/>
        <v>36334.666666666664</v>
      </c>
      <c r="BG254" s="175">
        <f t="shared" si="322"/>
        <v>36334.666666666664</v>
      </c>
      <c r="BH254" s="375">
        <f t="shared" ca="1" si="322"/>
        <v>436016.00000000006</v>
      </c>
      <c r="BI254" s="175">
        <f t="shared" si="322"/>
        <v>109004</v>
      </c>
      <c r="BJ254" s="175">
        <f t="shared" si="322"/>
        <v>109004</v>
      </c>
      <c r="BK254" s="175">
        <f t="shared" si="322"/>
        <v>109004</v>
      </c>
      <c r="BL254" s="175">
        <f t="shared" si="322"/>
        <v>109004</v>
      </c>
      <c r="BM254" s="181"/>
      <c r="BN254" s="175">
        <f t="shared" si="323"/>
        <v>0</v>
      </c>
      <c r="BO254" s="175">
        <f t="shared" si="323"/>
        <v>0</v>
      </c>
      <c r="BP254" s="175">
        <f t="shared" si="323"/>
        <v>43750.135400236708</v>
      </c>
      <c r="BQ254" s="175">
        <f t="shared" si="323"/>
        <v>37949.508781558601</v>
      </c>
      <c r="BR254" s="175">
        <f t="shared" si="323"/>
        <v>35622.498040195722</v>
      </c>
      <c r="BS254" s="175">
        <f t="shared" si="323"/>
        <v>33558.645143160924</v>
      </c>
      <c r="BT254" s="175">
        <f t="shared" si="323"/>
        <v>31450.481129057276</v>
      </c>
      <c r="BU254" s="175">
        <f t="shared" si="323"/>
        <v>31984.846587061897</v>
      </c>
      <c r="BV254" s="175">
        <f t="shared" si="323"/>
        <v>33490.63310670037</v>
      </c>
      <c r="BW254" s="175">
        <f t="shared" si="323"/>
        <v>34696.440893043378</v>
      </c>
      <c r="BX254" s="175">
        <f t="shared" si="323"/>
        <v>40245.10564563331</v>
      </c>
      <c r="BY254" s="175">
        <f t="shared" si="323"/>
        <v>50162.549226694777</v>
      </c>
      <c r="BZ254" s="375">
        <f t="shared" ca="1" si="323"/>
        <v>372910.84395334293</v>
      </c>
      <c r="CA254" s="175">
        <f t="shared" si="323"/>
        <v>43750.135400236708</v>
      </c>
      <c r="CB254" s="175">
        <f t="shared" si="323"/>
        <v>107130.65196491525</v>
      </c>
      <c r="CC254" s="175">
        <f t="shared" si="323"/>
        <v>96925.960822819543</v>
      </c>
      <c r="CD254" s="175">
        <f t="shared" si="323"/>
        <v>125104.09576537146</v>
      </c>
      <c r="CE254" s="181"/>
      <c r="CH254" s="175"/>
      <c r="CI254" s="175"/>
      <c r="CJ254" s="175">
        <f t="shared" si="324"/>
        <v>3105.8645997632921</v>
      </c>
      <c r="CK254" s="175">
        <f t="shared" si="324"/>
        <v>10296.491218441399</v>
      </c>
      <c r="CL254" s="175">
        <f t="shared" si="324"/>
        <v>6486.5019598042782</v>
      </c>
      <c r="CM254" s="175">
        <f t="shared" si="324"/>
        <v>3289.3548568390761</v>
      </c>
      <c r="CN254" s="175">
        <f t="shared" si="324"/>
        <v>5312.5188709427239</v>
      </c>
      <c r="CO254" s="175">
        <f t="shared" si="324"/>
        <v>3146.1534129381034</v>
      </c>
      <c r="CP254" s="175">
        <f t="shared" si="324"/>
        <v>2641.3668932996297</v>
      </c>
      <c r="CQ254" s="175">
        <f t="shared" si="324"/>
        <v>2848.5591069566217</v>
      </c>
      <c r="CR254" s="175">
        <f t="shared" si="324"/>
        <v>0</v>
      </c>
      <c r="CS254" s="175">
        <f t="shared" si="324"/>
        <v>0</v>
      </c>
      <c r="CU254" s="175">
        <f t="shared" si="324"/>
        <v>498375.7017313519</v>
      </c>
      <c r="CV254" s="175">
        <f t="shared" si="324"/>
        <v>510123.72887207184</v>
      </c>
      <c r="CW254" s="175">
        <f t="shared" si="324"/>
        <v>436016.00000000006</v>
      </c>
    </row>
    <row r="255" spans="3:101">
      <c r="C255" s="250" t="s">
        <v>214</v>
      </c>
      <c r="D255" s="284" t="s">
        <v>7</v>
      </c>
      <c r="F255" s="293" t="str">
        <f t="shared" si="325"/>
        <v>TOTAL - FPU</v>
      </c>
      <c r="G255" s="375">
        <f t="shared" ref="G255:W255" si="327">SUM(G248:G253)-G254</f>
        <v>5203803.6999999918</v>
      </c>
      <c r="H255" s="375">
        <f t="shared" si="327"/>
        <v>5008047.890000008</v>
      </c>
      <c r="I255" s="375">
        <f t="shared" si="327"/>
        <v>4981464.9299999774</v>
      </c>
      <c r="J255" s="375">
        <f t="shared" si="327"/>
        <v>4061846.0299999653</v>
      </c>
      <c r="K255" s="375">
        <f t="shared" si="327"/>
        <v>4122921.1499999799</v>
      </c>
      <c r="L255" s="375">
        <f t="shared" si="327"/>
        <v>4081439.7699999968</v>
      </c>
      <c r="M255" s="375">
        <f t="shared" si="327"/>
        <v>3999720.7400000035</v>
      </c>
      <c r="N255" s="375">
        <f t="shared" si="327"/>
        <v>4065037.6199999973</v>
      </c>
      <c r="O255" s="375">
        <f t="shared" si="327"/>
        <v>4156491.0699999956</v>
      </c>
      <c r="P255" s="375">
        <f t="shared" si="327"/>
        <v>4334933.1400000006</v>
      </c>
      <c r="Q255" s="375">
        <f t="shared" si="327"/>
        <v>4615642.0999999857</v>
      </c>
      <c r="R255" s="375">
        <f t="shared" si="327"/>
        <v>5436864.8999999771</v>
      </c>
      <c r="S255" s="375">
        <f t="shared" ca="1" si="327"/>
        <v>54068213.039999872</v>
      </c>
      <c r="T255" s="375">
        <f t="shared" si="327"/>
        <v>15193316.519999979</v>
      </c>
      <c r="U255" s="375">
        <f t="shared" si="327"/>
        <v>12266206.949999942</v>
      </c>
      <c r="V255" s="375">
        <f t="shared" si="327"/>
        <v>12221249.429999994</v>
      </c>
      <c r="W255" s="375">
        <f t="shared" si="327"/>
        <v>14387440.139999961</v>
      </c>
      <c r="X255" s="181"/>
      <c r="Y255" s="375">
        <f t="shared" ref="Y255:AK255" si="328">SUM(Y248:Y253)-Y254</f>
        <v>4483133.5099999895</v>
      </c>
      <c r="Z255" s="375">
        <f t="shared" si="328"/>
        <v>3979777.9499999848</v>
      </c>
      <c r="AA255" s="375">
        <f t="shared" si="328"/>
        <v>3845420.6099999733</v>
      </c>
      <c r="AB255" s="375">
        <f t="shared" si="328"/>
        <v>3823945.0099999839</v>
      </c>
      <c r="AC255" s="375">
        <f t="shared" si="328"/>
        <v>3493455.7099999925</v>
      </c>
      <c r="AD255" s="375">
        <f t="shared" si="328"/>
        <v>3221810.3299999898</v>
      </c>
      <c r="AE255" s="375">
        <f t="shared" si="328"/>
        <v>3275494.0799999954</v>
      </c>
      <c r="AF255" s="375">
        <f t="shared" si="328"/>
        <v>3096409.0399999889</v>
      </c>
      <c r="AG255" s="375">
        <f t="shared" si="328"/>
        <v>3225656.3099999912</v>
      </c>
      <c r="AH255" s="375">
        <f t="shared" si="328"/>
        <v>3269187.2799999854</v>
      </c>
      <c r="AI255" s="375">
        <f t="shared" si="328"/>
        <v>3559473.2899999912</v>
      </c>
      <c r="AJ255" s="375">
        <f t="shared" si="328"/>
        <v>3974937.3099999917</v>
      </c>
      <c r="AK255" s="375">
        <f t="shared" si="328"/>
        <v>43248700.429999851</v>
      </c>
      <c r="AL255" s="375">
        <v>58319282.020000003</v>
      </c>
      <c r="AM255" s="375"/>
      <c r="AN255" s="375"/>
      <c r="AO255" s="375"/>
      <c r="AP255" s="375"/>
      <c r="AQ255" s="375">
        <f t="shared" ref="AQ255:AT255" si="329">SUM(AQ248:AQ253)-AQ254</f>
        <v>16136756.049999949</v>
      </c>
      <c r="AR255" s="375">
        <f t="shared" si="329"/>
        <v>14759125.929999966</v>
      </c>
      <c r="AS255" s="375">
        <f t="shared" si="329"/>
        <v>13682116.449999977</v>
      </c>
      <c r="AT255" s="375">
        <f t="shared" si="329"/>
        <v>15678056.829999972</v>
      </c>
      <c r="AU255" s="181"/>
      <c r="AV255" s="375">
        <f t="shared" ref="AV255:BL255" si="330">SUM(AV248:AV253)-AV254</f>
        <v>5726063.5884645395</v>
      </c>
      <c r="AW255" s="375">
        <f t="shared" si="330"/>
        <v>5256220.3736017821</v>
      </c>
      <c r="AX255" s="375">
        <f t="shared" si="330"/>
        <v>5293044.1428711042</v>
      </c>
      <c r="AY255" s="375">
        <f t="shared" si="330"/>
        <v>4859784.3582676928</v>
      </c>
      <c r="AZ255" s="375">
        <f t="shared" si="330"/>
        <v>4637853.3677158933</v>
      </c>
      <c r="BA255" s="375">
        <f t="shared" si="330"/>
        <v>4615042.9650531178</v>
      </c>
      <c r="BB255" s="375">
        <f t="shared" si="330"/>
        <v>4478775.0286254017</v>
      </c>
      <c r="BC255" s="375">
        <f t="shared" si="330"/>
        <v>4565262.5595016489</v>
      </c>
      <c r="BD255" s="375">
        <f t="shared" si="330"/>
        <v>4506443.2951936657</v>
      </c>
      <c r="BE255" s="375">
        <f t="shared" si="330"/>
        <v>4695210.9451462999</v>
      </c>
      <c r="BF255" s="375">
        <f t="shared" si="330"/>
        <v>5135915.4573655333</v>
      </c>
      <c r="BG255" s="375">
        <f t="shared" si="330"/>
        <v>5729946.8605484199</v>
      </c>
      <c r="BH255" s="375">
        <f t="shared" ca="1" si="330"/>
        <v>59499562.942355111</v>
      </c>
      <c r="BI255" s="375">
        <f t="shared" si="330"/>
        <v>16275328.104937429</v>
      </c>
      <c r="BJ255" s="375">
        <f t="shared" si="330"/>
        <v>14112680.691036705</v>
      </c>
      <c r="BK255" s="375">
        <f t="shared" si="330"/>
        <v>13550480.883320715</v>
      </c>
      <c r="BL255" s="375">
        <f t="shared" si="330"/>
        <v>15561073.263060253</v>
      </c>
      <c r="BM255" s="181"/>
      <c r="BN255" s="375">
        <f>SUM(BN248:BN253)-BN254</f>
        <v>0</v>
      </c>
      <c r="BO255" s="375">
        <f>SUM(BO248:BO253)-BO254</f>
        <v>0</v>
      </c>
      <c r="BP255" s="375">
        <f>SUM(BP248:BP253)-BP254</f>
        <v>5071785.5048583494</v>
      </c>
      <c r="BQ255" s="375">
        <f t="shared" ref="BQ255:CD255" si="331">SUM(BQ248:BQ253)-BQ254</f>
        <v>4949196.0155014694</v>
      </c>
      <c r="BR255" s="375">
        <f t="shared" si="331"/>
        <v>4673325.0713619674</v>
      </c>
      <c r="BS255" s="375">
        <f t="shared" si="331"/>
        <v>4519392.2040214958</v>
      </c>
      <c r="BT255" s="375">
        <f t="shared" si="331"/>
        <v>4377212.7327531446</v>
      </c>
      <c r="BU255" s="375">
        <f t="shared" si="331"/>
        <v>4487471.1300791604</v>
      </c>
      <c r="BV255" s="375">
        <f t="shared" si="331"/>
        <v>4539915.2233541394</v>
      </c>
      <c r="BW255" s="375">
        <f t="shared" si="331"/>
        <v>4616747.0959673142</v>
      </c>
      <c r="BX255" s="375">
        <f t="shared" si="331"/>
        <v>5024360.8499829555</v>
      </c>
      <c r="BY255" s="375">
        <f t="shared" si="331"/>
        <v>5538700.793570416</v>
      </c>
      <c r="BZ255" s="375">
        <f t="shared" ca="1" si="331"/>
        <v>47798106.621450409</v>
      </c>
      <c r="CA255" s="375">
        <f t="shared" si="331"/>
        <v>5071785.5048583494</v>
      </c>
      <c r="CB255" s="375">
        <f t="shared" si="331"/>
        <v>14141913.290884933</v>
      </c>
      <c r="CC255" s="375">
        <f t="shared" si="331"/>
        <v>13404599.086186444</v>
      </c>
      <c r="CD255" s="375">
        <f t="shared" si="331"/>
        <v>15179808.739520686</v>
      </c>
      <c r="CE255" s="181"/>
      <c r="CH255" s="375"/>
      <c r="CI255" s="375"/>
      <c r="CJ255" s="375">
        <f t="shared" ref="CJ255:CS255" si="332">SUM(CJ248:CJ253)-CJ254</f>
        <v>122316.9751416239</v>
      </c>
      <c r="CK255" s="375">
        <f t="shared" si="332"/>
        <v>417568.61449851433</v>
      </c>
      <c r="CL255" s="375">
        <f t="shared" si="332"/>
        <v>152112.20863802591</v>
      </c>
      <c r="CM255" s="375">
        <f t="shared" si="332"/>
        <v>47531.815978494422</v>
      </c>
      <c r="CN255" s="375">
        <f t="shared" si="332"/>
        <v>255114.80724685054</v>
      </c>
      <c r="CO255" s="375">
        <f t="shared" si="332"/>
        <v>134249.1199208285</v>
      </c>
      <c r="CP255" s="375">
        <f t="shared" si="332"/>
        <v>-111846.56335414809</v>
      </c>
      <c r="CQ255" s="375">
        <f t="shared" si="332"/>
        <v>321163.2940326705</v>
      </c>
      <c r="CR255" s="375">
        <f t="shared" si="332"/>
        <v>0</v>
      </c>
      <c r="CS255" s="375">
        <f t="shared" si="332"/>
        <v>0</v>
      </c>
      <c r="CU255" s="375">
        <f>SUM(CU248:CU253)-CU254</f>
        <v>59432757.989728555</v>
      </c>
      <c r="CV255" s="375" t="e">
        <f>SUM(CV248:CV253)-CV254</f>
        <v>#VALUE!</v>
      </c>
      <c r="CW255" s="375">
        <f>SUM(CW248:CW253)-CW254</f>
        <v>59499562.942355111</v>
      </c>
    </row>
    <row r="256" spans="3:101" s="181" customFormat="1">
      <c r="E256" s="367"/>
    </row>
    <row r="257" spans="5:5" s="181" customFormat="1">
      <c r="E257" s="367"/>
    </row>
    <row r="258" spans="5:5" s="181" customFormat="1">
      <c r="E258" s="367"/>
    </row>
    <row r="259" spans="5:5" s="181" customFormat="1">
      <c r="E259" s="367"/>
    </row>
    <row r="260" spans="5:5" s="181" customFormat="1">
      <c r="E260" s="367"/>
    </row>
    <row r="261" spans="5:5" s="181" customFormat="1">
      <c r="E261" s="367"/>
    </row>
    <row r="262" spans="5:5" s="181" customFormat="1">
      <c r="E262" s="367"/>
    </row>
    <row r="263" spans="5:5" s="181" customFormat="1">
      <c r="E263" s="367"/>
    </row>
  </sheetData>
  <sheetProtection formatColumns="0"/>
  <hyperlinks>
    <hyperlink ref="F4" location="Index!A1" display="First Page" xr:uid="{5E85040E-7999-49C1-8CFC-B71D76834F5E}"/>
  </hyperlinks>
  <pageMargins left="0.17" right="0.17" top="0.24" bottom="0.23" header="0" footer="0"/>
  <pageSetup scale="65" fitToHeight="2" orientation="landscape" r:id="rId1"/>
  <headerFooter alignWithMargins="0"/>
  <rowBreaks count="1" manualBreakCount="1">
    <brk id="11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A6B1-67A3-4B86-8E76-57CF879A2816}">
  <sheetPr>
    <tabColor theme="0" tint="-0.34998626667073579"/>
  </sheetPr>
  <dimension ref="A1:H65"/>
  <sheetViews>
    <sheetView workbookViewId="0"/>
  </sheetViews>
  <sheetFormatPr defaultRowHeight="12.75"/>
  <cols>
    <col min="1" max="1" width="53.7109375" style="9" bestFit="1" customWidth="1"/>
    <col min="2" max="2" width="24" style="39" bestFit="1" customWidth="1"/>
    <col min="3" max="3" width="14.5703125" style="188" bestFit="1" customWidth="1"/>
    <col min="4" max="4" width="15.140625" style="188" bestFit="1" customWidth="1"/>
    <col min="5" max="5" width="14.5703125" style="188" customWidth="1"/>
    <col min="6" max="6" width="21" style="5" bestFit="1" customWidth="1"/>
    <col min="7" max="7" width="22.42578125" customWidth="1"/>
  </cols>
  <sheetData>
    <row r="1" spans="1:7">
      <c r="A1" s="189" t="s">
        <v>663</v>
      </c>
      <c r="B1" s="189" t="s">
        <v>445</v>
      </c>
      <c r="C1" s="190" t="s">
        <v>710</v>
      </c>
      <c r="D1" s="192">
        <v>2021</v>
      </c>
      <c r="E1" s="192" t="s">
        <v>17</v>
      </c>
      <c r="F1" s="191" t="s">
        <v>713</v>
      </c>
      <c r="G1" s="191" t="s">
        <v>714</v>
      </c>
    </row>
    <row r="2" spans="1:7">
      <c r="A2" s="167" t="s">
        <v>74</v>
      </c>
      <c r="B2" s="39" t="s">
        <v>670</v>
      </c>
      <c r="C2" s="188">
        <v>0</v>
      </c>
      <c r="D2" s="188">
        <f>SUMIF(Forecast!D:D,A2,Forecast!AG:AG)</f>
        <v>115897.47999999994</v>
      </c>
      <c r="F2" s="5">
        <f>IF(ISBLANK(E2),0,D2+E2)</f>
        <v>0</v>
      </c>
      <c r="G2" s="193">
        <f>F2</f>
        <v>0</v>
      </c>
    </row>
    <row r="3" spans="1:7">
      <c r="A3" s="168" t="s">
        <v>76</v>
      </c>
      <c r="B3" s="39" t="s">
        <v>433</v>
      </c>
      <c r="C3" s="188">
        <v>0</v>
      </c>
      <c r="D3" s="188">
        <f>SUMIF(Forecast!D:D,A3,Forecast!AG:AG)</f>
        <v>80956.95</v>
      </c>
      <c r="F3" s="5">
        <f t="shared" ref="F3:F64" si="0">IF(ISBLANK(E3),0,D3+E3)</f>
        <v>0</v>
      </c>
      <c r="G3" s="193">
        <f t="shared" ref="G3:G65" si="1">F3</f>
        <v>0</v>
      </c>
    </row>
    <row r="4" spans="1:7">
      <c r="A4" s="168" t="s">
        <v>78</v>
      </c>
      <c r="B4" s="39" t="s">
        <v>433</v>
      </c>
      <c r="C4" s="188">
        <v>0</v>
      </c>
      <c r="D4" s="188">
        <f>SUMIF(Forecast!D:D,A4,Forecast!AG:AG)</f>
        <v>7985.92</v>
      </c>
      <c r="F4" s="5">
        <f t="shared" si="0"/>
        <v>0</v>
      </c>
      <c r="G4" s="193">
        <f t="shared" si="1"/>
        <v>0</v>
      </c>
    </row>
    <row r="5" spans="1:7">
      <c r="A5" s="167" t="s">
        <v>80</v>
      </c>
      <c r="B5" s="39" t="s">
        <v>433</v>
      </c>
      <c r="C5" s="188">
        <v>0</v>
      </c>
      <c r="D5" s="188">
        <f>SUMIF(Forecast!D:D,A5,Forecast!AG:AG)</f>
        <v>0</v>
      </c>
      <c r="F5" s="5">
        <f t="shared" si="0"/>
        <v>0</v>
      </c>
      <c r="G5" s="193">
        <f t="shared" si="1"/>
        <v>0</v>
      </c>
    </row>
    <row r="6" spans="1:7">
      <c r="A6" s="167" t="s">
        <v>82</v>
      </c>
      <c r="B6" s="41" t="s">
        <v>433</v>
      </c>
      <c r="C6" s="188">
        <v>0</v>
      </c>
      <c r="D6" s="188">
        <f>SUMIF(Forecast!D:D,A6,Forecast!AG:AG)</f>
        <v>0</v>
      </c>
      <c r="F6" s="5">
        <f t="shared" si="0"/>
        <v>0</v>
      </c>
      <c r="G6" s="193">
        <f t="shared" si="1"/>
        <v>0</v>
      </c>
    </row>
    <row r="7" spans="1:7">
      <c r="A7" s="167" t="s">
        <v>83</v>
      </c>
      <c r="B7" s="41" t="s">
        <v>670</v>
      </c>
      <c r="C7" s="188">
        <v>0</v>
      </c>
      <c r="D7" s="188">
        <f>SUMIF(Forecast!D:D,A7,Forecast!AG:AG)</f>
        <v>67421.709999999992</v>
      </c>
      <c r="F7" s="5">
        <f t="shared" si="0"/>
        <v>0</v>
      </c>
      <c r="G7" s="193">
        <f t="shared" si="1"/>
        <v>0</v>
      </c>
    </row>
    <row r="8" spans="1:7">
      <c r="A8" s="167" t="s">
        <v>85</v>
      </c>
      <c r="B8" s="41" t="s">
        <v>695</v>
      </c>
      <c r="C8" s="188">
        <v>0</v>
      </c>
      <c r="D8" s="188">
        <f>SUMIF(Forecast!D:D,A8,Forecast!AG:AG)</f>
        <v>44446.350000000006</v>
      </c>
      <c r="F8" s="5">
        <f t="shared" si="0"/>
        <v>0</v>
      </c>
      <c r="G8" s="193">
        <f t="shared" si="1"/>
        <v>0</v>
      </c>
    </row>
    <row r="9" spans="1:7">
      <c r="A9" s="167" t="s">
        <v>86</v>
      </c>
      <c r="B9" s="39" t="s">
        <v>695</v>
      </c>
      <c r="C9" s="188">
        <v>4.5</v>
      </c>
      <c r="D9" s="188">
        <f>SUMIF(Forecast!D:D,A9,Forecast!AG:AG)</f>
        <v>34583.86</v>
      </c>
      <c r="F9" s="5">
        <f t="shared" si="0"/>
        <v>0</v>
      </c>
      <c r="G9" s="193">
        <f t="shared" si="1"/>
        <v>0</v>
      </c>
    </row>
    <row r="10" spans="1:7">
      <c r="A10" s="167" t="s">
        <v>87</v>
      </c>
      <c r="B10" t="s">
        <v>433</v>
      </c>
      <c r="C10" s="188">
        <v>0</v>
      </c>
      <c r="D10" s="188">
        <f>SUMIF(Forecast!D:D,A10,Forecast!AG:AG)</f>
        <v>27325.26</v>
      </c>
      <c r="F10" s="5">
        <f t="shared" si="0"/>
        <v>0</v>
      </c>
      <c r="G10" s="193">
        <f t="shared" si="1"/>
        <v>0</v>
      </c>
    </row>
    <row r="11" spans="1:7">
      <c r="A11" s="167" t="s">
        <v>88</v>
      </c>
      <c r="B11" t="s">
        <v>433</v>
      </c>
      <c r="C11" s="188">
        <v>55</v>
      </c>
      <c r="D11" s="188">
        <f>SUMIF(Forecast!D:D,A11,Forecast!AG:AG)</f>
        <v>141838.77999999997</v>
      </c>
      <c r="F11" s="5">
        <f t="shared" si="0"/>
        <v>0</v>
      </c>
      <c r="G11" s="193">
        <f t="shared" si="1"/>
        <v>0</v>
      </c>
    </row>
    <row r="12" spans="1:7">
      <c r="A12" s="167" t="s">
        <v>333</v>
      </c>
      <c r="B12" t="s">
        <v>433</v>
      </c>
      <c r="C12" s="188">
        <v>0</v>
      </c>
      <c r="D12" s="188">
        <f>SUMIF(Forecast!D:D,A12,Forecast!AG:AG)</f>
        <v>0</v>
      </c>
      <c r="F12" s="5">
        <f t="shared" si="0"/>
        <v>0</v>
      </c>
      <c r="G12" s="193">
        <f t="shared" si="1"/>
        <v>0</v>
      </c>
    </row>
    <row r="13" spans="1:7">
      <c r="A13" s="167" t="s">
        <v>91</v>
      </c>
      <c r="B13" t="s">
        <v>433</v>
      </c>
      <c r="C13" s="188">
        <v>55</v>
      </c>
      <c r="D13" s="188">
        <f>SUMIF(Forecast!D:D,A13,Forecast!AG:AG)</f>
        <v>0</v>
      </c>
      <c r="F13" s="5">
        <f t="shared" si="0"/>
        <v>0</v>
      </c>
      <c r="G13" s="193">
        <f t="shared" si="1"/>
        <v>0</v>
      </c>
    </row>
    <row r="14" spans="1:7">
      <c r="A14" s="167" t="s">
        <v>18</v>
      </c>
      <c r="B14" s="39" t="s">
        <v>670</v>
      </c>
      <c r="C14" s="188">
        <v>0</v>
      </c>
      <c r="D14" s="188">
        <f>SUMIF(Forecast!D:D,A14,Forecast!AG:AG)</f>
        <v>16009999.460000172</v>
      </c>
      <c r="F14" s="5">
        <f t="shared" si="0"/>
        <v>0</v>
      </c>
      <c r="G14" s="193">
        <f t="shared" si="1"/>
        <v>0</v>
      </c>
    </row>
    <row r="15" spans="1:7">
      <c r="A15" s="167" t="s">
        <v>21</v>
      </c>
      <c r="B15" s="39" t="s">
        <v>696</v>
      </c>
      <c r="C15" s="188">
        <v>0</v>
      </c>
      <c r="D15" s="188">
        <f>SUMIF(Forecast!D:D,A15,Forecast!AG:AG)</f>
        <v>76940.160000000018</v>
      </c>
      <c r="F15" s="5">
        <f t="shared" si="0"/>
        <v>0</v>
      </c>
      <c r="G15" s="193">
        <f t="shared" si="1"/>
        <v>0</v>
      </c>
    </row>
    <row r="16" spans="1:7">
      <c r="A16" s="167" t="s">
        <v>23</v>
      </c>
      <c r="B16" s="39" t="s">
        <v>696</v>
      </c>
      <c r="C16" s="188">
        <v>0</v>
      </c>
      <c r="D16" s="188">
        <f>SUMIF(Forecast!D:D,A16,Forecast!AG:AG)</f>
        <v>50076.090000000004</v>
      </c>
      <c r="F16" s="5">
        <f t="shared" si="0"/>
        <v>0</v>
      </c>
      <c r="G16" s="193">
        <f t="shared" si="1"/>
        <v>0</v>
      </c>
    </row>
    <row r="17" spans="1:7">
      <c r="A17" s="167" t="s">
        <v>25</v>
      </c>
      <c r="B17" s="39" t="s">
        <v>695</v>
      </c>
      <c r="C17" s="188">
        <v>0</v>
      </c>
      <c r="D17" s="188">
        <f>SUMIF(Forecast!D:D,A17,Forecast!AG:AG)</f>
        <v>984167.33999999985</v>
      </c>
      <c r="F17" s="5">
        <f t="shared" si="0"/>
        <v>0</v>
      </c>
      <c r="G17" s="193">
        <f t="shared" si="1"/>
        <v>0</v>
      </c>
    </row>
    <row r="18" spans="1:7">
      <c r="A18" s="167" t="s">
        <v>27</v>
      </c>
      <c r="B18" s="39" t="s">
        <v>695</v>
      </c>
      <c r="C18" s="188">
        <v>4.5</v>
      </c>
      <c r="D18" s="188">
        <f>SUMIF(Forecast!D:D,A18,Forecast!AG:AG)</f>
        <v>705334.12000000011</v>
      </c>
      <c r="F18" s="5">
        <f t="shared" si="0"/>
        <v>0</v>
      </c>
      <c r="G18" s="193">
        <f t="shared" si="1"/>
        <v>0</v>
      </c>
    </row>
    <row r="19" spans="1:7">
      <c r="A19" s="167" t="s">
        <v>29</v>
      </c>
      <c r="B19" s="39" t="s">
        <v>695</v>
      </c>
      <c r="C19" s="188">
        <v>0</v>
      </c>
      <c r="D19" s="188">
        <f>SUMIF(Forecast!D:D,A19,Forecast!AG:AG)</f>
        <v>6615291.8699999936</v>
      </c>
      <c r="F19" s="5">
        <f t="shared" si="0"/>
        <v>0</v>
      </c>
      <c r="G19" s="193">
        <f t="shared" si="1"/>
        <v>0</v>
      </c>
    </row>
    <row r="20" spans="1:7">
      <c r="A20" s="167" t="s">
        <v>31</v>
      </c>
      <c r="B20" s="39" t="s">
        <v>695</v>
      </c>
      <c r="C20" s="188">
        <v>4.5</v>
      </c>
      <c r="D20" s="188">
        <f>SUMIF(Forecast!D:D,A20,Forecast!AG:AG)</f>
        <v>5703960.7700000023</v>
      </c>
      <c r="F20" s="5">
        <f t="shared" si="0"/>
        <v>0</v>
      </c>
      <c r="G20" s="193">
        <f t="shared" si="1"/>
        <v>0</v>
      </c>
    </row>
    <row r="21" spans="1:7">
      <c r="A21" s="167" t="s">
        <v>33</v>
      </c>
      <c r="B21" s="39" t="s">
        <v>695</v>
      </c>
      <c r="C21" s="188">
        <v>0</v>
      </c>
      <c r="D21" s="188">
        <f>SUMIF(Forecast!D:D,A21,Forecast!AG:AG)</f>
        <v>8202818.1799999988</v>
      </c>
      <c r="F21" s="5">
        <f t="shared" si="0"/>
        <v>0</v>
      </c>
      <c r="G21" s="193">
        <f t="shared" si="1"/>
        <v>0</v>
      </c>
    </row>
    <row r="22" spans="1:7">
      <c r="A22" s="168" t="s">
        <v>35</v>
      </c>
      <c r="B22" s="39" t="s">
        <v>695</v>
      </c>
      <c r="C22" s="188">
        <v>55</v>
      </c>
      <c r="D22" s="188">
        <f>SUMIF(Forecast!D:D,A22,Forecast!AG:AG)</f>
        <v>32542765.020000007</v>
      </c>
      <c r="F22" s="5">
        <f t="shared" si="0"/>
        <v>0</v>
      </c>
      <c r="G22" s="193">
        <f t="shared" si="1"/>
        <v>0</v>
      </c>
    </row>
    <row r="23" spans="1:7">
      <c r="A23" s="167" t="s">
        <v>37</v>
      </c>
      <c r="B23" t="s">
        <v>433</v>
      </c>
      <c r="C23" s="188">
        <v>30</v>
      </c>
      <c r="D23" s="188">
        <f>SUMIF(Forecast!D:D,A23,Forecast!AG:AG)</f>
        <v>0</v>
      </c>
      <c r="F23" s="5">
        <f t="shared" si="0"/>
        <v>0</v>
      </c>
      <c r="G23" s="193">
        <f t="shared" si="1"/>
        <v>0</v>
      </c>
    </row>
    <row r="24" spans="1:7">
      <c r="A24" s="167" t="s">
        <v>39</v>
      </c>
      <c r="B24" t="s">
        <v>433</v>
      </c>
      <c r="C24" s="188">
        <v>50.5</v>
      </c>
      <c r="D24" s="188">
        <f>SUMIF(Forecast!D:D,A24,Forecast!AG:AG)</f>
        <v>9545720.379999999</v>
      </c>
      <c r="F24" s="5">
        <f t="shared" si="0"/>
        <v>0</v>
      </c>
      <c r="G24" s="193">
        <f t="shared" si="1"/>
        <v>0</v>
      </c>
    </row>
    <row r="25" spans="1:7">
      <c r="A25" s="167" t="s">
        <v>41</v>
      </c>
      <c r="B25" t="s">
        <v>433</v>
      </c>
      <c r="C25" s="188">
        <v>0</v>
      </c>
      <c r="D25" s="188">
        <f>SUMIF(Forecast!D:D,A25,Forecast!AG:AG)</f>
        <v>0</v>
      </c>
      <c r="F25" s="5">
        <f t="shared" si="0"/>
        <v>0</v>
      </c>
      <c r="G25" s="193">
        <f t="shared" si="1"/>
        <v>0</v>
      </c>
    </row>
    <row r="26" spans="1:7">
      <c r="A26" s="167" t="s">
        <v>43</v>
      </c>
      <c r="B26" s="39" t="s">
        <v>696</v>
      </c>
      <c r="C26" s="188">
        <v>50.5</v>
      </c>
      <c r="D26" s="188">
        <f>SUMIF(Forecast!D:D,A26,Forecast!AG:AG)</f>
        <v>1091313.93</v>
      </c>
      <c r="F26" s="5">
        <f t="shared" si="0"/>
        <v>0</v>
      </c>
      <c r="G26" s="193">
        <f t="shared" si="1"/>
        <v>0</v>
      </c>
    </row>
    <row r="27" spans="1:7">
      <c r="A27" s="167" t="s">
        <v>45</v>
      </c>
      <c r="B27" s="39" t="s">
        <v>433</v>
      </c>
      <c r="C27" s="188">
        <v>0</v>
      </c>
      <c r="D27" s="188">
        <f>SUMIF(Forecast!D:D,A27,Forecast!AG:AG)</f>
        <v>99722.64</v>
      </c>
      <c r="F27" s="5">
        <f t="shared" si="0"/>
        <v>0</v>
      </c>
      <c r="G27" s="193">
        <f t="shared" si="1"/>
        <v>0</v>
      </c>
    </row>
    <row r="28" spans="1:7">
      <c r="A28" s="167" t="s">
        <v>47</v>
      </c>
      <c r="B28" s="39" t="s">
        <v>433</v>
      </c>
      <c r="C28" s="188">
        <v>1.5</v>
      </c>
      <c r="D28" s="188">
        <f>SUMIF(Forecast!D:D,A28,Forecast!AG:AG)</f>
        <v>0</v>
      </c>
      <c r="F28" s="5">
        <f t="shared" si="0"/>
        <v>0</v>
      </c>
      <c r="G28" s="193">
        <f t="shared" si="1"/>
        <v>0</v>
      </c>
    </row>
    <row r="29" spans="1:7">
      <c r="A29" s="168" t="s">
        <v>679</v>
      </c>
      <c r="B29" s="39" t="s">
        <v>695</v>
      </c>
      <c r="C29" s="188">
        <v>0</v>
      </c>
      <c r="D29" s="188">
        <f>SUMIF(Forecast!D:D,A29,Forecast!AG:AG)</f>
        <v>91419.959999999948</v>
      </c>
      <c r="F29" s="5">
        <f t="shared" si="0"/>
        <v>0</v>
      </c>
      <c r="G29" s="193">
        <f t="shared" si="1"/>
        <v>0</v>
      </c>
    </row>
    <row r="30" spans="1:7">
      <c r="A30" s="168" t="s">
        <v>680</v>
      </c>
      <c r="B30" s="39" t="s">
        <v>695</v>
      </c>
      <c r="C30" s="188">
        <v>0</v>
      </c>
      <c r="D30" s="188">
        <f>SUMIF(Forecast!D:D,A30,Forecast!AG:AG)</f>
        <v>2607.56</v>
      </c>
      <c r="F30" s="5">
        <f t="shared" si="0"/>
        <v>0</v>
      </c>
      <c r="G30" s="193">
        <f t="shared" si="1"/>
        <v>0</v>
      </c>
    </row>
    <row r="31" spans="1:7">
      <c r="A31" s="168" t="s">
        <v>682</v>
      </c>
      <c r="B31" s="39" t="s">
        <v>695</v>
      </c>
      <c r="C31" s="188">
        <v>0</v>
      </c>
      <c r="D31" s="188">
        <f>SUMIF(Forecast!D:D,A31,Forecast!AG:AG)</f>
        <v>287274.30999999942</v>
      </c>
      <c r="F31" s="5">
        <f t="shared" si="0"/>
        <v>0</v>
      </c>
      <c r="G31" s="193">
        <f t="shared" si="1"/>
        <v>0</v>
      </c>
    </row>
    <row r="32" spans="1:7">
      <c r="A32" s="168" t="s">
        <v>681</v>
      </c>
      <c r="B32" s="39" t="s">
        <v>695</v>
      </c>
      <c r="C32" s="188">
        <v>0</v>
      </c>
      <c r="D32" s="188">
        <f>SUMIF(Forecast!D:D,A32,Forecast!AG:AG)</f>
        <v>8132.5999999999995</v>
      </c>
      <c r="F32" s="5">
        <f t="shared" si="0"/>
        <v>0</v>
      </c>
      <c r="G32" s="193">
        <f t="shared" si="1"/>
        <v>0</v>
      </c>
    </row>
    <row r="33" spans="1:7">
      <c r="A33" s="32" t="s">
        <v>668</v>
      </c>
      <c r="B33" s="39" t="s">
        <v>695</v>
      </c>
      <c r="C33" s="188">
        <v>0</v>
      </c>
      <c r="D33" s="188">
        <f>SUMIF(Forecast!D:D,A33,Forecast!AG:AG)</f>
        <v>407.92000000000007</v>
      </c>
      <c r="F33" s="5">
        <f t="shared" si="0"/>
        <v>0</v>
      </c>
      <c r="G33" s="193">
        <f t="shared" si="1"/>
        <v>0</v>
      </c>
    </row>
    <row r="34" spans="1:7">
      <c r="A34" s="32" t="s">
        <v>669</v>
      </c>
      <c r="B34" s="39" t="s">
        <v>695</v>
      </c>
      <c r="C34" s="188">
        <v>0</v>
      </c>
      <c r="D34" s="188">
        <f>SUMIF(Forecast!D:D,A34,Forecast!AG:AG)</f>
        <v>745.95999999999992</v>
      </c>
      <c r="F34" s="5">
        <f t="shared" si="0"/>
        <v>0</v>
      </c>
      <c r="G34" s="193">
        <f t="shared" si="1"/>
        <v>0</v>
      </c>
    </row>
    <row r="35" spans="1:7">
      <c r="A35" s="32" t="s">
        <v>692</v>
      </c>
      <c r="B35" s="39" t="s">
        <v>695</v>
      </c>
      <c r="C35" s="188">
        <v>0</v>
      </c>
      <c r="D35" s="188">
        <f>SUMIF(Forecast!D:D,A35,Forecast!AG:AG)</f>
        <v>0</v>
      </c>
      <c r="F35" s="5">
        <f t="shared" si="0"/>
        <v>0</v>
      </c>
      <c r="G35" s="193">
        <f t="shared" si="1"/>
        <v>0</v>
      </c>
    </row>
    <row r="36" spans="1:7">
      <c r="A36" s="32" t="s">
        <v>677</v>
      </c>
      <c r="B36" s="39" t="s">
        <v>695</v>
      </c>
      <c r="C36" s="188">
        <v>0</v>
      </c>
      <c r="D36" s="188">
        <f>SUMIF(Forecast!D:D,A36,Forecast!AG:AG)</f>
        <v>21.799999999999997</v>
      </c>
      <c r="F36" s="5">
        <f t="shared" si="0"/>
        <v>0</v>
      </c>
      <c r="G36" s="193">
        <f t="shared" si="1"/>
        <v>0</v>
      </c>
    </row>
    <row r="37" spans="1:7">
      <c r="A37" s="32" t="s">
        <v>637</v>
      </c>
      <c r="B37" s="39" t="s">
        <v>695</v>
      </c>
      <c r="C37" s="188">
        <v>0</v>
      </c>
      <c r="D37" s="188">
        <f>SUMIF(Forecast!D:D,A37,Forecast!AG:AG)</f>
        <v>2564130.4400000079</v>
      </c>
      <c r="F37" s="5">
        <f t="shared" si="0"/>
        <v>0</v>
      </c>
      <c r="G37" s="193">
        <f t="shared" si="1"/>
        <v>0</v>
      </c>
    </row>
    <row r="38" spans="1:7">
      <c r="A38" s="32" t="s">
        <v>639</v>
      </c>
      <c r="B38" s="39" t="s">
        <v>695</v>
      </c>
      <c r="C38" s="188">
        <v>0</v>
      </c>
      <c r="D38" s="188">
        <f>SUMIF(Forecast!D:D,A38,Forecast!AG:AG)</f>
        <v>58648.149999999994</v>
      </c>
      <c r="F38" s="5">
        <f t="shared" si="0"/>
        <v>0</v>
      </c>
      <c r="G38" s="193">
        <f t="shared" si="1"/>
        <v>0</v>
      </c>
    </row>
    <row r="39" spans="1:7">
      <c r="A39" s="32" t="s">
        <v>638</v>
      </c>
      <c r="B39" s="39" t="s">
        <v>695</v>
      </c>
      <c r="C39" s="188">
        <v>0</v>
      </c>
      <c r="D39" s="188">
        <f>SUMIF(Forecast!D:D,A39,Forecast!AG:AG)</f>
        <v>33814.720000000001</v>
      </c>
      <c r="F39" s="5">
        <f t="shared" si="0"/>
        <v>0</v>
      </c>
      <c r="G39" s="193">
        <f t="shared" si="1"/>
        <v>0</v>
      </c>
    </row>
    <row r="40" spans="1:7">
      <c r="A40" s="32" t="s">
        <v>687</v>
      </c>
      <c r="B40" s="39" t="s">
        <v>695</v>
      </c>
      <c r="C40" s="188">
        <v>0</v>
      </c>
      <c r="D40" s="188">
        <f>SUMIF(Forecast!D:D,A40,Forecast!AG:AG)</f>
        <v>7179.16</v>
      </c>
      <c r="F40" s="5">
        <f t="shared" si="0"/>
        <v>0</v>
      </c>
      <c r="G40" s="193">
        <f t="shared" si="1"/>
        <v>0</v>
      </c>
    </row>
    <row r="41" spans="1:7">
      <c r="A41" s="32" t="s">
        <v>640</v>
      </c>
      <c r="B41" s="39" t="s">
        <v>695</v>
      </c>
      <c r="C41" s="188">
        <v>0</v>
      </c>
      <c r="D41" s="188">
        <f>SUMIF(Forecast!D:D,A41,Forecast!AG:AG)</f>
        <v>452806.78</v>
      </c>
      <c r="F41" s="5">
        <f t="shared" si="0"/>
        <v>0</v>
      </c>
      <c r="G41" s="193">
        <f t="shared" si="1"/>
        <v>0</v>
      </c>
    </row>
    <row r="42" spans="1:7">
      <c r="A42" s="32" t="s">
        <v>642</v>
      </c>
      <c r="B42" s="39" t="s">
        <v>695</v>
      </c>
      <c r="C42" s="188">
        <v>0</v>
      </c>
      <c r="D42" s="188">
        <f>SUMIF(Forecast!D:D,A42,Forecast!AG:AG)</f>
        <v>68021.599999999991</v>
      </c>
      <c r="F42" s="5">
        <f t="shared" si="0"/>
        <v>0</v>
      </c>
      <c r="G42" s="193">
        <f t="shared" si="1"/>
        <v>0</v>
      </c>
    </row>
    <row r="43" spans="1:7">
      <c r="A43" s="32" t="s">
        <v>641</v>
      </c>
      <c r="B43" s="39" t="s">
        <v>695</v>
      </c>
      <c r="C43" s="188">
        <v>0</v>
      </c>
      <c r="D43" s="188">
        <f>SUMIF(Forecast!D:D,A43,Forecast!AG:AG)</f>
        <v>11015.56</v>
      </c>
      <c r="F43" s="5">
        <f t="shared" si="0"/>
        <v>0</v>
      </c>
      <c r="G43" s="193">
        <f t="shared" si="1"/>
        <v>0</v>
      </c>
    </row>
    <row r="44" spans="1:7">
      <c r="A44" s="32" t="s">
        <v>643</v>
      </c>
      <c r="B44" s="39" t="s">
        <v>695</v>
      </c>
      <c r="C44" s="188">
        <v>0</v>
      </c>
      <c r="D44" s="188">
        <f>SUMIF(Forecast!D:D,A44,Forecast!AG:AG)</f>
        <v>3281.4999999999995</v>
      </c>
      <c r="F44" s="5">
        <f t="shared" si="0"/>
        <v>0</v>
      </c>
      <c r="G44" s="193">
        <f t="shared" si="1"/>
        <v>0</v>
      </c>
    </row>
    <row r="45" spans="1:7">
      <c r="A45" s="32" t="s">
        <v>644</v>
      </c>
      <c r="B45" s="39" t="s">
        <v>695</v>
      </c>
      <c r="C45" s="188">
        <v>0</v>
      </c>
      <c r="D45" s="188">
        <f>SUMIF(Forecast!D:D,A45,Forecast!AG:AG)</f>
        <v>477588.38999999996</v>
      </c>
      <c r="F45" s="5">
        <f t="shared" si="0"/>
        <v>0</v>
      </c>
      <c r="G45" s="193">
        <f t="shared" si="1"/>
        <v>0</v>
      </c>
    </row>
    <row r="46" spans="1:7">
      <c r="A46" s="32" t="s">
        <v>646</v>
      </c>
      <c r="B46" s="39" t="s">
        <v>695</v>
      </c>
      <c r="C46" s="188">
        <v>0</v>
      </c>
      <c r="D46" s="188">
        <f>SUMIF(Forecast!D:D,A46,Forecast!AG:AG)</f>
        <v>397888.98</v>
      </c>
      <c r="F46" s="5">
        <f t="shared" si="0"/>
        <v>0</v>
      </c>
      <c r="G46" s="193">
        <f t="shared" si="1"/>
        <v>0</v>
      </c>
    </row>
    <row r="47" spans="1:7">
      <c r="A47" s="32" t="s">
        <v>645</v>
      </c>
      <c r="B47" s="39" t="s">
        <v>695</v>
      </c>
      <c r="C47" s="188">
        <v>0</v>
      </c>
      <c r="D47" s="188">
        <f>SUMIF(Forecast!D:D,A47,Forecast!AG:AG)</f>
        <v>9504.16</v>
      </c>
      <c r="F47" s="5">
        <f t="shared" si="0"/>
        <v>0</v>
      </c>
      <c r="G47" s="193">
        <f t="shared" si="1"/>
        <v>0</v>
      </c>
    </row>
    <row r="48" spans="1:7">
      <c r="A48" s="32" t="s">
        <v>647</v>
      </c>
      <c r="B48" s="39" t="s">
        <v>695</v>
      </c>
      <c r="C48" s="188">
        <v>0</v>
      </c>
      <c r="D48" s="188">
        <f>SUMIF(Forecast!D:D,A48,Forecast!AG:AG)</f>
        <v>17953.97</v>
      </c>
      <c r="F48" s="5">
        <f t="shared" si="0"/>
        <v>0</v>
      </c>
      <c r="G48" s="193">
        <f t="shared" si="1"/>
        <v>0</v>
      </c>
    </row>
    <row r="49" spans="1:8">
      <c r="A49" s="32" t="s">
        <v>675</v>
      </c>
      <c r="B49" s="39" t="s">
        <v>695</v>
      </c>
      <c r="C49" s="188">
        <v>0</v>
      </c>
      <c r="D49" s="188">
        <f>SUMIF(Forecast!D:D,A49,Forecast!AG:AG)</f>
        <v>34301.160000000003</v>
      </c>
      <c r="F49" s="5">
        <f t="shared" si="0"/>
        <v>0</v>
      </c>
      <c r="G49" s="193">
        <f t="shared" si="1"/>
        <v>0</v>
      </c>
    </row>
    <row r="50" spans="1:8">
      <c r="A50" s="32" t="s">
        <v>676</v>
      </c>
      <c r="B50" s="39" t="s">
        <v>695</v>
      </c>
      <c r="C50" s="188">
        <v>0</v>
      </c>
      <c r="D50" s="188">
        <f>SUMIF(Forecast!D:D,A50,Forecast!AG:AG)</f>
        <v>0</v>
      </c>
      <c r="F50" s="5">
        <f t="shared" si="0"/>
        <v>0</v>
      </c>
      <c r="G50" s="193">
        <f t="shared" si="1"/>
        <v>0</v>
      </c>
    </row>
    <row r="51" spans="1:8">
      <c r="A51" s="32" t="s">
        <v>683</v>
      </c>
      <c r="B51" s="39" t="s">
        <v>695</v>
      </c>
      <c r="C51" s="188">
        <v>0</v>
      </c>
      <c r="D51" s="188">
        <f>SUMIF(Forecast!D:D,A51,Forecast!AG:AG)</f>
        <v>1096930.3500000003</v>
      </c>
      <c r="F51" s="5">
        <f t="shared" si="0"/>
        <v>0</v>
      </c>
      <c r="G51" s="193">
        <f t="shared" si="1"/>
        <v>0</v>
      </c>
    </row>
    <row r="52" spans="1:8">
      <c r="A52" s="32" t="s">
        <v>684</v>
      </c>
      <c r="B52" s="39" t="s">
        <v>695</v>
      </c>
      <c r="C52" s="188">
        <v>0</v>
      </c>
      <c r="D52" s="188">
        <f>SUMIF(Forecast!D:D,A52,Forecast!AG:AG)</f>
        <v>59512.849999999991</v>
      </c>
      <c r="F52" s="5">
        <f t="shared" si="0"/>
        <v>0</v>
      </c>
      <c r="G52" s="193">
        <f t="shared" si="1"/>
        <v>0</v>
      </c>
    </row>
    <row r="53" spans="1:8">
      <c r="A53" s="32" t="s">
        <v>685</v>
      </c>
      <c r="B53" s="39" t="s">
        <v>695</v>
      </c>
      <c r="C53" s="188">
        <v>0</v>
      </c>
      <c r="D53" s="188">
        <f>SUMIF(Forecast!D:D,A53,Forecast!AG:AG)</f>
        <v>2376848.7600000002</v>
      </c>
      <c r="F53" s="5">
        <f t="shared" si="0"/>
        <v>0</v>
      </c>
      <c r="G53" s="193">
        <f t="shared" si="1"/>
        <v>0</v>
      </c>
    </row>
    <row r="54" spans="1:8">
      <c r="A54" s="32" t="s">
        <v>686</v>
      </c>
      <c r="B54" s="39" t="s">
        <v>695</v>
      </c>
      <c r="C54" s="188">
        <v>0</v>
      </c>
      <c r="D54" s="188">
        <f>SUMIF(Forecast!D:D,A54,Forecast!AG:AG)</f>
        <v>47542.520000000004</v>
      </c>
      <c r="F54" s="5">
        <f t="shared" si="0"/>
        <v>0</v>
      </c>
      <c r="G54" s="193">
        <f t="shared" si="1"/>
        <v>0</v>
      </c>
    </row>
    <row r="55" spans="1:8" s="252" customFormat="1">
      <c r="A55" s="168" t="s">
        <v>54</v>
      </c>
      <c r="B55" s="41" t="s">
        <v>695</v>
      </c>
      <c r="C55" s="440">
        <v>0</v>
      </c>
      <c r="D55" s="440">
        <f>SUMIF(Forecast!D:D,A55,Forecast!AG:AG)</f>
        <v>3034325.4999999991</v>
      </c>
      <c r="E55" s="440"/>
      <c r="F55" s="57">
        <f t="shared" si="0"/>
        <v>0</v>
      </c>
      <c r="G55" s="254">
        <f t="shared" si="1"/>
        <v>0</v>
      </c>
    </row>
    <row r="56" spans="1:8" s="252" customFormat="1">
      <c r="A56" s="168" t="s">
        <v>56</v>
      </c>
      <c r="B56" s="41" t="s">
        <v>433</v>
      </c>
      <c r="C56" s="440">
        <v>0</v>
      </c>
      <c r="D56" s="440">
        <f>SUMIF(Forecast!D:D,A56,Forecast!AG:AG)</f>
        <v>1046613.74</v>
      </c>
      <c r="E56" s="440"/>
      <c r="F56" s="57">
        <f t="shared" si="0"/>
        <v>0</v>
      </c>
      <c r="G56" s="254">
        <f t="shared" si="1"/>
        <v>0</v>
      </c>
    </row>
    <row r="57" spans="1:8" s="252" customFormat="1">
      <c r="A57" s="168" t="s">
        <v>58</v>
      </c>
      <c r="B57" s="41" t="s">
        <v>433</v>
      </c>
      <c r="C57" s="440">
        <v>0</v>
      </c>
      <c r="D57" s="440">
        <f>SUMIF(Forecast!D:D,A57,Forecast!AG:AG)</f>
        <v>2481663.19</v>
      </c>
      <c r="E57" s="440"/>
      <c r="F57" s="57">
        <f t="shared" si="0"/>
        <v>0</v>
      </c>
      <c r="G57" s="254">
        <f t="shared" si="1"/>
        <v>0</v>
      </c>
      <c r="H57" s="252" t="s">
        <v>711</v>
      </c>
    </row>
    <row r="58" spans="1:8" s="252" customFormat="1">
      <c r="A58" s="168" t="s">
        <v>60</v>
      </c>
      <c r="B58" s="41" t="s">
        <v>433</v>
      </c>
      <c r="C58" s="440">
        <v>0</v>
      </c>
      <c r="D58" s="440">
        <f>SUMIF(Forecast!D:D,A58,Forecast!AG:AG)</f>
        <v>4294439.17</v>
      </c>
      <c r="E58" s="440"/>
      <c r="F58" s="57">
        <f t="shared" si="0"/>
        <v>0</v>
      </c>
      <c r="G58" s="254">
        <f t="shared" si="1"/>
        <v>0</v>
      </c>
    </row>
    <row r="59" spans="1:8" s="252" customFormat="1">
      <c r="A59" s="168" t="s">
        <v>62</v>
      </c>
      <c r="B59" s="41" t="s">
        <v>433</v>
      </c>
      <c r="C59" s="440">
        <v>0</v>
      </c>
      <c r="D59" s="440">
        <f>SUMIF(Forecast!D:D,A59,Forecast!AG:AG)</f>
        <v>4981990.38</v>
      </c>
      <c r="E59" s="440"/>
      <c r="F59" s="57">
        <f t="shared" si="0"/>
        <v>0</v>
      </c>
      <c r="G59" s="254">
        <f t="shared" si="1"/>
        <v>0</v>
      </c>
    </row>
    <row r="60" spans="1:8" s="252" customFormat="1">
      <c r="A60" s="168" t="s">
        <v>64</v>
      </c>
      <c r="B60" s="41" t="s">
        <v>433</v>
      </c>
      <c r="C60" s="440">
        <v>0</v>
      </c>
      <c r="D60" s="440">
        <f>SUMIF(Forecast!D:D,A60,Forecast!AG:AG)</f>
        <v>3703322.77</v>
      </c>
      <c r="E60" s="440"/>
      <c r="F60" s="57">
        <f t="shared" si="0"/>
        <v>0</v>
      </c>
      <c r="G60" s="254">
        <f t="shared" si="1"/>
        <v>0</v>
      </c>
    </row>
    <row r="61" spans="1:8" s="252" customFormat="1">
      <c r="A61" s="168" t="s">
        <v>66</v>
      </c>
      <c r="B61" s="41" t="s">
        <v>433</v>
      </c>
      <c r="C61" s="440">
        <v>0</v>
      </c>
      <c r="D61" s="440">
        <f>SUMIF(Forecast!D:D,A61,Forecast!AG:AG)</f>
        <v>3630889.0000000005</v>
      </c>
      <c r="E61" s="57"/>
      <c r="F61" s="57">
        <f t="shared" si="0"/>
        <v>0</v>
      </c>
      <c r="G61" s="254">
        <f t="shared" si="1"/>
        <v>0</v>
      </c>
    </row>
    <row r="62" spans="1:8" s="252" customFormat="1">
      <c r="A62" s="168" t="s">
        <v>68</v>
      </c>
      <c r="B62" s="41" t="s">
        <v>712</v>
      </c>
      <c r="C62" s="440">
        <v>0</v>
      </c>
      <c r="D62" s="440">
        <f>SUMIF(Forecast!D:D,A62,Forecast!AG:AG)</f>
        <v>1227248.6200000001</v>
      </c>
      <c r="E62" s="57">
        <v>300000</v>
      </c>
      <c r="F62" s="57">
        <f t="shared" si="0"/>
        <v>1527248.62</v>
      </c>
      <c r="G62" s="254">
        <f t="shared" si="1"/>
        <v>1527248.62</v>
      </c>
    </row>
    <row r="63" spans="1:8" s="252" customFormat="1">
      <c r="A63" s="168" t="s">
        <v>70</v>
      </c>
      <c r="B63" s="41" t="s">
        <v>433</v>
      </c>
      <c r="C63" s="440">
        <v>0</v>
      </c>
      <c r="D63" s="440">
        <f>SUMIF(Forecast!D:D,A63,Forecast!AG:AG)</f>
        <v>17027033.560000002</v>
      </c>
      <c r="E63" s="57"/>
      <c r="F63" s="57">
        <f t="shared" si="0"/>
        <v>0</v>
      </c>
      <c r="G63" s="254">
        <f t="shared" si="1"/>
        <v>0</v>
      </c>
    </row>
    <row r="64" spans="1:8" s="252" customFormat="1">
      <c r="A64" s="168" t="s">
        <v>108</v>
      </c>
      <c r="B64" s="41" t="s">
        <v>433</v>
      </c>
      <c r="C64" s="440">
        <v>0</v>
      </c>
      <c r="D64" s="440">
        <f>SUMIF(Forecast!D:D,A64,Forecast!AG:AG)</f>
        <v>0</v>
      </c>
      <c r="E64" s="57"/>
      <c r="F64" s="57">
        <f t="shared" si="0"/>
        <v>0</v>
      </c>
      <c r="G64" s="254">
        <f t="shared" si="1"/>
        <v>0</v>
      </c>
    </row>
    <row r="65" spans="1:7">
      <c r="A65" s="168" t="s">
        <v>72</v>
      </c>
      <c r="B65" s="39" t="s">
        <v>712</v>
      </c>
      <c r="C65" s="188">
        <v>0</v>
      </c>
      <c r="D65" s="188">
        <f>SUMIF(Forecast!D:D,A65,Forecast!AG:AG)</f>
        <v>887806.67999999982</v>
      </c>
      <c r="E65" s="57">
        <f>D65-F65</f>
        <v>787675.67999999982</v>
      </c>
      <c r="F65" s="5">
        <v>100131</v>
      </c>
      <c r="G65" s="193">
        <f t="shared" si="1"/>
        <v>100131</v>
      </c>
    </row>
  </sheetData>
  <phoneticPr fontId="59" type="noConversion"/>
  <pageMargins left="0.7" right="0.7" top="0.75" bottom="0.75" header="0.3" footer="0.3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F28747DC65444BAA5984907B42FC5" ma:contentTypeVersion="4" ma:contentTypeDescription="Create a new document." ma:contentTypeScope="" ma:versionID="f6e5326aa2448e41161bd848bda14262">
  <xsd:schema xmlns:xsd="http://www.w3.org/2001/XMLSchema" xmlns:xs="http://www.w3.org/2001/XMLSchema" xmlns:p="http://schemas.microsoft.com/office/2006/metadata/properties" xmlns:ns2="88ec399f-bc40-423e-a932-6923d6eb88dd" targetNamespace="http://schemas.microsoft.com/office/2006/metadata/properties" ma:root="true" ma:fieldsID="5f16f0f2b539ed0b4c42a57f5709b08d" ns2:_="">
    <xsd:import namespace="88ec399f-bc40-423e-a932-6923d6eb8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c399f-bc40-423e-a932-6923d6eb8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53D87-D574-4CE2-8C66-BE2A8653938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88ec399f-bc40-423e-a932-6923d6eb88d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F96F55-DD8F-4DD5-9889-4155DD2C96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40034-8CC6-4637-AA72-4825F20DA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ec399f-bc40-423e-a932-6923d6eb8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TOC</vt:lpstr>
      <vt:lpstr>Forecast</vt:lpstr>
      <vt:lpstr>Report_Regression</vt:lpstr>
      <vt:lpstr>WP_Regression Summary</vt:lpstr>
      <vt:lpstr>WP_Regression_RES Cust Count</vt:lpstr>
      <vt:lpstr>WP_Regression_RES UPC</vt:lpstr>
      <vt:lpstr>WP_Regreession_COM Cust Count</vt:lpstr>
      <vt:lpstr>WP_Regression_COM UPC</vt:lpstr>
      <vt:lpstr>Input Sheets -&gt;</vt:lpstr>
      <vt:lpstr>Input_2018CUST-YTD</vt:lpstr>
      <vt:lpstr>Input_2018VOL-YTD</vt:lpstr>
      <vt:lpstr>Input_2019CUST-YTD</vt:lpstr>
      <vt:lpstr>Input_2019VOL-YTD</vt:lpstr>
      <vt:lpstr>Input_2020CUST-YTD</vt:lpstr>
      <vt:lpstr>Input_2020VOL-YTD</vt:lpstr>
      <vt:lpstr>Input_2021CUST-YTD</vt:lpstr>
      <vt:lpstr>Input_2021VOL-YTD</vt:lpstr>
      <vt:lpstr>Input_2021MARG-YTD</vt:lpstr>
      <vt:lpstr>Input_Fcst Inputs</vt:lpstr>
      <vt:lpstr>'Input_2018CUST-YTD'!Print_Area</vt:lpstr>
      <vt:lpstr>'Input_2018VOL-YTD'!Print_Area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Heintz</dc:creator>
  <cp:keywords/>
  <dc:description/>
  <cp:lastModifiedBy>Svetlana Atoyan</cp:lastModifiedBy>
  <cp:revision/>
  <cp:lastPrinted>2022-05-18T19:20:54Z</cp:lastPrinted>
  <dcterms:created xsi:type="dcterms:W3CDTF">2010-01-19T18:40:51Z</dcterms:created>
  <dcterms:modified xsi:type="dcterms:W3CDTF">2022-06-06T20:19:58Z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{3C299F93-4024-4040-889A-64EDB4C8B649}</vt:lpwstr>
  </property>
  <property fmtid="{D5CDD505-2E9C-101B-9397-08002B2CF9AE}" pid="3" name="ContentTypeId">
    <vt:lpwstr>0x010100DD2F28747DC65444BAA5984907B42FC5</vt:lpwstr>
  </property>
</Properties>
</file>