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273A6149-0946-4B67-86B5-422065CAF8A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PC OPD 3-82-Full Year" sheetId="6" r:id="rId1"/>
    <sheet name="OPC OPD 3-82-as filed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5" l="1"/>
  <c r="C67" i="5" s="1"/>
  <c r="C34" i="5" s="1"/>
  <c r="C57" i="5"/>
  <c r="C56" i="5"/>
  <c r="C58" i="5" s="1"/>
  <c r="C59" i="5" s="1"/>
  <c r="C50" i="5" s="1"/>
  <c r="C48" i="5"/>
  <c r="O39" i="5"/>
  <c r="O41" i="5" s="1"/>
  <c r="E37" i="5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C33" i="5"/>
  <c r="D38" i="5" s="1"/>
  <c r="C21" i="5"/>
  <c r="C23" i="5" s="1"/>
  <c r="C24" i="5" s="1"/>
  <c r="C26" i="5" s="1"/>
  <c r="C16" i="5"/>
  <c r="C67" i="6"/>
  <c r="C34" i="6" s="1"/>
  <c r="C66" i="6"/>
  <c r="C57" i="6"/>
  <c r="C58" i="6" s="1"/>
  <c r="C48" i="6"/>
  <c r="O39" i="6"/>
  <c r="O41" i="6" s="1"/>
  <c r="N39" i="6"/>
  <c r="N41" i="6" s="1"/>
  <c r="M39" i="6"/>
  <c r="M41" i="6" s="1"/>
  <c r="E37" i="6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P37" i="6" s="1"/>
  <c r="C33" i="6"/>
  <c r="C56" i="6" s="1"/>
  <c r="C21" i="6"/>
  <c r="C23" i="6" s="1"/>
  <c r="C24" i="6" s="1"/>
  <c r="C26" i="6" s="1"/>
  <c r="C15" i="6"/>
  <c r="C14" i="6"/>
  <c r="C16" i="6" s="1"/>
  <c r="D41" i="5" l="1"/>
  <c r="C38" i="5"/>
  <c r="C49" i="5" s="1"/>
  <c r="N39" i="5"/>
  <c r="M39" i="5" s="1"/>
  <c r="L39" i="5" s="1"/>
  <c r="D38" i="6"/>
  <c r="C38" i="6" s="1"/>
  <c r="L39" i="6"/>
  <c r="K39" i="6" s="1"/>
  <c r="C50" i="6"/>
  <c r="C40" i="6" s="1"/>
  <c r="C49" i="6" s="1"/>
  <c r="C59" i="6"/>
  <c r="J39" i="6"/>
  <c r="K41" i="6"/>
  <c r="M41" i="5"/>
  <c r="N41" i="5"/>
  <c r="D41" i="6"/>
  <c r="L41" i="6"/>
  <c r="C41" i="6" l="1"/>
  <c r="L41" i="5"/>
  <c r="K39" i="5"/>
  <c r="I39" i="6"/>
  <c r="J41" i="6"/>
  <c r="C44" i="6"/>
  <c r="C43" i="6"/>
  <c r="C45" i="6" l="1"/>
  <c r="C46" i="6" s="1"/>
  <c r="C51" i="6" s="1"/>
  <c r="I41" i="6"/>
  <c r="H39" i="6"/>
  <c r="K41" i="5"/>
  <c r="J39" i="5"/>
  <c r="I39" i="5" l="1"/>
  <c r="J41" i="5"/>
  <c r="G39" i="6"/>
  <c r="H41" i="6"/>
  <c r="F39" i="6" l="1"/>
  <c r="G41" i="6"/>
  <c r="H39" i="5"/>
  <c r="I41" i="5"/>
  <c r="G39" i="5" l="1"/>
  <c r="H41" i="5"/>
  <c r="E39" i="6"/>
  <c r="E41" i="6" s="1"/>
  <c r="F41" i="6"/>
  <c r="F39" i="5" l="1"/>
  <c r="G41" i="5"/>
  <c r="E39" i="5" l="1"/>
  <c r="F41" i="5"/>
  <c r="C39" i="5" l="1"/>
  <c r="C41" i="5" s="1"/>
  <c r="E41" i="5"/>
  <c r="C44" i="5" l="1"/>
  <c r="C43" i="5"/>
  <c r="C45" i="5" l="1"/>
  <c r="C46" i="5"/>
  <c r="C51" i="5" s="1"/>
  <c r="D51" i="6" s="1"/>
</calcChain>
</file>

<file path=xl/sharedStrings.xml><?xml version="1.0" encoding="utf-8"?>
<sst xmlns="http://schemas.openxmlformats.org/spreadsheetml/2006/main" count="115" uniqueCount="59">
  <si>
    <t>Composite Tax Rate</t>
  </si>
  <si>
    <t>State</t>
  </si>
  <si>
    <t>Federal</t>
  </si>
  <si>
    <t>Equity Tax Gross UP</t>
  </si>
  <si>
    <t>Investment</t>
  </si>
  <si>
    <t>Depreciation</t>
  </si>
  <si>
    <t>Revenue Requirement</t>
  </si>
  <si>
    <t>Plant In Service</t>
  </si>
  <si>
    <t>Accumulated Depreciation</t>
  </si>
  <si>
    <t>Rate Base Impact</t>
  </si>
  <si>
    <t>Equity Return Requirement</t>
  </si>
  <si>
    <t>Debt Return Requirement</t>
  </si>
  <si>
    <t>Income Tax On Equity Return</t>
  </si>
  <si>
    <t>Total Revenue Requirement</t>
  </si>
  <si>
    <t>Year</t>
  </si>
  <si>
    <t>Land</t>
  </si>
  <si>
    <t>Plant facilities</t>
  </si>
  <si>
    <t>Property Tax</t>
  </si>
  <si>
    <t>Property Tax Factor</t>
  </si>
  <si>
    <t>Depreciation Rate-Book</t>
  </si>
  <si>
    <t>Salary Wages &amp; Benefits &amp; other O&amp;M</t>
  </si>
  <si>
    <t>Proposed Return on Equity</t>
  </si>
  <si>
    <t>Proposed Return on Debt</t>
  </si>
  <si>
    <t>Total Return</t>
  </si>
  <si>
    <t xml:space="preserve">  - MFG Schedule G-3, page 2 Column "Weighted Cost", Line 1</t>
  </si>
  <si>
    <t xml:space="preserve">  - MFG Schedule G-3, page 2 Column "Weighted Cost", Sum of Lines 2-4</t>
  </si>
  <si>
    <t>CWIP</t>
  </si>
  <si>
    <t>Average</t>
  </si>
  <si>
    <t>Return on Rate Base</t>
  </si>
  <si>
    <t xml:space="preserve">Line </t>
  </si>
  <si>
    <t>No.</t>
  </si>
  <si>
    <t>Average Depreciable Plant</t>
  </si>
  <si>
    <t>Proposed Book Depreciation Rate</t>
  </si>
  <si>
    <t>Property Tax Factor - Estimated</t>
  </si>
  <si>
    <t>Depreication Expense - Full Month</t>
  </si>
  <si>
    <t xml:space="preserve">Depreication Expense - Mid-Month </t>
  </si>
  <si>
    <t>Property Taxes</t>
  </si>
  <si>
    <t>2018 Estimated Property Taxes</t>
  </si>
  <si>
    <t>2018 Average Plant in Service</t>
  </si>
  <si>
    <t>Net Plant</t>
  </si>
  <si>
    <t xml:space="preserve"> - Line 15 x Line 1</t>
  </si>
  <si>
    <t xml:space="preserve"> - Line 15 x Line 2</t>
  </si>
  <si>
    <t>Line 19/Line 9</t>
  </si>
  <si>
    <t>Capital Spend/In Service</t>
  </si>
  <si>
    <t>Florida City Gas</t>
  </si>
  <si>
    <t>Docket No. 2017-0179</t>
  </si>
  <si>
    <t>OPC POD 3-82</t>
  </si>
  <si>
    <t xml:space="preserve"> - incremental impact</t>
  </si>
  <si>
    <t xml:space="preserve"> - based off amount excluded by OPC in case, which was full year amount provided in ROG 131</t>
  </si>
  <si>
    <t>based on 1/3 of annualized amount - the case had employees for four months</t>
  </si>
  <si>
    <t>Depreciation Expense - Full Month</t>
  </si>
  <si>
    <t xml:space="preserve">Depreciation Expense - Mid-Month </t>
  </si>
  <si>
    <t>Docket No. 20220069-GU</t>
  </si>
  <si>
    <t>Attachment No. 1 of 1</t>
  </si>
  <si>
    <t>OPC's Fifth Set of Interrogatories</t>
  </si>
  <si>
    <t>Interrogatory No. 172</t>
  </si>
  <si>
    <t>Tab 1 of 2</t>
  </si>
  <si>
    <t>Tab 2 of 2</t>
  </si>
  <si>
    <t xml:space="preserve">Florida City 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</si>
</sst>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* #,##0_);_(* \(#,##0\);_(* &quot;-&quot;??_);_(@_)"/>
    <numFmt numFmtId="167" formatCode="_-* #,##0.00_-;\-* #,##0.00_-;_-* &quot;-&quot;??_-;_-@_-"/>
    <numFmt numFmtId="168" formatCode="_-* #,##0_-;\-* #,##0_-;_-* &quot;-&quot;??_-;_-@_-"/>
    <numFmt numFmtId="169" formatCode="[$-409]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Helv"/>
      <family val="2"/>
    </font>
    <font>
      <sz val="11"/>
      <name val="Calibri"/>
      <family val="2"/>
      <scheme val="mino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3" fillId="0" borderId="0"/>
    <xf numFmtId="167" fontId="1" fillId="0" borderId="0" applyFont="0" applyFill="0" applyBorder="0" applyAlignment="0" applyProtection="0"/>
    <xf numFmtId="5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1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10" fontId="0" fillId="0" borderId="0" xfId="1" applyNumberFormat="1" applyFont="1"/>
    <xf numFmtId="165" fontId="0" fillId="0" borderId="0" xfId="2" applyNumberFormat="1" applyFont="1"/>
    <xf numFmtId="0" fontId="2" fillId="0" borderId="0" xfId="0" applyFont="1"/>
    <xf numFmtId="166" fontId="0" fillId="0" borderId="0" xfId="4" applyNumberFormat="1" applyFont="1"/>
    <xf numFmtId="166" fontId="0" fillId="0" borderId="1" xfId="4" applyNumberFormat="1" applyFont="1" applyBorder="1"/>
    <xf numFmtId="165" fontId="2" fillId="0" borderId="0" xfId="4" applyNumberFormat="1" applyFont="1" applyBorder="1"/>
    <xf numFmtId="165" fontId="0" fillId="0" borderId="0" xfId="4" applyNumberFormat="1" applyFont="1" applyBorder="1"/>
    <xf numFmtId="10" fontId="0" fillId="0" borderId="1" xfId="1" applyNumberFormat="1" applyFont="1" applyBorder="1"/>
    <xf numFmtId="10" fontId="0" fillId="0" borderId="2" xfId="1" applyNumberFormat="1" applyFont="1" applyBorder="1"/>
    <xf numFmtId="41" fontId="0" fillId="0" borderId="0" xfId="4" applyNumberFormat="1" applyFont="1"/>
    <xf numFmtId="0" fontId="2" fillId="0" borderId="0" xfId="0" applyFont="1" applyAlignment="1">
      <alignment wrapText="1"/>
    </xf>
    <xf numFmtId="10" fontId="0" fillId="0" borderId="0" xfId="1" applyNumberFormat="1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0" fontId="0" fillId="0" borderId="0" xfId="0" applyFont="1"/>
    <xf numFmtId="10" fontId="0" fillId="0" borderId="0" xfId="0" applyNumberFormat="1" applyFont="1"/>
    <xf numFmtId="165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44" fontId="0" fillId="0" borderId="0" xfId="0" applyNumberFormat="1" applyFont="1"/>
    <xf numFmtId="44" fontId="0" fillId="0" borderId="1" xfId="0" applyNumberFormat="1" applyFont="1" applyBorder="1"/>
    <xf numFmtId="164" fontId="4" fillId="0" borderId="0" xfId="6" applyFont="1"/>
    <xf numFmtId="10" fontId="4" fillId="0" borderId="0" xfId="6" applyNumberFormat="1" applyFont="1" applyProtection="1"/>
    <xf numFmtId="164" fontId="4" fillId="0" borderId="0" xfId="6" applyFont="1" applyAlignment="1">
      <alignment horizontal="center"/>
    </xf>
    <xf numFmtId="168" fontId="4" fillId="0" borderId="0" xfId="7" applyNumberFormat="1" applyFont="1"/>
    <xf numFmtId="10" fontId="4" fillId="0" borderId="1" xfId="1" applyNumberFormat="1" applyFont="1" applyBorder="1"/>
    <xf numFmtId="169" fontId="0" fillId="0" borderId="0" xfId="0" applyNumberFormat="1" applyFont="1" applyAlignment="1">
      <alignment horizontal="center"/>
    </xf>
    <xf numFmtId="44" fontId="0" fillId="0" borderId="0" xfId="2" applyNumberFormat="1" applyFont="1"/>
    <xf numFmtId="165" fontId="0" fillId="0" borderId="0" xfId="2" applyNumberFormat="1" applyFont="1" applyBorder="1"/>
    <xf numFmtId="166" fontId="0" fillId="0" borderId="0" xfId="4" applyNumberFormat="1" applyFont="1" applyBorder="1"/>
    <xf numFmtId="0" fontId="2" fillId="0" borderId="0" xfId="0" applyFont="1" applyFill="1"/>
    <xf numFmtId="165" fontId="2" fillId="0" borderId="1" xfId="4" applyNumberFormat="1" applyFont="1" applyFill="1" applyBorder="1"/>
    <xf numFmtId="166" fontId="0" fillId="0" borderId="0" xfId="4" applyNumberFormat="1" applyFont="1" applyFill="1"/>
    <xf numFmtId="0" fontId="0" fillId="0" borderId="0" xfId="0" applyFont="1" applyFill="1" applyBorder="1"/>
    <xf numFmtId="165" fontId="0" fillId="0" borderId="0" xfId="0" applyNumberFormat="1" applyFont="1" applyFill="1" applyBorder="1"/>
    <xf numFmtId="166" fontId="0" fillId="0" borderId="0" xfId="4" applyNumberFormat="1" applyFont="1" applyFill="1" applyBorder="1"/>
    <xf numFmtId="165" fontId="0" fillId="0" borderId="0" xfId="2" applyNumberFormat="1" applyFont="1" applyFill="1" applyBorder="1"/>
    <xf numFmtId="41" fontId="0" fillId="0" borderId="0" xfId="4" applyNumberFormat="1" applyFont="1" applyBorder="1"/>
    <xf numFmtId="165" fontId="2" fillId="0" borderId="0" xfId="4" applyNumberFormat="1" applyFont="1" applyFill="1" applyBorder="1"/>
    <xf numFmtId="0" fontId="2" fillId="0" borderId="0" xfId="0" applyFont="1" applyFill="1" applyBorder="1"/>
    <xf numFmtId="0" fontId="2" fillId="0" borderId="0" xfId="0" applyFont="1" applyBorder="1"/>
    <xf numFmtId="10" fontId="2" fillId="0" borderId="0" xfId="0" applyNumberFormat="1" applyFont="1"/>
    <xf numFmtId="10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44" fontId="0" fillId="0" borderId="0" xfId="2" applyFont="1" applyBorder="1"/>
    <xf numFmtId="44" fontId="0" fillId="0" borderId="0" xfId="0" applyNumberFormat="1" applyFont="1" applyBorder="1"/>
    <xf numFmtId="10" fontId="0" fillId="0" borderId="0" xfId="1" applyNumberFormat="1" applyFont="1" applyBorder="1"/>
    <xf numFmtId="42" fontId="0" fillId="0" borderId="0" xfId="0" applyNumberFormat="1" applyFont="1" applyBorder="1"/>
    <xf numFmtId="42" fontId="0" fillId="0" borderId="1" xfId="0" applyNumberFormat="1" applyFont="1" applyBorder="1"/>
    <xf numFmtId="42" fontId="0" fillId="0" borderId="0" xfId="0" applyNumberFormat="1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2" fillId="0" borderId="0" xfId="4" applyFont="1" applyBorder="1"/>
    <xf numFmtId="7" fontId="0" fillId="0" borderId="0" xfId="0" applyNumberFormat="1" applyFont="1" applyBorder="1"/>
    <xf numFmtId="7" fontId="0" fillId="0" borderId="1" xfId="0" applyNumberFormat="1" applyFont="1" applyBorder="1"/>
    <xf numFmtId="0" fontId="10" fillId="2" borderId="0" xfId="16" applyFont="1" applyFill="1"/>
    <xf numFmtId="0" fontId="10" fillId="2" borderId="0" xfId="16" applyFont="1" applyFill="1"/>
    <xf numFmtId="0" fontId="2" fillId="0" borderId="0" xfId="0" applyFont="1" applyAlignment="1">
      <alignment horizontal="center"/>
    </xf>
  </cellXfs>
  <cellStyles count="19">
    <cellStyle name="Comma" xfId="4" xr:uid="{00000000-0005-0000-0000-000004000000}"/>
    <cellStyle name="Comma [0]" xfId="5" xr:uid="{00000000-0005-0000-0000-000005000000}"/>
    <cellStyle name="Comma 2" xfId="7" xr:uid="{00000000-0005-0000-0000-000007000000}"/>
    <cellStyle name="Comma 2 2" xfId="14" xr:uid="{0EC96504-9B26-4C66-A8DF-0ED56652371B}"/>
    <cellStyle name="Comma 3" xfId="9" xr:uid="{33C37F40-B638-40FC-93D2-C5243B6D854E}"/>
    <cellStyle name="Comma 4" xfId="18" xr:uid="{A9494D9C-353B-4AC3-B40B-CF88B70666CA}"/>
    <cellStyle name="Currency" xfId="2" xr:uid="{00000000-0005-0000-0000-000002000000}"/>
    <cellStyle name="Currency [0]" xfId="3" xr:uid="{00000000-0005-0000-0000-000003000000}"/>
    <cellStyle name="Normal" xfId="0" builtinId="0"/>
    <cellStyle name="Normal 15" xfId="12" xr:uid="{EFE7DF06-06AC-44F8-90E8-7BAEF3471A70}"/>
    <cellStyle name="Normal 2" xfId="11" xr:uid="{C5240AAF-ED40-49DF-92E1-D7B8279E877D}"/>
    <cellStyle name="Normal 2 2" xfId="17" xr:uid="{83BBC01F-FF2A-44F9-B0CC-4049D99AC327}"/>
    <cellStyle name="Normal 3" xfId="8" xr:uid="{00000000-0005-0000-0000-000008000000}"/>
    <cellStyle name="Normal 3 2" xfId="13" xr:uid="{A10210D3-C868-4F45-B8CB-9FCD3A99BCB3}"/>
    <cellStyle name="Normal 7" xfId="16" xr:uid="{B7E99C32-8A96-4797-A52E-5382D6CCA720}"/>
    <cellStyle name="Normal_PAGE 1" xfId="6" xr:uid="{00000000-0005-0000-0000-000006000000}"/>
    <cellStyle name="Percent" xfId="1" xr:uid="{00000000-0005-0000-0000-000001000000}"/>
    <cellStyle name="Percent 2" xfId="15" xr:uid="{2360692A-F4DA-498B-8BD2-CCEDC21658D1}"/>
    <cellStyle name="Percent 3" xfId="10" xr:uid="{7DA14E9C-74C8-4724-AAC4-7FDCBDD43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7"/>
  <sheetViews>
    <sheetView tabSelected="1" workbookViewId="0"/>
  </sheetViews>
  <sheetFormatPr defaultColWidth="9.140625" defaultRowHeight="15" x14ac:dyDescent="0.25"/>
  <cols>
    <col min="1" max="1" width="9.140625" style="18"/>
    <col min="2" max="2" width="41.5703125" style="15" bestFit="1" customWidth="1"/>
    <col min="3" max="3" width="22.140625" style="15" customWidth="1"/>
    <col min="4" max="15" width="12.5703125" style="15" customWidth="1"/>
    <col min="16" max="16" width="9.5703125" style="15" customWidth="1"/>
    <col min="17" max="16384" width="9.140625" style="15"/>
  </cols>
  <sheetData>
    <row r="1" spans="1:16" x14ac:dyDescent="0.25">
      <c r="A1" s="58" t="s">
        <v>44</v>
      </c>
    </row>
    <row r="2" spans="1:16" x14ac:dyDescent="0.25">
      <c r="A2" s="58" t="s">
        <v>52</v>
      </c>
    </row>
    <row r="3" spans="1:16" x14ac:dyDescent="0.25">
      <c r="A3" s="58" t="s">
        <v>54</v>
      </c>
    </row>
    <row r="4" spans="1:16" x14ac:dyDescent="0.25">
      <c r="A4" s="58" t="s">
        <v>55</v>
      </c>
    </row>
    <row r="5" spans="1:16" x14ac:dyDescent="0.25">
      <c r="A5" s="58" t="s">
        <v>53</v>
      </c>
    </row>
    <row r="6" spans="1:16" x14ac:dyDescent="0.25">
      <c r="A6" s="58" t="s">
        <v>56</v>
      </c>
    </row>
    <row r="8" spans="1:16" x14ac:dyDescent="0.25">
      <c r="A8" s="53" t="s">
        <v>44</v>
      </c>
    </row>
    <row r="9" spans="1:16" x14ac:dyDescent="0.25">
      <c r="A9" s="53" t="s">
        <v>45</v>
      </c>
    </row>
    <row r="10" spans="1:16" x14ac:dyDescent="0.25">
      <c r="A10" s="53" t="s">
        <v>46</v>
      </c>
    </row>
    <row r="12" spans="1:16" x14ac:dyDescent="0.25">
      <c r="A12" s="54" t="s">
        <v>29</v>
      </c>
    </row>
    <row r="13" spans="1:16" x14ac:dyDescent="0.25">
      <c r="A13" s="45" t="s">
        <v>30</v>
      </c>
    </row>
    <row r="14" spans="1:16" x14ac:dyDescent="0.25">
      <c r="A14" s="18">
        <v>1</v>
      </c>
      <c r="B14" s="15" t="s">
        <v>21</v>
      </c>
      <c r="C14" s="16">
        <f>'OPC OPD 3-82-as filed'!$C$14</f>
        <v>4.6399999999999997E-2</v>
      </c>
      <c r="D14" s="15" t="s">
        <v>24</v>
      </c>
    </row>
    <row r="15" spans="1:16" x14ac:dyDescent="0.25">
      <c r="A15" s="18">
        <v>2</v>
      </c>
      <c r="B15" s="15" t="s">
        <v>22</v>
      </c>
      <c r="C15" s="26">
        <f>'OPC OPD 3-82-as filed'!$C$15</f>
        <v>1.9330999999999997E-2</v>
      </c>
      <c r="D15" s="15" t="s">
        <v>25</v>
      </c>
      <c r="E15" s="22"/>
      <c r="F15" s="23"/>
      <c r="G15" s="22"/>
      <c r="H15" s="24"/>
      <c r="I15" s="22"/>
      <c r="J15" s="22"/>
      <c r="K15" s="22"/>
      <c r="L15" s="25"/>
      <c r="M15" s="25"/>
      <c r="N15" s="25"/>
      <c r="O15" s="22"/>
      <c r="P15" s="22"/>
    </row>
    <row r="16" spans="1:16" x14ac:dyDescent="0.25">
      <c r="A16" s="18">
        <v>3</v>
      </c>
      <c r="B16" s="3" t="s">
        <v>23</v>
      </c>
      <c r="C16" s="42">
        <f>SUM(C14:C15)</f>
        <v>6.5730999999999998E-2</v>
      </c>
    </row>
    <row r="18" spans="1:14" x14ac:dyDescent="0.25">
      <c r="B18" s="15" t="s">
        <v>0</v>
      </c>
    </row>
    <row r="19" spans="1:14" x14ac:dyDescent="0.25">
      <c r="C19" s="1">
        <v>1</v>
      </c>
      <c r="K19" s="4"/>
      <c r="L19" s="1"/>
      <c r="M19" s="1"/>
      <c r="N19" s="1"/>
    </row>
    <row r="20" spans="1:14" x14ac:dyDescent="0.25">
      <c r="A20" s="18">
        <v>4</v>
      </c>
      <c r="B20" s="15" t="s">
        <v>1</v>
      </c>
      <c r="C20" s="8">
        <v>5.5E-2</v>
      </c>
      <c r="K20" s="4"/>
      <c r="L20" s="1"/>
      <c r="M20" s="1"/>
      <c r="N20" s="1"/>
    </row>
    <row r="21" spans="1:14" x14ac:dyDescent="0.25">
      <c r="A21" s="18">
        <v>5</v>
      </c>
      <c r="C21" s="1">
        <f>C19-C20</f>
        <v>0.94499999999999995</v>
      </c>
      <c r="K21" s="4"/>
      <c r="L21" s="1"/>
      <c r="M21" s="1"/>
      <c r="N21" s="1"/>
    </row>
    <row r="22" spans="1:14" x14ac:dyDescent="0.25">
      <c r="A22" s="18">
        <v>6</v>
      </c>
      <c r="B22" s="15" t="s">
        <v>2</v>
      </c>
      <c r="C22" s="8">
        <v>0.21</v>
      </c>
      <c r="K22" s="4"/>
      <c r="L22" s="1"/>
      <c r="M22" s="1"/>
      <c r="N22" s="1"/>
    </row>
    <row r="23" spans="1:14" x14ac:dyDescent="0.25">
      <c r="A23" s="18">
        <v>7</v>
      </c>
      <c r="C23" s="9">
        <f>C22*C21</f>
        <v>0.19844999999999999</v>
      </c>
      <c r="K23" s="4"/>
      <c r="L23" s="1"/>
      <c r="M23" s="1"/>
      <c r="N23" s="1"/>
    </row>
    <row r="24" spans="1:14" x14ac:dyDescent="0.25">
      <c r="A24" s="18">
        <v>8</v>
      </c>
      <c r="B24" s="15" t="s">
        <v>0</v>
      </c>
      <c r="C24" s="1">
        <f>C23+C20</f>
        <v>0.25345000000000001</v>
      </c>
      <c r="K24" s="4"/>
      <c r="M24" s="1"/>
      <c r="N24" s="1"/>
    </row>
    <row r="26" spans="1:14" x14ac:dyDescent="0.25">
      <c r="A26" s="18">
        <v>9</v>
      </c>
      <c r="B26" s="3" t="s">
        <v>3</v>
      </c>
      <c r="C26" s="43">
        <f>C24/(1-C24)</f>
        <v>0.33949501038108632</v>
      </c>
    </row>
    <row r="29" spans="1:14" x14ac:dyDescent="0.25">
      <c r="D29" s="34"/>
      <c r="E29" s="34"/>
      <c r="F29" s="34"/>
      <c r="G29" s="34"/>
      <c r="H29" s="34"/>
    </row>
    <row r="30" spans="1:14" x14ac:dyDescent="0.25">
      <c r="A30" s="18">
        <v>10</v>
      </c>
      <c r="B30" s="15" t="s">
        <v>19</v>
      </c>
      <c r="C30" s="12">
        <v>0.02</v>
      </c>
      <c r="D30" s="34"/>
      <c r="E30" s="34"/>
      <c r="F30" s="34"/>
      <c r="G30" s="34"/>
      <c r="H30" s="34"/>
    </row>
    <row r="31" spans="1:14" x14ac:dyDescent="0.25">
      <c r="A31" s="18">
        <v>11</v>
      </c>
      <c r="B31" s="15" t="s">
        <v>15</v>
      </c>
      <c r="C31" s="13">
        <v>7500000</v>
      </c>
      <c r="D31" s="35"/>
      <c r="E31" s="34"/>
      <c r="F31" s="36"/>
      <c r="G31" s="34"/>
      <c r="H31" s="34"/>
    </row>
    <row r="32" spans="1:14" x14ac:dyDescent="0.25">
      <c r="A32" s="18">
        <v>12</v>
      </c>
      <c r="B32" s="15" t="s">
        <v>16</v>
      </c>
      <c r="C32" s="14">
        <v>50500000</v>
      </c>
      <c r="D32" s="37"/>
      <c r="E32" s="34"/>
      <c r="F32" s="34"/>
      <c r="G32" s="34"/>
      <c r="H32" s="34"/>
    </row>
    <row r="33" spans="1:25" x14ac:dyDescent="0.25">
      <c r="A33" s="18">
        <v>13</v>
      </c>
      <c r="B33" s="15" t="s">
        <v>4</v>
      </c>
      <c r="C33" s="13">
        <f>SUM(C31:C32)</f>
        <v>58000000</v>
      </c>
      <c r="D33" s="35"/>
      <c r="E33" s="34"/>
      <c r="F33" s="34"/>
      <c r="G33" s="34"/>
      <c r="H33" s="34"/>
    </row>
    <row r="34" spans="1:25" x14ac:dyDescent="0.25">
      <c r="A34" s="18">
        <v>14</v>
      </c>
      <c r="B34" s="15" t="s">
        <v>33</v>
      </c>
      <c r="C34" s="12">
        <f>C67</f>
        <v>7.5614069082129099E-3</v>
      </c>
      <c r="D34" s="34"/>
      <c r="E34" s="34"/>
      <c r="F34" s="34"/>
      <c r="G34" s="34"/>
      <c r="H34" s="34"/>
    </row>
    <row r="36" spans="1:25" x14ac:dyDescent="0.25">
      <c r="B36" s="3" t="s">
        <v>6</v>
      </c>
      <c r="D36" s="60" t="s">
        <v>43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</row>
    <row r="37" spans="1:25" s="18" customFormat="1" x14ac:dyDescent="0.25">
      <c r="B37" s="18" t="s">
        <v>14</v>
      </c>
      <c r="C37" s="18" t="s">
        <v>27</v>
      </c>
      <c r="D37" s="27">
        <v>43465</v>
      </c>
      <c r="E37" s="27">
        <f>D37-31</f>
        <v>43434</v>
      </c>
      <c r="F37" s="27">
        <f t="shared" ref="F37:P37" si="0">E37-31</f>
        <v>43403</v>
      </c>
      <c r="G37" s="27">
        <f t="shared" si="0"/>
        <v>43372</v>
      </c>
      <c r="H37" s="27">
        <f t="shared" si="0"/>
        <v>43341</v>
      </c>
      <c r="I37" s="27">
        <f t="shared" si="0"/>
        <v>43310</v>
      </c>
      <c r="J37" s="27">
        <f t="shared" si="0"/>
        <v>43279</v>
      </c>
      <c r="K37" s="27">
        <f t="shared" si="0"/>
        <v>43248</v>
      </c>
      <c r="L37" s="27">
        <f t="shared" si="0"/>
        <v>43217</v>
      </c>
      <c r="M37" s="27">
        <f t="shared" si="0"/>
        <v>43186</v>
      </c>
      <c r="N37" s="27">
        <f t="shared" si="0"/>
        <v>43155</v>
      </c>
      <c r="O37" s="27">
        <f t="shared" si="0"/>
        <v>43124</v>
      </c>
      <c r="P37" s="27">
        <f t="shared" si="0"/>
        <v>43093</v>
      </c>
    </row>
    <row r="38" spans="1:25" x14ac:dyDescent="0.25">
      <c r="A38" s="18">
        <v>15</v>
      </c>
      <c r="B38" s="15" t="s">
        <v>7</v>
      </c>
      <c r="C38" s="4">
        <f>D38</f>
        <v>58000000</v>
      </c>
      <c r="D38" s="4">
        <f>C33</f>
        <v>58000000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/>
    </row>
    <row r="39" spans="1:25" x14ac:dyDescent="0.25">
      <c r="A39" s="18">
        <v>16</v>
      </c>
      <c r="B39" s="15" t="s">
        <v>26</v>
      </c>
      <c r="C39" s="4">
        <v>0</v>
      </c>
      <c r="D39" s="4">
        <v>0</v>
      </c>
      <c r="E39" s="4">
        <f t="shared" ref="E39:M39" si="1">58000000/12+F39</f>
        <v>53166666.666666672</v>
      </c>
      <c r="F39" s="4">
        <f t="shared" si="1"/>
        <v>48333333.333333336</v>
      </c>
      <c r="G39" s="4">
        <f t="shared" si="1"/>
        <v>43500000</v>
      </c>
      <c r="H39" s="4">
        <f t="shared" si="1"/>
        <v>38666666.666666664</v>
      </c>
      <c r="I39" s="4">
        <f t="shared" si="1"/>
        <v>33833333.333333328</v>
      </c>
      <c r="J39" s="4">
        <f t="shared" si="1"/>
        <v>28999999.999999996</v>
      </c>
      <c r="K39" s="4">
        <f t="shared" si="1"/>
        <v>24166666.666666664</v>
      </c>
      <c r="L39" s="4">
        <f t="shared" si="1"/>
        <v>19333333.333333332</v>
      </c>
      <c r="M39" s="4">
        <f t="shared" si="1"/>
        <v>14500000</v>
      </c>
      <c r="N39" s="4">
        <f>58000000/12+O39</f>
        <v>9666666.666666666</v>
      </c>
      <c r="O39" s="4">
        <f>58000000/12</f>
        <v>4833333.333333333</v>
      </c>
      <c r="P39" s="4">
        <v>0</v>
      </c>
    </row>
    <row r="40" spans="1:25" x14ac:dyDescent="0.25">
      <c r="A40" s="18">
        <v>17</v>
      </c>
      <c r="B40" s="15" t="s">
        <v>8</v>
      </c>
      <c r="C40" s="4">
        <f>C50</f>
        <v>1010000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25" x14ac:dyDescent="0.25">
      <c r="A41" s="18">
        <v>18</v>
      </c>
      <c r="B41" s="15" t="s">
        <v>9</v>
      </c>
      <c r="C41" s="5">
        <f>C38-C40</f>
        <v>56990000</v>
      </c>
      <c r="D41" s="5">
        <f t="shared" ref="D41:O41" si="2">SUM(D38:D40)</f>
        <v>58000000</v>
      </c>
      <c r="E41" s="5">
        <f t="shared" si="2"/>
        <v>53166666.666666672</v>
      </c>
      <c r="F41" s="5">
        <f t="shared" si="2"/>
        <v>48333333.333333336</v>
      </c>
      <c r="G41" s="5">
        <f t="shared" si="2"/>
        <v>43500000</v>
      </c>
      <c r="H41" s="5">
        <f t="shared" si="2"/>
        <v>38666666.666666664</v>
      </c>
      <c r="I41" s="5">
        <f t="shared" si="2"/>
        <v>33833333.333333328</v>
      </c>
      <c r="J41" s="5">
        <f t="shared" si="2"/>
        <v>28999999.999999996</v>
      </c>
      <c r="K41" s="5">
        <f t="shared" si="2"/>
        <v>24166666.666666664</v>
      </c>
      <c r="L41" s="5">
        <f t="shared" si="2"/>
        <v>19333333.333333332</v>
      </c>
      <c r="M41" s="5">
        <f t="shared" si="2"/>
        <v>14500000</v>
      </c>
      <c r="N41" s="5">
        <f t="shared" si="2"/>
        <v>9666666.666666666</v>
      </c>
      <c r="O41" s="5">
        <f t="shared" si="2"/>
        <v>4833333.333333333</v>
      </c>
      <c r="P41" s="5"/>
    </row>
    <row r="42" spans="1:25" x14ac:dyDescent="0.25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25" x14ac:dyDescent="0.25">
      <c r="A43" s="18">
        <v>19</v>
      </c>
      <c r="B43" s="15" t="s">
        <v>10</v>
      </c>
      <c r="C43" s="2">
        <f>C41*C14</f>
        <v>2644336</v>
      </c>
      <c r="D43" s="29" t="s">
        <v>40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4" customFormat="1" x14ac:dyDescent="0.25">
      <c r="A44" s="18">
        <v>20</v>
      </c>
      <c r="B44" s="4" t="s">
        <v>11</v>
      </c>
      <c r="C44" s="4">
        <f>C41*C15</f>
        <v>1101673.69</v>
      </c>
      <c r="D44" s="29" t="s">
        <v>41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s="4" customFormat="1" x14ac:dyDescent="0.25">
      <c r="A45" s="18">
        <v>21</v>
      </c>
      <c r="B45" s="4" t="s">
        <v>12</v>
      </c>
      <c r="C45" s="5">
        <f>C43*$C$26</f>
        <v>897738.87777108024</v>
      </c>
      <c r="D45" s="30" t="s">
        <v>42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25">
      <c r="A46" s="18">
        <v>22</v>
      </c>
      <c r="B46" s="15" t="s">
        <v>28</v>
      </c>
      <c r="C46" s="7">
        <f>SUM(C43:C45)</f>
        <v>4643748.56777108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19"/>
      <c r="R46" s="19"/>
      <c r="S46" s="19"/>
      <c r="T46" s="19"/>
      <c r="U46" s="19"/>
      <c r="V46" s="19"/>
      <c r="W46" s="19"/>
      <c r="X46" s="19"/>
      <c r="Y46" s="19"/>
    </row>
    <row r="47" spans="1:25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9"/>
      <c r="R47" s="19"/>
      <c r="S47" s="19"/>
      <c r="T47" s="19"/>
      <c r="U47" s="19"/>
      <c r="V47" s="19"/>
    </row>
    <row r="48" spans="1:25" x14ac:dyDescent="0.25">
      <c r="A48" s="18">
        <v>23</v>
      </c>
      <c r="B48" s="15" t="s">
        <v>20</v>
      </c>
      <c r="C48" s="7">
        <f>232100+41894</f>
        <v>273994</v>
      </c>
      <c r="D48" s="7" t="s">
        <v>48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9"/>
      <c r="R48" s="19"/>
      <c r="S48" s="19"/>
      <c r="T48" s="19"/>
      <c r="U48" s="19"/>
      <c r="V48" s="19"/>
    </row>
    <row r="49" spans="1:22" s="4" customFormat="1" x14ac:dyDescent="0.25">
      <c r="A49" s="18">
        <v>24</v>
      </c>
      <c r="B49" s="33" t="s">
        <v>17</v>
      </c>
      <c r="C49" s="10">
        <f>(C38-C40)*$C$34</f>
        <v>430924.57969905372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0"/>
      <c r="R49" s="30"/>
      <c r="S49" s="30"/>
      <c r="T49" s="30"/>
      <c r="U49" s="30"/>
      <c r="V49" s="30"/>
    </row>
    <row r="50" spans="1:22" s="4" customFormat="1" x14ac:dyDescent="0.25">
      <c r="A50" s="18">
        <v>25</v>
      </c>
      <c r="B50" s="4" t="s">
        <v>5</v>
      </c>
      <c r="C50" s="5">
        <f>C58</f>
        <v>1010000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2" s="31" customFormat="1" x14ac:dyDescent="0.25">
      <c r="A51" s="46">
        <v>26</v>
      </c>
      <c r="B51" s="31" t="s">
        <v>13</v>
      </c>
      <c r="C51" s="32">
        <f>SUM(C46:C50)</f>
        <v>6358667.1474701334</v>
      </c>
      <c r="D51" s="39">
        <f>C51-'OPC OPD 3-82-as filed'!C51</f>
        <v>3828493.4870904605</v>
      </c>
      <c r="E51" s="39" t="s">
        <v>47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40"/>
      <c r="S51" s="40"/>
      <c r="T51" s="40"/>
      <c r="U51" s="40"/>
      <c r="V51" s="40"/>
    </row>
    <row r="52" spans="1:22" s="3" customFormat="1" x14ac:dyDescent="0.25">
      <c r="A52" s="5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1"/>
      <c r="R52" s="41"/>
      <c r="S52" s="41"/>
      <c r="T52" s="41"/>
      <c r="U52" s="41"/>
      <c r="V52" s="41"/>
    </row>
    <row r="53" spans="1:22" s="3" customFormat="1" x14ac:dyDescent="0.25">
      <c r="A53" s="54"/>
      <c r="B53" s="11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22" s="3" customFormat="1" x14ac:dyDescent="0.25">
      <c r="A54" s="54"/>
      <c r="B54" s="11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22" x14ac:dyDescent="0.25">
      <c r="A55" s="18">
        <v>27</v>
      </c>
      <c r="B55" s="3" t="s">
        <v>5</v>
      </c>
    </row>
    <row r="56" spans="1:22" x14ac:dyDescent="0.25">
      <c r="A56" s="18">
        <v>28</v>
      </c>
      <c r="B56" s="15" t="s">
        <v>31</v>
      </c>
      <c r="C56" s="28">
        <f>C33</f>
        <v>58000000</v>
      </c>
    </row>
    <row r="57" spans="1:22" x14ac:dyDescent="0.25">
      <c r="A57" s="18">
        <v>29</v>
      </c>
      <c r="B57" s="15" t="s">
        <v>32</v>
      </c>
      <c r="C57" s="1">
        <f>C30</f>
        <v>0.02</v>
      </c>
    </row>
    <row r="58" spans="1:22" x14ac:dyDescent="0.25">
      <c r="A58" s="18">
        <v>30</v>
      </c>
      <c r="B58" s="15" t="s">
        <v>50</v>
      </c>
      <c r="C58" s="21">
        <f>C32*C57</f>
        <v>1010000</v>
      </c>
    </row>
    <row r="59" spans="1:22" x14ac:dyDescent="0.25">
      <c r="A59" s="18">
        <v>31</v>
      </c>
      <c r="B59" s="15" t="s">
        <v>51</v>
      </c>
      <c r="C59" s="20">
        <f>C58</f>
        <v>1010000</v>
      </c>
    </row>
    <row r="60" spans="1:22" x14ac:dyDescent="0.25">
      <c r="B60" s="19"/>
      <c r="C60" s="47"/>
    </row>
    <row r="61" spans="1:22" x14ac:dyDescent="0.25">
      <c r="A61" s="18">
        <v>32</v>
      </c>
      <c r="B61" s="40" t="s">
        <v>36</v>
      </c>
      <c r="C61" s="48"/>
    </row>
    <row r="62" spans="1:22" x14ac:dyDescent="0.25">
      <c r="A62" s="18">
        <v>33</v>
      </c>
      <c r="B62" s="34" t="s">
        <v>37</v>
      </c>
      <c r="C62" s="30">
        <v>1900000</v>
      </c>
    </row>
    <row r="63" spans="1:22" x14ac:dyDescent="0.25">
      <c r="B63" s="19"/>
      <c r="C63" s="49"/>
    </row>
    <row r="64" spans="1:22" x14ac:dyDescent="0.25">
      <c r="A64" s="18">
        <v>34</v>
      </c>
      <c r="B64" s="34" t="s">
        <v>38</v>
      </c>
      <c r="C64" s="56">
        <v>429446193</v>
      </c>
    </row>
    <row r="65" spans="1:3" x14ac:dyDescent="0.25">
      <c r="A65" s="18">
        <v>35</v>
      </c>
      <c r="B65" s="34" t="s">
        <v>8</v>
      </c>
      <c r="C65" s="57">
        <v>178170203.88</v>
      </c>
    </row>
    <row r="66" spans="1:3" x14ac:dyDescent="0.25">
      <c r="A66" s="18">
        <v>36</v>
      </c>
      <c r="B66" s="34" t="s">
        <v>39</v>
      </c>
      <c r="C66" s="52">
        <f>C64-C65</f>
        <v>251275989.12</v>
      </c>
    </row>
    <row r="67" spans="1:3" x14ac:dyDescent="0.25">
      <c r="A67" s="18">
        <v>37</v>
      </c>
      <c r="B67" s="34" t="s">
        <v>18</v>
      </c>
      <c r="C67" s="1">
        <f>C62/C66</f>
        <v>7.5614069082129099E-3</v>
      </c>
    </row>
  </sheetData>
  <mergeCells count="1">
    <mergeCell ref="D36:P36"/>
  </mergeCells>
  <pageMargins left="0.2" right="0.2" top="0.25" bottom="0.2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7"/>
  <sheetViews>
    <sheetView workbookViewId="0">
      <selection activeCell="B5" sqref="B5"/>
    </sheetView>
  </sheetViews>
  <sheetFormatPr defaultColWidth="9.140625" defaultRowHeight="15" x14ac:dyDescent="0.25"/>
  <cols>
    <col min="1" max="1" width="9.140625" style="18"/>
    <col min="2" max="2" width="41.5703125" style="15" bestFit="1" customWidth="1"/>
    <col min="3" max="3" width="22.140625" style="15" customWidth="1"/>
    <col min="4" max="15" width="12.5703125" style="15" customWidth="1"/>
    <col min="16" max="16" width="9.5703125" style="15" customWidth="1"/>
    <col min="17" max="16384" width="9.140625" style="15"/>
  </cols>
  <sheetData>
    <row r="1" spans="1:16" x14ac:dyDescent="0.25">
      <c r="A1" s="59" t="s">
        <v>58</v>
      </c>
    </row>
    <row r="2" spans="1:16" x14ac:dyDescent="0.25">
      <c r="A2" s="59" t="s">
        <v>52</v>
      </c>
    </row>
    <row r="3" spans="1:16" x14ac:dyDescent="0.25">
      <c r="A3" s="59" t="s">
        <v>54</v>
      </c>
    </row>
    <row r="4" spans="1:16" x14ac:dyDescent="0.25">
      <c r="A4" s="59" t="s">
        <v>55</v>
      </c>
    </row>
    <row r="5" spans="1:16" x14ac:dyDescent="0.25">
      <c r="A5" s="59" t="s">
        <v>53</v>
      </c>
    </row>
    <row r="6" spans="1:16" x14ac:dyDescent="0.25">
      <c r="A6" s="59" t="s">
        <v>57</v>
      </c>
    </row>
    <row r="8" spans="1:16" x14ac:dyDescent="0.25">
      <c r="A8" s="53" t="s">
        <v>44</v>
      </c>
    </row>
    <row r="9" spans="1:16" x14ac:dyDescent="0.25">
      <c r="A9" s="53" t="s">
        <v>45</v>
      </c>
    </row>
    <row r="10" spans="1:16" x14ac:dyDescent="0.25">
      <c r="A10" s="53" t="s">
        <v>46</v>
      </c>
    </row>
    <row r="12" spans="1:16" x14ac:dyDescent="0.25">
      <c r="A12" s="44" t="s">
        <v>29</v>
      </c>
    </row>
    <row r="13" spans="1:16" x14ac:dyDescent="0.25">
      <c r="A13" s="45" t="s">
        <v>30</v>
      </c>
    </row>
    <row r="14" spans="1:16" x14ac:dyDescent="0.25">
      <c r="A14" s="18">
        <v>1</v>
      </c>
      <c r="B14" s="15" t="s">
        <v>21</v>
      </c>
      <c r="C14" s="16">
        <v>4.6399999999999997E-2</v>
      </c>
      <c r="D14" s="15" t="s">
        <v>24</v>
      </c>
    </row>
    <row r="15" spans="1:16" x14ac:dyDescent="0.25">
      <c r="A15" s="18">
        <v>2</v>
      </c>
      <c r="B15" s="15" t="s">
        <v>22</v>
      </c>
      <c r="C15" s="26">
        <v>1.9330999999999997E-2</v>
      </c>
      <c r="D15" s="15" t="s">
        <v>25</v>
      </c>
      <c r="E15" s="22"/>
      <c r="F15" s="23"/>
      <c r="G15" s="22"/>
      <c r="H15" s="24"/>
      <c r="I15" s="22"/>
      <c r="J15" s="22"/>
      <c r="K15" s="22"/>
      <c r="L15" s="25"/>
      <c r="M15" s="25"/>
      <c r="N15" s="25"/>
      <c r="O15" s="22"/>
      <c r="P15" s="22"/>
    </row>
    <row r="16" spans="1:16" x14ac:dyDescent="0.25">
      <c r="A16" s="18">
        <v>3</v>
      </c>
      <c r="B16" s="3" t="s">
        <v>23</v>
      </c>
      <c r="C16" s="42">
        <f>SUM(C14:C15)</f>
        <v>6.5730999999999998E-2</v>
      </c>
    </row>
    <row r="18" spans="1:14" x14ac:dyDescent="0.25">
      <c r="B18" s="15" t="s">
        <v>0</v>
      </c>
    </row>
    <row r="19" spans="1:14" x14ac:dyDescent="0.25">
      <c r="C19" s="1">
        <v>1</v>
      </c>
      <c r="K19" s="4"/>
      <c r="L19" s="1"/>
      <c r="M19" s="1"/>
      <c r="N19" s="1"/>
    </row>
    <row r="20" spans="1:14" x14ac:dyDescent="0.25">
      <c r="A20" s="18">
        <v>4</v>
      </c>
      <c r="B20" s="15" t="s">
        <v>1</v>
      </c>
      <c r="C20" s="8">
        <v>5.5E-2</v>
      </c>
      <c r="K20" s="4"/>
      <c r="L20" s="1"/>
      <c r="M20" s="1"/>
      <c r="N20" s="1"/>
    </row>
    <row r="21" spans="1:14" x14ac:dyDescent="0.25">
      <c r="A21" s="18">
        <v>5</v>
      </c>
      <c r="C21" s="1">
        <f>C19-C20</f>
        <v>0.94499999999999995</v>
      </c>
      <c r="K21" s="4"/>
      <c r="L21" s="1"/>
      <c r="M21" s="1"/>
      <c r="N21" s="1"/>
    </row>
    <row r="22" spans="1:14" x14ac:dyDescent="0.25">
      <c r="A22" s="18">
        <v>6</v>
      </c>
      <c r="B22" s="15" t="s">
        <v>2</v>
      </c>
      <c r="C22" s="8">
        <v>0.21</v>
      </c>
      <c r="K22" s="4"/>
      <c r="L22" s="1"/>
      <c r="M22" s="1"/>
      <c r="N22" s="1"/>
    </row>
    <row r="23" spans="1:14" x14ac:dyDescent="0.25">
      <c r="A23" s="18">
        <v>7</v>
      </c>
      <c r="C23" s="9">
        <f>C22*C21</f>
        <v>0.19844999999999999</v>
      </c>
      <c r="K23" s="4"/>
      <c r="L23" s="1"/>
      <c r="M23" s="1"/>
      <c r="N23" s="1"/>
    </row>
    <row r="24" spans="1:14" x14ac:dyDescent="0.25">
      <c r="A24" s="18">
        <v>8</v>
      </c>
      <c r="B24" s="15" t="s">
        <v>0</v>
      </c>
      <c r="C24" s="1">
        <f>C23+C20</f>
        <v>0.25345000000000001</v>
      </c>
      <c r="K24" s="4"/>
      <c r="M24" s="1"/>
      <c r="N24" s="1"/>
    </row>
    <row r="26" spans="1:14" x14ac:dyDescent="0.25">
      <c r="A26" s="18">
        <v>9</v>
      </c>
      <c r="B26" s="3" t="s">
        <v>3</v>
      </c>
      <c r="C26" s="43">
        <f>C24/(1-C24)</f>
        <v>0.33949501038108632</v>
      </c>
    </row>
    <row r="29" spans="1:14" x14ac:dyDescent="0.25">
      <c r="D29" s="34"/>
      <c r="E29" s="34"/>
      <c r="F29" s="34"/>
      <c r="G29" s="34"/>
      <c r="H29" s="34"/>
    </row>
    <row r="30" spans="1:14" x14ac:dyDescent="0.25">
      <c r="A30" s="18">
        <v>10</v>
      </c>
      <c r="B30" s="15" t="s">
        <v>19</v>
      </c>
      <c r="C30" s="12">
        <v>0.02</v>
      </c>
      <c r="D30" s="34"/>
      <c r="E30" s="34"/>
      <c r="F30" s="34"/>
      <c r="G30" s="34"/>
      <c r="H30" s="34"/>
    </row>
    <row r="31" spans="1:14" x14ac:dyDescent="0.25">
      <c r="A31" s="18">
        <v>11</v>
      </c>
      <c r="B31" s="15" t="s">
        <v>15</v>
      </c>
      <c r="C31" s="13">
        <v>7500000</v>
      </c>
      <c r="D31" s="35"/>
      <c r="E31" s="34"/>
      <c r="F31" s="36"/>
      <c r="G31" s="34"/>
      <c r="H31" s="34"/>
    </row>
    <row r="32" spans="1:14" x14ac:dyDescent="0.25">
      <c r="A32" s="18">
        <v>12</v>
      </c>
      <c r="B32" s="15" t="s">
        <v>16</v>
      </c>
      <c r="C32" s="14">
        <v>50500000</v>
      </c>
      <c r="D32" s="37"/>
      <c r="E32" s="34"/>
      <c r="F32" s="34"/>
      <c r="G32" s="34"/>
      <c r="H32" s="34"/>
    </row>
    <row r="33" spans="1:25" x14ac:dyDescent="0.25">
      <c r="A33" s="18">
        <v>13</v>
      </c>
      <c r="B33" s="15" t="s">
        <v>4</v>
      </c>
      <c r="C33" s="13">
        <f>SUM(C31:C32)</f>
        <v>58000000</v>
      </c>
      <c r="D33" s="35"/>
      <c r="E33" s="34"/>
      <c r="F33" s="34"/>
      <c r="G33" s="34"/>
      <c r="H33" s="34"/>
    </row>
    <row r="34" spans="1:25" x14ac:dyDescent="0.25">
      <c r="A34" s="18">
        <v>14</v>
      </c>
      <c r="B34" s="15" t="s">
        <v>33</v>
      </c>
      <c r="C34" s="12">
        <f>C67</f>
        <v>7.5614069081864129E-3</v>
      </c>
      <c r="D34" s="34"/>
      <c r="E34" s="34"/>
      <c r="F34" s="34"/>
      <c r="G34" s="34"/>
      <c r="H34" s="34"/>
    </row>
    <row r="36" spans="1:25" x14ac:dyDescent="0.25">
      <c r="B36" s="3" t="s">
        <v>6</v>
      </c>
      <c r="D36" s="60" t="s">
        <v>43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</row>
    <row r="37" spans="1:25" s="18" customFormat="1" x14ac:dyDescent="0.25">
      <c r="B37" s="18" t="s">
        <v>14</v>
      </c>
      <c r="C37" s="18" t="s">
        <v>27</v>
      </c>
      <c r="D37" s="27">
        <v>43465</v>
      </c>
      <c r="E37" s="27">
        <f>D37-31</f>
        <v>43434</v>
      </c>
      <c r="F37" s="27">
        <f t="shared" ref="F37:P37" si="0">E37-31</f>
        <v>43403</v>
      </c>
      <c r="G37" s="27">
        <f t="shared" si="0"/>
        <v>43372</v>
      </c>
      <c r="H37" s="27">
        <f t="shared" si="0"/>
        <v>43341</v>
      </c>
      <c r="I37" s="27">
        <f t="shared" si="0"/>
        <v>43310</v>
      </c>
      <c r="J37" s="27">
        <f t="shared" si="0"/>
        <v>43279</v>
      </c>
      <c r="K37" s="27">
        <f t="shared" si="0"/>
        <v>43248</v>
      </c>
      <c r="L37" s="27">
        <f t="shared" si="0"/>
        <v>43217</v>
      </c>
      <c r="M37" s="27">
        <f t="shared" si="0"/>
        <v>43186</v>
      </c>
      <c r="N37" s="27">
        <f t="shared" si="0"/>
        <v>43155</v>
      </c>
      <c r="O37" s="27">
        <f t="shared" si="0"/>
        <v>43124</v>
      </c>
      <c r="P37" s="27">
        <f t="shared" si="0"/>
        <v>43093</v>
      </c>
    </row>
    <row r="38" spans="1:25" x14ac:dyDescent="0.25">
      <c r="A38" s="18">
        <v>15</v>
      </c>
      <c r="B38" s="15" t="s">
        <v>7</v>
      </c>
      <c r="C38" s="4">
        <f>AVERAGE(D38:P38)</f>
        <v>4461538.461538462</v>
      </c>
      <c r="D38" s="4">
        <f>C33</f>
        <v>58000000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/>
    </row>
    <row r="39" spans="1:25" x14ac:dyDescent="0.25">
      <c r="A39" s="18">
        <v>16</v>
      </c>
      <c r="B39" s="15" t="s">
        <v>26</v>
      </c>
      <c r="C39" s="4">
        <f>AVERAGE(D39:P39)</f>
        <v>24538461.53846154</v>
      </c>
      <c r="D39" s="4">
        <v>0</v>
      </c>
      <c r="E39" s="4">
        <f t="shared" ref="E39:M39" si="1">58000000/12+F39</f>
        <v>53166666.666666672</v>
      </c>
      <c r="F39" s="4">
        <f t="shared" si="1"/>
        <v>48333333.333333336</v>
      </c>
      <c r="G39" s="4">
        <f t="shared" si="1"/>
        <v>43500000</v>
      </c>
      <c r="H39" s="4">
        <f t="shared" si="1"/>
        <v>38666666.666666664</v>
      </c>
      <c r="I39" s="4">
        <f t="shared" si="1"/>
        <v>33833333.333333328</v>
      </c>
      <c r="J39" s="4">
        <f t="shared" si="1"/>
        <v>28999999.999999996</v>
      </c>
      <c r="K39" s="4">
        <f t="shared" si="1"/>
        <v>24166666.666666664</v>
      </c>
      <c r="L39" s="4">
        <f t="shared" si="1"/>
        <v>19333333.333333332</v>
      </c>
      <c r="M39" s="4">
        <f t="shared" si="1"/>
        <v>14500000</v>
      </c>
      <c r="N39" s="4">
        <f>58000000/12+O39</f>
        <v>9666666.666666666</v>
      </c>
      <c r="O39" s="4">
        <f>58000000/12</f>
        <v>4833333.333333333</v>
      </c>
      <c r="P39" s="4">
        <v>0</v>
      </c>
    </row>
    <row r="40" spans="1:25" x14ac:dyDescent="0.25">
      <c r="A40" s="18">
        <v>17</v>
      </c>
      <c r="B40" s="15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25" x14ac:dyDescent="0.25">
      <c r="A41" s="18">
        <v>18</v>
      </c>
      <c r="B41" s="15" t="s">
        <v>9</v>
      </c>
      <c r="C41" s="5">
        <f t="shared" ref="C41:O41" si="2">SUM(C38:C40)</f>
        <v>29000000</v>
      </c>
      <c r="D41" s="5">
        <f t="shared" si="2"/>
        <v>58000000</v>
      </c>
      <c r="E41" s="5">
        <f t="shared" si="2"/>
        <v>53166666.666666672</v>
      </c>
      <c r="F41" s="5">
        <f t="shared" si="2"/>
        <v>48333333.333333336</v>
      </c>
      <c r="G41" s="5">
        <f t="shared" si="2"/>
        <v>43500000</v>
      </c>
      <c r="H41" s="5">
        <f t="shared" si="2"/>
        <v>38666666.666666664</v>
      </c>
      <c r="I41" s="5">
        <f t="shared" si="2"/>
        <v>33833333.333333328</v>
      </c>
      <c r="J41" s="5">
        <f t="shared" si="2"/>
        <v>28999999.999999996</v>
      </c>
      <c r="K41" s="5">
        <f t="shared" si="2"/>
        <v>24166666.666666664</v>
      </c>
      <c r="L41" s="5">
        <f t="shared" si="2"/>
        <v>19333333.333333332</v>
      </c>
      <c r="M41" s="5">
        <f t="shared" si="2"/>
        <v>14500000</v>
      </c>
      <c r="N41" s="5">
        <f t="shared" si="2"/>
        <v>9666666.666666666</v>
      </c>
      <c r="O41" s="5">
        <f t="shared" si="2"/>
        <v>4833333.333333333</v>
      </c>
      <c r="P41" s="5"/>
    </row>
    <row r="42" spans="1:25" x14ac:dyDescent="0.25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25" x14ac:dyDescent="0.25">
      <c r="A43" s="18">
        <v>19</v>
      </c>
      <c r="B43" s="15" t="s">
        <v>10</v>
      </c>
      <c r="C43" s="2">
        <f>C41*C14</f>
        <v>1345600</v>
      </c>
      <c r="D43" s="29" t="s">
        <v>40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4" customFormat="1" x14ac:dyDescent="0.25">
      <c r="A44" s="18">
        <v>20</v>
      </c>
      <c r="B44" s="4" t="s">
        <v>11</v>
      </c>
      <c r="C44" s="4">
        <f>C41*C15</f>
        <v>560598.99999999988</v>
      </c>
      <c r="D44" s="29" t="s">
        <v>41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s="4" customFormat="1" x14ac:dyDescent="0.25">
      <c r="A45" s="18">
        <v>21</v>
      </c>
      <c r="B45" s="4" t="s">
        <v>12</v>
      </c>
      <c r="C45" s="5">
        <f>C43*$C$26</f>
        <v>456824.48596878973</v>
      </c>
      <c r="D45" s="30" t="s">
        <v>42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25">
      <c r="A46" s="18">
        <v>22</v>
      </c>
      <c r="B46" s="15" t="s">
        <v>28</v>
      </c>
      <c r="C46" s="7">
        <f>SUM(C43:C45)</f>
        <v>2363023.4859687896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19"/>
      <c r="R46" s="19"/>
      <c r="S46" s="19"/>
      <c r="T46" s="19"/>
      <c r="U46" s="19"/>
      <c r="V46" s="19"/>
      <c r="W46" s="19"/>
      <c r="X46" s="19"/>
      <c r="Y46" s="19"/>
    </row>
    <row r="47" spans="1:25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9"/>
      <c r="R47" s="19"/>
      <c r="S47" s="19"/>
      <c r="T47" s="19"/>
      <c r="U47" s="19"/>
      <c r="V47" s="19"/>
    </row>
    <row r="48" spans="1:25" x14ac:dyDescent="0.25">
      <c r="A48" s="18">
        <v>23</v>
      </c>
      <c r="B48" s="15" t="s">
        <v>20</v>
      </c>
      <c r="C48" s="7">
        <f>'OPC OPD 3-82-Full Year'!C48/3</f>
        <v>91331.333333333328</v>
      </c>
      <c r="D48" s="7" t="s">
        <v>49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9"/>
      <c r="R48" s="19"/>
      <c r="S48" s="19"/>
      <c r="T48" s="19"/>
      <c r="U48" s="19"/>
      <c r="V48" s="19"/>
    </row>
    <row r="49" spans="1:22" s="4" customFormat="1" x14ac:dyDescent="0.25">
      <c r="A49" s="18">
        <v>24</v>
      </c>
      <c r="B49" s="33" t="s">
        <v>17</v>
      </c>
      <c r="C49" s="10">
        <f>(C38+C40)*$C$34</f>
        <v>33735.507744216309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0"/>
      <c r="R49" s="30"/>
      <c r="S49" s="30"/>
      <c r="T49" s="30"/>
      <c r="U49" s="30"/>
      <c r="V49" s="30"/>
    </row>
    <row r="50" spans="1:22" s="4" customFormat="1" x14ac:dyDescent="0.25">
      <c r="A50" s="18">
        <v>25</v>
      </c>
      <c r="B50" s="4" t="s">
        <v>5</v>
      </c>
      <c r="C50" s="5">
        <f>C59</f>
        <v>42083.333333333328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2" s="31" customFormat="1" x14ac:dyDescent="0.25">
      <c r="A51" s="46">
        <v>26</v>
      </c>
      <c r="B51" s="31" t="s">
        <v>13</v>
      </c>
      <c r="C51" s="32">
        <f>SUM(C46:C50)</f>
        <v>2530173.6603796729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40"/>
      <c r="S51" s="40"/>
      <c r="T51" s="40"/>
      <c r="U51" s="40"/>
      <c r="V51" s="40"/>
    </row>
    <row r="52" spans="1:22" s="3" customFormat="1" x14ac:dyDescent="0.25">
      <c r="A52" s="44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1"/>
      <c r="R52" s="41"/>
      <c r="S52" s="41"/>
      <c r="T52" s="41"/>
      <c r="U52" s="41"/>
      <c r="V52" s="41"/>
    </row>
    <row r="53" spans="1:22" s="3" customFormat="1" x14ac:dyDescent="0.25">
      <c r="A53" s="44"/>
      <c r="B53" s="11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22" s="3" customFormat="1" x14ac:dyDescent="0.25">
      <c r="A54" s="44"/>
      <c r="B54" s="11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22" x14ac:dyDescent="0.25">
      <c r="A55" s="18">
        <v>27</v>
      </c>
      <c r="B55" s="3" t="s">
        <v>5</v>
      </c>
    </row>
    <row r="56" spans="1:22" x14ac:dyDescent="0.25">
      <c r="A56" s="18">
        <v>28</v>
      </c>
      <c r="B56" s="15" t="s">
        <v>31</v>
      </c>
      <c r="C56" s="28">
        <f>C32/12</f>
        <v>4208333.333333333</v>
      </c>
    </row>
    <row r="57" spans="1:22" x14ac:dyDescent="0.25">
      <c r="A57" s="18">
        <v>29</v>
      </c>
      <c r="B57" s="15" t="s">
        <v>32</v>
      </c>
      <c r="C57" s="1">
        <f>C30</f>
        <v>0.02</v>
      </c>
    </row>
    <row r="58" spans="1:22" x14ac:dyDescent="0.25">
      <c r="A58" s="18">
        <v>30</v>
      </c>
      <c r="B58" s="15" t="s">
        <v>34</v>
      </c>
      <c r="C58" s="21">
        <f>C56*C57</f>
        <v>84166.666666666657</v>
      </c>
    </row>
    <row r="59" spans="1:22" x14ac:dyDescent="0.25">
      <c r="A59" s="18">
        <v>31</v>
      </c>
      <c r="B59" s="15" t="s">
        <v>35</v>
      </c>
      <c r="C59" s="20">
        <f>C58/2</f>
        <v>42083.333333333328</v>
      </c>
    </row>
    <row r="60" spans="1:22" x14ac:dyDescent="0.25">
      <c r="B60" s="19"/>
      <c r="C60" s="47"/>
    </row>
    <row r="61" spans="1:22" x14ac:dyDescent="0.25">
      <c r="A61" s="18">
        <v>32</v>
      </c>
      <c r="B61" s="40" t="s">
        <v>36</v>
      </c>
      <c r="C61" s="48"/>
    </row>
    <row r="62" spans="1:22" x14ac:dyDescent="0.25">
      <c r="A62" s="18">
        <v>33</v>
      </c>
      <c r="B62" s="34" t="s">
        <v>37</v>
      </c>
      <c r="C62" s="30">
        <v>1900000</v>
      </c>
    </row>
    <row r="63" spans="1:22" x14ac:dyDescent="0.25">
      <c r="B63" s="19"/>
      <c r="C63" s="49"/>
    </row>
    <row r="64" spans="1:22" x14ac:dyDescent="0.25">
      <c r="A64" s="18">
        <v>34</v>
      </c>
      <c r="B64" s="34" t="s">
        <v>38</v>
      </c>
      <c r="C64" s="50">
        <v>429446193</v>
      </c>
    </row>
    <row r="65" spans="1:3" x14ac:dyDescent="0.25">
      <c r="A65" s="18">
        <v>35</v>
      </c>
      <c r="B65" s="34" t="s">
        <v>8</v>
      </c>
      <c r="C65" s="51">
        <v>178170203.87911946</v>
      </c>
    </row>
    <row r="66" spans="1:3" x14ac:dyDescent="0.25">
      <c r="A66" s="18">
        <v>36</v>
      </c>
      <c r="B66" s="34" t="s">
        <v>39</v>
      </c>
      <c r="C66" s="52">
        <f>C64-C65</f>
        <v>251275989.12088054</v>
      </c>
    </row>
    <row r="67" spans="1:3" x14ac:dyDescent="0.25">
      <c r="A67" s="18">
        <v>37</v>
      </c>
      <c r="B67" s="34" t="s">
        <v>18</v>
      </c>
      <c r="C67" s="1">
        <f>C62/C66</f>
        <v>7.5614069081864129E-3</v>
      </c>
    </row>
  </sheetData>
  <mergeCells count="1">
    <mergeCell ref="D36:P36"/>
  </mergeCells>
  <pageMargins left="0.2" right="0.2" top="0.25" bottom="0.2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OPC OPD 3-82-Full Year</vt:lpstr>
      <vt:lpstr>OPC OPD 3-82-as filed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2022-08-15T14:23:53Z</dcterms:created>
  <dcterms:modified xsi:type="dcterms:W3CDTF">2022-08-22T12:44:44Z</dcterms:modified>
  <cp:category/>
  <cp:contentStatus/>
</cp:coreProperties>
</file>