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5F6FDAFF-E409-4191-90EB-4951DA352964}" xr6:coauthVersionLast="46" xr6:coauthVersionMax="46" xr10:uidLastSave="{00000000-0000-0000-0000-000000000000}"/>
  <bookViews>
    <workbookView xWindow="31785" yWindow="720" windowWidth="21270" windowHeight="13680" tabRatio="768" activeTab="4" xr2:uid="{00000000-000D-0000-FFFF-FFFF00000000}"/>
  </bookViews>
  <sheets>
    <sheet name="MFR SCH E-7" sheetId="31" r:id="rId1"/>
    <sheet name="Service Length-Count" sheetId="32" r:id="rId2"/>
    <sheet name="Meter Costs" sheetId="33" r:id="rId3"/>
    <sheet name="Truck Roll Cost" sheetId="34" r:id="rId4"/>
    <sheet name="Dist Labor" sheetId="30" r:id="rId5"/>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33" l="1"/>
  <c r="D24" i="33"/>
  <c r="E24" i="33"/>
  <c r="F24" i="33"/>
  <c r="G24" i="33"/>
  <c r="H24" i="33"/>
  <c r="I24" i="33"/>
  <c r="J24" i="33"/>
  <c r="K24" i="33"/>
  <c r="L24" i="33"/>
  <c r="M24" i="33"/>
  <c r="N24" i="33"/>
  <c r="B24" i="33"/>
  <c r="E35" i="31" l="1"/>
  <c r="F35" i="31"/>
  <c r="G35" i="31"/>
  <c r="H35" i="31"/>
  <c r="I35" i="31"/>
  <c r="J35" i="31"/>
  <c r="K35" i="31"/>
  <c r="L35" i="31"/>
  <c r="M35" i="31"/>
  <c r="N35" i="31"/>
  <c r="O35" i="31"/>
  <c r="P35" i="31"/>
  <c r="D35" i="31"/>
  <c r="E34" i="31"/>
  <c r="F34" i="31"/>
  <c r="G34" i="31"/>
  <c r="H34" i="31"/>
  <c r="I34" i="31"/>
  <c r="J34" i="31"/>
  <c r="K34" i="31"/>
  <c r="L34" i="31"/>
  <c r="M34" i="31"/>
  <c r="N34" i="31"/>
  <c r="O34" i="31"/>
  <c r="P34" i="31"/>
  <c r="D34" i="31"/>
  <c r="E33" i="31"/>
  <c r="F33" i="31"/>
  <c r="G33" i="31"/>
  <c r="H33" i="31"/>
  <c r="I33" i="31"/>
  <c r="J33" i="31"/>
  <c r="K33" i="31"/>
  <c r="L33" i="31"/>
  <c r="M33" i="31"/>
  <c r="N33" i="31"/>
  <c r="O33" i="31"/>
  <c r="D33" i="31"/>
  <c r="C22" i="33"/>
  <c r="D22" i="33"/>
  <c r="E22" i="33"/>
  <c r="F22" i="33"/>
  <c r="G22" i="33"/>
  <c r="H22" i="33"/>
  <c r="I22" i="33"/>
  <c r="J22" i="33"/>
  <c r="K22" i="33"/>
  <c r="L22" i="33"/>
  <c r="M22" i="33"/>
  <c r="N22" i="33"/>
  <c r="B22" i="33"/>
  <c r="E21" i="34"/>
  <c r="E23" i="34" s="1"/>
  <c r="E15" i="34"/>
  <c r="E19" i="34" s="1"/>
  <c r="E25" i="34" l="1"/>
  <c r="E27" i="34" s="1"/>
  <c r="E29" i="34" s="1"/>
  <c r="B26" i="33"/>
  <c r="M37" i="32"/>
  <c r="N26" i="33" l="1"/>
  <c r="L37" i="32"/>
  <c r="C40" i="32"/>
  <c r="F40" i="32"/>
  <c r="I37" i="32" s="1"/>
  <c r="C41" i="32"/>
  <c r="F41" i="32" s="1"/>
  <c r="N20" i="33"/>
  <c r="I20" i="33"/>
  <c r="H20" i="33"/>
  <c r="F20" i="33"/>
  <c r="E20" i="33"/>
  <c r="D20" i="33"/>
  <c r="C20" i="33"/>
  <c r="B20" i="33"/>
  <c r="N19" i="33"/>
  <c r="J19" i="33"/>
  <c r="I19" i="33"/>
  <c r="H19" i="33"/>
  <c r="G19" i="33"/>
  <c r="G20" i="33" s="1"/>
  <c r="M18" i="33"/>
  <c r="L18" i="33"/>
  <c r="K18" i="33"/>
  <c r="M30" i="31" s="1"/>
  <c r="J18" i="33"/>
  <c r="N15" i="33"/>
  <c r="J15" i="33"/>
  <c r="G15" i="33"/>
  <c r="F15" i="33"/>
  <c r="E15" i="33"/>
  <c r="D15" i="33"/>
  <c r="D26" i="33" s="1"/>
  <c r="C15" i="33"/>
  <c r="C26" i="33" s="1"/>
  <c r="B15" i="33"/>
  <c r="D28" i="31"/>
  <c r="E28" i="31"/>
  <c r="F28" i="31"/>
  <c r="G28" i="31"/>
  <c r="H28" i="31"/>
  <c r="I28" i="31"/>
  <c r="J28" i="31"/>
  <c r="K28" i="31"/>
  <c r="L28" i="31"/>
  <c r="M28" i="31"/>
  <c r="N28" i="31"/>
  <c r="O28" i="31"/>
  <c r="P28" i="31"/>
  <c r="D29" i="31"/>
  <c r="E29" i="31"/>
  <c r="F29" i="31"/>
  <c r="G29" i="31"/>
  <c r="H29" i="31"/>
  <c r="I29" i="31"/>
  <c r="J29" i="31"/>
  <c r="K29" i="31"/>
  <c r="L29" i="31"/>
  <c r="M29" i="31"/>
  <c r="N29" i="31"/>
  <c r="O29" i="31"/>
  <c r="P29" i="31"/>
  <c r="D30" i="31"/>
  <c r="E30" i="31"/>
  <c r="F30" i="31"/>
  <c r="G30" i="31"/>
  <c r="H30" i="31"/>
  <c r="I30" i="31"/>
  <c r="J30" i="31"/>
  <c r="K30" i="31"/>
  <c r="P30" i="31"/>
  <c r="D31" i="31"/>
  <c r="E31" i="31"/>
  <c r="F31" i="31"/>
  <c r="G31" i="31"/>
  <c r="H31" i="31"/>
  <c r="M31" i="31"/>
  <c r="N31" i="31"/>
  <c r="O31" i="31"/>
  <c r="L32" i="31"/>
  <c r="M32" i="31"/>
  <c r="N32" i="31"/>
  <c r="O32" i="31"/>
  <c r="J27" i="31"/>
  <c r="K27" i="31"/>
  <c r="M27" i="31"/>
  <c r="N27" i="31"/>
  <c r="O27" i="31"/>
  <c r="K23" i="31"/>
  <c r="O23" i="31"/>
  <c r="K37" i="32" l="1"/>
  <c r="M23" i="31" s="1"/>
  <c r="J37" i="32"/>
  <c r="L23" i="31" s="1"/>
  <c r="E26" i="33"/>
  <c r="G26" i="33"/>
  <c r="J26" i="33"/>
  <c r="F26" i="33"/>
  <c r="H26" i="33"/>
  <c r="I26" i="33"/>
  <c r="K26" i="33"/>
  <c r="N30" i="31"/>
  <c r="L26" i="33"/>
  <c r="M26" i="33"/>
  <c r="O30" i="31"/>
  <c r="L31" i="31" l="1"/>
  <c r="L30" i="31"/>
  <c r="P27" i="31"/>
  <c r="L27" i="31"/>
  <c r="K31" i="31"/>
  <c r="J31" i="31"/>
  <c r="K32" i="31"/>
  <c r="J32" i="31"/>
  <c r="I31" i="31"/>
  <c r="I32" i="31"/>
  <c r="I27" i="31"/>
  <c r="H32" i="31"/>
  <c r="H27" i="31"/>
  <c r="O36" i="31"/>
  <c r="M36" i="31"/>
  <c r="G32" i="31"/>
  <c r="G27" i="31"/>
  <c r="F27" i="31"/>
  <c r="F32" i="31"/>
  <c r="F36" i="31"/>
  <c r="E32" i="31"/>
  <c r="D32" i="31"/>
  <c r="E36" i="31" l="1"/>
  <c r="E27" i="31"/>
  <c r="P32" i="31"/>
  <c r="P31" i="31"/>
  <c r="H36" i="31"/>
  <c r="L36" i="31"/>
  <c r="K36" i="31"/>
  <c r="J36" i="31"/>
  <c r="I36" i="31"/>
  <c r="G36" i="31"/>
  <c r="P36" i="31" l="1"/>
  <c r="D36" i="31" l="1"/>
  <c r="D27" i="31"/>
  <c r="N23" i="31" l="1"/>
  <c r="I22" i="32" l="1"/>
  <c r="H22" i="32"/>
  <c r="J21" i="32"/>
  <c r="J22" i="32" s="1"/>
  <c r="C14" i="32"/>
  <c r="B14" i="32"/>
  <c r="D13" i="32"/>
  <c r="D14" i="32" s="1"/>
  <c r="H18" i="32" l="1"/>
  <c r="B10" i="32"/>
  <c r="J14" i="32" l="1"/>
  <c r="J28" i="32" s="1"/>
  <c r="H37" i="32" s="1"/>
  <c r="I14" i="32"/>
  <c r="I28" i="32" s="1"/>
  <c r="H14" i="32"/>
  <c r="H28" i="32" s="1"/>
  <c r="A27" i="31"/>
  <c r="A28" i="31" s="1"/>
  <c r="A29" i="31" s="1"/>
  <c r="A30" i="31" s="1"/>
  <c r="A31" i="31" s="1"/>
  <c r="A32" i="31" s="1"/>
  <c r="A38" i="31" s="1"/>
  <c r="A40" i="31" s="1"/>
  <c r="A43" i="31" s="1"/>
  <c r="C13" i="30"/>
  <c r="C14" i="30"/>
  <c r="C12" i="30"/>
  <c r="B37" i="32" l="1"/>
  <c r="D23" i="31" s="1"/>
  <c r="C37" i="32"/>
  <c r="E23" i="31" s="1"/>
  <c r="D37" i="32"/>
  <c r="E37" i="32"/>
  <c r="F37" i="32"/>
  <c r="N37" i="32"/>
  <c r="G37" i="32"/>
  <c r="I23" i="31" s="1"/>
  <c r="J23" i="31"/>
  <c r="P23" i="31"/>
  <c r="F23" i="31"/>
  <c r="H23" i="31"/>
  <c r="G23" i="31"/>
  <c r="N36" i="31" l="1"/>
  <c r="F38" i="31" l="1"/>
  <c r="F40" i="31" s="1"/>
  <c r="K38" i="31"/>
  <c r="K40" i="31" s="1"/>
  <c r="H38" i="31"/>
  <c r="H40" i="31" s="1"/>
  <c r="L38" i="31"/>
  <c r="L40" i="31" s="1"/>
  <c r="E38" i="31"/>
  <c r="E40" i="31" s="1"/>
  <c r="N38" i="31"/>
  <c r="N40" i="31" s="1"/>
  <c r="O38" i="31"/>
  <c r="O40" i="31" s="1"/>
  <c r="G38" i="31"/>
  <c r="G40" i="31" s="1"/>
  <c r="I38" i="31"/>
  <c r="I40" i="31" s="1"/>
  <c r="P38" i="31"/>
  <c r="P40" i="31" s="1"/>
  <c r="M38" i="31"/>
  <c r="M40" i="31" s="1"/>
  <c r="J38" i="31"/>
  <c r="J40" i="31" s="1"/>
  <c r="D38" i="31"/>
  <c r="D40" i="31" s="1"/>
  <c r="F43" i="31" l="1"/>
  <c r="L43" i="31"/>
  <c r="K43" i="31"/>
  <c r="E43" i="31"/>
  <c r="N43" i="31"/>
  <c r="O43" i="31"/>
  <c r="G43" i="31"/>
  <c r="P43" i="31"/>
  <c r="I43" i="31"/>
  <c r="D43" i="31"/>
  <c r="H43" i="31"/>
  <c r="J43" i="31"/>
  <c r="M43" i="31"/>
</calcChain>
</file>

<file path=xl/sharedStrings.xml><?xml version="1.0" encoding="utf-8"?>
<sst xmlns="http://schemas.openxmlformats.org/spreadsheetml/2006/main" count="275" uniqueCount="159">
  <si>
    <t>CFH</t>
  </si>
  <si>
    <t>TOTAL</t>
  </si>
  <si>
    <t>DESCRIPTION</t>
  </si>
  <si>
    <t>ERT</t>
  </si>
  <si>
    <t>Labor costs based on the current TTC in Maximo against the average hourly cost of the employees that will install</t>
  </si>
  <si>
    <t>+ 21% loader</t>
  </si>
  <si>
    <t>Res</t>
  </si>
  <si>
    <t>Com</t>
  </si>
  <si>
    <t>Ind</t>
  </si>
  <si>
    <t>From J Vreeland 12/14/21</t>
  </si>
  <si>
    <t>SCHEDULE E-7</t>
  </si>
  <si>
    <t xml:space="preserve">    COST STUDY - METER SET</t>
  </si>
  <si>
    <t>PAGE 1 OF 1</t>
  </si>
  <si>
    <t>FLORIDA PUBLIC SERVICE COMMISSION</t>
  </si>
  <si>
    <t xml:space="preserve">     EXPLANATION:  PROVIDE THE CALCULATION OF THE AVERAGE COST </t>
  </si>
  <si>
    <t>TYPE OF DATA SHOWN:</t>
  </si>
  <si>
    <t xml:space="preserve">COMPANY: </t>
  </si>
  <si>
    <t>PIVOTAL UTILITY HOLDINGS, INC.</t>
  </si>
  <si>
    <t xml:space="preserve">     OF METER SET AND SERVICE BY RATE CLASS</t>
  </si>
  <si>
    <t>D/B/A FLORIDA CITY GAS</t>
  </si>
  <si>
    <t xml:space="preserve">DOCKET NO.: </t>
  </si>
  <si>
    <t>20170179-GU</t>
  </si>
  <si>
    <t>SALES SERVICES:</t>
  </si>
  <si>
    <t>LINE</t>
  </si>
  <si>
    <t>RESIDENTIAL</t>
  </si>
  <si>
    <t>GAS</t>
  </si>
  <si>
    <t>COMMERCIAL</t>
  </si>
  <si>
    <t>CONTRACT</t>
  </si>
  <si>
    <t>NATURAL</t>
  </si>
  <si>
    <t>NO.</t>
  </si>
  <si>
    <t>RS-1</t>
  </si>
  <si>
    <t>RS-100</t>
  </si>
  <si>
    <t>RS-600</t>
  </si>
  <si>
    <t>LIGHTING</t>
  </si>
  <si>
    <t>GS-1</t>
  </si>
  <si>
    <t>GS-6k</t>
  </si>
  <si>
    <t>GS-25k</t>
  </si>
  <si>
    <t>GS-120k</t>
  </si>
  <si>
    <t>GS-1,250k</t>
  </si>
  <si>
    <t>GS-11M</t>
  </si>
  <si>
    <t>GS-25M</t>
  </si>
  <si>
    <t>DEMAND SERVICE</t>
  </si>
  <si>
    <t>GAS VEHICLES</t>
  </si>
  <si>
    <t>SERVICE LINE:</t>
  </si>
  <si>
    <t xml:space="preserve">   PIPE AND PIPING</t>
  </si>
  <si>
    <t>METER:</t>
  </si>
  <si>
    <t>Meter Only</t>
  </si>
  <si>
    <t>AMR</t>
  </si>
  <si>
    <t>Press Corr Cost</t>
  </si>
  <si>
    <t>Regulator</t>
  </si>
  <si>
    <t>MSA/Ancillary Piping</t>
  </si>
  <si>
    <t>Total Labor Cost</t>
  </si>
  <si>
    <t>Overhead</t>
  </si>
  <si>
    <t>Total Meter Set</t>
  </si>
  <si>
    <t>INDEX  (1)</t>
  </si>
  <si>
    <t>(1)  TOTAL AVERAGE COST BY CLASS COMPARED TO THE RESIDENTIAL CLASS</t>
  </si>
  <si>
    <t>SUPPORTING SCHEDULES:  WORKPAPERS</t>
  </si>
  <si>
    <t>Residential</t>
  </si>
  <si>
    <t>Commercial</t>
  </si>
  <si>
    <t>1/2"</t>
  </si>
  <si>
    <t>1.25"</t>
  </si>
  <si>
    <t>2"</t>
  </si>
  <si>
    <t>Source = GIS Service Card Form Data for 2021 (AGOL Dashboard)</t>
  </si>
  <si>
    <t>Brevard-PSL</t>
  </si>
  <si>
    <t>Miami</t>
  </si>
  <si>
    <t>Quantity</t>
  </si>
  <si>
    <t>Total</t>
  </si>
  <si>
    <t>2021 New Business Service Line Costs</t>
  </si>
  <si>
    <t>Type</t>
  </si>
  <si>
    <t>Source = BOBJ Blanket IOs CIAC excluded</t>
  </si>
  <si>
    <t>Cost</t>
  </si>
  <si>
    <t>Average</t>
  </si>
  <si>
    <t>Rate</t>
  </si>
  <si>
    <t>FCRSG</t>
  </si>
  <si>
    <t>FCGLR</t>
  </si>
  <si>
    <t>GS-6</t>
  </si>
  <si>
    <t>GS-25</t>
  </si>
  <si>
    <t>GS-120</t>
  </si>
  <si>
    <t>GS-1250</t>
  </si>
  <si>
    <t>Avg CFH by rate from M. Seagrave</t>
  </si>
  <si>
    <t>1000+</t>
  </si>
  <si>
    <t>5M</t>
  </si>
  <si>
    <t>16M</t>
  </si>
  <si>
    <t>38Mx2</t>
  </si>
  <si>
    <t>turbine</t>
  </si>
  <si>
    <t>4" PE @ 500'</t>
  </si>
  <si>
    <t>8" ST @ 1000'</t>
  </si>
  <si>
    <t>12" ST @ 2500'</t>
  </si>
  <si>
    <t>Total Length</t>
  </si>
  <si>
    <t>1/2" PE @ 66'</t>
  </si>
  <si>
    <t>1.25" PE @ 101'</t>
  </si>
  <si>
    <t>1.25" PE @ 127'</t>
  </si>
  <si>
    <t>2" PE @ 202'</t>
  </si>
  <si>
    <t>Cost/Service</t>
  </si>
  <si>
    <t>Typical Service</t>
  </si>
  <si>
    <t>Cost per Foot</t>
  </si>
  <si>
    <t>Average Length (ft)</t>
  </si>
  <si>
    <t>Total Length (ft)</t>
  </si>
  <si>
    <t>4" PE</t>
  </si>
  <si>
    <t>8" ST</t>
  </si>
  <si>
    <t>12" ST</t>
  </si>
  <si>
    <t>Material</t>
  </si>
  <si>
    <t>Labor</t>
  </si>
  <si>
    <t>Misc</t>
  </si>
  <si>
    <t>12" ST @ 1500'</t>
  </si>
  <si>
    <t>Footage</t>
  </si>
  <si>
    <t>2021 New Business Service Count and Average Length</t>
  </si>
  <si>
    <t>2021 New Meter Set Costs</t>
  </si>
  <si>
    <t>Typical Meter Size</t>
  </si>
  <si>
    <t>Source: MRC material list 11-28-21 and Dist labor</t>
  </si>
  <si>
    <t xml:space="preserve">PROJECTED TEST YEAR:   </t>
  </si>
  <si>
    <t xml:space="preserve">HISTORIC BASE YEAR:       </t>
  </si>
  <si>
    <t>WITNESS:</t>
  </si>
  <si>
    <t>Truck Roll Cost</t>
  </si>
  <si>
    <t>TTC in Minutes</t>
  </si>
  <si>
    <t>External Labor Cost</t>
  </si>
  <si>
    <t>Avg Hourly Rate</t>
  </si>
  <si>
    <t>Management Cost</t>
  </si>
  <si>
    <t>Truck Hourly Cost Estimate &amp; TTC Calculator</t>
  </si>
  <si>
    <t>Truck Purchase Price</t>
  </si>
  <si>
    <t>Annual Depr</t>
  </si>
  <si>
    <t>7 yrs</t>
  </si>
  <si>
    <t>Fuel</t>
  </si>
  <si>
    <t xml:space="preserve">10 mpg </t>
  </si>
  <si>
    <t>Gallons</t>
  </si>
  <si>
    <t>Fuel Cost</t>
  </si>
  <si>
    <t>Per gal</t>
  </si>
  <si>
    <t>Maint &amp; Repairs</t>
  </si>
  <si>
    <t>Total Annual Cost</t>
  </si>
  <si>
    <t>*Est Productive Use Hours</t>
  </si>
  <si>
    <t>**Est Non-Prod Use Hours</t>
  </si>
  <si>
    <t>Total Hours Vehicle Used</t>
  </si>
  <si>
    <t>Hourly Cost of Vehicle</t>
  </si>
  <si>
    <t>Cost per minute</t>
  </si>
  <si>
    <t>Minutes</t>
  </si>
  <si>
    <t>Enter TTC</t>
  </si>
  <si>
    <t>Notes</t>
  </si>
  <si>
    <t>Annual depreciation based on an average 7-year life of an F-250 service vehicle. The value is net of an estimated $15K salvage value at the end of life.</t>
  </si>
  <si>
    <t>Fuel use is based on the average number of miles an FCG service vehicle travels on an annual basis</t>
  </si>
  <si>
    <t>Fuel cost is based on a recent 3-month average cost at the pump.</t>
  </si>
  <si>
    <t>Maintenance and repairs are based on 2021 actual overall FCG fleet costs divided by the number of field service vehicles</t>
  </si>
  <si>
    <t>Productive time is spent utilizing the company vehicle to travel to and be used during the completion of an operations order of any type. Typically, an operations employee is productive 1,250 regular hours and works an average of 15% additinal OT hours</t>
  </si>
  <si>
    <t>Non-Productive vehicle use time is the trip from and back to an employee's home or reporting location - 1 hour per day x 250 days annually</t>
  </si>
  <si>
    <t>Hourly cost of service vehicle is based on total annual cost divided by total annual hours of use</t>
  </si>
  <si>
    <t>Cost per minute is the cost per hour divided by 60 minutes. FCG tracks all field order types by Time To Complete ("TTC") in minutes to include drive time and on-site wrench time.</t>
  </si>
  <si>
    <t>To calculate truck roll cost, enter TTC minutes for a specific order type and the truck cost will calculate (see figure in red)</t>
  </si>
  <si>
    <t xml:space="preserve">TTC per order type, residential, commercial and industrial are averages and do not vary by meter size therefore are standardized by rate class. </t>
  </si>
  <si>
    <t>FCG operations technicans qualified to set meters and activate accounts average hourly cost</t>
  </si>
  <si>
    <r>
      <t xml:space="preserve">Average Hourly Rate = </t>
    </r>
    <r>
      <rPr>
        <b/>
        <sz val="10"/>
        <rFont val="Arial"/>
        <family val="2"/>
      </rPr>
      <t xml:space="preserve">$27.00 </t>
    </r>
  </si>
  <si>
    <t>Time To Complete = TTC (in minutes)</t>
  </si>
  <si>
    <t>Truck Roll Costs</t>
  </si>
  <si>
    <t xml:space="preserve">See notes under the truck roll cost tab. To arrive at Truck Roll Costs, enter TTC for each rate and the calculator will provide the cost of the truck plus OH associated with the vehicle. </t>
  </si>
  <si>
    <r>
      <t>Accounts for direct supervision of field technicans. The fixed cost of</t>
    </r>
    <r>
      <rPr>
        <b/>
        <sz val="10"/>
        <rFont val="Arial"/>
        <family val="2"/>
      </rPr>
      <t xml:space="preserve"> $3.40</t>
    </r>
    <r>
      <rPr>
        <sz val="10"/>
        <rFont val="Arial"/>
        <family val="2"/>
      </rPr>
      <t xml:space="preserve"> for management oversight is based on all direct management costs divided by total orders worked by operations annually. This cost is accounted for in total labor as a fixed adder. </t>
    </r>
  </si>
  <si>
    <t>20220069-GU</t>
  </si>
  <si>
    <t>FCG 004261</t>
  </si>
  <si>
    <t>FCG 004262</t>
  </si>
  <si>
    <t>FCG 004263</t>
  </si>
  <si>
    <t>FCG 004264</t>
  </si>
  <si>
    <t>FCG 004265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</si>
</sst>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0.000000%"/>
  </numFmts>
  <fonts count="2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sz val="10"/>
      <name val="Arial Unicode MS"/>
      <family val="2"/>
    </font>
    <font>
      <sz val="8"/>
      <color rgb="FF242424"/>
      <name val="Segoe UI"/>
      <family val="2"/>
    </font>
    <font>
      <sz val="9"/>
      <color rgb="FF000000"/>
      <name val="Segoe UI"/>
      <family val="2"/>
    </font>
    <font>
      <sz val="12"/>
      <name val="Arial"/>
      <family val="2"/>
    </font>
    <font>
      <sz val="12"/>
      <name val="Univers"/>
      <family val="2"/>
    </font>
    <font>
      <sz val="14"/>
      <name val="Univers"/>
      <family val="2"/>
    </font>
    <font>
      <i/>
      <sz val="10"/>
      <name val="Arial"/>
      <family val="2"/>
    </font>
    <font>
      <i/>
      <sz val="9"/>
      <name val="Arial"/>
      <family val="2"/>
    </font>
    <font>
      <b/>
      <u/>
      <sz val="12"/>
      <name val="Arial"/>
      <family val="2"/>
    </font>
    <font>
      <b/>
      <sz val="11"/>
      <color theme="1"/>
      <name val="Calibri"/>
      <family val="2"/>
      <scheme val="minor"/>
    </font>
    <font>
      <strike/>
      <sz val="12"/>
      <name val="Arial"/>
      <family val="2"/>
    </font>
    <font>
      <sz val="9"/>
      <color theme="1"/>
      <name val="Calibri"/>
      <family val="2"/>
      <scheme val="minor"/>
    </font>
    <font>
      <u/>
      <sz val="11"/>
      <color theme="1"/>
      <name val="Calibri"/>
      <family val="2"/>
      <scheme val="minor"/>
    </font>
    <font>
      <b/>
      <sz val="11"/>
      <name val="Calibri"/>
      <family val="2"/>
      <scheme val="minor"/>
    </font>
    <font>
      <sz val="10"/>
      <color indexed="24"/>
      <name val="Arial"/>
      <family val="2"/>
    </font>
    <font>
      <sz val="10"/>
      <name val="Times New Roman"/>
      <family val="1"/>
    </font>
  </fonts>
  <fills count="5">
    <fill>
      <patternFill patternType="none"/>
    </fill>
    <fill>
      <patternFill patternType="gray125"/>
    </fill>
    <fill>
      <patternFill patternType="solid">
        <fgColor rgb="FFFFFFFF"/>
        <bgColor indexed="64"/>
      </patternFill>
    </fill>
    <fill>
      <patternFill patternType="solid">
        <fgColor indexed="9"/>
      </patternFill>
    </fill>
    <fill>
      <patternFill patternType="solid">
        <fgColor theme="0" tint="-0.249977111117893"/>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rgb="FFD1D1D1"/>
      </left>
      <right style="medium">
        <color rgb="FFD1D1D1"/>
      </right>
      <top style="medium">
        <color rgb="FFD1D1D1"/>
      </top>
      <bottom style="medium">
        <color rgb="FFD1D1D1"/>
      </bottom>
      <diagonal/>
    </border>
    <border>
      <left/>
      <right/>
      <top/>
      <bottom style="thin">
        <color indexed="8"/>
      </bottom>
      <diagonal/>
    </border>
    <border>
      <left/>
      <right/>
      <top style="thin">
        <color indexed="8"/>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s>
  <cellStyleXfs count="9">
    <xf numFmtId="0" fontId="0" fillId="0" borderId="0"/>
    <xf numFmtId="9" fontId="3" fillId="0" borderId="0" applyFont="0" applyFill="0" applyBorder="0" applyAlignment="0" applyProtection="0"/>
    <xf numFmtId="44" fontId="3" fillId="0" borderId="0" applyFont="0" applyFill="0" applyBorder="0" applyAlignment="0" applyProtection="0"/>
    <xf numFmtId="0" fontId="7" fillId="0" borderId="0"/>
    <xf numFmtId="0" fontId="10" fillId="3" borderId="0"/>
    <xf numFmtId="0" fontId="2" fillId="0" borderId="0"/>
    <xf numFmtId="0" fontId="3" fillId="0" borderId="0"/>
    <xf numFmtId="0" fontId="1" fillId="0" borderId="0"/>
    <xf numFmtId="0" fontId="21" fillId="0" borderId="0"/>
  </cellStyleXfs>
  <cellXfs count="114">
    <xf numFmtId="0" fontId="0" fillId="0" borderId="0" xfId="0"/>
    <xf numFmtId="0" fontId="0" fillId="0" borderId="0" xfId="0" applyAlignment="1">
      <alignment horizontal="center"/>
    </xf>
    <xf numFmtId="44" fontId="0" fillId="0" borderId="0" xfId="2" applyFont="1"/>
    <xf numFmtId="0" fontId="0" fillId="0" borderId="0" xfId="0" applyAlignment="1">
      <alignment horizontal="left"/>
    </xf>
    <xf numFmtId="0" fontId="6" fillId="0" borderId="0" xfId="0" applyFont="1"/>
    <xf numFmtId="0" fontId="8" fillId="2" borderId="9" xfId="0" applyFont="1" applyFill="1" applyBorder="1" applyAlignment="1">
      <alignment vertical="center" wrapText="1"/>
    </xf>
    <xf numFmtId="0" fontId="9" fillId="2" borderId="9" xfId="0" applyFont="1" applyFill="1" applyBorder="1" applyAlignment="1">
      <alignment vertical="center" wrapText="1"/>
    </xf>
    <xf numFmtId="0" fontId="8" fillId="0" borderId="0" xfId="0" applyFont="1" applyAlignment="1">
      <alignment vertical="center"/>
    </xf>
    <xf numFmtId="0" fontId="0" fillId="0" borderId="0" xfId="0" applyAlignment="1"/>
    <xf numFmtId="0" fontId="8" fillId="2" borderId="9" xfId="0" applyFont="1" applyFill="1" applyBorder="1" applyAlignment="1">
      <alignment vertical="center"/>
    </xf>
    <xf numFmtId="0" fontId="9" fillId="2" borderId="9" xfId="0" applyFont="1" applyFill="1" applyBorder="1" applyAlignment="1">
      <alignment vertical="center"/>
    </xf>
    <xf numFmtId="44" fontId="9" fillId="2" borderId="9" xfId="2" applyFont="1" applyFill="1" applyBorder="1" applyAlignment="1">
      <alignment vertical="center"/>
    </xf>
    <xf numFmtId="0" fontId="11" fillId="0" borderId="10" xfId="4" applyFont="1" applyFill="1" applyBorder="1"/>
    <xf numFmtId="0" fontId="10" fillId="0" borderId="10" xfId="4" applyFill="1" applyBorder="1"/>
    <xf numFmtId="0" fontId="10" fillId="0" borderId="0" xfId="4" applyFill="1"/>
    <xf numFmtId="2" fontId="10" fillId="0" borderId="0" xfId="4" applyNumberFormat="1" applyFill="1"/>
    <xf numFmtId="0" fontId="10" fillId="0" borderId="7" xfId="4" applyFill="1" applyBorder="1"/>
    <xf numFmtId="0" fontId="5" fillId="0" borderId="0" xfId="4" applyFont="1" applyFill="1"/>
    <xf numFmtId="2" fontId="5" fillId="0" borderId="0" xfId="4" applyNumberFormat="1" applyFont="1" applyFill="1"/>
    <xf numFmtId="0" fontId="10" fillId="0" borderId="11" xfId="4" applyFill="1" applyBorder="1"/>
    <xf numFmtId="0" fontId="4" fillId="0" borderId="0" xfId="0" applyFont="1"/>
    <xf numFmtId="0" fontId="14" fillId="0" borderId="0" xfId="0" applyFont="1"/>
    <xf numFmtId="0" fontId="0" fillId="0" borderId="4" xfId="0" applyBorder="1"/>
    <xf numFmtId="0" fontId="6" fillId="0" borderId="4" xfId="0" applyFont="1" applyBorder="1"/>
    <xf numFmtId="0" fontId="15" fillId="0" borderId="0" xfId="0" applyFont="1"/>
    <xf numFmtId="0" fontId="0" fillId="0" borderId="2" xfId="0" applyBorder="1" applyAlignment="1">
      <alignment horizontal="center"/>
    </xf>
    <xf numFmtId="0" fontId="6" fillId="0" borderId="2" xfId="0" applyFont="1" applyBorder="1" applyAlignment="1">
      <alignment horizontal="center"/>
    </xf>
    <xf numFmtId="0" fontId="13" fillId="0" borderId="0" xfId="0" applyFont="1" applyAlignment="1">
      <alignment horizontal="left"/>
    </xf>
    <xf numFmtId="0" fontId="0" fillId="0" borderId="4" xfId="0" applyBorder="1" applyAlignment="1">
      <alignment horizontal="center"/>
    </xf>
    <xf numFmtId="0" fontId="0" fillId="0" borderId="4" xfId="0" applyFill="1" applyBorder="1" applyAlignment="1">
      <alignment horizontal="center"/>
    </xf>
    <xf numFmtId="0" fontId="6" fillId="0" borderId="12" xfId="0" applyFont="1" applyBorder="1"/>
    <xf numFmtId="0" fontId="0" fillId="0" borderId="12" xfId="0" applyFill="1" applyBorder="1" applyAlignment="1">
      <alignment horizontal="center"/>
    </xf>
    <xf numFmtId="164" fontId="0" fillId="0" borderId="4" xfId="2" applyNumberFormat="1" applyFont="1" applyFill="1" applyBorder="1" applyAlignment="1">
      <alignment horizontal="center"/>
    </xf>
    <xf numFmtId="164" fontId="0" fillId="0" borderId="4" xfId="2" applyNumberFormat="1" applyFont="1" applyBorder="1" applyAlignment="1">
      <alignment horizontal="center"/>
    </xf>
    <xf numFmtId="164" fontId="0" fillId="0" borderId="12" xfId="2" applyNumberFormat="1" applyFont="1" applyFill="1" applyBorder="1" applyAlignment="1">
      <alignment horizontal="center"/>
    </xf>
    <xf numFmtId="0" fontId="0" fillId="0" borderId="12" xfId="0" applyBorder="1"/>
    <xf numFmtId="0" fontId="16" fillId="0" borderId="0" xfId="5" applyFont="1"/>
    <xf numFmtId="2" fontId="10" fillId="0" borderId="0" xfId="0" applyNumberFormat="1" applyFont="1" applyFill="1"/>
    <xf numFmtId="0" fontId="0" fillId="0" borderId="4" xfId="0" applyFont="1" applyFill="1" applyBorder="1"/>
    <xf numFmtId="44" fontId="0" fillId="0" borderId="4" xfId="2" applyFont="1" applyBorder="1"/>
    <xf numFmtId="0" fontId="0" fillId="0" borderId="0" xfId="0" applyBorder="1"/>
    <xf numFmtId="0" fontId="6" fillId="0" borderId="0" xfId="0" applyFont="1" applyBorder="1" applyAlignment="1">
      <alignment horizontal="center"/>
    </xf>
    <xf numFmtId="0" fontId="18" fillId="0" borderId="0" xfId="5" applyFont="1"/>
    <xf numFmtId="44" fontId="2" fillId="0" borderId="0" xfId="2" applyFont="1" applyAlignment="1">
      <alignment horizontal="center"/>
    </xf>
    <xf numFmtId="0" fontId="0" fillId="0" borderId="0" xfId="0" applyBorder="1" applyAlignment="1">
      <alignment horizontal="center"/>
    </xf>
    <xf numFmtId="0" fontId="0" fillId="4" borderId="0" xfId="0" applyFill="1"/>
    <xf numFmtId="44" fontId="0" fillId="4" borderId="0" xfId="2" applyFont="1" applyFill="1"/>
    <xf numFmtId="44" fontId="0" fillId="0" borderId="6" xfId="2" applyFont="1" applyBorder="1"/>
    <xf numFmtId="44" fontId="0" fillId="0" borderId="5" xfId="2" applyFont="1" applyBorder="1"/>
    <xf numFmtId="0" fontId="4" fillId="0" borderId="1" xfId="0" applyFont="1" applyBorder="1"/>
    <xf numFmtId="0" fontId="4" fillId="0" borderId="3" xfId="0" applyFont="1" applyBorder="1"/>
    <xf numFmtId="0" fontId="2" fillId="0" borderId="0" xfId="5" applyFill="1" applyAlignment="1">
      <alignment horizontal="center"/>
    </xf>
    <xf numFmtId="3" fontId="2" fillId="0" borderId="0" xfId="5" applyNumberFormat="1" applyFill="1" applyAlignment="1">
      <alignment horizontal="center"/>
    </xf>
    <xf numFmtId="9" fontId="10" fillId="0" borderId="0" xfId="1" applyFont="1" applyFill="1"/>
    <xf numFmtId="44" fontId="10" fillId="0" borderId="0" xfId="0" applyNumberFormat="1" applyFont="1" applyFill="1"/>
    <xf numFmtId="0" fontId="19" fillId="0" borderId="13" xfId="5" applyFont="1" applyBorder="1"/>
    <xf numFmtId="0" fontId="0" fillId="0" borderId="14" xfId="0" applyBorder="1"/>
    <xf numFmtId="0" fontId="0" fillId="0" borderId="15" xfId="0" applyBorder="1"/>
    <xf numFmtId="0" fontId="16" fillId="0" borderId="16" xfId="5" applyFont="1" applyBorder="1"/>
    <xf numFmtId="0" fontId="16" fillId="0" borderId="0" xfId="5" applyFont="1" applyBorder="1" applyAlignment="1">
      <alignment horizontal="center"/>
    </xf>
    <xf numFmtId="0" fontId="16" fillId="0" borderId="17" xfId="5" applyFont="1" applyBorder="1" applyAlignment="1">
      <alignment horizontal="center"/>
    </xf>
    <xf numFmtId="0" fontId="16" fillId="0" borderId="18" xfId="5" applyFont="1" applyBorder="1"/>
    <xf numFmtId="0" fontId="2" fillId="0" borderId="1" xfId="5" applyBorder="1" applyAlignment="1">
      <alignment horizontal="center"/>
    </xf>
    <xf numFmtId="3" fontId="2" fillId="0" borderId="1" xfId="5" applyNumberFormat="1" applyBorder="1" applyAlignment="1">
      <alignment horizontal="center"/>
    </xf>
    <xf numFmtId="0" fontId="0" fillId="0" borderId="1" xfId="0" applyBorder="1"/>
    <xf numFmtId="0" fontId="2" fillId="0" borderId="19" xfId="5" applyBorder="1" applyAlignment="1">
      <alignment horizontal="center"/>
    </xf>
    <xf numFmtId="165" fontId="10" fillId="0" borderId="0" xfId="1" applyNumberFormat="1" applyFont="1" applyFill="1"/>
    <xf numFmtId="0" fontId="0" fillId="0" borderId="0" xfId="0" applyFill="1" applyAlignment="1">
      <alignment horizontal="center"/>
    </xf>
    <xf numFmtId="8" fontId="0" fillId="0" borderId="0" xfId="0" applyNumberFormat="1" applyFill="1" applyAlignment="1">
      <alignment horizontal="center"/>
    </xf>
    <xf numFmtId="0" fontId="3" fillId="0" borderId="0" xfId="0" applyFont="1" applyFill="1" applyAlignment="1">
      <alignment horizontal="center"/>
    </xf>
    <xf numFmtId="0" fontId="20" fillId="0" borderId="0" xfId="0" applyFont="1" applyFill="1"/>
    <xf numFmtId="0" fontId="3" fillId="0" borderId="0" xfId="0" applyFont="1" applyFill="1"/>
    <xf numFmtId="6" fontId="20" fillId="0" borderId="0" xfId="0" applyNumberFormat="1" applyFont="1" applyFill="1" applyAlignment="1">
      <alignment horizontal="center"/>
    </xf>
    <xf numFmtId="6" fontId="3" fillId="0" borderId="0" xfId="0" applyNumberFormat="1" applyFont="1" applyFill="1" applyAlignment="1">
      <alignment horizontal="center"/>
    </xf>
    <xf numFmtId="3" fontId="3" fillId="0" borderId="0" xfId="0" applyNumberFormat="1" applyFont="1" applyFill="1" applyAlignment="1">
      <alignment horizontal="center"/>
    </xf>
    <xf numFmtId="8" fontId="3" fillId="0" borderId="0" xfId="0" applyNumberFormat="1" applyFont="1" applyFill="1" applyAlignment="1">
      <alignment horizontal="center"/>
    </xf>
    <xf numFmtId="0" fontId="3" fillId="0" borderId="20" xfId="0" applyFont="1" applyFill="1" applyBorder="1"/>
    <xf numFmtId="6" fontId="3" fillId="0" borderId="20" xfId="0" applyNumberFormat="1" applyFont="1" applyFill="1" applyBorder="1" applyAlignment="1">
      <alignment horizontal="center"/>
    </xf>
    <xf numFmtId="3" fontId="3" fillId="0" borderId="0" xfId="0" applyNumberFormat="1" applyFont="1" applyFill="1"/>
    <xf numFmtId="0" fontId="3" fillId="0" borderId="7" xfId="0" applyFont="1" applyFill="1" applyBorder="1"/>
    <xf numFmtId="3" fontId="3" fillId="0" borderId="7" xfId="0" applyNumberFormat="1" applyFont="1" applyFill="1" applyBorder="1" applyAlignment="1">
      <alignment horizontal="center"/>
    </xf>
    <xf numFmtId="8" fontId="20" fillId="0" borderId="0" xfId="0" applyNumberFormat="1" applyFont="1" applyFill="1" applyAlignment="1">
      <alignment horizontal="center"/>
    </xf>
    <xf numFmtId="0" fontId="3" fillId="0" borderId="3" xfId="0" applyFont="1" applyFill="1" applyBorder="1" applyAlignment="1">
      <alignment horizontal="center"/>
    </xf>
    <xf numFmtId="0" fontId="20" fillId="0" borderId="0" xfId="0" applyFont="1" applyFill="1" applyAlignment="1">
      <alignment horizontal="center" vertical="center"/>
    </xf>
    <xf numFmtId="0" fontId="15" fillId="0" borderId="0" xfId="0" applyFont="1" applyFill="1" applyAlignment="1">
      <alignment horizontal="center"/>
    </xf>
    <xf numFmtId="0" fontId="19" fillId="0" borderId="0" xfId="5" applyFont="1" applyFill="1" applyAlignment="1">
      <alignment horizontal="left"/>
    </xf>
    <xf numFmtId="0" fontId="16" fillId="0" borderId="0" xfId="5" applyFont="1" applyFill="1" applyAlignment="1">
      <alignment horizontal="center"/>
    </xf>
    <xf numFmtId="0" fontId="4" fillId="0" borderId="0" xfId="0" applyFont="1" applyFill="1" applyAlignment="1">
      <alignment horizontal="center"/>
    </xf>
    <xf numFmtId="0" fontId="6" fillId="0" borderId="0" xfId="0" applyFont="1" applyFill="1" applyAlignment="1">
      <alignment horizontal="center"/>
    </xf>
    <xf numFmtId="44" fontId="2" fillId="0" borderId="0" xfId="2" applyFont="1" applyFill="1" applyAlignment="1">
      <alignment horizontal="center"/>
    </xf>
    <xf numFmtId="44" fontId="2" fillId="0" borderId="0" xfId="2" applyNumberFormat="1" applyFont="1" applyFill="1" applyAlignment="1">
      <alignment horizontal="center"/>
    </xf>
    <xf numFmtId="44" fontId="16" fillId="0" borderId="0" xfId="2" applyFont="1" applyFill="1" applyAlignment="1">
      <alignment horizontal="center"/>
    </xf>
    <xf numFmtId="0" fontId="13" fillId="0" borderId="0" xfId="0" applyFont="1" applyFill="1" applyAlignment="1">
      <alignment horizontal="center"/>
    </xf>
    <xf numFmtId="0" fontId="6" fillId="0" borderId="0" xfId="0" applyFont="1" applyFill="1" applyAlignment="1">
      <alignment horizontal="left"/>
    </xf>
    <xf numFmtId="0" fontId="0" fillId="0" borderId="0" xfId="0" applyFill="1" applyAlignment="1"/>
    <xf numFmtId="2" fontId="0" fillId="0" borderId="0" xfId="0" applyNumberFormat="1" applyFill="1" applyAlignment="1">
      <alignment horizontal="center"/>
    </xf>
    <xf numFmtId="8" fontId="6" fillId="0" borderId="0" xfId="0" applyNumberFormat="1" applyFont="1" applyFill="1" applyAlignment="1">
      <alignment horizontal="left"/>
    </xf>
    <xf numFmtId="2" fontId="11" fillId="0" borderId="0" xfId="0" applyNumberFormat="1" applyFont="1" applyFill="1"/>
    <xf numFmtId="2" fontId="10" fillId="0" borderId="7" xfId="0" applyNumberFormat="1" applyFont="1" applyFill="1" applyBorder="1"/>
    <xf numFmtId="2" fontId="6" fillId="0" borderId="0" xfId="0" applyNumberFormat="1" applyFont="1" applyFill="1"/>
    <xf numFmtId="2" fontId="10" fillId="0" borderId="0" xfId="0" applyNumberFormat="1" applyFont="1" applyFill="1" applyAlignment="1">
      <alignment horizontal="center"/>
    </xf>
    <xf numFmtId="2" fontId="11" fillId="0" borderId="0" xfId="0" applyNumberFormat="1" applyFont="1" applyFill="1" applyAlignment="1">
      <alignment horizontal="center"/>
    </xf>
    <xf numFmtId="2" fontId="10" fillId="0" borderId="7" xfId="0" applyNumberFormat="1" applyFont="1" applyFill="1" applyBorder="1" applyAlignment="1">
      <alignment horizontal="center"/>
    </xf>
    <xf numFmtId="2" fontId="11" fillId="0" borderId="7" xfId="0" applyNumberFormat="1" applyFont="1" applyFill="1" applyBorder="1" applyAlignment="1">
      <alignment horizontal="center"/>
    </xf>
    <xf numFmtId="1" fontId="10" fillId="0" borderId="0" xfId="0" applyNumberFormat="1" applyFont="1" applyFill="1" applyAlignment="1">
      <alignment horizontal="center"/>
    </xf>
    <xf numFmtId="5" fontId="17" fillId="0" borderId="0" xfId="0" applyNumberFormat="1" applyFont="1" applyFill="1"/>
    <xf numFmtId="2" fontId="11" fillId="0" borderId="7" xfId="0" applyNumberFormat="1" applyFont="1" applyFill="1" applyBorder="1"/>
    <xf numFmtId="2" fontId="12" fillId="0" borderId="8" xfId="0" applyNumberFormat="1" applyFont="1" applyFill="1" applyBorder="1" applyAlignment="1">
      <alignment horizontal="center"/>
    </xf>
    <xf numFmtId="0" fontId="3" fillId="0" borderId="0" xfId="8" applyFont="1"/>
    <xf numFmtId="0" fontId="22" fillId="0" borderId="0" xfId="8" applyFont="1"/>
    <xf numFmtId="0" fontId="3" fillId="0" borderId="0" xfId="8" applyFont="1"/>
    <xf numFmtId="0" fontId="3" fillId="0" borderId="0" xfId="8" applyFont="1"/>
    <xf numFmtId="0" fontId="3" fillId="0" borderId="0" xfId="8" applyFont="1"/>
    <xf numFmtId="0" fontId="3" fillId="0" borderId="0" xfId="8" applyFont="1"/>
  </cellXfs>
  <cellStyles count="9">
    <cellStyle name="Currency" xfId="2" builtinId="4"/>
    <cellStyle name="Normal" xfId="0" builtinId="0"/>
    <cellStyle name="Normal 2" xfId="3" xr:uid="{00000000-0005-0000-0000-000003000000}"/>
    <cellStyle name="Normal 2 2" xfId="8" xr:uid="{5A9925BD-E6AF-4B33-9A2C-F8C61FC267C8}"/>
    <cellStyle name="Normal 3" xfId="5" xr:uid="{949730B1-3D4E-4DB9-B4E9-6A4954E4D80B}"/>
    <cellStyle name="Normal 3 2" xfId="7" xr:uid="{F1B4A791-CB01-4806-B2A0-59FE5198080F}"/>
    <cellStyle name="Normal 4" xfId="6" xr:uid="{1A1998A9-F613-4168-BE3D-5628D606C397}"/>
    <cellStyle name="Normal_SCH_E7" xfId="4" xr:uid="{B0141A09-7427-4578-B38B-4573024625F1}"/>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EED0-2254-42B9-AE68-3CAFEE6B72DF}">
  <dimension ref="A1:P68"/>
  <sheetViews>
    <sheetView zoomScale="70" zoomScaleNormal="70" workbookViewId="0"/>
  </sheetViews>
  <sheetFormatPr defaultColWidth="24.7109375" defaultRowHeight="15" x14ac:dyDescent="0.2"/>
  <cols>
    <col min="1" max="1" width="12.28515625" style="37" customWidth="1"/>
    <col min="2" max="2" width="15.42578125" style="37" customWidth="1"/>
    <col min="3" max="7" width="16.7109375" style="37" customWidth="1"/>
    <col min="8" max="14" width="18.140625" style="37" customWidth="1"/>
    <col min="15" max="15" width="21" style="37" bestFit="1" customWidth="1"/>
    <col min="16" max="16" width="16.7109375" style="37" customWidth="1"/>
    <col min="17" max="16384" width="24.7109375" style="37"/>
  </cols>
  <sheetData>
    <row r="1" spans="1:16" ht="15.75" x14ac:dyDescent="0.25">
      <c r="A1" s="109" t="s">
        <v>154</v>
      </c>
      <c r="B1" s="97"/>
    </row>
    <row r="2" spans="1:16" ht="15.75" x14ac:dyDescent="0.25">
      <c r="A2" s="108" t="s">
        <v>153</v>
      </c>
      <c r="B2" s="97"/>
    </row>
    <row r="3" spans="1:16" ht="15.75" x14ac:dyDescent="0.25">
      <c r="A3" s="97"/>
      <c r="B3" s="97"/>
    </row>
    <row r="4" spans="1:16" ht="15.75" x14ac:dyDescent="0.25">
      <c r="A4" s="97"/>
      <c r="B4" s="97"/>
    </row>
    <row r="5" spans="1:16" ht="15.75" x14ac:dyDescent="0.25">
      <c r="A5" s="97"/>
      <c r="B5" s="97"/>
    </row>
    <row r="7" spans="1:16" s="14" customFormat="1" ht="15.75" x14ac:dyDescent="0.25">
      <c r="A7" s="12" t="s">
        <v>10</v>
      </c>
      <c r="B7" s="12"/>
      <c r="C7" s="13"/>
      <c r="D7" s="13"/>
      <c r="E7" s="13"/>
      <c r="F7" s="13"/>
      <c r="G7" s="13"/>
      <c r="H7" s="13"/>
      <c r="I7" s="13"/>
      <c r="J7" s="13"/>
      <c r="K7" s="13" t="s">
        <v>11</v>
      </c>
      <c r="L7" s="13"/>
      <c r="M7" s="13"/>
      <c r="N7" s="13"/>
      <c r="O7" s="13" t="s">
        <v>12</v>
      </c>
      <c r="P7" s="98"/>
    </row>
    <row r="8" spans="1:16" s="14" customFormat="1" x14ac:dyDescent="0.2">
      <c r="P8" s="37"/>
    </row>
    <row r="9" spans="1:16" s="14" customFormat="1" x14ac:dyDescent="0.2">
      <c r="A9" s="99" t="s">
        <v>13</v>
      </c>
      <c r="B9" s="99"/>
      <c r="I9" s="14" t="s">
        <v>14</v>
      </c>
      <c r="O9" s="99" t="s">
        <v>15</v>
      </c>
      <c r="P9" s="99"/>
    </row>
    <row r="10" spans="1:16" s="14" customFormat="1" x14ac:dyDescent="0.2">
      <c r="A10" s="99" t="s">
        <v>16</v>
      </c>
      <c r="B10" s="99" t="s">
        <v>17</v>
      </c>
      <c r="J10" s="14" t="s">
        <v>18</v>
      </c>
      <c r="O10" s="99" t="s">
        <v>111</v>
      </c>
      <c r="P10" s="99"/>
    </row>
    <row r="11" spans="1:16" s="14" customFormat="1" x14ac:dyDescent="0.2">
      <c r="A11" s="99"/>
      <c r="B11" s="99" t="s">
        <v>19</v>
      </c>
      <c r="O11" s="99" t="s">
        <v>110</v>
      </c>
      <c r="P11" s="99"/>
    </row>
    <row r="12" spans="1:16" s="14" customFormat="1" x14ac:dyDescent="0.2">
      <c r="A12" s="99" t="s">
        <v>20</v>
      </c>
      <c r="B12" s="99" t="s">
        <v>21</v>
      </c>
      <c r="C12" s="15"/>
      <c r="O12" s="99" t="s">
        <v>112</v>
      </c>
      <c r="P12" s="99"/>
    </row>
    <row r="13" spans="1:16" s="14" customFormat="1" x14ac:dyDescent="0.2">
      <c r="A13" s="16"/>
      <c r="B13" s="16"/>
      <c r="C13" s="16"/>
      <c r="D13" s="16"/>
      <c r="E13" s="16"/>
      <c r="F13" s="16"/>
      <c r="G13" s="16"/>
      <c r="H13" s="16"/>
      <c r="I13" s="16"/>
      <c r="J13" s="16"/>
      <c r="K13" s="16"/>
      <c r="L13" s="16"/>
      <c r="M13" s="16"/>
      <c r="N13" s="16"/>
      <c r="O13" s="16"/>
      <c r="P13" s="16"/>
    </row>
    <row r="14" spans="1:16" s="14" customFormat="1" x14ac:dyDescent="0.2">
      <c r="D14" s="37"/>
      <c r="E14" s="37"/>
      <c r="F14" s="37"/>
      <c r="G14" s="37"/>
      <c r="H14" s="37"/>
      <c r="I14" s="37"/>
      <c r="J14" s="37"/>
      <c r="K14" s="37"/>
      <c r="L14" s="37"/>
      <c r="M14" s="37"/>
      <c r="N14" s="37"/>
      <c r="O14" s="37"/>
      <c r="P14" s="37"/>
    </row>
    <row r="15" spans="1:16" s="14" customFormat="1" x14ac:dyDescent="0.2">
      <c r="D15" s="37"/>
      <c r="E15" s="37"/>
      <c r="F15" s="37"/>
      <c r="G15" s="37"/>
      <c r="H15" s="37"/>
      <c r="I15" s="37"/>
      <c r="J15" s="37"/>
      <c r="K15" s="37"/>
      <c r="L15" s="37"/>
      <c r="M15" s="37"/>
      <c r="N15" s="37"/>
      <c r="O15" s="37"/>
    </row>
    <row r="16" spans="1:16" s="14" customFormat="1" x14ac:dyDescent="0.2">
      <c r="D16" s="37"/>
      <c r="E16" s="37"/>
      <c r="F16" s="37"/>
      <c r="G16" s="37"/>
      <c r="H16" s="37"/>
      <c r="I16" s="37"/>
      <c r="J16" s="37"/>
      <c r="K16" s="37"/>
      <c r="L16" s="37"/>
      <c r="M16" s="37"/>
      <c r="N16" s="37"/>
      <c r="O16" s="37"/>
      <c r="P16" s="37"/>
    </row>
    <row r="17" spans="1:16" ht="18.75" x14ac:dyDescent="0.3">
      <c r="A17" s="97"/>
      <c r="B17" s="97"/>
      <c r="C17" s="14"/>
      <c r="D17" s="107" t="s">
        <v>22</v>
      </c>
      <c r="E17" s="107"/>
      <c r="F17" s="107"/>
      <c r="G17" s="107"/>
      <c r="H17" s="107"/>
      <c r="I17" s="107"/>
      <c r="J17" s="107"/>
      <c r="K17" s="107"/>
      <c r="L17" s="107"/>
      <c r="M17" s="107"/>
      <c r="N17" s="107"/>
      <c r="O17" s="107"/>
      <c r="P17" s="107"/>
    </row>
    <row r="18" spans="1:16" ht="15.75" x14ac:dyDescent="0.25">
      <c r="A18" s="100" t="s">
        <v>23</v>
      </c>
      <c r="C18" s="97"/>
      <c r="D18" s="100" t="s">
        <v>24</v>
      </c>
      <c r="E18" s="100" t="s">
        <v>24</v>
      </c>
      <c r="F18" s="100" t="s">
        <v>24</v>
      </c>
      <c r="G18" s="101" t="s">
        <v>25</v>
      </c>
      <c r="H18" s="100" t="s">
        <v>26</v>
      </c>
      <c r="I18" s="100" t="s">
        <v>26</v>
      </c>
      <c r="J18" s="100" t="s">
        <v>26</v>
      </c>
      <c r="K18" s="100" t="s">
        <v>26</v>
      </c>
      <c r="L18" s="100" t="s">
        <v>26</v>
      </c>
      <c r="M18" s="100" t="s">
        <v>26</v>
      </c>
      <c r="N18" s="100" t="s">
        <v>26</v>
      </c>
      <c r="O18" s="100" t="s">
        <v>27</v>
      </c>
      <c r="P18" s="101" t="s">
        <v>28</v>
      </c>
    </row>
    <row r="19" spans="1:16" ht="15.75" x14ac:dyDescent="0.25">
      <c r="A19" s="102" t="s">
        <v>29</v>
      </c>
      <c r="B19" s="16" t="s">
        <v>2</v>
      </c>
      <c r="D19" s="102" t="s">
        <v>30</v>
      </c>
      <c r="E19" s="102" t="s">
        <v>31</v>
      </c>
      <c r="F19" s="102" t="s">
        <v>32</v>
      </c>
      <c r="G19" s="103" t="s">
        <v>33</v>
      </c>
      <c r="H19" s="103" t="s">
        <v>34</v>
      </c>
      <c r="I19" s="103" t="s">
        <v>35</v>
      </c>
      <c r="J19" s="103" t="s">
        <v>36</v>
      </c>
      <c r="K19" s="103" t="s">
        <v>37</v>
      </c>
      <c r="L19" s="103" t="s">
        <v>38</v>
      </c>
      <c r="M19" s="103" t="s">
        <v>39</v>
      </c>
      <c r="N19" s="103" t="s">
        <v>40</v>
      </c>
      <c r="O19" s="103" t="s">
        <v>41</v>
      </c>
      <c r="P19" s="103" t="s">
        <v>42</v>
      </c>
    </row>
    <row r="20" spans="1:16" ht="15.75" x14ac:dyDescent="0.25">
      <c r="B20" s="14"/>
      <c r="D20" s="14"/>
      <c r="E20" s="14"/>
      <c r="F20" s="14"/>
      <c r="G20" s="14"/>
      <c r="H20" s="14"/>
      <c r="I20" s="14"/>
      <c r="J20" s="14"/>
      <c r="K20" s="14"/>
      <c r="L20" s="14"/>
      <c r="M20" s="14"/>
      <c r="N20" s="14"/>
      <c r="O20" s="14"/>
      <c r="P20" s="97"/>
    </row>
    <row r="21" spans="1:16" x14ac:dyDescent="0.2">
      <c r="B21" s="14"/>
      <c r="D21" s="14"/>
      <c r="E21" s="14"/>
      <c r="F21" s="14"/>
      <c r="G21" s="14"/>
      <c r="H21" s="14"/>
      <c r="I21" s="14"/>
      <c r="J21" s="14"/>
      <c r="K21" s="14"/>
      <c r="L21" s="14"/>
      <c r="M21" s="14"/>
      <c r="N21" s="14"/>
      <c r="O21" s="14"/>
    </row>
    <row r="22" spans="1:16" ht="15.75" x14ac:dyDescent="0.25">
      <c r="A22" s="104"/>
      <c r="B22" s="17" t="s">
        <v>43</v>
      </c>
    </row>
    <row r="23" spans="1:16" x14ac:dyDescent="0.2">
      <c r="A23" s="104">
        <v>1</v>
      </c>
      <c r="B23" s="14" t="s">
        <v>44</v>
      </c>
      <c r="D23" s="54">
        <f>+'Service Length-Count'!B37</f>
        <v>1171.4226241732556</v>
      </c>
      <c r="E23" s="54">
        <f>+'Service Length-Count'!C37</f>
        <v>1171.4226241732556</v>
      </c>
      <c r="F23" s="54">
        <f>+'Service Length-Count'!D37</f>
        <v>1171.4226241732556</v>
      </c>
      <c r="G23" s="54">
        <f>+'Service Length-Count'!E37</f>
        <v>3375.55785440409</v>
      </c>
      <c r="H23" s="54">
        <f>+'Service Length-Count'!F37</f>
        <v>4244.5133416764302</v>
      </c>
      <c r="I23" s="54">
        <f>+'Service Length-Count'!G37</f>
        <v>4244.5133416764302</v>
      </c>
      <c r="J23" s="54">
        <f>+'Service Length-Count'!H37</f>
        <v>8691.286613810742</v>
      </c>
      <c r="K23" s="54">
        <f>+'Service Length-Count'!I37</f>
        <v>22185</v>
      </c>
      <c r="L23" s="54">
        <f>+'Service Length-Count'!J37</f>
        <v>129930</v>
      </c>
      <c r="M23" s="54">
        <f>+'Service Length-Count'!K37</f>
        <v>129930</v>
      </c>
      <c r="N23" s="54">
        <f>+'Service Length-Count'!L37</f>
        <v>338217</v>
      </c>
      <c r="O23" s="54">
        <f>+'Service Length-Count'!M37</f>
        <v>563695</v>
      </c>
      <c r="P23" s="54">
        <f>+'Service Length-Count'!N37</f>
        <v>4244.5133416764302</v>
      </c>
    </row>
    <row r="24" spans="1:16" x14ac:dyDescent="0.2">
      <c r="B24" s="14"/>
      <c r="D24" s="105"/>
      <c r="E24" s="105"/>
      <c r="F24" s="105"/>
      <c r="G24" s="105"/>
      <c r="H24" s="105"/>
      <c r="I24" s="105"/>
      <c r="J24" s="105"/>
      <c r="K24" s="105"/>
      <c r="L24" s="105"/>
      <c r="M24" s="105"/>
      <c r="N24" s="105"/>
      <c r="O24" s="105"/>
      <c r="P24" s="105"/>
    </row>
    <row r="25" spans="1:16" ht="15.75" x14ac:dyDescent="0.25">
      <c r="B25" s="17"/>
      <c r="D25" s="51"/>
      <c r="E25" s="51"/>
      <c r="F25" s="51"/>
      <c r="G25" s="51"/>
      <c r="H25" s="52"/>
      <c r="I25" s="52"/>
      <c r="J25" s="52"/>
      <c r="K25" s="52"/>
      <c r="L25" s="52"/>
      <c r="M25" s="52"/>
      <c r="N25" s="52"/>
      <c r="O25" s="52"/>
      <c r="P25" s="52"/>
    </row>
    <row r="26" spans="1:16" ht="15.75" x14ac:dyDescent="0.25">
      <c r="B26" s="17" t="s">
        <v>45</v>
      </c>
      <c r="D26" s="51"/>
      <c r="E26" s="51"/>
      <c r="F26" s="51"/>
      <c r="G26" s="51"/>
      <c r="H26" s="52"/>
      <c r="I26" s="52"/>
      <c r="J26" s="52"/>
      <c r="K26" s="52"/>
      <c r="L26" s="52"/>
      <c r="M26" s="52"/>
      <c r="N26" s="52"/>
      <c r="O26" s="52"/>
      <c r="P26" s="52"/>
    </row>
    <row r="27" spans="1:16" x14ac:dyDescent="0.2">
      <c r="A27" s="104">
        <f>A23+1</f>
        <v>2</v>
      </c>
      <c r="B27" s="14" t="s">
        <v>46</v>
      </c>
      <c r="D27" s="54">
        <f>+'Meter Costs'!B15</f>
        <v>76.649999999999977</v>
      </c>
      <c r="E27" s="54">
        <f>+'Meter Costs'!C15</f>
        <v>76.649999999999977</v>
      </c>
      <c r="F27" s="54">
        <f>+'Meter Costs'!D15</f>
        <v>207.64999999999998</v>
      </c>
      <c r="G27" s="54">
        <f>+'Meter Costs'!E15</f>
        <v>867.33999999999992</v>
      </c>
      <c r="H27" s="54">
        <f>+'Meter Costs'!F15</f>
        <v>867.33999999999992</v>
      </c>
      <c r="I27" s="54">
        <f>+'Meter Costs'!G15</f>
        <v>867.33999999999992</v>
      </c>
      <c r="J27" s="54">
        <f>+'Meter Costs'!H15</f>
        <v>2095.12</v>
      </c>
      <c r="K27" s="54">
        <f>+'Meter Costs'!I15</f>
        <v>2647.23</v>
      </c>
      <c r="L27" s="54">
        <f>+'Meter Costs'!J15</f>
        <v>15771.1</v>
      </c>
      <c r="M27" s="54">
        <f>+'Meter Costs'!K15</f>
        <v>25000</v>
      </c>
      <c r="N27" s="54">
        <f>+'Meter Costs'!L15</f>
        <v>35000</v>
      </c>
      <c r="O27" s="54">
        <f>+'Meter Costs'!M15</f>
        <v>47335.199999999997</v>
      </c>
      <c r="P27" s="54">
        <f>+'Meter Costs'!N15</f>
        <v>867.33999999999992</v>
      </c>
    </row>
    <row r="28" spans="1:16" x14ac:dyDescent="0.2">
      <c r="A28" s="104">
        <f t="shared" ref="A28:A32" si="0">A27+1</f>
        <v>3</v>
      </c>
      <c r="B28" s="14" t="s">
        <v>3</v>
      </c>
      <c r="D28" s="54">
        <f>+'Meter Costs'!B16</f>
        <v>63.49</v>
      </c>
      <c r="E28" s="54">
        <f>+'Meter Costs'!C16</f>
        <v>63.49</v>
      </c>
      <c r="F28" s="54">
        <f>+'Meter Costs'!D16</f>
        <v>63.49</v>
      </c>
      <c r="G28" s="54">
        <f>+'Meter Costs'!E16</f>
        <v>101.84</v>
      </c>
      <c r="H28" s="54">
        <f>+'Meter Costs'!F16</f>
        <v>101.84</v>
      </c>
      <c r="I28" s="54">
        <f>+'Meter Costs'!G16</f>
        <v>101.84</v>
      </c>
      <c r="J28" s="54">
        <f>+'Meter Costs'!H16</f>
        <v>101.84</v>
      </c>
      <c r="K28" s="54">
        <f>+'Meter Costs'!I16</f>
        <v>101.84</v>
      </c>
      <c r="L28" s="54">
        <f>+'Meter Costs'!J16</f>
        <v>0</v>
      </c>
      <c r="M28" s="54">
        <f>+'Meter Costs'!K16</f>
        <v>0</v>
      </c>
      <c r="N28" s="54">
        <f>+'Meter Costs'!L16</f>
        <v>0</v>
      </c>
      <c r="O28" s="54">
        <f>+'Meter Costs'!M16</f>
        <v>0</v>
      </c>
      <c r="P28" s="54">
        <f>+'Meter Costs'!N16</f>
        <v>101.84</v>
      </c>
    </row>
    <row r="29" spans="1:16" x14ac:dyDescent="0.2">
      <c r="A29" s="104">
        <f t="shared" si="0"/>
        <v>4</v>
      </c>
      <c r="B29" s="14" t="s">
        <v>47</v>
      </c>
      <c r="D29" s="54">
        <f>+'Meter Costs'!B17</f>
        <v>0</v>
      </c>
      <c r="E29" s="54">
        <f>+'Meter Costs'!C17</f>
        <v>0</v>
      </c>
      <c r="F29" s="54">
        <f>+'Meter Costs'!D17</f>
        <v>0</v>
      </c>
      <c r="G29" s="54">
        <f>+'Meter Costs'!E17</f>
        <v>0</v>
      </c>
      <c r="H29" s="54">
        <f>+'Meter Costs'!F17</f>
        <v>0</v>
      </c>
      <c r="I29" s="54">
        <f>+'Meter Costs'!G17</f>
        <v>0</v>
      </c>
      <c r="J29" s="54">
        <f>+'Meter Costs'!H17</f>
        <v>0</v>
      </c>
      <c r="K29" s="54">
        <f>+'Meter Costs'!I17</f>
        <v>0</v>
      </c>
      <c r="L29" s="54">
        <f>+'Meter Costs'!J17</f>
        <v>3600</v>
      </c>
      <c r="M29" s="54">
        <f>+'Meter Costs'!K17</f>
        <v>3600</v>
      </c>
      <c r="N29" s="54">
        <f>+'Meter Costs'!L17</f>
        <v>3600</v>
      </c>
      <c r="O29" s="54">
        <f>+'Meter Costs'!M17</f>
        <v>3600</v>
      </c>
      <c r="P29" s="54">
        <f>+'Meter Costs'!N17</f>
        <v>0</v>
      </c>
    </row>
    <row r="30" spans="1:16" x14ac:dyDescent="0.2">
      <c r="A30" s="104">
        <f t="shared" si="0"/>
        <v>5</v>
      </c>
      <c r="B30" s="14" t="s">
        <v>48</v>
      </c>
      <c r="D30" s="54">
        <f>+'Meter Costs'!B18</f>
        <v>0</v>
      </c>
      <c r="E30" s="54">
        <f>+'Meter Costs'!C18</f>
        <v>0</v>
      </c>
      <c r="F30" s="54">
        <f>+'Meter Costs'!D18</f>
        <v>0</v>
      </c>
      <c r="G30" s="54">
        <f>+'Meter Costs'!E18</f>
        <v>0</v>
      </c>
      <c r="H30" s="54">
        <f>+'Meter Costs'!F18</f>
        <v>0</v>
      </c>
      <c r="I30" s="54">
        <f>+'Meter Costs'!G18</f>
        <v>0</v>
      </c>
      <c r="J30" s="54">
        <f>+'Meter Costs'!H18</f>
        <v>1087.2261000000001</v>
      </c>
      <c r="K30" s="54">
        <f>+'Meter Costs'!I18</f>
        <v>1087.2261000000001</v>
      </c>
      <c r="L30" s="54">
        <f>+'Meter Costs'!J18</f>
        <v>2174.4522000000002</v>
      </c>
      <c r="M30" s="54">
        <f>+'Meter Costs'!K18</f>
        <v>2174.4522000000002</v>
      </c>
      <c r="N30" s="54">
        <f>+'Meter Costs'!L18</f>
        <v>2174.4522000000002</v>
      </c>
      <c r="O30" s="54">
        <f>+'Meter Costs'!M18</f>
        <v>2174.4522000000002</v>
      </c>
      <c r="P30" s="54">
        <f>+'Meter Costs'!N18</f>
        <v>0</v>
      </c>
    </row>
    <row r="31" spans="1:16" x14ac:dyDescent="0.2">
      <c r="A31" s="104">
        <f t="shared" si="0"/>
        <v>6</v>
      </c>
      <c r="B31" s="14" t="s">
        <v>49</v>
      </c>
      <c r="D31" s="54">
        <f>+'Meter Costs'!B19</f>
        <v>25.95</v>
      </c>
      <c r="E31" s="54">
        <f>+'Meter Costs'!C19</f>
        <v>25.95</v>
      </c>
      <c r="F31" s="54">
        <f>+'Meter Costs'!D19</f>
        <v>29.13</v>
      </c>
      <c r="G31" s="54">
        <f>+'Meter Costs'!E19</f>
        <v>344.23</v>
      </c>
      <c r="H31" s="54">
        <f>+'Meter Costs'!F19</f>
        <v>344.23</v>
      </c>
      <c r="I31" s="54">
        <f>+'Meter Costs'!G19</f>
        <v>688.46</v>
      </c>
      <c r="J31" s="54">
        <f>+'Meter Costs'!H19</f>
        <v>2319.2399999999998</v>
      </c>
      <c r="K31" s="54">
        <f>+'Meter Costs'!I19</f>
        <v>2616.6699999999996</v>
      </c>
      <c r="L31" s="54">
        <f>+'Meter Costs'!J19</f>
        <v>5002.7</v>
      </c>
      <c r="M31" s="54">
        <f>+'Meter Costs'!K19</f>
        <v>6000</v>
      </c>
      <c r="N31" s="54">
        <f>+'Meter Costs'!L19</f>
        <v>6000</v>
      </c>
      <c r="O31" s="54">
        <f>+'Meter Costs'!M19</f>
        <v>37625.480000000003</v>
      </c>
      <c r="P31" s="54">
        <f>+'Meter Costs'!N19</f>
        <v>688.46</v>
      </c>
    </row>
    <row r="32" spans="1:16" x14ac:dyDescent="0.2">
      <c r="A32" s="104">
        <f t="shared" si="0"/>
        <v>7</v>
      </c>
      <c r="B32" s="14" t="s">
        <v>50</v>
      </c>
      <c r="D32" s="54">
        <f>+'Meter Costs'!B20</f>
        <v>59.33</v>
      </c>
      <c r="E32" s="54">
        <f>+'Meter Costs'!C20</f>
        <v>59.33</v>
      </c>
      <c r="F32" s="54">
        <f>+'Meter Costs'!D20</f>
        <v>181.55</v>
      </c>
      <c r="G32" s="54">
        <f>+'Meter Costs'!E20</f>
        <v>649.04</v>
      </c>
      <c r="H32" s="54">
        <f>+'Meter Costs'!F20</f>
        <v>649.04</v>
      </c>
      <c r="I32" s="54">
        <f>+'Meter Costs'!G20</f>
        <v>913.71</v>
      </c>
      <c r="J32" s="54">
        <f>+'Meter Costs'!H20</f>
        <v>1056.02</v>
      </c>
      <c r="K32" s="54">
        <f>+'Meter Costs'!I20</f>
        <v>1106.02</v>
      </c>
      <c r="L32" s="54">
        <f>+'Meter Costs'!J20</f>
        <v>3000</v>
      </c>
      <c r="M32" s="54">
        <f>+'Meter Costs'!K20</f>
        <v>5000</v>
      </c>
      <c r="N32" s="54">
        <f>+'Meter Costs'!L20</f>
        <v>6000</v>
      </c>
      <c r="O32" s="54">
        <f>+'Meter Costs'!M20</f>
        <v>70713.81</v>
      </c>
      <c r="P32" s="54">
        <f>+'Meter Costs'!N20</f>
        <v>913.71</v>
      </c>
    </row>
    <row r="33" spans="1:16" x14ac:dyDescent="0.2">
      <c r="A33" s="104">
        <v>8</v>
      </c>
      <c r="B33" s="14" t="s">
        <v>115</v>
      </c>
      <c r="D33" s="54">
        <f>'Meter Costs'!B21</f>
        <v>0</v>
      </c>
      <c r="E33" s="54">
        <f>'Meter Costs'!C21</f>
        <v>0</v>
      </c>
      <c r="F33" s="54">
        <f>'Meter Costs'!D21</f>
        <v>0</v>
      </c>
      <c r="G33" s="54">
        <f>'Meter Costs'!E21</f>
        <v>0</v>
      </c>
      <c r="H33" s="54">
        <f>'Meter Costs'!F21</f>
        <v>0</v>
      </c>
      <c r="I33" s="54">
        <f>'Meter Costs'!G21</f>
        <v>0</v>
      </c>
      <c r="J33" s="54">
        <f>'Meter Costs'!H21</f>
        <v>0</v>
      </c>
      <c r="K33" s="54">
        <f>'Meter Costs'!I21</f>
        <v>0</v>
      </c>
      <c r="L33" s="54">
        <f>'Meter Costs'!J21</f>
        <v>8000</v>
      </c>
      <c r="M33" s="54">
        <f>'Meter Costs'!K21</f>
        <v>10000</v>
      </c>
      <c r="N33" s="54">
        <f>'Meter Costs'!L21</f>
        <v>15000</v>
      </c>
      <c r="O33" s="54">
        <f>'Meter Costs'!M21</f>
        <v>179967.26</v>
      </c>
      <c r="P33" s="54"/>
    </row>
    <row r="34" spans="1:16" x14ac:dyDescent="0.2">
      <c r="A34" s="104">
        <v>9</v>
      </c>
      <c r="B34" s="14" t="s">
        <v>51</v>
      </c>
      <c r="D34" s="54">
        <f>'Meter Costs'!B22</f>
        <v>38.5</v>
      </c>
      <c r="E34" s="54">
        <f>'Meter Costs'!C22</f>
        <v>38.5</v>
      </c>
      <c r="F34" s="54">
        <f>'Meter Costs'!D22</f>
        <v>38.5</v>
      </c>
      <c r="G34" s="54">
        <f>'Meter Costs'!E22</f>
        <v>45.25</v>
      </c>
      <c r="H34" s="54">
        <f>'Meter Costs'!F22</f>
        <v>45.25</v>
      </c>
      <c r="I34" s="54">
        <f>'Meter Costs'!G22</f>
        <v>45.25</v>
      </c>
      <c r="J34" s="54">
        <f>'Meter Costs'!H22</f>
        <v>92.500000000000014</v>
      </c>
      <c r="K34" s="54">
        <f>'Meter Costs'!I22</f>
        <v>92.500000000000014</v>
      </c>
      <c r="L34" s="54">
        <f>'Meter Costs'!J22</f>
        <v>92.500000000000014</v>
      </c>
      <c r="M34" s="54">
        <f>'Meter Costs'!K22</f>
        <v>92.500000000000014</v>
      </c>
      <c r="N34" s="54">
        <f>'Meter Costs'!L22</f>
        <v>92.500000000000014</v>
      </c>
      <c r="O34" s="54">
        <f>'Meter Costs'!M22</f>
        <v>92.500000000000014</v>
      </c>
      <c r="P34" s="54">
        <f>'Meter Costs'!N22</f>
        <v>45.25</v>
      </c>
    </row>
    <row r="35" spans="1:16" x14ac:dyDescent="0.2">
      <c r="A35" s="104">
        <v>10</v>
      </c>
      <c r="B35" s="14" t="s">
        <v>113</v>
      </c>
      <c r="D35" s="54">
        <f>'Meter Costs'!B23</f>
        <v>12.56</v>
      </c>
      <c r="E35" s="54">
        <f>'Meter Costs'!C23</f>
        <v>12.56</v>
      </c>
      <c r="F35" s="54">
        <f>'Meter Costs'!D23</f>
        <v>12.56</v>
      </c>
      <c r="G35" s="54">
        <f>'Meter Costs'!E23</f>
        <v>14.98</v>
      </c>
      <c r="H35" s="54">
        <f>'Meter Costs'!F23</f>
        <v>14.98</v>
      </c>
      <c r="I35" s="54">
        <f>'Meter Costs'!G23</f>
        <v>14.98</v>
      </c>
      <c r="J35" s="54">
        <f>'Meter Costs'!H23</f>
        <v>31.89</v>
      </c>
      <c r="K35" s="54">
        <f>'Meter Costs'!I23</f>
        <v>31.89</v>
      </c>
      <c r="L35" s="54">
        <f>'Meter Costs'!J23</f>
        <v>31.89</v>
      </c>
      <c r="M35" s="54">
        <f>'Meter Costs'!K23</f>
        <v>31.89</v>
      </c>
      <c r="N35" s="54">
        <f>'Meter Costs'!L23</f>
        <v>31.89</v>
      </c>
      <c r="O35" s="54">
        <f>'Meter Costs'!M23</f>
        <v>31.89</v>
      </c>
      <c r="P35" s="54">
        <f>'Meter Costs'!N23</f>
        <v>14.98</v>
      </c>
    </row>
    <row r="36" spans="1:16" x14ac:dyDescent="0.2">
      <c r="A36" s="104">
        <v>11</v>
      </c>
      <c r="B36" s="14" t="s">
        <v>52</v>
      </c>
      <c r="D36" s="54">
        <f>+'Meter Costs'!B24</f>
        <v>14.894202000000002</v>
      </c>
      <c r="E36" s="54">
        <f>+'Meter Costs'!C24</f>
        <v>14.894202000000002</v>
      </c>
      <c r="F36" s="54">
        <f>+'Meter Costs'!D24</f>
        <v>14.894202000000002</v>
      </c>
      <c r="G36" s="54">
        <f>+'Meter Costs'!E24</f>
        <v>17.569091000000004</v>
      </c>
      <c r="H36" s="54">
        <f>+'Meter Costs'!F24</f>
        <v>17.569091000000004</v>
      </c>
      <c r="I36" s="54">
        <f>+'Meter Costs'!G24</f>
        <v>17.569091000000004</v>
      </c>
      <c r="J36" s="54">
        <f>+'Meter Costs'!H24</f>
        <v>36.284563000000006</v>
      </c>
      <c r="K36" s="54">
        <f>+'Meter Costs'!I24</f>
        <v>36.284563000000006</v>
      </c>
      <c r="L36" s="54">
        <f>+'Meter Costs'!J24</f>
        <v>36.284563000000006</v>
      </c>
      <c r="M36" s="54">
        <f>+'Meter Costs'!K24</f>
        <v>36.284563000000006</v>
      </c>
      <c r="N36" s="54">
        <f>+'Meter Costs'!L24</f>
        <v>36.284563000000006</v>
      </c>
      <c r="O36" s="54">
        <f>+'Meter Costs'!M24</f>
        <v>36.284563000000006</v>
      </c>
      <c r="P36" s="54">
        <f>+'Meter Costs'!N24</f>
        <v>17.569091000000004</v>
      </c>
    </row>
    <row r="37" spans="1:16" x14ac:dyDescent="0.2">
      <c r="A37" s="104"/>
      <c r="B37" s="14"/>
      <c r="D37" s="53"/>
      <c r="E37" s="66"/>
      <c r="F37" s="53"/>
      <c r="G37" s="53"/>
      <c r="H37" s="53"/>
      <c r="I37" s="53"/>
      <c r="J37" s="53"/>
      <c r="K37" s="53"/>
      <c r="L37" s="53"/>
      <c r="M37" s="53"/>
      <c r="N37" s="53"/>
      <c r="O37" s="53"/>
      <c r="P37" s="53"/>
    </row>
    <row r="38" spans="1:16" x14ac:dyDescent="0.2">
      <c r="A38" s="104">
        <f>A36+1</f>
        <v>12</v>
      </c>
      <c r="B38" s="37" t="s">
        <v>53</v>
      </c>
      <c r="D38" s="54">
        <f>SUM(D27:D37)</f>
        <v>291.37420199999997</v>
      </c>
      <c r="E38" s="54">
        <f t="shared" ref="E38:P38" si="1">SUM(E27:E37)</f>
        <v>291.37420199999997</v>
      </c>
      <c r="F38" s="54">
        <f t="shared" si="1"/>
        <v>547.77420199999983</v>
      </c>
      <c r="G38" s="54">
        <f t="shared" si="1"/>
        <v>2040.2490909999999</v>
      </c>
      <c r="H38" s="54">
        <f t="shared" si="1"/>
        <v>2040.2490909999999</v>
      </c>
      <c r="I38" s="54">
        <f t="shared" si="1"/>
        <v>2649.1490909999998</v>
      </c>
      <c r="J38" s="54">
        <f t="shared" si="1"/>
        <v>6820.1206629999997</v>
      </c>
      <c r="K38" s="54">
        <f t="shared" si="1"/>
        <v>7719.6606630000006</v>
      </c>
      <c r="L38" s="54">
        <f t="shared" si="1"/>
        <v>37708.926763000003</v>
      </c>
      <c r="M38" s="54">
        <f t="shared" si="1"/>
        <v>51935.126763</v>
      </c>
      <c r="N38" s="54">
        <f t="shared" si="1"/>
        <v>67935.126762999993</v>
      </c>
      <c r="O38" s="54">
        <f t="shared" si="1"/>
        <v>341576.87676300004</v>
      </c>
      <c r="P38" s="54">
        <f t="shared" si="1"/>
        <v>2649.1490909999998</v>
      </c>
    </row>
    <row r="39" spans="1:16" x14ac:dyDescent="0.2">
      <c r="A39" s="104"/>
      <c r="B39" s="14"/>
    </row>
    <row r="40" spans="1:16" x14ac:dyDescent="0.2">
      <c r="A40" s="104">
        <f>A38+1</f>
        <v>13</v>
      </c>
      <c r="B40" s="14" t="s">
        <v>1</v>
      </c>
      <c r="D40" s="54">
        <f>+D38+D23</f>
        <v>1462.7968261732556</v>
      </c>
      <c r="E40" s="54">
        <f t="shared" ref="E40:P40" si="2">+E38+E23</f>
        <v>1462.7968261732556</v>
      </c>
      <c r="F40" s="54">
        <f t="shared" si="2"/>
        <v>1719.1968261732554</v>
      </c>
      <c r="G40" s="54">
        <f t="shared" si="2"/>
        <v>5415.8069454040897</v>
      </c>
      <c r="H40" s="54">
        <f t="shared" si="2"/>
        <v>6284.7624326764299</v>
      </c>
      <c r="I40" s="54">
        <f t="shared" si="2"/>
        <v>6893.6624326764304</v>
      </c>
      <c r="J40" s="54">
        <f t="shared" si="2"/>
        <v>15511.407276810742</v>
      </c>
      <c r="K40" s="54">
        <f t="shared" si="2"/>
        <v>29904.660663000002</v>
      </c>
      <c r="L40" s="54">
        <f t="shared" si="2"/>
        <v>167638.926763</v>
      </c>
      <c r="M40" s="54">
        <f t="shared" si="2"/>
        <v>181865.12676300001</v>
      </c>
      <c r="N40" s="54">
        <f t="shared" si="2"/>
        <v>406152.12676299998</v>
      </c>
      <c r="O40" s="54">
        <f t="shared" si="2"/>
        <v>905271.87676300004</v>
      </c>
      <c r="P40" s="54">
        <f t="shared" si="2"/>
        <v>6893.6624326764304</v>
      </c>
    </row>
    <row r="41" spans="1:16" x14ac:dyDescent="0.2">
      <c r="A41" s="104"/>
      <c r="B41" s="14"/>
    </row>
    <row r="42" spans="1:16" x14ac:dyDescent="0.2">
      <c r="A42" s="104"/>
      <c r="B42" s="14"/>
      <c r="D42" s="14"/>
      <c r="E42" s="14"/>
      <c r="F42" s="14"/>
      <c r="G42" s="14"/>
      <c r="H42" s="14"/>
      <c r="I42" s="14"/>
      <c r="J42" s="14"/>
      <c r="K42" s="14"/>
      <c r="L42" s="14"/>
      <c r="M42" s="14"/>
      <c r="N42" s="14"/>
      <c r="O42" s="14"/>
    </row>
    <row r="43" spans="1:16" ht="15.75" x14ac:dyDescent="0.25">
      <c r="A43" s="104">
        <f>A40+1</f>
        <v>14</v>
      </c>
      <c r="B43" s="17" t="s">
        <v>54</v>
      </c>
      <c r="D43" s="18">
        <f>D40/$D$40</f>
        <v>1</v>
      </c>
      <c r="E43" s="18">
        <f t="shared" ref="E43:P43" si="3">E40/$D$40</f>
        <v>1</v>
      </c>
      <c r="F43" s="18">
        <f t="shared" si="3"/>
        <v>1.175280664691319</v>
      </c>
      <c r="G43" s="18">
        <f t="shared" si="3"/>
        <v>3.7023644353755483</v>
      </c>
      <c r="H43" s="18">
        <f t="shared" si="3"/>
        <v>4.2964014689023218</v>
      </c>
      <c r="I43" s="18">
        <f t="shared" si="3"/>
        <v>4.7126588664473461</v>
      </c>
      <c r="J43" s="18">
        <f t="shared" si="3"/>
        <v>10.603938290862514</v>
      </c>
      <c r="K43" s="18">
        <f t="shared" si="3"/>
        <v>20.443482052960139</v>
      </c>
      <c r="L43" s="18">
        <f t="shared" si="3"/>
        <v>114.6016478594305</v>
      </c>
      <c r="M43" s="18">
        <f t="shared" si="3"/>
        <v>124.32699026205002</v>
      </c>
      <c r="N43" s="18">
        <f t="shared" si="3"/>
        <v>277.65450368491213</v>
      </c>
      <c r="O43" s="18">
        <f t="shared" si="3"/>
        <v>618.86371406153057</v>
      </c>
      <c r="P43" s="18">
        <f t="shared" si="3"/>
        <v>4.7126588664473461</v>
      </c>
    </row>
    <row r="44" spans="1:16" ht="15.75" x14ac:dyDescent="0.25">
      <c r="A44" s="104"/>
      <c r="B44" s="17"/>
      <c r="D44" s="14"/>
      <c r="E44" s="14"/>
      <c r="F44" s="14"/>
      <c r="G44" s="14"/>
      <c r="H44" s="14"/>
      <c r="I44" s="14"/>
      <c r="J44" s="14"/>
      <c r="K44" s="14"/>
      <c r="L44" s="14"/>
      <c r="M44" s="14"/>
      <c r="N44" s="14"/>
      <c r="O44" s="14"/>
    </row>
    <row r="45" spans="1:16" x14ac:dyDescent="0.2">
      <c r="A45" s="14" t="s">
        <v>55</v>
      </c>
      <c r="B45" s="14"/>
      <c r="D45" s="14"/>
      <c r="E45" s="14"/>
      <c r="F45" s="14"/>
      <c r="G45" s="14"/>
      <c r="H45" s="14"/>
      <c r="I45" s="14"/>
      <c r="J45" s="14"/>
      <c r="K45" s="14"/>
      <c r="L45" s="14"/>
      <c r="M45" s="14"/>
      <c r="N45" s="14"/>
      <c r="O45" s="14"/>
    </row>
    <row r="46" spans="1:16" x14ac:dyDescent="0.2">
      <c r="A46" s="14"/>
      <c r="B46" s="14"/>
      <c r="D46" s="14"/>
      <c r="E46" s="14"/>
      <c r="F46" s="14"/>
      <c r="G46" s="14"/>
      <c r="H46" s="14"/>
      <c r="I46" s="14"/>
      <c r="J46" s="14"/>
      <c r="K46" s="14"/>
      <c r="L46" s="14"/>
      <c r="M46" s="14"/>
      <c r="N46" s="14"/>
      <c r="O46" s="14"/>
    </row>
    <row r="49" spans="1:16" ht="15.75" x14ac:dyDescent="0.25">
      <c r="A49" s="97"/>
      <c r="B49" s="97"/>
    </row>
    <row r="50" spans="1:16" ht="15.75" x14ac:dyDescent="0.25">
      <c r="A50" s="97"/>
      <c r="B50" s="97"/>
    </row>
    <row r="51" spans="1:16" ht="15.75" x14ac:dyDescent="0.25">
      <c r="A51" s="97"/>
      <c r="B51" s="97"/>
    </row>
    <row r="52" spans="1:16" ht="15.75" x14ac:dyDescent="0.25">
      <c r="A52" s="97"/>
      <c r="B52" s="97"/>
    </row>
    <row r="53" spans="1:16" ht="15.75" x14ac:dyDescent="0.25">
      <c r="A53" s="97"/>
      <c r="B53" s="97"/>
    </row>
    <row r="54" spans="1:16" ht="15.75" x14ac:dyDescent="0.25">
      <c r="A54" s="97"/>
      <c r="B54" s="97"/>
    </row>
    <row r="55" spans="1:16" ht="15.75" x14ac:dyDescent="0.25">
      <c r="A55" s="97"/>
      <c r="B55" s="97"/>
    </row>
    <row r="56" spans="1:16" ht="15.75" x14ac:dyDescent="0.25">
      <c r="A56" s="97"/>
      <c r="B56" s="97"/>
    </row>
    <row r="57" spans="1:16" ht="15.75" x14ac:dyDescent="0.25">
      <c r="A57" s="97"/>
      <c r="B57" s="97"/>
    </row>
    <row r="58" spans="1:16" ht="15.75" x14ac:dyDescent="0.25">
      <c r="A58" s="97"/>
      <c r="B58" s="97"/>
    </row>
    <row r="59" spans="1:16" ht="15.75" x14ac:dyDescent="0.25">
      <c r="A59" s="97"/>
      <c r="B59" s="97"/>
    </row>
    <row r="60" spans="1:16" ht="15.75" x14ac:dyDescent="0.25">
      <c r="A60" s="106"/>
      <c r="B60" s="106"/>
      <c r="D60" s="19"/>
      <c r="E60" s="19"/>
      <c r="F60" s="19"/>
      <c r="G60" s="19"/>
      <c r="H60" s="19"/>
      <c r="I60" s="19"/>
      <c r="J60" s="19"/>
      <c r="K60" s="19"/>
      <c r="L60" s="19"/>
      <c r="M60" s="19"/>
      <c r="N60" s="19"/>
      <c r="O60" s="19"/>
      <c r="P60" s="19"/>
    </row>
    <row r="61" spans="1:16" x14ac:dyDescent="0.2">
      <c r="A61" s="14" t="s">
        <v>56</v>
      </c>
      <c r="B61" s="14"/>
      <c r="C61" s="19"/>
    </row>
    <row r="62" spans="1:16" ht="15.75" x14ac:dyDescent="0.25">
      <c r="A62" s="97"/>
      <c r="B62" s="97"/>
    </row>
    <row r="63" spans="1:16" ht="15.75" customHeight="1" x14ac:dyDescent="0.25">
      <c r="A63" s="97"/>
      <c r="B63" s="97"/>
    </row>
    <row r="64" spans="1:16" ht="15.75" x14ac:dyDescent="0.25">
      <c r="A64" s="97"/>
      <c r="B64" s="97"/>
    </row>
    <row r="65" spans="1:2" ht="15.75" x14ac:dyDescent="0.25">
      <c r="A65" s="97"/>
      <c r="B65" s="97"/>
    </row>
    <row r="66" spans="1:2" ht="15.75" x14ac:dyDescent="0.25">
      <c r="A66" s="97"/>
      <c r="B66" s="97"/>
    </row>
    <row r="67" spans="1:2" ht="15.75" x14ac:dyDescent="0.25">
      <c r="A67" s="97"/>
      <c r="B67" s="97"/>
    </row>
    <row r="68" spans="1:2" ht="15.75" x14ac:dyDescent="0.25">
      <c r="A68" s="97"/>
      <c r="B68" s="97"/>
    </row>
  </sheetData>
  <mergeCells count="1">
    <mergeCell ref="D17:P17"/>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9C5E-EC97-471E-A1EC-8DF6E7C71157}">
  <dimension ref="A1:O42"/>
  <sheetViews>
    <sheetView workbookViewId="0"/>
  </sheetViews>
  <sheetFormatPr defaultRowHeight="12.75" x14ac:dyDescent="0.2"/>
  <cols>
    <col min="1" max="1" width="13.85546875" customWidth="1"/>
    <col min="2" max="2" width="10.7109375" bestFit="1" customWidth="1"/>
    <col min="3" max="3" width="12.42578125" bestFit="1" customWidth="1"/>
    <col min="4" max="4" width="11.42578125" bestFit="1" customWidth="1"/>
    <col min="5" max="6" width="12.42578125" bestFit="1" customWidth="1"/>
    <col min="7" max="7" width="11.5703125" customWidth="1"/>
    <col min="8" max="9" width="11.42578125" bestFit="1" customWidth="1"/>
    <col min="10" max="10" width="12.85546875" bestFit="1" customWidth="1"/>
    <col min="11" max="11" width="13.140625" customWidth="1"/>
    <col min="12" max="12" width="12.7109375" customWidth="1"/>
    <col min="13" max="14" width="12.85546875" bestFit="1" customWidth="1"/>
    <col min="15" max="15" width="11.42578125" bestFit="1" customWidth="1"/>
    <col min="16" max="17" width="10.28515625" customWidth="1"/>
  </cols>
  <sheetData>
    <row r="1" spans="1:10" x14ac:dyDescent="0.2">
      <c r="A1" s="109" t="s">
        <v>155</v>
      </c>
    </row>
    <row r="2" spans="1:10" x14ac:dyDescent="0.2">
      <c r="A2" s="113" t="s">
        <v>153</v>
      </c>
    </row>
    <row r="7" spans="1:10" ht="15.75" x14ac:dyDescent="0.25">
      <c r="A7" s="24" t="s">
        <v>106</v>
      </c>
      <c r="G7" s="24" t="s">
        <v>67</v>
      </c>
    </row>
    <row r="8" spans="1:10" x14ac:dyDescent="0.2">
      <c r="A8" s="27">
        <v>2021</v>
      </c>
      <c r="B8" s="3"/>
      <c r="C8" s="3"/>
      <c r="D8" s="3"/>
      <c r="E8" s="3"/>
      <c r="F8" s="3"/>
      <c r="G8" s="27">
        <v>2021</v>
      </c>
      <c r="H8" s="3"/>
      <c r="I8" s="3"/>
      <c r="J8" s="3"/>
    </row>
    <row r="10" spans="1:10" x14ac:dyDescent="0.2">
      <c r="A10" s="20" t="s">
        <v>65</v>
      </c>
      <c r="B10">
        <f>SUM(B14:E14)</f>
        <v>3302</v>
      </c>
      <c r="G10" s="20" t="s">
        <v>70</v>
      </c>
    </row>
    <row r="11" spans="1:10" ht="13.5" thickBot="1" x14ac:dyDescent="0.25">
      <c r="A11" s="25"/>
      <c r="B11" s="26" t="s">
        <v>59</v>
      </c>
      <c r="C11" s="26" t="s">
        <v>60</v>
      </c>
      <c r="D11" s="26" t="s">
        <v>61</v>
      </c>
      <c r="E11" s="41"/>
      <c r="F11" s="1"/>
      <c r="G11" s="25"/>
      <c r="H11" s="26" t="s">
        <v>59</v>
      </c>
      <c r="I11" s="26" t="s">
        <v>60</v>
      </c>
      <c r="J11" s="26" t="s">
        <v>61</v>
      </c>
    </row>
    <row r="12" spans="1:10" x14ac:dyDescent="0.2">
      <c r="A12" s="22" t="s">
        <v>57</v>
      </c>
      <c r="B12" s="29">
        <v>2938</v>
      </c>
      <c r="C12" s="29">
        <v>166</v>
      </c>
      <c r="D12" s="29"/>
      <c r="E12" s="44"/>
      <c r="G12" s="23" t="s">
        <v>63</v>
      </c>
      <c r="H12" s="32">
        <v>1851946.8</v>
      </c>
      <c r="I12" s="32">
        <v>468825.08</v>
      </c>
      <c r="J12" s="32">
        <v>64030.25</v>
      </c>
    </row>
    <row r="13" spans="1:10" ht="13.5" thickBot="1" x14ac:dyDescent="0.25">
      <c r="A13" s="35" t="s">
        <v>58</v>
      </c>
      <c r="B13" s="31">
        <v>2</v>
      </c>
      <c r="C13" s="31">
        <v>164</v>
      </c>
      <c r="D13" s="31">
        <f>16+16</f>
        <v>32</v>
      </c>
      <c r="E13" s="44"/>
      <c r="G13" s="30" t="s">
        <v>64</v>
      </c>
      <c r="H13" s="34">
        <v>1580303.74</v>
      </c>
      <c r="I13" s="34">
        <v>786347.7</v>
      </c>
      <c r="J13" s="34">
        <v>104202.08</v>
      </c>
    </row>
    <row r="14" spans="1:10" ht="13.5" thickTop="1" x14ac:dyDescent="0.2">
      <c r="A14" s="23" t="s">
        <v>66</v>
      </c>
      <c r="B14" s="28">
        <f>SUM(B12:B13)</f>
        <v>2940</v>
      </c>
      <c r="C14" s="28">
        <f>SUM(C12:C13)</f>
        <v>330</v>
      </c>
      <c r="D14" s="28">
        <f>SUM(D12:D13)</f>
        <v>32</v>
      </c>
      <c r="E14" s="44"/>
      <c r="G14" s="23" t="s">
        <v>66</v>
      </c>
      <c r="H14" s="33">
        <f>SUM(H12:H13)</f>
        <v>3432250.54</v>
      </c>
      <c r="I14" s="33">
        <f>SUM(I12:I13)</f>
        <v>1255172.78</v>
      </c>
      <c r="J14" s="33">
        <f>SUM(J12:J13)</f>
        <v>168232.33000000002</v>
      </c>
    </row>
    <row r="15" spans="1:10" x14ac:dyDescent="0.2">
      <c r="E15" s="40"/>
    </row>
    <row r="16" spans="1:10" x14ac:dyDescent="0.2">
      <c r="A16" s="21" t="s">
        <v>62</v>
      </c>
      <c r="E16" s="40"/>
      <c r="G16" s="21" t="s">
        <v>69</v>
      </c>
    </row>
    <row r="17" spans="1:15" x14ac:dyDescent="0.2">
      <c r="E17" s="40"/>
      <c r="G17" s="21"/>
    </row>
    <row r="18" spans="1:15" x14ac:dyDescent="0.2">
      <c r="A18" s="20" t="s">
        <v>96</v>
      </c>
      <c r="E18" s="40"/>
      <c r="G18" s="20" t="s">
        <v>97</v>
      </c>
      <c r="H18">
        <f>SUM(H22:J22)</f>
        <v>234845</v>
      </c>
    </row>
    <row r="19" spans="1:15" ht="13.5" thickBot="1" x14ac:dyDescent="0.25">
      <c r="A19" s="25"/>
      <c r="B19" s="26" t="s">
        <v>59</v>
      </c>
      <c r="C19" s="26" t="s">
        <v>60</v>
      </c>
      <c r="D19" s="26" t="s">
        <v>61</v>
      </c>
      <c r="E19" s="41"/>
      <c r="G19" s="25"/>
      <c r="H19" s="26" t="s">
        <v>59</v>
      </c>
      <c r="I19" s="26" t="s">
        <v>60</v>
      </c>
      <c r="J19" s="26" t="s">
        <v>61</v>
      </c>
    </row>
    <row r="20" spans="1:15" x14ac:dyDescent="0.2">
      <c r="A20" s="22" t="s">
        <v>57</v>
      </c>
      <c r="B20" s="29">
        <v>66</v>
      </c>
      <c r="C20" s="29">
        <v>101</v>
      </c>
      <c r="D20" s="29"/>
      <c r="E20" s="44"/>
      <c r="G20" s="22" t="s">
        <v>57</v>
      </c>
      <c r="H20" s="29">
        <v>192882</v>
      </c>
      <c r="I20" s="29">
        <v>16683</v>
      </c>
      <c r="J20" s="29"/>
    </row>
    <row r="21" spans="1:15" ht="13.5" thickBot="1" x14ac:dyDescent="0.25">
      <c r="A21" s="35" t="s">
        <v>58</v>
      </c>
      <c r="B21" s="31">
        <v>99</v>
      </c>
      <c r="C21" s="31">
        <v>127</v>
      </c>
      <c r="D21" s="31">
        <v>202</v>
      </c>
      <c r="E21" s="44"/>
      <c r="G21" s="35" t="s">
        <v>58</v>
      </c>
      <c r="H21" s="31">
        <v>497</v>
      </c>
      <c r="I21" s="31">
        <v>20873</v>
      </c>
      <c r="J21" s="31">
        <f>3228+682</f>
        <v>3910</v>
      </c>
    </row>
    <row r="22" spans="1:15" ht="13.5" thickTop="1" x14ac:dyDescent="0.2">
      <c r="A22" s="23" t="s">
        <v>71</v>
      </c>
      <c r="B22" s="28"/>
      <c r="C22" s="28"/>
      <c r="D22" s="28"/>
      <c r="E22" s="44"/>
      <c r="G22" s="23" t="s">
        <v>88</v>
      </c>
      <c r="H22" s="28">
        <f>SUM(H20:H21)</f>
        <v>193379</v>
      </c>
      <c r="I22" s="28">
        <f>SUM(I20:I21)</f>
        <v>37556</v>
      </c>
      <c r="J22" s="28">
        <f>SUM(J20:J21)</f>
        <v>3910</v>
      </c>
    </row>
    <row r="23" spans="1:15" x14ac:dyDescent="0.2">
      <c r="E23" s="40"/>
    </row>
    <row r="24" spans="1:15" x14ac:dyDescent="0.2">
      <c r="A24" s="21" t="s">
        <v>62</v>
      </c>
      <c r="G24" s="21" t="s">
        <v>62</v>
      </c>
    </row>
    <row r="26" spans="1:15" x14ac:dyDescent="0.2">
      <c r="G26" s="20" t="s">
        <v>95</v>
      </c>
      <c r="H26" s="20"/>
    </row>
    <row r="27" spans="1:15" ht="13.5" thickBot="1" x14ac:dyDescent="0.25">
      <c r="G27" s="26" t="s">
        <v>68</v>
      </c>
      <c r="H27" s="26" t="s">
        <v>59</v>
      </c>
      <c r="I27" s="26" t="s">
        <v>60</v>
      </c>
      <c r="J27" s="26" t="s">
        <v>61</v>
      </c>
    </row>
    <row r="28" spans="1:15" x14ac:dyDescent="0.2">
      <c r="G28" s="38" t="s">
        <v>66</v>
      </c>
      <c r="H28" s="39">
        <f>+H14/H22</f>
        <v>17.748827638988722</v>
      </c>
      <c r="I28" s="39">
        <f>+I14/I22</f>
        <v>33.421364895090001</v>
      </c>
      <c r="J28" s="39">
        <f>+J14/J22</f>
        <v>43.026171355498725</v>
      </c>
    </row>
    <row r="29" spans="1:15" ht="13.5" thickBot="1" x14ac:dyDescent="0.25"/>
    <row r="30" spans="1:15" ht="15" x14ac:dyDescent="0.25">
      <c r="A30" s="55" t="s">
        <v>79</v>
      </c>
      <c r="B30" s="56"/>
      <c r="C30" s="56"/>
      <c r="D30" s="56"/>
      <c r="E30" s="56"/>
      <c r="F30" s="56"/>
      <c r="G30" s="56"/>
      <c r="H30" s="56"/>
      <c r="I30" s="56"/>
      <c r="J30" s="56"/>
      <c r="K30" s="56"/>
      <c r="L30" s="56"/>
      <c r="M30" s="56"/>
      <c r="N30" s="56"/>
      <c r="O30" s="57"/>
    </row>
    <row r="31" spans="1:15" ht="15" x14ac:dyDescent="0.25">
      <c r="A31" s="58" t="s">
        <v>72</v>
      </c>
      <c r="B31" s="59" t="s">
        <v>30</v>
      </c>
      <c r="C31" s="59" t="s">
        <v>31</v>
      </c>
      <c r="D31" s="59" t="s">
        <v>32</v>
      </c>
      <c r="E31" s="59" t="s">
        <v>74</v>
      </c>
      <c r="F31" s="59" t="s">
        <v>34</v>
      </c>
      <c r="G31" s="59" t="s">
        <v>75</v>
      </c>
      <c r="H31" s="59" t="s">
        <v>76</v>
      </c>
      <c r="I31" s="59" t="s">
        <v>77</v>
      </c>
      <c r="J31" s="59" t="s">
        <v>78</v>
      </c>
      <c r="K31" s="59" t="s">
        <v>39</v>
      </c>
      <c r="L31" s="59" t="s">
        <v>40</v>
      </c>
      <c r="M31" s="40"/>
      <c r="N31" s="40"/>
      <c r="O31" s="60" t="s">
        <v>73</v>
      </c>
    </row>
    <row r="32" spans="1:15" ht="15.75" thickBot="1" x14ac:dyDescent="0.3">
      <c r="A32" s="61" t="s">
        <v>0</v>
      </c>
      <c r="B32" s="62">
        <v>100</v>
      </c>
      <c r="C32" s="62">
        <v>305</v>
      </c>
      <c r="D32" s="62">
        <v>555</v>
      </c>
      <c r="E32" s="62">
        <v>2000</v>
      </c>
      <c r="F32" s="63">
        <v>1027</v>
      </c>
      <c r="G32" s="63">
        <v>2654</v>
      </c>
      <c r="H32" s="63">
        <v>12414</v>
      </c>
      <c r="I32" s="63">
        <v>38812.5</v>
      </c>
      <c r="J32" s="63">
        <v>279655.5</v>
      </c>
      <c r="K32" s="63">
        <v>821917.5</v>
      </c>
      <c r="L32" s="63">
        <v>1255708</v>
      </c>
      <c r="M32" s="64"/>
      <c r="N32" s="64"/>
      <c r="O32" s="65">
        <v>300</v>
      </c>
    </row>
    <row r="33" spans="1:14" x14ac:dyDescent="0.2">
      <c r="A33" s="4"/>
    </row>
    <row r="34" spans="1:14" ht="15" x14ac:dyDescent="0.25">
      <c r="B34" s="36" t="s">
        <v>24</v>
      </c>
      <c r="C34" s="36" t="s">
        <v>24</v>
      </c>
      <c r="D34" s="36" t="s">
        <v>24</v>
      </c>
      <c r="E34" s="36" t="s">
        <v>25</v>
      </c>
      <c r="F34" s="36" t="s">
        <v>26</v>
      </c>
      <c r="G34" s="36" t="s">
        <v>26</v>
      </c>
      <c r="H34" s="36" t="s">
        <v>26</v>
      </c>
      <c r="I34" s="36" t="s">
        <v>26</v>
      </c>
      <c r="J34" s="36" t="s">
        <v>26</v>
      </c>
      <c r="K34" s="36" t="s">
        <v>26</v>
      </c>
      <c r="L34" s="36" t="s">
        <v>26</v>
      </c>
      <c r="M34" s="36" t="s">
        <v>27</v>
      </c>
      <c r="N34" s="36" t="s">
        <v>28</v>
      </c>
    </row>
    <row r="35" spans="1:14" ht="15" x14ac:dyDescent="0.25">
      <c r="A35" s="20" t="s">
        <v>72</v>
      </c>
      <c r="B35" s="36" t="s">
        <v>30</v>
      </c>
      <c r="C35" s="36" t="s">
        <v>31</v>
      </c>
      <c r="D35" s="36" t="s">
        <v>32</v>
      </c>
      <c r="E35" s="36" t="s">
        <v>33</v>
      </c>
      <c r="F35" s="36" t="s">
        <v>34</v>
      </c>
      <c r="G35" s="36" t="s">
        <v>35</v>
      </c>
      <c r="H35" s="36" t="s">
        <v>36</v>
      </c>
      <c r="I35" s="36" t="s">
        <v>37</v>
      </c>
      <c r="J35" s="36" t="s">
        <v>38</v>
      </c>
      <c r="K35" s="36" t="s">
        <v>39</v>
      </c>
      <c r="L35" s="36" t="s">
        <v>40</v>
      </c>
      <c r="M35" s="36" t="s">
        <v>41</v>
      </c>
      <c r="N35" s="36" t="s">
        <v>42</v>
      </c>
    </row>
    <row r="36" spans="1:14" x14ac:dyDescent="0.2">
      <c r="A36" s="20" t="s">
        <v>94</v>
      </c>
      <c r="B36" s="42" t="s">
        <v>89</v>
      </c>
      <c r="C36" s="42" t="s">
        <v>89</v>
      </c>
      <c r="D36" s="42" t="s">
        <v>89</v>
      </c>
      <c r="E36" s="42" t="s">
        <v>90</v>
      </c>
      <c r="F36" s="42" t="s">
        <v>91</v>
      </c>
      <c r="G36" s="42" t="s">
        <v>91</v>
      </c>
      <c r="H36" s="42" t="s">
        <v>92</v>
      </c>
      <c r="I36" s="42" t="s">
        <v>85</v>
      </c>
      <c r="J36" s="42" t="s">
        <v>86</v>
      </c>
      <c r="K36" s="42" t="s">
        <v>86</v>
      </c>
      <c r="L36" s="42" t="s">
        <v>104</v>
      </c>
      <c r="M36" s="42" t="s">
        <v>87</v>
      </c>
      <c r="N36" s="42" t="s">
        <v>91</v>
      </c>
    </row>
    <row r="37" spans="1:14" ht="15" x14ac:dyDescent="0.25">
      <c r="A37" s="20" t="s">
        <v>93</v>
      </c>
      <c r="B37" s="43">
        <f>+'Service Length-Count'!H28*'Service Length-Count'!B20</f>
        <v>1171.4226241732556</v>
      </c>
      <c r="C37" s="2">
        <f>+'Service Length-Count'!H28*'Service Length-Count'!B20</f>
        <v>1171.4226241732556</v>
      </c>
      <c r="D37" s="2">
        <f>+'Service Length-Count'!H28*'Service Length-Count'!B20</f>
        <v>1171.4226241732556</v>
      </c>
      <c r="E37" s="2">
        <f>+'Service Length-Count'!I28*'Service Length-Count'!C20</f>
        <v>3375.55785440409</v>
      </c>
      <c r="F37" s="2">
        <f>+'Service Length-Count'!I28*'Service Length-Count'!C21</f>
        <v>4244.5133416764302</v>
      </c>
      <c r="G37" s="2">
        <f>+'Service Length-Count'!I28*'Service Length-Count'!C21</f>
        <v>4244.5133416764302</v>
      </c>
      <c r="H37" s="2">
        <f>+'Service Length-Count'!J28*'Service Length-Count'!D21</f>
        <v>8691.286613810742</v>
      </c>
      <c r="I37" s="2">
        <f>+F40</f>
        <v>22185</v>
      </c>
      <c r="J37" s="2">
        <f>+F41</f>
        <v>129930</v>
      </c>
      <c r="K37" s="2">
        <f>+F41</f>
        <v>129930</v>
      </c>
      <c r="L37" s="2">
        <f>+M37*0.6</f>
        <v>338217</v>
      </c>
      <c r="M37" s="2">
        <f>+F42</f>
        <v>563695</v>
      </c>
      <c r="N37" s="2">
        <f>+'Service Length-Count'!I28*'Service Length-Count'!C21</f>
        <v>4244.5133416764302</v>
      </c>
    </row>
    <row r="38" spans="1:14" ht="13.5" thickBot="1" x14ac:dyDescent="0.25">
      <c r="A38" s="20"/>
    </row>
    <row r="39" spans="1:14" ht="13.5" thickBot="1" x14ac:dyDescent="0.25">
      <c r="B39" s="49" t="s">
        <v>105</v>
      </c>
      <c r="C39" s="49" t="s">
        <v>101</v>
      </c>
      <c r="D39" s="49" t="s">
        <v>102</v>
      </c>
      <c r="E39" s="49" t="s">
        <v>103</v>
      </c>
      <c r="F39" s="50" t="s">
        <v>66</v>
      </c>
    </row>
    <row r="40" spans="1:14" x14ac:dyDescent="0.2">
      <c r="A40" s="4" t="s">
        <v>98</v>
      </c>
      <c r="B40">
        <v>500</v>
      </c>
      <c r="C40" s="2">
        <f>3.55+3.8</f>
        <v>7.35</v>
      </c>
      <c r="D40" s="2">
        <v>27.02</v>
      </c>
      <c r="E40" s="2">
        <v>10</v>
      </c>
      <c r="F40" s="47">
        <f>+(C40+D40+E40)*B40</f>
        <v>22185</v>
      </c>
    </row>
    <row r="41" spans="1:14" x14ac:dyDescent="0.2">
      <c r="A41" s="4" t="s">
        <v>99</v>
      </c>
      <c r="B41">
        <v>1000</v>
      </c>
      <c r="C41" s="2">
        <f>23.01+5</f>
        <v>28.01</v>
      </c>
      <c r="D41" s="2">
        <v>76.92</v>
      </c>
      <c r="E41" s="2">
        <v>25</v>
      </c>
      <c r="F41" s="47">
        <f>+(C41+D41+E41)*B41</f>
        <v>129930</v>
      </c>
    </row>
    <row r="42" spans="1:14" ht="13.5" thickBot="1" x14ac:dyDescent="0.25">
      <c r="A42" s="4" t="s">
        <v>100</v>
      </c>
      <c r="B42" s="45"/>
      <c r="C42" s="46"/>
      <c r="D42" s="46"/>
      <c r="E42" s="46"/>
      <c r="F42" s="48">
        <v>563695</v>
      </c>
      <c r="G42" s="4"/>
    </row>
  </sheetData>
  <pageMargins left="0.7" right="0.7" top="0.75" bottom="0.75" header="0.3" footer="0.3"/>
  <pageSetup orientation="portrait" verticalDpi="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DFB68-13CF-464D-AE1E-17397A7A3BEF}">
  <dimension ref="A1:N38"/>
  <sheetViews>
    <sheetView workbookViewId="0"/>
  </sheetViews>
  <sheetFormatPr defaultColWidth="9.140625" defaultRowHeight="12.75" x14ac:dyDescent="0.2"/>
  <cols>
    <col min="1" max="1" width="19.140625" style="67" bestFit="1" customWidth="1"/>
    <col min="2" max="4" width="11.85546875" style="67" bestFit="1" customWidth="1"/>
    <col min="5" max="5" width="11" style="67" bestFit="1" customWidth="1"/>
    <col min="6" max="12" width="12.85546875" style="67" bestFit="1" customWidth="1"/>
    <col min="13" max="13" width="16.28515625" style="67" bestFit="1" customWidth="1"/>
    <col min="14" max="14" width="12.85546875" style="67" bestFit="1" customWidth="1"/>
    <col min="15" max="16384" width="9.140625" style="67"/>
  </cols>
  <sheetData>
    <row r="1" spans="1:14" x14ac:dyDescent="0.2">
      <c r="A1" s="109" t="s">
        <v>156</v>
      </c>
    </row>
    <row r="2" spans="1:14" x14ac:dyDescent="0.2">
      <c r="A2" s="112" t="s">
        <v>153</v>
      </c>
    </row>
    <row r="7" spans="1:14" ht="15.75" x14ac:dyDescent="0.25">
      <c r="A7" s="84" t="s">
        <v>107</v>
      </c>
    </row>
    <row r="9" spans="1:14" ht="15" x14ac:dyDescent="0.25">
      <c r="A9" s="85" t="s">
        <v>79</v>
      </c>
    </row>
    <row r="10" spans="1:14" ht="15" x14ac:dyDescent="0.25">
      <c r="A10" s="86" t="s">
        <v>72</v>
      </c>
      <c r="B10" s="86" t="s">
        <v>30</v>
      </c>
      <c r="C10" s="86" t="s">
        <v>31</v>
      </c>
      <c r="D10" s="86" t="s">
        <v>32</v>
      </c>
      <c r="E10" s="86" t="s">
        <v>74</v>
      </c>
      <c r="F10" s="86" t="s">
        <v>34</v>
      </c>
      <c r="G10" s="86" t="s">
        <v>75</v>
      </c>
      <c r="H10" s="86" t="s">
        <v>76</v>
      </c>
      <c r="I10" s="86" t="s">
        <v>77</v>
      </c>
      <c r="J10" s="86" t="s">
        <v>78</v>
      </c>
      <c r="K10" s="86" t="s">
        <v>39</v>
      </c>
      <c r="L10" s="86" t="s">
        <v>40</v>
      </c>
      <c r="N10" s="86" t="s">
        <v>73</v>
      </c>
    </row>
    <row r="11" spans="1:14" ht="15" x14ac:dyDescent="0.25">
      <c r="A11" s="86" t="s">
        <v>0</v>
      </c>
      <c r="B11" s="51">
        <v>100</v>
      </c>
      <c r="C11" s="51">
        <v>305</v>
      </c>
      <c r="D11" s="51">
        <v>555</v>
      </c>
      <c r="E11" s="51">
        <v>2000</v>
      </c>
      <c r="F11" s="52">
        <v>1027</v>
      </c>
      <c r="G11" s="52">
        <v>2654</v>
      </c>
      <c r="H11" s="52">
        <v>12414</v>
      </c>
      <c r="I11" s="52">
        <v>38812.5</v>
      </c>
      <c r="J11" s="52">
        <v>279655.5</v>
      </c>
      <c r="K11" s="52">
        <v>821917.5</v>
      </c>
      <c r="L11" s="52">
        <v>1255708</v>
      </c>
      <c r="N11" s="51">
        <v>300</v>
      </c>
    </row>
    <row r="13" spans="1:14" ht="15" x14ac:dyDescent="0.25">
      <c r="A13" s="87" t="s">
        <v>108</v>
      </c>
      <c r="B13" s="67">
        <v>250</v>
      </c>
      <c r="C13" s="67">
        <v>250</v>
      </c>
      <c r="D13" s="67">
        <v>400</v>
      </c>
      <c r="E13" s="67">
        <v>1000</v>
      </c>
      <c r="F13" s="67">
        <v>1000</v>
      </c>
      <c r="G13" s="67" t="s">
        <v>80</v>
      </c>
      <c r="H13" s="67" t="s">
        <v>81</v>
      </c>
      <c r="I13" s="67" t="s">
        <v>82</v>
      </c>
      <c r="J13" s="67" t="s">
        <v>83</v>
      </c>
      <c r="K13" s="67" t="s">
        <v>84</v>
      </c>
      <c r="L13" s="67" t="s">
        <v>84</v>
      </c>
      <c r="M13" s="86" t="s">
        <v>27</v>
      </c>
      <c r="N13" s="67" t="s">
        <v>80</v>
      </c>
    </row>
    <row r="14" spans="1:14" ht="15" x14ac:dyDescent="0.25">
      <c r="B14" s="86" t="s">
        <v>30</v>
      </c>
      <c r="C14" s="86" t="s">
        <v>31</v>
      </c>
      <c r="D14" s="86" t="s">
        <v>32</v>
      </c>
      <c r="E14" s="86" t="s">
        <v>33</v>
      </c>
      <c r="F14" s="86" t="s">
        <v>34</v>
      </c>
      <c r="G14" s="86" t="s">
        <v>35</v>
      </c>
      <c r="H14" s="86" t="s">
        <v>36</v>
      </c>
      <c r="I14" s="86" t="s">
        <v>37</v>
      </c>
      <c r="J14" s="86" t="s">
        <v>38</v>
      </c>
      <c r="K14" s="86" t="s">
        <v>39</v>
      </c>
      <c r="L14" s="86" t="s">
        <v>40</v>
      </c>
      <c r="M14" s="86" t="s">
        <v>41</v>
      </c>
      <c r="N14" s="86" t="s">
        <v>42</v>
      </c>
    </row>
    <row r="15" spans="1:14" ht="15" x14ac:dyDescent="0.25">
      <c r="A15" s="87" t="s">
        <v>46</v>
      </c>
      <c r="B15" s="89">
        <f>140.14-B16</f>
        <v>76.649999999999977</v>
      </c>
      <c r="C15" s="89">
        <f>140.14-C16</f>
        <v>76.649999999999977</v>
      </c>
      <c r="D15" s="89">
        <f>271.14-D16</f>
        <v>207.64999999999998</v>
      </c>
      <c r="E15" s="89">
        <f>969.18-E16</f>
        <v>867.33999999999992</v>
      </c>
      <c r="F15" s="89">
        <f>969.18-F16</f>
        <v>867.33999999999992</v>
      </c>
      <c r="G15" s="89">
        <f>969.18-G16</f>
        <v>867.33999999999992</v>
      </c>
      <c r="H15" s="89">
        <v>2095.12</v>
      </c>
      <c r="I15" s="89">
        <v>2647.23</v>
      </c>
      <c r="J15" s="89">
        <f>7885.55*2</f>
        <v>15771.1</v>
      </c>
      <c r="K15" s="89">
        <v>25000</v>
      </c>
      <c r="L15" s="89">
        <v>35000</v>
      </c>
      <c r="M15" s="89">
        <v>47335.199999999997</v>
      </c>
      <c r="N15" s="89">
        <f>969.18-N16</f>
        <v>867.33999999999992</v>
      </c>
    </row>
    <row r="16" spans="1:14" ht="15" x14ac:dyDescent="0.25">
      <c r="A16" s="87" t="s">
        <v>3</v>
      </c>
      <c r="B16" s="89">
        <v>63.49</v>
      </c>
      <c r="C16" s="89">
        <v>63.49</v>
      </c>
      <c r="D16" s="89">
        <v>63.49</v>
      </c>
      <c r="E16" s="89">
        <v>101.84</v>
      </c>
      <c r="F16" s="89">
        <v>101.84</v>
      </c>
      <c r="G16" s="89">
        <v>101.84</v>
      </c>
      <c r="H16" s="89">
        <v>101.84</v>
      </c>
      <c r="I16" s="89">
        <v>101.84</v>
      </c>
      <c r="J16" s="89">
        <v>0</v>
      </c>
      <c r="K16" s="89">
        <v>0</v>
      </c>
      <c r="L16" s="89">
        <v>0</v>
      </c>
      <c r="M16" s="89">
        <v>0</v>
      </c>
      <c r="N16" s="89">
        <v>101.84</v>
      </c>
    </row>
    <row r="17" spans="1:14" ht="15" x14ac:dyDescent="0.25">
      <c r="A17" s="87" t="s">
        <v>47</v>
      </c>
      <c r="B17" s="89">
        <v>0</v>
      </c>
      <c r="C17" s="89">
        <v>0</v>
      </c>
      <c r="D17" s="89">
        <v>0</v>
      </c>
      <c r="E17" s="89">
        <v>0</v>
      </c>
      <c r="F17" s="89">
        <v>0</v>
      </c>
      <c r="G17" s="89">
        <v>0</v>
      </c>
      <c r="H17" s="89">
        <v>0</v>
      </c>
      <c r="I17" s="89">
        <v>0</v>
      </c>
      <c r="J17" s="89">
        <v>3600</v>
      </c>
      <c r="K17" s="89">
        <v>3600</v>
      </c>
      <c r="L17" s="89">
        <v>3600</v>
      </c>
      <c r="M17" s="89">
        <v>3600</v>
      </c>
      <c r="N17" s="89">
        <v>0</v>
      </c>
    </row>
    <row r="18" spans="1:14" ht="15" x14ac:dyDescent="0.25">
      <c r="A18" s="87" t="s">
        <v>48</v>
      </c>
      <c r="B18" s="89">
        <v>0</v>
      </c>
      <c r="C18" s="89">
        <v>0</v>
      </c>
      <c r="D18" s="89">
        <v>0</v>
      </c>
      <c r="E18" s="89">
        <v>0</v>
      </c>
      <c r="F18" s="89">
        <v>0</v>
      </c>
      <c r="G18" s="89">
        <v>0</v>
      </c>
      <c r="H18" s="89">
        <v>1087.2261000000001</v>
      </c>
      <c r="I18" s="89">
        <v>1087.2261000000001</v>
      </c>
      <c r="J18" s="89">
        <f>1087.2261*2</f>
        <v>2174.4522000000002</v>
      </c>
      <c r="K18" s="89">
        <f>1087.2261*2</f>
        <v>2174.4522000000002</v>
      </c>
      <c r="L18" s="89">
        <f>1087.2261*2</f>
        <v>2174.4522000000002</v>
      </c>
      <c r="M18" s="89">
        <f>1087.2261*2</f>
        <v>2174.4522000000002</v>
      </c>
      <c r="N18" s="89">
        <v>0</v>
      </c>
    </row>
    <row r="19" spans="1:14" ht="15" x14ac:dyDescent="0.25">
      <c r="A19" s="87" t="s">
        <v>49</v>
      </c>
      <c r="B19" s="89">
        <v>25.95</v>
      </c>
      <c r="C19" s="89">
        <v>25.95</v>
      </c>
      <c r="D19" s="89">
        <v>29.13</v>
      </c>
      <c r="E19" s="89">
        <v>344.23</v>
      </c>
      <c r="F19" s="89">
        <v>344.23</v>
      </c>
      <c r="G19" s="89">
        <f>344.23*2</f>
        <v>688.46</v>
      </c>
      <c r="H19" s="89">
        <f>1159.62*2</f>
        <v>2319.2399999999998</v>
      </c>
      <c r="I19" s="89">
        <f>1159.62*2+297.43</f>
        <v>2616.6699999999996</v>
      </c>
      <c r="J19" s="89">
        <f>2501.35*2</f>
        <v>5002.7</v>
      </c>
      <c r="K19" s="89">
        <v>6000</v>
      </c>
      <c r="L19" s="89">
        <v>6000</v>
      </c>
      <c r="M19" s="89">
        <v>37625.480000000003</v>
      </c>
      <c r="N19" s="89">
        <f>344.23*2</f>
        <v>688.46</v>
      </c>
    </row>
    <row r="20" spans="1:14" ht="15" x14ac:dyDescent="0.25">
      <c r="A20" s="87" t="s">
        <v>50</v>
      </c>
      <c r="B20" s="89">
        <f>85.28-B19</f>
        <v>59.33</v>
      </c>
      <c r="C20" s="89">
        <f>85.28-C19</f>
        <v>59.33</v>
      </c>
      <c r="D20" s="89">
        <f>210.68-D19</f>
        <v>181.55</v>
      </c>
      <c r="E20" s="89">
        <f>746.15+247.12-E19</f>
        <v>649.04</v>
      </c>
      <c r="F20" s="89">
        <f>746.15+247.12-F19</f>
        <v>649.04</v>
      </c>
      <c r="G20" s="89">
        <f>766.04+836.13-G19</f>
        <v>913.71</v>
      </c>
      <c r="H20" s="89">
        <f>292.67+72.67*5+300+100</f>
        <v>1056.02</v>
      </c>
      <c r="I20" s="89">
        <f>292.67+72.67*5+350+100</f>
        <v>1106.02</v>
      </c>
      <c r="J20" s="89">
        <v>3000</v>
      </c>
      <c r="K20" s="89">
        <v>5000</v>
      </c>
      <c r="L20" s="89">
        <v>6000</v>
      </c>
      <c r="M20" s="89">
        <v>70713.81</v>
      </c>
      <c r="N20" s="89">
        <f>766.04+836.13-N19</f>
        <v>913.71</v>
      </c>
    </row>
    <row r="21" spans="1:14" ht="15" x14ac:dyDescent="0.25">
      <c r="A21" s="87" t="s">
        <v>115</v>
      </c>
      <c r="B21" s="89"/>
      <c r="C21" s="89"/>
      <c r="D21" s="89"/>
      <c r="E21" s="89"/>
      <c r="F21" s="89"/>
      <c r="G21" s="89"/>
      <c r="H21" s="89"/>
      <c r="I21" s="89"/>
      <c r="J21" s="90">
        <v>8000</v>
      </c>
      <c r="K21" s="90">
        <v>10000</v>
      </c>
      <c r="L21" s="90">
        <v>15000</v>
      </c>
      <c r="M21" s="90">
        <v>179967.26</v>
      </c>
      <c r="N21" s="90">
        <v>65.44</v>
      </c>
    </row>
    <row r="22" spans="1:14" ht="15" x14ac:dyDescent="0.25">
      <c r="A22" s="87" t="s">
        <v>51</v>
      </c>
      <c r="B22" s="89">
        <f>B31/60*B30+B32</f>
        <v>38.5</v>
      </c>
      <c r="C22" s="89">
        <f t="shared" ref="C22:N22" si="0">C31/60*C30+C32</f>
        <v>38.5</v>
      </c>
      <c r="D22" s="89">
        <f t="shared" si="0"/>
        <v>38.5</v>
      </c>
      <c r="E22" s="89">
        <f t="shared" si="0"/>
        <v>45.25</v>
      </c>
      <c r="F22" s="89">
        <f t="shared" si="0"/>
        <v>45.25</v>
      </c>
      <c r="G22" s="89">
        <f t="shared" si="0"/>
        <v>45.25</v>
      </c>
      <c r="H22" s="89">
        <f t="shared" si="0"/>
        <v>92.500000000000014</v>
      </c>
      <c r="I22" s="89">
        <f t="shared" si="0"/>
        <v>92.500000000000014</v>
      </c>
      <c r="J22" s="89">
        <f t="shared" si="0"/>
        <v>92.500000000000014</v>
      </c>
      <c r="K22" s="89">
        <f t="shared" si="0"/>
        <v>92.500000000000014</v>
      </c>
      <c r="L22" s="89">
        <f t="shared" si="0"/>
        <v>92.500000000000014</v>
      </c>
      <c r="M22" s="89">
        <f t="shared" si="0"/>
        <v>92.500000000000014</v>
      </c>
      <c r="N22" s="89">
        <f t="shared" si="0"/>
        <v>45.25</v>
      </c>
    </row>
    <row r="23" spans="1:14" ht="15" x14ac:dyDescent="0.25">
      <c r="A23" s="87" t="s">
        <v>113</v>
      </c>
      <c r="B23" s="89">
        <v>12.56</v>
      </c>
      <c r="C23" s="89">
        <v>12.56</v>
      </c>
      <c r="D23" s="89">
        <v>12.56</v>
      </c>
      <c r="E23" s="89">
        <v>14.98</v>
      </c>
      <c r="F23" s="89">
        <v>14.98</v>
      </c>
      <c r="G23" s="89">
        <v>14.98</v>
      </c>
      <c r="H23" s="89">
        <v>31.89</v>
      </c>
      <c r="I23" s="89">
        <v>31.89</v>
      </c>
      <c r="J23" s="89">
        <v>31.89</v>
      </c>
      <c r="K23" s="89">
        <v>31.89</v>
      </c>
      <c r="L23" s="89">
        <v>31.89</v>
      </c>
      <c r="M23" s="89">
        <v>31.89</v>
      </c>
      <c r="N23" s="89">
        <v>14.98</v>
      </c>
    </row>
    <row r="24" spans="1:14" ht="15" x14ac:dyDescent="0.25">
      <c r="A24" s="87" t="s">
        <v>52</v>
      </c>
      <c r="B24" s="89">
        <f>+SUM(B22:B23)*29.17%</f>
        <v>14.894202000000002</v>
      </c>
      <c r="C24" s="89">
        <f t="shared" ref="C24:N24" si="1">+SUM(C22:C23)*29.17%</f>
        <v>14.894202000000002</v>
      </c>
      <c r="D24" s="89">
        <f t="shared" si="1"/>
        <v>14.894202000000002</v>
      </c>
      <c r="E24" s="89">
        <f t="shared" si="1"/>
        <v>17.569091000000004</v>
      </c>
      <c r="F24" s="89">
        <f t="shared" si="1"/>
        <v>17.569091000000004</v>
      </c>
      <c r="G24" s="89">
        <f t="shared" si="1"/>
        <v>17.569091000000004</v>
      </c>
      <c r="H24" s="89">
        <f t="shared" si="1"/>
        <v>36.284563000000006</v>
      </c>
      <c r="I24" s="89">
        <f t="shared" si="1"/>
        <v>36.284563000000006</v>
      </c>
      <c r="J24" s="89">
        <f t="shared" si="1"/>
        <v>36.284563000000006</v>
      </c>
      <c r="K24" s="89">
        <f t="shared" si="1"/>
        <v>36.284563000000006</v>
      </c>
      <c r="L24" s="89">
        <f t="shared" si="1"/>
        <v>36.284563000000006</v>
      </c>
      <c r="M24" s="89">
        <f t="shared" si="1"/>
        <v>36.284563000000006</v>
      </c>
      <c r="N24" s="89">
        <f t="shared" si="1"/>
        <v>17.569091000000004</v>
      </c>
    </row>
    <row r="25" spans="1:14" ht="15" x14ac:dyDescent="0.25">
      <c r="A25" s="87"/>
      <c r="B25" s="89"/>
      <c r="C25" s="89"/>
      <c r="D25" s="89"/>
      <c r="E25" s="89"/>
      <c r="F25" s="89"/>
      <c r="G25" s="89"/>
      <c r="H25" s="89"/>
      <c r="I25" s="89"/>
      <c r="J25" s="89"/>
      <c r="K25" s="89"/>
      <c r="L25" s="89"/>
      <c r="M25" s="89"/>
    </row>
    <row r="26" spans="1:14" ht="15" x14ac:dyDescent="0.25">
      <c r="A26" s="87" t="s">
        <v>53</v>
      </c>
      <c r="B26" s="91">
        <f>SUM(B15:B24)</f>
        <v>291.37420199999997</v>
      </c>
      <c r="C26" s="91">
        <f t="shared" ref="C26:N26" si="2">SUM(C15:C24)</f>
        <v>291.37420199999997</v>
      </c>
      <c r="D26" s="91">
        <f t="shared" si="2"/>
        <v>547.77420199999983</v>
      </c>
      <c r="E26" s="91">
        <f t="shared" si="2"/>
        <v>2040.2490909999999</v>
      </c>
      <c r="F26" s="91">
        <f t="shared" si="2"/>
        <v>2040.2490909999999</v>
      </c>
      <c r="G26" s="91">
        <f t="shared" si="2"/>
        <v>2649.1490909999998</v>
      </c>
      <c r="H26" s="91">
        <f t="shared" si="2"/>
        <v>6820.1206629999997</v>
      </c>
      <c r="I26" s="91">
        <f t="shared" si="2"/>
        <v>7719.6606630000006</v>
      </c>
      <c r="J26" s="91">
        <f t="shared" si="2"/>
        <v>37708.926763000003</v>
      </c>
      <c r="K26" s="91">
        <f t="shared" si="2"/>
        <v>51935.126763</v>
      </c>
      <c r="L26" s="91">
        <f t="shared" si="2"/>
        <v>67935.126762999993</v>
      </c>
      <c r="M26" s="91">
        <f t="shared" si="2"/>
        <v>341576.87676300004</v>
      </c>
      <c r="N26" s="91">
        <f t="shared" si="2"/>
        <v>2714.5890909999998</v>
      </c>
    </row>
    <row r="28" spans="1:14" x14ac:dyDescent="0.2">
      <c r="A28" s="92" t="s">
        <v>109</v>
      </c>
    </row>
    <row r="30" spans="1:14" x14ac:dyDescent="0.2">
      <c r="A30" s="67" t="s">
        <v>114</v>
      </c>
      <c r="B30" s="67">
        <v>78</v>
      </c>
      <c r="C30" s="67">
        <v>78</v>
      </c>
      <c r="D30" s="67">
        <v>78</v>
      </c>
      <c r="E30" s="67">
        <v>93</v>
      </c>
      <c r="F30" s="67">
        <v>93</v>
      </c>
      <c r="G30" s="67">
        <v>93</v>
      </c>
      <c r="H30" s="67">
        <v>198</v>
      </c>
      <c r="I30" s="67">
        <v>198</v>
      </c>
      <c r="J30" s="67">
        <v>198</v>
      </c>
      <c r="K30" s="67">
        <v>198</v>
      </c>
      <c r="L30" s="67">
        <v>198</v>
      </c>
      <c r="M30" s="67">
        <v>198</v>
      </c>
      <c r="N30" s="67">
        <v>93</v>
      </c>
    </row>
    <row r="31" spans="1:14" x14ac:dyDescent="0.2">
      <c r="A31" s="88" t="s">
        <v>116</v>
      </c>
      <c r="B31" s="68">
        <v>27</v>
      </c>
      <c r="C31" s="68">
        <v>27</v>
      </c>
      <c r="D31" s="68">
        <v>27</v>
      </c>
      <c r="E31" s="68">
        <v>27</v>
      </c>
      <c r="F31" s="68">
        <v>27</v>
      </c>
      <c r="G31" s="68">
        <v>27</v>
      </c>
      <c r="H31" s="68">
        <v>27</v>
      </c>
      <c r="I31" s="68">
        <v>27</v>
      </c>
      <c r="J31" s="68">
        <v>27</v>
      </c>
      <c r="K31" s="68">
        <v>27</v>
      </c>
      <c r="L31" s="68">
        <v>27</v>
      </c>
      <c r="M31" s="68">
        <v>27</v>
      </c>
      <c r="N31" s="68">
        <v>27</v>
      </c>
    </row>
    <row r="32" spans="1:14" x14ac:dyDescent="0.2">
      <c r="A32" s="88" t="s">
        <v>117</v>
      </c>
      <c r="B32" s="68">
        <v>3.4</v>
      </c>
      <c r="C32" s="68">
        <v>3.4</v>
      </c>
      <c r="D32" s="68">
        <v>3.4</v>
      </c>
      <c r="E32" s="68">
        <v>3.4</v>
      </c>
      <c r="F32" s="68">
        <v>3.4</v>
      </c>
      <c r="G32" s="68">
        <v>3.4</v>
      </c>
      <c r="H32" s="68">
        <v>3.4</v>
      </c>
      <c r="I32" s="68">
        <v>3.4</v>
      </c>
      <c r="J32" s="68">
        <v>3.4</v>
      </c>
      <c r="K32" s="68">
        <v>3.4</v>
      </c>
      <c r="L32" s="68">
        <v>3.4</v>
      </c>
      <c r="M32" s="68">
        <v>3.4</v>
      </c>
      <c r="N32" s="68">
        <v>3.4</v>
      </c>
    </row>
    <row r="35" spans="1:8" x14ac:dyDescent="0.2">
      <c r="A35" s="87" t="s">
        <v>136</v>
      </c>
      <c r="B35" s="93" t="s">
        <v>149</v>
      </c>
      <c r="C35" s="94"/>
      <c r="D35" s="93"/>
      <c r="E35" s="93" t="s">
        <v>146</v>
      </c>
    </row>
    <row r="36" spans="1:8" x14ac:dyDescent="0.2">
      <c r="B36" s="93" t="s">
        <v>148</v>
      </c>
      <c r="E36" s="93" t="s">
        <v>147</v>
      </c>
      <c r="H36" s="95"/>
    </row>
    <row r="37" spans="1:8" x14ac:dyDescent="0.2">
      <c r="A37" s="88"/>
      <c r="B37" s="96" t="s">
        <v>117</v>
      </c>
      <c r="E37" s="93" t="s">
        <v>152</v>
      </c>
    </row>
    <row r="38" spans="1:8" x14ac:dyDescent="0.2">
      <c r="B38" s="93" t="s">
        <v>150</v>
      </c>
      <c r="E38" s="93" t="s">
        <v>151</v>
      </c>
    </row>
  </sheetData>
  <pageMargins left="0.7" right="0.7" top="0.75" bottom="0.75" header="0.3" footer="0.3"/>
  <pageSetup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482E9-774B-41E8-B838-DBC27C9F388C}">
  <dimension ref="A1:F40"/>
  <sheetViews>
    <sheetView workbookViewId="0"/>
  </sheetViews>
  <sheetFormatPr defaultRowHeight="12.75" x14ac:dyDescent="0.2"/>
  <cols>
    <col min="1" max="1" width="5.5703125" style="71" customWidth="1"/>
    <col min="2" max="2" width="11.42578125" style="71" customWidth="1"/>
    <col min="3" max="4" width="9.140625" style="71"/>
    <col min="5" max="5" width="9.85546875" style="69" bestFit="1" customWidth="1"/>
    <col min="6" max="16384" width="9.140625" style="71"/>
  </cols>
  <sheetData>
    <row r="1" spans="1:6" s="69" customFormat="1" x14ac:dyDescent="0.2">
      <c r="A1" s="109" t="s">
        <v>157</v>
      </c>
    </row>
    <row r="2" spans="1:6" s="69" customFormat="1" x14ac:dyDescent="0.2">
      <c r="A2" s="111" t="s">
        <v>153</v>
      </c>
    </row>
    <row r="3" spans="1:6" s="69" customFormat="1" x14ac:dyDescent="0.2"/>
    <row r="4" spans="1:6" s="69" customFormat="1" x14ac:dyDescent="0.2"/>
    <row r="5" spans="1:6" s="69" customFormat="1" x14ac:dyDescent="0.2"/>
    <row r="6" spans="1:6" s="69" customFormat="1" x14ac:dyDescent="0.2"/>
    <row r="7" spans="1:6" ht="15" x14ac:dyDescent="0.25">
      <c r="A7" s="70" t="s">
        <v>118</v>
      </c>
      <c r="B7" s="70"/>
    </row>
    <row r="9" spans="1:6" ht="15" x14ac:dyDescent="0.25">
      <c r="B9" s="71" t="s">
        <v>119</v>
      </c>
      <c r="E9" s="72">
        <v>70000</v>
      </c>
    </row>
    <row r="11" spans="1:6" x14ac:dyDescent="0.2">
      <c r="A11" s="69">
        <v>1</v>
      </c>
      <c r="B11" s="71" t="s">
        <v>120</v>
      </c>
      <c r="D11" s="69" t="s">
        <v>121</v>
      </c>
      <c r="E11" s="73">
        <v>7857</v>
      </c>
    </row>
    <row r="12" spans="1:6" x14ac:dyDescent="0.2">
      <c r="A12" s="69"/>
      <c r="D12" s="69"/>
    </row>
    <row r="13" spans="1:6" x14ac:dyDescent="0.2">
      <c r="A13" s="69">
        <v>2</v>
      </c>
      <c r="B13" s="71" t="s">
        <v>122</v>
      </c>
      <c r="C13" s="74">
        <v>15000</v>
      </c>
      <c r="D13" s="74" t="s">
        <v>123</v>
      </c>
      <c r="E13" s="74">
        <v>1500</v>
      </c>
      <c r="F13" s="71" t="s">
        <v>124</v>
      </c>
    </row>
    <row r="14" spans="1:6" x14ac:dyDescent="0.2">
      <c r="A14" s="69"/>
      <c r="C14" s="69"/>
      <c r="D14" s="69"/>
    </row>
    <row r="15" spans="1:6" x14ac:dyDescent="0.2">
      <c r="A15" s="69">
        <v>3</v>
      </c>
      <c r="B15" s="71" t="s">
        <v>125</v>
      </c>
      <c r="C15" s="75">
        <v>3.5</v>
      </c>
      <c r="D15" s="69" t="s">
        <v>126</v>
      </c>
      <c r="E15" s="73">
        <f>E13*C15</f>
        <v>5250</v>
      </c>
    </row>
    <row r="16" spans="1:6" x14ac:dyDescent="0.2">
      <c r="A16" s="69"/>
      <c r="C16" s="69"/>
      <c r="D16" s="69"/>
    </row>
    <row r="17" spans="1:6" ht="13.5" thickBot="1" x14ac:dyDescent="0.25">
      <c r="A17" s="69">
        <v>4</v>
      </c>
      <c r="B17" s="76" t="s">
        <v>127</v>
      </c>
      <c r="C17" s="76"/>
      <c r="D17" s="76"/>
      <c r="E17" s="77">
        <v>4406</v>
      </c>
      <c r="F17" s="76"/>
    </row>
    <row r="18" spans="1:6" ht="13.5" thickTop="1" x14ac:dyDescent="0.2">
      <c r="A18" s="69"/>
    </row>
    <row r="19" spans="1:6" ht="15" x14ac:dyDescent="0.25">
      <c r="A19" s="69"/>
      <c r="B19" s="71" t="s">
        <v>128</v>
      </c>
      <c r="E19" s="72">
        <f>E11+E15+E17</f>
        <v>17513</v>
      </c>
    </row>
    <row r="20" spans="1:6" x14ac:dyDescent="0.2">
      <c r="A20" s="69"/>
    </row>
    <row r="21" spans="1:6" x14ac:dyDescent="0.2">
      <c r="A21" s="69">
        <v>5</v>
      </c>
      <c r="B21" s="71" t="s">
        <v>129</v>
      </c>
      <c r="D21" s="78"/>
      <c r="E21" s="74">
        <f>1250+2080*0.15</f>
        <v>1562</v>
      </c>
    </row>
    <row r="22" spans="1:6" x14ac:dyDescent="0.2">
      <c r="A22" s="69">
        <v>6</v>
      </c>
      <c r="B22" s="79" t="s">
        <v>130</v>
      </c>
      <c r="C22" s="79"/>
      <c r="D22" s="79"/>
      <c r="E22" s="80">
        <v>250</v>
      </c>
    </row>
    <row r="23" spans="1:6" x14ac:dyDescent="0.2">
      <c r="A23" s="69"/>
      <c r="B23" s="71" t="s">
        <v>131</v>
      </c>
      <c r="E23" s="74">
        <f>E21+E22</f>
        <v>1812</v>
      </c>
    </row>
    <row r="25" spans="1:6" ht="15" x14ac:dyDescent="0.25">
      <c r="A25" s="69">
        <v>7</v>
      </c>
      <c r="B25" s="71" t="s">
        <v>132</v>
      </c>
      <c r="E25" s="81">
        <f>E19/E23</f>
        <v>9.6650110375275933</v>
      </c>
    </row>
    <row r="26" spans="1:6" x14ac:dyDescent="0.2">
      <c r="A26" s="69"/>
    </row>
    <row r="27" spans="1:6" x14ac:dyDescent="0.2">
      <c r="A27" s="69">
        <v>8</v>
      </c>
      <c r="B27" s="71" t="s">
        <v>133</v>
      </c>
      <c r="E27" s="75">
        <f>E25/60</f>
        <v>0.16108351729212655</v>
      </c>
    </row>
    <row r="28" spans="1:6" ht="13.5" thickBot="1" x14ac:dyDescent="0.25">
      <c r="A28" s="69"/>
      <c r="C28" s="71" t="s">
        <v>134</v>
      </c>
    </row>
    <row r="29" spans="1:6" ht="15.75" thickBot="1" x14ac:dyDescent="0.3">
      <c r="A29" s="69">
        <v>9</v>
      </c>
      <c r="B29" s="71" t="s">
        <v>135</v>
      </c>
      <c r="C29" s="82">
        <v>198</v>
      </c>
      <c r="D29" s="69" t="s">
        <v>70</v>
      </c>
      <c r="E29" s="81">
        <f>E27*C29</f>
        <v>31.894536423841057</v>
      </c>
    </row>
    <row r="31" spans="1:6" ht="15" x14ac:dyDescent="0.2">
      <c r="B31" s="83" t="s">
        <v>136</v>
      </c>
    </row>
    <row r="32" spans="1:6" x14ac:dyDescent="0.2">
      <c r="B32" s="69">
        <v>1</v>
      </c>
      <c r="C32" s="71" t="s">
        <v>137</v>
      </c>
    </row>
    <row r="33" spans="2:3" x14ac:dyDescent="0.2">
      <c r="B33" s="69">
        <v>2</v>
      </c>
      <c r="C33" s="71" t="s">
        <v>138</v>
      </c>
    </row>
    <row r="34" spans="2:3" x14ac:dyDescent="0.2">
      <c r="B34" s="69">
        <v>3</v>
      </c>
      <c r="C34" s="71" t="s">
        <v>139</v>
      </c>
    </row>
    <row r="35" spans="2:3" x14ac:dyDescent="0.2">
      <c r="B35" s="69">
        <v>4</v>
      </c>
      <c r="C35" s="71" t="s">
        <v>140</v>
      </c>
    </row>
    <row r="36" spans="2:3" x14ac:dyDescent="0.2">
      <c r="B36" s="69">
        <v>5</v>
      </c>
      <c r="C36" s="71" t="s">
        <v>141</v>
      </c>
    </row>
    <row r="37" spans="2:3" x14ac:dyDescent="0.2">
      <c r="B37" s="69">
        <v>6</v>
      </c>
      <c r="C37" s="71" t="s">
        <v>142</v>
      </c>
    </row>
    <row r="38" spans="2:3" x14ac:dyDescent="0.2">
      <c r="B38" s="69">
        <v>7</v>
      </c>
      <c r="C38" s="71" t="s">
        <v>143</v>
      </c>
    </row>
    <row r="39" spans="2:3" x14ac:dyDescent="0.2">
      <c r="B39" s="69">
        <v>8</v>
      </c>
      <c r="C39" s="71" t="s">
        <v>144</v>
      </c>
    </row>
    <row r="40" spans="2:3" x14ac:dyDescent="0.2">
      <c r="B40" s="69">
        <v>9</v>
      </c>
      <c r="C40" s="71" t="s">
        <v>145</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AA16-7535-4F48-A305-1F2F09DF7FF6}">
  <dimension ref="A1:C14"/>
  <sheetViews>
    <sheetView tabSelected="1" workbookViewId="0">
      <selection activeCell="D7" sqref="D7"/>
    </sheetView>
  </sheetViews>
  <sheetFormatPr defaultRowHeight="12.75" x14ac:dyDescent="0.2"/>
  <cols>
    <col min="2" max="2" width="8.7109375" style="8" bestFit="1" customWidth="1"/>
    <col min="3" max="3" width="11.28515625" style="8" bestFit="1" customWidth="1"/>
  </cols>
  <sheetData>
    <row r="1" spans="1:3" s="1" customFormat="1" x14ac:dyDescent="0.2">
      <c r="A1" s="109" t="s">
        <v>158</v>
      </c>
    </row>
    <row r="2" spans="1:3" s="1" customFormat="1" x14ac:dyDescent="0.2">
      <c r="A2" s="110" t="s">
        <v>153</v>
      </c>
    </row>
    <row r="3" spans="1:3" s="1" customFormat="1" x14ac:dyDescent="0.2"/>
    <row r="4" spans="1:3" s="1" customFormat="1" x14ac:dyDescent="0.2"/>
    <row r="5" spans="1:3" s="1" customFormat="1" x14ac:dyDescent="0.2"/>
    <row r="6" spans="1:3" s="1" customFormat="1" x14ac:dyDescent="0.2"/>
    <row r="8" spans="1:3" x14ac:dyDescent="0.2">
      <c r="A8" s="4" t="s">
        <v>9</v>
      </c>
    </row>
    <row r="10" spans="1:3" ht="13.5" thickBot="1" x14ac:dyDescent="0.25">
      <c r="A10" s="7" t="s">
        <v>4</v>
      </c>
    </row>
    <row r="11" spans="1:3" ht="13.5" thickBot="1" x14ac:dyDescent="0.25">
      <c r="A11" s="5"/>
      <c r="B11" s="9"/>
      <c r="C11" s="10" t="s">
        <v>5</v>
      </c>
    </row>
    <row r="12" spans="1:3" ht="13.5" thickBot="1" x14ac:dyDescent="0.25">
      <c r="A12" s="6" t="s">
        <v>6</v>
      </c>
      <c r="B12" s="11">
        <v>32.72</v>
      </c>
      <c r="C12" s="11">
        <f>+B12*1.21</f>
        <v>39.591200000000001</v>
      </c>
    </row>
    <row r="13" spans="1:3" ht="13.5" thickBot="1" x14ac:dyDescent="0.25">
      <c r="A13" s="6" t="s">
        <v>7</v>
      </c>
      <c r="B13" s="11">
        <v>39.01</v>
      </c>
      <c r="C13" s="11">
        <f t="shared" ref="C13:C14" si="0">+B13*1.21</f>
        <v>47.202099999999994</v>
      </c>
    </row>
    <row r="14" spans="1:3" ht="13.5" thickBot="1" x14ac:dyDescent="0.25">
      <c r="A14" s="6" t="s">
        <v>8</v>
      </c>
      <c r="B14" s="11">
        <v>83.06</v>
      </c>
      <c r="C14" s="11">
        <f t="shared" si="0"/>
        <v>100.5026</v>
      </c>
    </row>
  </sheetData>
  <pageMargins left="0.7" right="0.7" top="0.75" bottom="0.75" header="0.3" footer="0.3"/>
  <pageSetup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pplication xmlns="http://www.sap.com/cof/excel/application">
  <Version>2</Version>
  <Revision>2.7.401.87606</Revision>
</Application>
</file>

<file path=customXml/itemProps1.xml><?xml version="1.0" encoding="utf-8"?>
<ds:datastoreItem xmlns:ds="http://schemas.openxmlformats.org/officeDocument/2006/customXml" ds:itemID="{4DFF6DAD-FB50-4A9E-A575-D79D08E627C5}">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MFR SCH E-7</vt:lpstr>
      <vt:lpstr>Service Length-Count</vt:lpstr>
      <vt:lpstr>Meter Costs</vt:lpstr>
      <vt:lpstr>Truck Roll Cost</vt:lpstr>
      <vt:lpstr>Dist Labor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
  <dcterms:created xsi:type="dcterms:W3CDTF">2022-07-05T02:27:17Z</dcterms:created>
  <dcterms:modified xsi:type="dcterms:W3CDTF">2022-07-05T02:27:25Z</dcterms:modified>
</cp:coreProperties>
</file>